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ClientList" sheetId="1" r:id="rId5"/>
    <sheet state="visible" name="Iván list" sheetId="2" r:id="rId6"/>
    <sheet state="visible" name="Peter list" sheetId="3" r:id="rId7"/>
    <sheet state="visible" name="Appraisers" sheetId="4" r:id="rId8"/>
    <sheet state="visible" name="Pivot Table 4" sheetId="5" r:id="rId9"/>
    <sheet state="visible" name="Uriarte" sheetId="6" r:id="rId10"/>
    <sheet state="hidden" name="Form Responses 1" sheetId="7" r:id="rId11"/>
    <sheet state="hidden" name="ClientList" sheetId="8" r:id="rId12"/>
    <sheet state="hidden" name="New Scheduling IP" sheetId="9" r:id="rId13"/>
  </sheets>
  <definedNames>
    <definedName hidden="1" localSheetId="0" name="Z_B78C4896_7813_40C2_98CA_179DBC0C917D_.wvu.FilterData">'New ClientList'!$A$1:$V$299</definedName>
    <definedName hidden="1" localSheetId="0" name="Z_85834DB9_5818_48D8_8327_4FD1E846E99A_.wvu.FilterData">'New ClientList'!$A$1:$V$264</definedName>
    <definedName hidden="1" localSheetId="0" name="Z_2CEFD5F6_10A1_4CF1_8D85_FAB49CD62783_.wvu.FilterData">'New ClientList'!$A$1:$V$321</definedName>
    <definedName hidden="1" localSheetId="0" name="Z_C9D0D4BB_520A_4975_BDE4_025DD331816E_.wvu.FilterData">'New ClientList'!$A$1:$V$307</definedName>
    <definedName hidden="1" localSheetId="7" name="Z_CA3FC007_33A4_484A_AA60_86090A26E6E0_.wvu.FilterData">ClientList!$F$2:$F$2101</definedName>
    <definedName hidden="1" localSheetId="0" name="Z_6916599B_EA17_4F11_860E_6DE0F9631F8B_.wvu.FilterData">'New ClientList'!$A$1:$V$264</definedName>
    <definedName hidden="1" localSheetId="0" name="Z_41700BB6_7AE4_4913_8075_E11EE9B25229_.wvu.FilterData">'New ClientList'!$A$1:$V$321</definedName>
    <definedName hidden="1" localSheetId="0" name="Z_76A6011E_8B51_44B5_AFF8_E7BBE1F695B3_.wvu.FilterData">'New ClientList'!$A$1:$V$321</definedName>
    <definedName hidden="1" localSheetId="0" name="Z_4E23EC7E_7191_4823_A3AA_332D0B85696F_.wvu.FilterData">'New ClientList'!$A$1:$Y$424</definedName>
    <definedName hidden="1" localSheetId="0" name="Z_E8D0C5BF_C061_4682_9F5C_41B05EEBD8D7_.wvu.FilterData">'New ClientList'!$A$1:$V$296</definedName>
    <definedName hidden="1" localSheetId="0" name="Z_84769D6D_E779_4E43_8719_3694B9381386_.wvu.FilterData">'New ClientList'!$A$1:$V$321</definedName>
    <definedName hidden="1" localSheetId="0" name="Z_9F108107_3A91_4EBA_B327_EAF7204BE6DC_.wvu.FilterData">'New ClientList'!$A$1:$V$312</definedName>
    <definedName hidden="1" localSheetId="0" name="Z_9C05A57C_5BAC_4AF5_92D5_28FEB2464545_.wvu.FilterData">'New ClientList'!$A$1:$V$312</definedName>
    <definedName hidden="1" localSheetId="0" name="Z_2AB6B614_B8E4_4779_8E1E_F7354A666C9B_.wvu.FilterData">'New ClientList'!$T$1:$T$425</definedName>
    <definedName hidden="1" localSheetId="7" name="Z_6D971A23_1B65_45EE_9D1A_FB4F3C6ABA54_.wvu.FilterData">ClientList!$A$1:$U$158</definedName>
    <definedName hidden="1" localSheetId="0" name="Z_EAFC0BD0_5D87_485F_92F5_CE7EB168862B_.wvu.FilterData">'New ClientList'!$A$1:$V$321</definedName>
    <definedName hidden="1" localSheetId="0" name="Z_0C540628_8DA1_43A2_A8B2_E89A70AF6AAE_.wvu.FilterData">'New ClientList'!$A$1:$V$321</definedName>
    <definedName hidden="1" localSheetId="0" name="Z_41071884_2C3B_4C8F_AC2C_8CD3846CDB66_.wvu.FilterData">'New ClientList'!$A$1:$V$264</definedName>
    <definedName hidden="1" localSheetId="7" name="Z_CCF5AF0E_19DA_4016_A92E_733A0E5E20A2_.wvu.FilterData">ClientList!$F$2:$F$2101</definedName>
    <definedName hidden="1" localSheetId="7" name="Z_1144A3EB_C9AE_4E4E_A98C_F42C9B3F0732_.wvu.FilterData">ClientList!$F$2:$F$2101</definedName>
    <definedName hidden="1" localSheetId="7" name="Z_8F5F396D_3707_4306_AA19_4A116E9D9D61_.wvu.FilterData">ClientList!$A$2:$S$108</definedName>
    <definedName hidden="1" localSheetId="0" name="Z_894717EF_155A_428B_B336_F3E13F86349D_.wvu.FilterData">'New ClientList'!$A$1:$Y$424</definedName>
    <definedName hidden="1" localSheetId="0" name="Z_6C0F1098_CF08_442F_8972_A6E9A52F3E21_.wvu.FilterData">'New ClientList'!$A$1:$V$264</definedName>
    <definedName hidden="1" localSheetId="0" name="Z_EBB80049_9934_464F_84B6_263D1BC61872_.wvu.FilterData">'New ClientList'!$A$1:$V$264</definedName>
    <definedName hidden="1" localSheetId="0" name="Z_E0F69DA0_C35C_4BB8_95CD_F38F9CD56241_.wvu.FilterData">'New ClientList'!$A$1:$V$297</definedName>
    <definedName hidden="1" localSheetId="0" name="Z_994C77D9_4446_473A_8277_81FAA451F0D7_.wvu.FilterData">'New ClientList'!$A$1:$Y$424</definedName>
    <definedName hidden="1" localSheetId="0" name="Z_A1D1153C_A60F_4BB0_80D1_40DDDD616FFD_.wvu.FilterData">'New ClientList'!$A$1:$Y$424</definedName>
    <definedName hidden="1" localSheetId="0" name="Z_DC44FE2D_084A_450B_A2D9_235C2558DA26_.wvu.FilterData">'New ClientList'!$A$1:$V$340</definedName>
    <definedName hidden="1" localSheetId="0" name="Z_4F0F4236_320B_4EBF_97FF_E94023CA7E64_.wvu.FilterData">'New ClientList'!$A$1:$Y$424</definedName>
    <definedName hidden="1" localSheetId="0" name="Z_C8AFDC13_3DB5_48B5_B700_ECAD233C33B6_.wvu.FilterData">'New ClientList'!$A$1:$V$264</definedName>
    <definedName hidden="1" localSheetId="0" name="Z_7197E1B3_296B_453E_B7CD_CB556D7CE3FE_.wvu.FilterData">'New ClientList'!$A$1:$V$307</definedName>
    <definedName hidden="1" localSheetId="0" name="Z_A1802C65_0F66_458C_A7D3_0C2651C83FB5_.wvu.FilterData">'New ClientList'!$A$1:$V$321</definedName>
    <definedName hidden="1" localSheetId="0" name="Z_CF812BF3_040C_4799_9F74_AC744F8F922E_.wvu.FilterData">'New ClientList'!$A$1:$Y$424</definedName>
  </definedNames>
  <calcPr/>
  <customWorkbookViews>
    <customWorkbookView activeSheetId="0" maximized="1" windowHeight="0" windowWidth="0" guid="{B78C4896-7813-40C2-98CA-179DBC0C917D}" name="Pending payment"/>
    <customWorkbookView activeSheetId="0" maximized="1" windowHeight="0" windowWidth="0" guid="{85834DB9-5818-48D8-8327-4FD1E846E99A}" name="Claims IP"/>
    <customWorkbookView activeSheetId="0" maximized="1" windowHeight="0" windowWidth="0" guid="{2CEFD5F6-10A1-4CF1-8D85-FAB49CD62783}" name="PARA ENVIAR ESTIMADOS JP"/>
    <customWorkbookView activeSheetId="0" maximized="1" windowHeight="0" windowWidth="0" guid="{C9D0D4BB-520A-4975-BDE4-025DD331816E}" name="Pending decision"/>
    <customWorkbookView activeSheetId="0" maximized="1" windowHeight="0" windowWidth="0" guid="{CA3FC007-33A4-484A-AA60-86090A26E6E0}" name="Filter 1"/>
    <customWorkbookView activeSheetId="0" maximized="1" windowHeight="0" windowWidth="0" guid="{6916599B-EA17-4F11-860E-6DE0F9631F8B}" name="Claims David M."/>
    <customWorkbookView activeSheetId="0" maximized="1" windowHeight="0" windowWidth="0" guid="{41700BB6-7AE4-4913-8075-E11EE9B25229}" name="Estimate pendings"/>
    <customWorkbookView activeSheetId="0" maximized="1" windowHeight="0" windowWidth="0" guid="{76A6011E-8B51-44B5-AFF8-E7BBE1F695B3}" name="Claims David F."/>
    <customWorkbookView activeSheetId="0" maximized="1" windowHeight="0" windowWidth="0" guid="{4E23EC7E-7191-4823-A3AA-332D0B85696F}" name="Adjusters / estimates pending"/>
    <customWorkbookView activeSheetId="0" maximized="1" windowHeight="0" windowWidth="0" guid="{E8D0C5BF-C061-4682-9F5C-41B05EEBD8D7}" name="Claims Jakey"/>
    <customWorkbookView activeSheetId="0" maximized="1" windowHeight="0" windowWidth="0" guid="{84769D6D-E779-4E43-8719-3694B9381386}" name="IA report"/>
    <customWorkbookView activeSheetId="0" maximized="1" windowHeight="0" windowWidth="0" guid="{9F108107-3A91-4EBA-B327-EAF7204BE6DC}" name="universal"/>
    <customWorkbookView activeSheetId="0" maximized="1" windowHeight="0" windowWidth="0" guid="{9C05A57C-5BAC-4AF5-92D5-28FEB2464545}" name="Open Claims"/>
    <customWorkbookView activeSheetId="0" maximized="1" windowHeight="0" windowWidth="0" guid="{2AB6B614-B8E4-4779-8E1E-F7354A666C9B}" name="RE-OPEN"/>
    <customWorkbookView activeSheetId="0" maximized="1" windowHeight="0" windowWidth="0" guid="{6D971A23-1B65-45EE-9D1A-FB4F3C6ABA54}" name="Ready JP"/>
    <customWorkbookView activeSheetId="0" maximized="1" windowHeight="0" windowWidth="0" guid="{EAFC0BD0-5D87-485F-92F5-CE7EB168862B}" name="Client call"/>
    <customWorkbookView activeSheetId="0" maximized="1" windowHeight="0" windowWidth="0" guid="{0C540628-8DA1-43A2-A8B2-E89A70AF6AAE}" name="Caro SPOL"/>
    <customWorkbookView activeSheetId="0" maximized="1" windowHeight="0" windowWidth="0" guid="{41071884-2C3B-4C8F-AC2C-8CD3846CDB66}" name="Claims Gregory"/>
    <customWorkbookView activeSheetId="0" maximized="1" windowHeight="0" windowWidth="0" guid="{CCF5AF0E-19DA-4016-A92E-733A0E5E20A2}" name="Filter 2"/>
    <customWorkbookView activeSheetId="0" maximized="1" windowHeight="0" windowWidth="0" guid="{1144A3EB-C9AE-4E4E-A98C-F42C9B3F0732}" name="Filter 4"/>
    <customWorkbookView activeSheetId="0" maximized="1" windowHeight="0" windowWidth="0" guid="{8F5F396D-3707-4306-AA19-4A116E9D9D61}" name="Filter 3"/>
    <customWorkbookView activeSheetId="0" maximized="1" windowHeight="0" windowWidth="0" guid="{894717EF-155A-428B-B336-F3E13F86349D}" name="Ivancho list"/>
    <customWorkbookView activeSheetId="0" maximized="1" windowHeight="0" windowWidth="0" guid="{6C0F1098-CF08-442F-8972-A6E9A52F3E21}" name="Claims Joshua"/>
    <customWorkbookView activeSheetId="0" maximized="1" windowHeight="0" windowWidth="0" guid="{EBB80049-9934-464F-84B6-263D1BC61872}" name="Claims Myers"/>
    <customWorkbookView activeSheetId="0" maximized="1" windowHeight="0" windowWidth="0" guid="{E0F69DA0-C35C-4BB8-95CD-F38F9CD56241}" name="JP SPOL pending "/>
    <customWorkbookView activeSheetId="0" maximized="1" windowHeight="0" windowWidth="0" guid="{994C77D9-4446-473A-8277-81FAA451F0D7}" name="STATUS CLAIMS"/>
    <customWorkbookView activeSheetId="0" maximized="1" windowHeight="0" windowWidth="0" guid="{A1D1153C-A60F-4BB0-80D1-40DDDD616FFD}" name="to send JP"/>
    <customWorkbookView activeSheetId="0" maximized="1" windowHeight="0" windowWidth="0" guid="{DC44FE2D-084A-450B-A2D9-235C2558DA26}" name="Claims Juan"/>
    <customWorkbookView activeSheetId="0" maximized="1" windowHeight="0" windowWidth="0" guid="{4F0F4236-320B-4EBF-97FF-E94023CA7E64}" name="APPRAISALS / SCHEDULING"/>
    <customWorkbookView activeSheetId="0" maximized="1" windowHeight="0" windowWidth="0" guid="{C8AFDC13-3DB5-48B5-B700-ECAD233C33B6}" name="Claims Angie"/>
    <customWorkbookView activeSheetId="0" maximized="1" windowHeight="0" windowWidth="0" guid="{7197E1B3-296B-453E-B7CD-CB556D7CE3FE}" name="MEDIATION / APPRAISAL"/>
    <customWorkbookView activeSheetId="0" maximized="1" windowHeight="0" windowWidth="0" guid="{A1802C65-0F66-458C-A7D3-0C2651C83FB5}" name="policy"/>
    <customWorkbookView activeSheetId="0" maximized="1" windowHeight="0" windowWidth="0" guid="{CF812BF3-040C-4799-9F74-AC744F8F922E}" name="status - pending"/>
  </customWorkbookViews>
  <pivotCaches>
    <pivotCache cacheId="0"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tc={005522d4-7fc2-4459-a7cb-fddd14c6be76}</author>
    <author>tc={00691b5f-0c53-4715-9b9a-c2253fb833ac}</author>
    <author>tc={007adfd0-e976-4c90-9fd1-157b60d44b0c}</author>
    <author>tc={00838642-248f-4adb-b752-f799d20d59d5}</author>
    <author>tc={00c61a6d-8fa1-417a-8e12-18c531ece4bb}</author>
    <author>tc={00d0469f-6195-4de8-b7fd-9c4442d5c2fa}</author>
    <author>tc={00f60ad5-49a6-4227-9b0c-84f939160840}</author>
    <author>tc={010e726f-dd36-4bfd-ad7b-b340f7a3b75d}</author>
    <author>tc={011886ad-2346-4459-b338-227b430f26dc}</author>
    <author>tc={01203e7a-ca9f-446d-9586-da01eefb3381}</author>
    <author>tc={01241b19-de6c-487c-926c-ede892197b93}</author>
    <author>tc={01283df4-eb86-476b-8a4e-914a18476615}</author>
    <author>tc={016c541d-8835-41a6-a66a-c5ede1cc2a42}</author>
    <author>tc={019bfbbd-7838-4b0b-869d-673d460e7065}</author>
    <author>tc={019ef35f-539c-40fd-a2df-0c1e5be19bd7}</author>
    <author>tc={01a5c0b6-eb91-4641-adf7-830777ff720a}</author>
    <author>tc={01ade180-6da7-4fef-a01f-af3e7ae34c87}</author>
    <author>tc={01f5ca3b-e148-44c3-b60d-85a27355609f}</author>
    <author>tc={020c1436-925f-415b-a8c6-ee167c2eed58}</author>
    <author>tc={0248a819-577f-4e71-a351-87be6a1b2de1}</author>
    <author>tc={026f798f-2c0d-4272-a892-46ef5dec096f}</author>
    <author>tc={028096c9-29ef-45f5-b652-479cfad43035}</author>
    <author>tc={0281941e-31e5-463b-a187-1139ce1e798a}</author>
    <author>tc={02b9c69e-6925-45b5-ac50-7f6b3432ec03}</author>
    <author>tc={02bfca19-48a2-4645-a83f-f2cb4a3a7a90}</author>
    <author>tc={02c0c1ab-f422-45a5-9cf2-9a05cdbff560}</author>
    <author>tc={02ccbc5a-6cd5-43d2-abce-abe58b4394fe}</author>
    <author>tc={02da285f-ff4a-4f55-b274-75097ef210a6}</author>
    <author>tc={03046f5b-3844-4e10-a2a7-95a9ab4e9bde}</author>
    <author>tc={0324061d-389e-4767-85a1-146c128f4113}</author>
    <author>tc={033275dd-72db-4f0b-8096-6565f523c0d0}</author>
    <author>tc={03327cb6-a6f7-457c-841a-1400d1c02c94}</author>
    <author>tc={0332d32d-085b-4dab-bc82-78306534d497}</author>
    <author>tc={0343f330-6b8a-4e78-9f5c-030d84db2d6e}</author>
    <author>tc={03478090-3816-4d3f-864b-04c334a232d9}</author>
    <author>tc={03a6bc18-5bc3-4b9a-8f0c-26e1bea1bce7}</author>
    <author>tc={03ab18b4-78fd-4741-b37a-002a486e8683}</author>
    <author>tc={03b8373e-184d-4f21-8f5b-fb1693e68711}</author>
    <author>tc={03bed58c-7299-4b33-83ad-5189ac8f1890}</author>
    <author>tc={03da153f-121f-4f61-998b-ca35a0ddd309}</author>
    <author>tc={03f054a9-f9cd-4ce1-b856-7481570f0c17}</author>
    <author>tc={04125466-4c0d-414f-b97d-8c3e04c43477}</author>
    <author>tc={0432fa59-4d06-47e8-bf4c-25830f49b631}</author>
    <author>tc={04780dd9-a098-452f-a4a0-b5c5a32e06b6}</author>
    <author>tc={04d9c946-380e-4f69-8ef1-127a3428bdcd}</author>
    <author>tc={04f04e4f-36ea-4c39-a4a9-5fbe7ba61903}</author>
    <author>tc={0518e078-249c-4b09-99ae-7302c9b96c0d}</author>
    <author>tc={057bbd92-395d-47a5-b3d3-26c122d0e612}</author>
    <author>tc={05859b4a-d59f-48ae-8c17-e20b883bb47e}</author>
    <author>tc={05aa8dfb-7c2f-4c4d-bad0-e879df2203c3}</author>
    <author>tc={06061c52-b94b-4172-9151-7aeba8fa2b8d}</author>
    <author>tc={064b16d4-d9dd-4f08-b619-f095a7485321}</author>
    <author>tc={064ed4ed-6ee1-4590-8977-527c7722262c}</author>
    <author>tc={065790a7-dbe7-40ed-985e-b440ebf0bddd}</author>
    <author>tc={06a8cfa9-c0ce-40d5-a465-30a3d1d0a580}</author>
    <author>tc={073a80d1-3b6d-47ce-bf32-06119f0cf895}</author>
    <author>tc={078f112a-c396-4337-bcdc-af88af15e7e8}</author>
    <author>tc={07b43702-c730-4dd1-a1bf-ea3fff8123eb}</author>
    <author>tc={07d7aaeb-67f8-4763-8290-4c75fdc40c62}</author>
    <author>tc={083b1a31-ed9f-4e66-b5d3-d93dff82ecbe}</author>
    <author>tc={083cb64d-cabf-4be8-80e1-3af6115c6d2d}</author>
    <author>tc={08437a0f-4514-426b-9068-ad0c72da36f3}</author>
    <author>tc={0876aec7-1d2b-4285-9f1f-58cc4b237318}</author>
    <author>tc={08bfaee4-34f6-4743-8a01-92508030fc1b}</author>
    <author>tc={08d6a491-01f4-4593-b2a6-862a524d922d}</author>
    <author>tc={0906ef66-2a98-4400-bfba-d6d048bc0649}</author>
    <author>tc={090fea7f-da66-4cb8-a659-eeb81802ad65}</author>
    <author>tc={092484b0-1609-4bbe-9983-46403a9ed3e8}</author>
    <author>tc={093663f2-b37f-4fb0-b8af-abfa2db9d5fb}</author>
    <author>tc={0961c6c4-346d-4c2f-a0bb-1653ef3b45e7}</author>
    <author>tc={09762d7b-a52a-4e07-9e55-8821a287b0c8}</author>
    <author>tc={097bd483-f59e-435e-81e6-e1f095d11b93}</author>
    <author>tc={0983661b-0beb-49cc-a44c-b59639bdd7bc}</author>
    <author>tc={09aff18a-be97-4f64-9632-8c759b6e6d2c}</author>
    <author>tc={09e3768b-efce-41db-bf5f-d2f37a552e4c}</author>
    <author>tc={09e389aa-c3f2-4d50-8979-110966b6e10a}</author>
    <author>tc={09f4de84-fb5d-49b1-9ca6-9af4e445d24a}</author>
    <author>tc={09f4f7ad-a79c-40d0-b15a-2b6326563aa0}</author>
    <author>tc={09fe886f-09b0-446b-b3ea-667e1b4267d9}</author>
    <author>tc={09fe9982-e852-4d81-8bdf-cbc1a67d4c41}</author>
    <author>tc={0a1fc043-eeda-4b94-aad2-0f80bd5a5194}</author>
    <author>tc={0a63d541-4a43-4ed6-9488-9b790a91b5d7}</author>
    <author>tc={0a6a9958-7011-4b5d-80d7-f4c5edfdc64a}</author>
    <author>tc={0aa15cb3-5cbc-41b7-9671-c3bae0dcf251}</author>
    <author>tc={0ab4d6af-e2da-4945-b252-7ef07385a22e}</author>
    <author>tc={0ac1ec16-55f2-4b07-9d1b-0a9d894f9ae4}</author>
    <author>tc={0b033763-b7dc-43cd-820b-cada1008b811}</author>
    <author>tc={0b4d15f0-deff-4515-a5f2-a9943c8a97a0}</author>
    <author>tc={0b83300c-5c0c-4c35-989e-dd8f516a65bd}</author>
    <author>tc={0ba4286c-a277-41b6-8a51-641011c66c6e}</author>
    <author>tc={0bba72dd-ea6c-4040-94af-fb4d4bc35636}</author>
    <author>tc={0be1523d-41cc-4221-a5d9-0e8d27c67c9a}</author>
    <author>tc={0c0b52fb-4c58-4a4d-8eb5-be7cdda9dda3}</author>
    <author>tc={0c20bfc3-0073-4eba-bc6f-6f68cfe86387}</author>
    <author>tc={0c287a85-f996-4ba2-b700-59cacd6ea70d}</author>
    <author>tc={0c461b61-80ef-42c4-9bbb-b0720c080c58}</author>
    <author>tc={0c93dcb3-c5be-4757-8387-084b084b4c61}</author>
    <author>tc={0c96329f-0818-4cb5-8369-e488f78e3d50}</author>
    <author>tc={0ce2c5be-55de-4065-950e-63cd625d4e4d}</author>
    <author>tc={0d018a23-6167-4f0c-bb2d-07af97c8c5b3}</author>
    <author>tc={0d0a3a29-d91d-44ab-9262-2bc7a6eba04d}</author>
    <author>tc={0d209226-f8a4-428c-8834-ef54acd300d3}</author>
    <author>tc={0d238948-0561-4250-8ae8-419f25fe7c12}</author>
    <author>tc={0d25fb88-6fd5-4d16-832c-a6c57b321d02}</author>
    <author>tc={0d5b1499-530d-42e0-9e0b-7442344fcf01}</author>
    <author>tc={0d9dd926-9d23-45ab-8ed5-39909aef1c1f}</author>
    <author>tc={0da31890-0b98-4115-9d14-d955713fbf2b}</author>
    <author>tc={0db1d3ac-ee25-4733-a743-3307ff339330}</author>
    <author>tc={0db94bcf-6884-4da7-83ab-6554cb1cecfb}</author>
    <author>tc={0dbe8d6c-54aa-44fa-91ce-8a148f4de33c}</author>
    <author>tc={0dc15857-bbf6-4fed-8459-f7f0d0520569}</author>
    <author>tc={0dc9adfc-67a1-4eba-8442-6654b890d881}</author>
    <author>tc={0de53bab-02ac-4b4e-aca2-5ecba4766344}</author>
    <author>tc={0e003c9e-f998-4b01-82ec-6f542938f416}</author>
    <author>tc={0e392fe5-a554-4113-bfef-eb00b4865b5f}</author>
    <author>tc={0e83b614-a1cc-42fc-8c0d-86356438d139}</author>
    <author>tc={0e9ec5c7-eb2f-4edb-8497-e1fc14505c4c}</author>
    <author>tc={0eb1899a-afef-4c52-9020-829dde4c082f}</author>
    <author>tc={0ebb757c-aff8-4190-8081-df926115cfbc}</author>
    <author>tc={0f0ceb39-fce9-4d5e-84a6-03f978085ccc}</author>
    <author>tc={0f8453b8-989d-4fc0-8dc6-cc28512b6637}</author>
    <author>tc={0f97371b-78cb-419b-a4f3-b77b55ea1883}</author>
    <author>tc={0fe0e3db-2dca-418d-a3bf-7cdafa86605c}</author>
    <author>tc={0ff5e253-9370-4c4e-bcc5-92cca1c33d3a}</author>
    <author>tc={101f8d38-34c2-4f57-87a1-f2e70a7fc60e}</author>
    <author>tc={108e50b8-8ff6-4885-bee0-5f74cf900edf}</author>
    <author>tc={109974bf-bc48-4b78-b4d8-f6cafb6c099b}</author>
    <author>tc={10c9d741-a12d-41af-a4a9-2af53921826d}</author>
    <author>tc={115bcaf4-cbea-420d-81c8-066602cb0a21}</author>
    <author>tc={11814deb-762e-4caf-98a3-bcd0471e26d4}</author>
    <author>tc={1188f71c-c5ac-4e7e-9b38-12309a3ae236}</author>
    <author>tc={119d4170-47c3-48ed-9362-da9dcdbda01b}</author>
    <author>tc={11a46f84-56b5-43b4-b4b3-c6b4928d378b}</author>
    <author>tc={11d3148f-285e-4eb0-8274-e75f5dc478c5}</author>
    <author>tc={11d338b5-d3d0-4ce2-8704-7c32eca77cd5}</author>
    <author>tc={124c231f-f4cc-44b1-a93b-993d5c0bbfba}</author>
    <author>tc={126f51b8-569b-4283-8f98-430ef9f4f5c8}</author>
    <author>tc={12a42ae6-ad83-42c9-b109-19ff0eda4957}</author>
    <author>tc={12ae92f7-b6d5-41c7-a57c-bc065599294f}</author>
    <author>tc={12b6cdb2-6b8d-4301-8f83-d08b4b51dc4a}</author>
    <author>tc={12f24b02-0d83-47af-8207-0bcc1ad88d0b}</author>
    <author>tc={12f2924d-7cc6-49e0-8069-459869b74b9f}</author>
    <author>tc={12fb1439-56f4-4ba0-a4c0-2eb8fa1ccb9b}</author>
    <author>tc={1398c5f0-77a5-4f1c-a60d-ee3bc0260d20}</author>
    <author>tc={13cf970e-fbd9-4eeb-83a3-873f09114958}</author>
    <author>tc={140edb9a-53cc-420a-9cc1-bdde5ea05c31}</author>
    <author>tc={143953b7-9783-4d34-9622-0d688ae71373}</author>
    <author>tc={143e3f88-5910-4024-b7d4-faeb2883b666}</author>
    <author>tc={145b9ca6-91db-48e7-ba00-a7375f3e6c3b}</author>
    <author>tc={1462f5d4-9866-43f9-80a1-c6f98460441b}</author>
    <author>tc={1473ecbc-09ec-451a-a13e-588f668b64d0}</author>
    <author>tc={14764118-d2e3-4186-9dc6-30fcf6a5a635}</author>
    <author>tc={147bedf9-fb72-4e06-9dd1-2cc354c620fd}</author>
    <author>tc={14932756-f4db-45a2-8241-03f576a5835f}</author>
    <author>tc={14a833b5-8c4b-409f-9b05-61d5ab3882d9}</author>
    <author>tc={14b2248e-8daa-4eb8-a417-7661e7ff8802}</author>
    <author>tc={14b2af20-390f-4407-999a-ee22be193136}</author>
    <author>tc={14bb4eb7-cc08-4520-89b7-edf754d638f5}</author>
    <author>tc={14dc71bb-f8e4-468c-808d-8ce440d857ff}</author>
    <author>tc={151698ec-6ea1-4c96-9eb2-94757f1b666b}</author>
    <author>tc={152430d2-286e-4a2d-82ad-0ba1c1a82dc4}</author>
    <author>tc={153d5731-1fcf-4126-8c1c-0fd2b542c2a1}</author>
    <author>tc={1544d7a1-d0c4-4ee6-a169-8c34521e07e1}</author>
    <author>tc={158777a1-dddd-4f05-80fd-aed058154032}</author>
    <author>tc={15a47b9f-db67-45ca-aa35-7ddf71b3203b}</author>
    <author>tc={15ac3cdd-49e7-4362-b4a3-145e2fcd4c87}</author>
    <author>tc={15b1c0c4-869c-4545-b477-f8b5791d4f44}</author>
    <author>tc={15e868dd-d803-4e03-9d4a-4539efc64817}</author>
    <author>tc={16479c50-1e1a-4f9c-9258-147091ec0069}</author>
    <author>tc={16bfec47-10e3-44eb-9014-fe66616c629e}</author>
    <author>tc={16cc5493-21d3-4546-81d8-fa5cb8cde699}</author>
    <author>tc={16d6b865-7e09-4cf8-98cc-18afd2383438}</author>
    <author>tc={16f488d1-1ca4-4ce5-934a-5a3e694077a1}</author>
    <author>tc={170b5f6b-df5d-4200-a7bd-1838a3f43732}</author>
    <author>tc={170de5af-9552-42ab-8573-a4769356949b}</author>
    <author>tc={170eda9a-cacd-4d66-bbd9-a3e39962c570}</author>
    <author>tc={173b9998-3e00-484e-9d3e-5bad54c329f3}</author>
    <author>tc={174a5476-9fe3-4f09-a77e-5154e5a4a6a9}</author>
    <author>tc={17567063-2dd9-4d32-ae71-0c24da410864}</author>
    <author>tc={178082f6-e907-4088-af06-d6aa3174ac99}</author>
    <author>tc={17967e6c-48c4-46f3-91da-791a3fc1ddbf}</author>
    <author>tc={17ad0dc2-50be-40d8-832e-7a01da78f8af}</author>
    <author>tc={17d673a7-3a48-4c2c-88c9-a9a95769b819}</author>
    <author>tc={17daa247-bd12-4689-9c02-1b44dd6dd493}</author>
    <author>tc={17f4c8e7-299e-4fa8-adf8-4fd20dedc8a7}</author>
    <author>tc={18124d9b-d3f9-4193-b916-9b3cee143c1f}</author>
    <author>tc={183ed5e4-4535-4565-86d8-6c170bd9393f}</author>
    <author>tc={184d007a-d471-4de0-bd74-101ee1d94f80}</author>
    <author>tc={1869e2c8-8ddd-44b5-b803-75960583c3e3}</author>
    <author>tc={186f4479-383f-43f7-8b18-3612610b4963}</author>
    <author>tc={18928104-ef57-4bd0-a54d-b71f38b9cbc2}</author>
    <author>tc={189e8ff9-39c1-4fc3-b6d0-aab2bb4f5b47}</author>
    <author>tc={18ab81ab-e042-4347-9492-6d0a3d7eeb6c}</author>
    <author>tc={18d35678-525a-4ace-a868-65d31e360934}</author>
    <author>tc={18dc02be-0516-4f88-ab17-5bfdf57131c1}</author>
    <author>tc={18e4ab3b-7d2d-4c9b-ab5f-661aa3906838}</author>
    <author>tc={18e59285-79c3-4673-804d-d9c7be44a92c}</author>
    <author>tc={18f797cc-3f0f-40ed-9ab4-1c15de90e687}</author>
    <author>tc={196f55a6-9c50-4462-8fcc-cc05beeadf47}</author>
    <author>tc={1972fa03-1a4a-4a29-9449-366f48b08e21}</author>
    <author>tc={197d33b5-e95f-4209-a693-f41eb849d78e}</author>
    <author>tc={197e65f2-6243-45d6-a6b7-1687e24acc75}</author>
    <author>tc={19aa7887-a4eb-4c82-a2a0-5cebf08577e7}</author>
    <author>tc={19e16260-18db-48e0-9f89-06a857b77163}</author>
    <author>tc={19fa0275-b989-4e58-a103-7054a1397c27}</author>
    <author>tc={19ff0378-07dc-4352-b722-eb5c54ee9f71}</author>
    <author>tc={19ff0df8-132f-44cd-8931-8f0b92ecef1e}</author>
    <author>tc={1a03f920-1fd1-4dde-b213-04f2df372f59}</author>
    <author>tc={1a1063c7-42fc-44e7-95b3-944d2399abc3}</author>
    <author>tc={1a435d55-e5b3-4c5a-981b-120b31ae6659}</author>
    <author>tc={1a8b3337-6ed7-4625-9bbc-af2e26336efd}</author>
    <author>tc={1a8c7838-1435-4cf9-9259-9b227fabd20b}</author>
    <author>tc={1aa1f32c-50b3-40b6-be55-06722cdd24cc}</author>
    <author>tc={1aaf19bc-5790-468b-bb17-2daeafe0a02d}</author>
    <author>tc={1ac5c1bc-786f-43d7-856d-b2d71bb0d1e4}</author>
    <author>tc={1ae65e2e-9292-4277-93f2-dba3d414e7fe}</author>
    <author>tc={1b0a10d2-fee3-42e3-8b29-f0a45c86671c}</author>
    <author>tc={1b0f1c9e-5185-4ae3-994b-1348a427a4e8}</author>
    <author>tc={1b16d0dc-ea92-41f7-a61d-d1e1f12e9fa0}</author>
    <author>tc={1b777a3f-2a60-4f9a-94c4-259199d9ece9}</author>
    <author>tc={1b9ebc76-11aa-47e4-a9c0-e09bae20a78e}</author>
    <author>tc={1bbd3553-0e17-47f8-bda7-47caf4ff3681}</author>
    <author>tc={1bcd38e9-822c-4f04-992c-2f5f96d9a418}</author>
    <author>tc={1bcdcbb6-fa1d-4394-b553-31d14778b91f}</author>
    <author>tc={1bcf7167-ed88-477c-b418-00dfd8f7f111}</author>
    <author>tc={1c131c69-7bc9-408f-988f-0cfd20f30785}</author>
    <author>tc={1c1f894d-57e2-4ca6-b936-d768fdf59a3d}</author>
    <author>tc={1c36ab4b-7036-42ca-b53e-02922971a441}</author>
    <author>tc={1ca0f777-c662-4a49-b45e-38764ff579c9}</author>
    <author>tc={1caf4d71-989a-4a17-80df-e9e810d311c9}</author>
    <author>tc={1cb3e70e-6395-4027-9d88-2bceafd1f44f}</author>
    <author>tc={1d12468b-05dd-4158-92a8-6fd6a339906d}</author>
    <author>tc={1d2c498f-a2e2-4b7f-9312-b099aea84dbe}</author>
    <author>tc={1d6347c3-941f-4438-83a1-c28ac48985e6}</author>
    <author>tc={1d642280-df95-4fa9-b84a-7783c078f50e}</author>
    <author>tc={1d9f88ce-54ca-440d-b17c-78b7c7ef0ace}</author>
    <author>tc={1daf8d58-060b-4db2-93c8-5373617c4c22}</author>
    <author>tc={1dbcec04-2373-44c4-98b7-ab78da99e60f}</author>
    <author>tc={1dc6a07e-3319-4334-b07f-02b6890bd85d}</author>
    <author>tc={1dd549e3-27ee-4a26-a9a6-688e61f0f9b3}</author>
    <author>tc={1de548d9-b414-4d47-9fef-2bcc4281c1b0}</author>
    <author>tc={1e11ec60-b8b3-478d-beb4-a5b98e447e30}</author>
    <author>tc={1e837079-50f6-4ffc-9ad4-7a17ee65638f}</author>
    <author>tc={1ea361f9-9205-4b75-9c0e-29162f0b3d44}</author>
    <author>tc={1eabb879-3cb9-48af-adf5-29530f67689b}</author>
    <author>tc={1eb0ebfd-d2e9-4ad4-ad45-69e469203e1f}</author>
    <author>tc={1eb49dfe-634b-469f-9855-33c8435544f7}</author>
    <author>tc={1ebfa6d9-09ec-4db1-98bc-4c1775d04a6a}</author>
    <author>tc={1ef95265-4598-4f11-a42b-99af49a397f2}</author>
    <author>tc={1f1ccbfa-b620-4473-8e43-ed9713b9ddef}</author>
    <author>tc={1f92b5e0-772f-440c-864e-520887d60e17}</author>
    <author>tc={1f947f52-b5a4-4e46-888e-7fb0b4b1d464}</author>
    <author>tc={1fa1224a-0502-477a-bd09-65d9517591b1}</author>
    <author>tc={1fac6b1b-7269-48d5-a41d-0dec9900cb4f}</author>
    <author>tc={1fd9ec5d-bba1-4a6b-a9f6-f42458827a65}</author>
    <author>tc={201f1a61-dcdc-4618-b509-6aed78888a71}</author>
    <author>tc={202331fe-d54b-45ce-9fe7-d5d34b9374c6}</author>
    <author>tc={2056b5b4-16b6-4ecd-8e7f-30fc7c947567}</author>
    <author>tc={20e48460-4f56-4df3-b443-f76497f18edf}</author>
    <author>tc={210a10ee-d697-4d8c-8f56-5903e262c672}</author>
    <author>tc={210fd527-dda0-48db-afb0-d5c9e44e68f3}</author>
    <author>tc={21135158-6fcb-45ea-b7e2-45577fc41431}</author>
    <author>tc={2125493d-70b3-44a3-92c6-1965ea328d03}</author>
    <author>tc={213dafc5-4ead-43d3-b147-36f7130ec369}</author>
    <author>tc={213f7f65-499b-4cc1-81af-ae77fcc8b9c3}</author>
    <author>tc={215ca3ce-677e-4675-838b-917e8bc9e715}</author>
    <author>tc={216fcfb8-4ab4-42a6-90bb-2407553e073d}</author>
    <author>tc={21b0c0db-7bec-48a1-88f7-30c66a582841}</author>
    <author>tc={21cb0a52-aec0-4a63-b13d-3ebb3a7349aa}</author>
    <author>tc={21de2d7d-5b78-452c-b156-e93b7ea95f8b}</author>
    <author>tc={22137ddb-7cab-42a7-94ba-a12c4d383a15}</author>
    <author>tc={22347d22-17be-4cab-8ac4-f29eec81eec6}</author>
    <author>tc={22384235-3ed5-493f-a782-5e7b2afed457}</author>
    <author>tc={2251a0fd-72f7-41e5-aed8-e37c3154a887}</author>
    <author>tc={226e9759-3876-45bf-8dd0-8d2ce1ae92be}</author>
    <author>tc={22955888-8d88-4c70-9c7d-ba26919a1ad2}</author>
    <author>tc={22b51f86-0cec-4afa-abf6-5048b6cb4595}</author>
    <author>tc={22fe971d-1982-4cf1-a3ea-9e72ba1e93ba}</author>
    <author>tc={2300c727-86b8-4a54-9446-d69dffb94769}</author>
    <author>tc={2309e8fc-16e3-4f55-9e87-e465b65a1c51}</author>
    <author>tc={230c8647-fca5-45c5-a04e-98ccf46d680d}</author>
    <author>tc={23105361-b868-46bd-ad1b-0f61e432d86e}</author>
    <author>tc={232bb0b7-03b6-4d99-808a-3092bd7adac3}</author>
    <author>tc={232bd52c-72db-4b54-82f4-d73e22eadbc9}</author>
    <author>tc={232bee27-19d7-4acd-b09f-ed6215de7fce}</author>
    <author>tc={232feccf-b3b1-45b3-8ac5-6aae695d28cf}</author>
    <author>tc={23bf3409-f37d-46f1-a8b3-f3d1f9039732}</author>
    <author>tc={23c6d023-0b9c-47ea-a504-d2b6bd49923e}</author>
    <author>tc={23cd3833-ab22-4f7c-b29d-b0c2e12d78ac}</author>
    <author>tc={24268bba-25b6-4c96-ab99-7ee1fb8dfdc5}</author>
    <author>tc={24434d38-66ab-4968-916e-d7cec7410820}</author>
    <author>tc={24719d80-faba-4d98-8290-3b791853f28d}</author>
    <author>tc={2472ccda-ec17-4eeb-b4d5-aec58e5df7ff}</author>
    <author>tc={249c89fa-2cdd-49dd-943c-c1b9ce1ddb3e}</author>
    <author>tc={24a167b3-8adc-4fd3-a43c-983f5fd80f34}</author>
    <author>tc={24d84bb2-efa2-4d0b-8019-31176777689b}</author>
    <author>tc={24fc1000-1144-454f-9cdc-cb1a0841ab3d}</author>
    <author>tc={24fc1bf0-2cb4-4de7-a93a-3ed43a475b59}</author>
    <author>tc={253c8fe2-6bc6-46a9-82de-ad97d8a338aa}</author>
    <author>tc={258cee47-2077-4b15-ae41-5cdef31cd94a}</author>
    <author>tc={25bb7934-9944-42cd-81a1-d18e248de3fe}</author>
    <author>tc={25bf2f0a-6c0f-4132-a168-bdf82183118f}</author>
    <author>tc={25bfc588-c879-4630-973a-07471621de50}</author>
    <author>tc={25dcc6ff-d28d-4036-a3cf-926063286cff}</author>
    <author>tc={25fb350a-4a70-45cc-834e-ef8c86f5f241}</author>
    <author>tc={2633424b-f1e3-48d2-a910-5ae6666eda56}</author>
    <author>tc={2649ef28-b2b2-4087-babc-36794c337280}</author>
    <author>tc={2676c43d-b2b1-46e8-ba96-6fb2868d6047}</author>
    <author>tc={269cecc7-12f9-4055-9ac4-a1ba48560ff5}</author>
    <author>tc={26b4f13c-3bd5-46ef-93be-0e42d17c213c}</author>
    <author>tc={26e490eb-16bd-4607-adde-c93e80780725}</author>
    <author>tc={26e6fae6-940e-4c22-8c0b-4170b2b751af}</author>
    <author>tc={26f21350-a81b-4610-af0d-a77ce41584f4}</author>
    <author>tc={2702d418-8742-4785-b8be-dfca5e83eaf3}</author>
    <author>tc={271dcd87-67c3-453b-9ea6-f4159724cc61}</author>
    <author>tc={27202a02-9e03-468c-b64e-ed8a19d349f8}</author>
    <author>tc={27397e80-22eb-40cf-a12a-94f786c20264}</author>
    <author>tc={27810793-f9a1-41e1-803f-2132e629d3d6}</author>
    <author>tc={2786cdbc-d86a-49ef-b863-fd86393032bd}</author>
    <author>tc={27ac8022-bbb5-44c6-a1af-cf5f245b302d}</author>
    <author>tc={27adeda2-2637-4d52-acf3-6cdd3e060157}</author>
    <author>tc={27cafcd7-51d5-4414-a9e5-d3ec4905d844}</author>
    <author>tc={27d0e5b5-c0fc-486f-a951-4e618feaa200}</author>
    <author>tc={27d1040d-4f66-44d4-b789-32a448d5135c}</author>
    <author>tc={27f6ade0-d0f1-4182-820a-d5a6a77cd94f}</author>
    <author>tc={281169b4-1cf7-4527-9961-0bf3c59d2179}</author>
    <author>tc={282ee0d8-2859-4783-a851-5f0f7d796c0e}</author>
    <author>tc={283a65fa-fe1d-4e73-b4e3-c79c526f688f}</author>
    <author>tc={2846d8df-200a-44eb-917a-82cae6a987b2}</author>
    <author>tc={28535cb0-1ffc-404c-b944-af14bb2e4235}</author>
    <author>tc={289ebafd-e703-4710-9b2e-2e575a4b5ada}</author>
    <author>tc={28b43e05-9b15-4818-9e43-ccf286064e6a}</author>
    <author>tc={290abaf7-06ae-4f64-b849-d28d5a694dc7}</author>
    <author>tc={290f441d-0934-4ac6-9d6a-23ddce6805bc}</author>
    <author>tc={2986046e-bf75-4873-bbf4-96947e274b80}</author>
    <author>tc={299f365d-c8ea-465b-9d8f-eaf062302ddb}</author>
    <author>tc={2a01abdb-5625-4c0b-99d2-167e5ae5e556}</author>
    <author>tc={2a0f6fec-0dca-4323-ae4c-857691a5626d}</author>
    <author>tc={2a618f2e-62ec-4ac1-8ea6-0a08bc763212}</author>
    <author>tc={2a6c1583-12aa-4445-998f-236e2b76909b}</author>
    <author>tc={2a7911d8-b7cd-4f30-b888-1bdf4f9baedf}</author>
    <author>tc={2a838475-7f73-47c5-b767-fa53180d3a13}</author>
    <author>tc={2a841f66-105f-466f-b360-7a0841f2419c}</author>
    <author>tc={2a8bdec6-c034-459f-aa54-85efebe10202}</author>
    <author>tc={2ae4a825-d41b-4361-929d-87351bca4c38}</author>
    <author>tc={2b03319f-2fc9-44cf-a26e-1ca8d02bf805}</author>
    <author>tc={2b47272b-635f-4fb5-bd00-474efe0df415}</author>
    <author>tc={2b569617-20b8-4b34-b8e8-9290bf3dadae}</author>
    <author>tc={2b6bea3d-039f-48b8-ac59-24c2c72fa365}</author>
    <author>tc={2b6eb08d-2ecf-4915-bcc6-dc46532716c6}</author>
    <author>tc={2b78e492-5eee-418e-b1d2-bb319c7b6e51}</author>
    <author>tc={2b7a82d5-a04c-4714-8f14-dd0db4c96165}</author>
    <author>tc={2be967ae-b142-4921-bc44-f96d4e001601}</author>
    <author>tc={2beb698a-9269-4777-aae6-8008f3cf1c52}</author>
    <author>tc={2c15f487-0098-4fd0-a455-869e14b1e518}</author>
    <author>tc={2c3db686-d235-49ad-a1bc-0c66a51c4bc7}</author>
    <author>tc={2c589d6d-91bc-42ca-8eb8-b0617d6f809d}</author>
    <author>tc={2c5ca035-6f42-48b5-88eb-ba5c3682fb8b}</author>
    <author>tc={2c703b1d-fa74-40e5-b74e-e46f19a0c517}</author>
    <author>tc={2cd7439d-8b9a-4958-bce9-605247718814}</author>
    <author>tc={2d120ebc-3261-4b45-9993-918813c795da}</author>
    <author>tc={2d3c01cc-7c6a-4143-aeea-c33c68da08e9}</author>
    <author>tc={2d63eed2-e545-4452-a6d0-c8e1ed84f18b}</author>
    <author>tc={2da023aa-6c09-4440-81fd-a3429adef04a}</author>
    <author>tc={2da3dd6f-0651-4c33-aac8-385a48625e17}</author>
    <author>tc={2da55d2f-ea27-48a4-913d-afc11316d154}</author>
    <author>tc={2db96d3b-c87e-49c8-8cee-6c37771e64ef}</author>
    <author>tc={2dd0eba5-68b3-4b80-b2ea-cfcd9ece17e2}</author>
    <author>tc={2dd8fa11-a658-4e82-ae01-eddc19a3e965}</author>
    <author>tc={2de82c9d-6927-4526-bc56-fcc853e467f8}</author>
    <author>tc={2e17033f-37a3-40df-b497-0d0156734915}</author>
    <author>tc={2e1daa21-c443-40c3-b29d-fefe2385a3cb}</author>
    <author>tc={2e3d92a4-fbb7-4976-bf65-15e57c3fde5e}</author>
    <author>tc={2e56a61d-ba4a-495d-81a0-39f3f0e9c49e}</author>
    <author>tc={2e585728-4f53-4494-8b1a-cf1baffff465}</author>
    <author>tc={2e615b43-9afe-447d-b097-b2729b61da30}</author>
    <author>tc={2eb4d52d-d6c9-49ee-a329-c0952e7e6d0b}</author>
    <author>tc={2ecd9246-e1d1-43b5-9a97-446c98cf224b}</author>
    <author>tc={2ed798d5-efb5-4b71-8ce2-0079604f3854}</author>
    <author>tc={2ee32e68-5567-49eb-a0e9-1dc53504096f}</author>
    <author>tc={2efefac9-0e22-459b-90be-8c9768dd34d8}</author>
    <author>tc={2f0ca243-765e-41a2-bc8f-069474ae24f3}</author>
    <author>tc={2f13c242-4ac5-43e0-aafb-29150af274ec}</author>
    <author>tc={2fa642f3-185d-4e7f-b0db-7345857f3e4a}</author>
    <author>tc={2fd51c23-e9c5-469d-9db2-30cfc9e00af8}</author>
    <author>tc={2fe24fde-7664-458b-aa51-6a0180fdef79}</author>
    <author>tc={2fe54859-cf6b-410f-b319-38ddee5eac92}</author>
    <author>tc={2feeaa62-9681-4dfc-97fc-5aec3d849432}</author>
    <author>tc={300cbc9d-0812-42a2-89e6-c68068b0a83f}</author>
    <author>tc={300f2f92-b845-41f7-8626-1533bdab8c91}</author>
    <author>tc={300f78b8-cc84-4ae3-8cfc-6dad7446d71a}</author>
    <author>tc={302ed177-3b3f-48e9-860b-8b6c3db7372b}</author>
    <author>tc={303082ad-53f5-434f-b5c8-4a56138c868e}</author>
    <author>tc={30451e38-c51b-4a27-a7c9-ef9bbdec2fbf}</author>
    <author>tc={304cd9c4-c7e1-4ddc-ad91-569f97452e2d}</author>
    <author>tc={305ae05a-41ac-4436-abbf-2fe2fc171d8f}</author>
    <author>tc={306a51e1-1816-4305-8289-a7e82f41a02a}</author>
    <author>tc={306c5384-a14d-466b-bd91-8f62d09bd67b}</author>
    <author>tc={30e4ed53-3149-44f5-b5ec-29147d0cbcc4}</author>
    <author>tc={30eedbdb-40eb-4182-9507-2b008ad581f6}</author>
    <author>tc={3100c7d4-adb7-4b51-9ded-a3a167043086}</author>
    <author>tc={3126c563-b6f8-473c-bc30-da4c4f845f26}</author>
    <author>tc={3156ad51-5963-4d81-8bd8-e765fe588963}</author>
    <author>tc={3164bede-8b34-4229-9009-93ee578bc116}</author>
    <author>tc={3173dbcc-db69-4320-b8bc-64232bbd7406}</author>
    <author>tc={31755e21-fa1b-47df-8060-0f50063145dc}</author>
    <author>tc={3184e253-28fb-479b-aff9-b0a664c50c9b}</author>
    <author>tc={31be2046-21e2-46d3-b048-6529b217442b}</author>
    <author>tc={31e0f388-87d3-45fd-a66f-707267aa7400}</author>
    <author>tc={320ce581-4356-4eeb-9e07-ed6296d2b915}</author>
    <author>tc={3239ee0b-1808-40f0-bd7e-3aea474690a4}</author>
    <author>tc={325195d4-ceea-45b1-9065-7bf9ee7d66e2}</author>
    <author>tc={3299e4dd-d22e-4053-a9b7-2e18243ec2d0}</author>
    <author>tc={32a3db7b-90bf-464c-9b48-2c29d823b37c}</author>
    <author>tc={331220bb-ba6e-4cff-a225-c753a36d2e3b}</author>
    <author>tc={3356b534-5ff1-4bca-9f49-ec4b86197493}</author>
    <author>tc={338646bd-a5af-4d6c-99f3-fa9ac8e25564}</author>
    <author>tc={33dd046f-45a6-4571-9db9-3180a5467e40}</author>
    <author>tc={342fb1b5-7821-4290-9a9a-4cb75db4bde4}</author>
    <author>tc={34321742-a418-4bc6-ab5e-275074e83429}</author>
    <author>tc={343b29bf-8647-4697-8895-51a71f331c6f}</author>
    <author>tc={3485c2b0-2e9e-47f6-8016-ab11e2bb7181}</author>
    <author>tc={349385d2-30d5-43e1-9b65-834af55f50cf}</author>
    <author>tc={34ca30e8-c832-4697-9c87-9aa8675715e7}</author>
    <author>tc={34d67655-6ac1-43aa-9ee3-cc0e603f1c4e}</author>
    <author>tc={34e103d9-a8d8-4f53-a778-d8a1fdc07f32}</author>
    <author>tc={350309a4-1394-4d05-97d5-c5549865c24b}</author>
    <author>tc={350a3aaa-16df-41fa-9e8c-c8f15bcb0821}</author>
    <author>tc={35188f51-f89f-4802-80a4-866cd7d66f27}</author>
    <author>tc={353135ab-824c-4992-96a5-ad4d9e29761d}</author>
    <author>tc={3576bbc2-bf8a-4b0f-aecf-c803d7e4c8c2}</author>
    <author>tc={35efbed6-2013-49bf-b31a-04ca0e815e35}</author>
    <author>tc={3655dd4f-47ac-4607-9243-f47ac7a852f2}</author>
    <author>tc={36564bb3-151e-4780-b663-37f6a45e6c38}</author>
    <author>tc={3674d97f-0548-4a98-92ae-6902904d3605}</author>
    <author>tc={36840326-47b7-40fb-8f88-308fb04d3f35}</author>
    <author>tc={36b2b74b-8019-4eaa-bfda-6b559ad28e84}</author>
    <author>tc={36f2a531-25d2-4794-a952-bf1f57803b16}</author>
    <author>tc={376469a2-c842-467c-85a9-da9ce3524b24}</author>
    <author>tc={379044df-0b5f-4602-b79c-0222b86d046e}</author>
    <author>tc={37a4578d-1237-4968-a3f3-081bc3984fa3}</author>
    <author>tc={37c03f6d-a849-45b8-ae1f-32eef95a4306}</author>
    <author>tc={38175d18-1d07-4f48-8cd7-91ad311a34e7}</author>
    <author>tc={383e43f6-53cf-48b1-a351-09f142b1c2f4}</author>
    <author>tc={38479c5f-90b4-4ebd-b5d8-2afc9bbe05fb}</author>
    <author>tc={38651765-7a8c-42fe-be31-947437c6d6ae}</author>
    <author>tc={3884d552-7ee8-40e7-8aca-a1144f07e479}</author>
    <author>tc={389a7483-358e-44a5-bf7f-2cd8b70653ce}</author>
    <author>tc={38ce77c8-384d-443a-a00c-837cb366964a}</author>
    <author>tc={38de0951-d800-4c0b-a52b-3fc2ac79de5d}</author>
    <author>tc={38f46225-aa2d-4942-adc4-677424312af2}</author>
    <author>tc={390e77df-7700-4bf9-9e3f-da7fb52d2da1}</author>
    <author>tc={39189f8c-3691-41a4-a500-6c3bea87ddf8}</author>
    <author>tc={3920e79a-e9a0-4af8-a326-65d6982ab890}</author>
    <author>tc={39693bf3-aa90-4874-aa36-f4af174de905}</author>
    <author>tc={39806475-23a0-432b-8c35-9c66d954d69d}</author>
    <author>tc={39a3181c-c272-4767-9d70-386df20e47bf}</author>
    <author>tc={39ac48d9-7300-42c2-ae5d-7b9d6349bd1a}</author>
    <author>tc={39b103e0-b2e7-4ce6-8a5c-36ae09036180}</author>
    <author>tc={3a599431-e304-4c86-8488-e62b143bf43e}</author>
    <author>tc={3ac12e66-6361-42e6-bff8-f9f0dd5ce074}</author>
    <author>tc={3ac48427-b2d0-4a4a-a112-f53228dde520}</author>
    <author>tc={3ae090bd-3956-48b6-b181-276a8341dfac}</author>
    <author>tc={3b4cbdab-c535-4d8e-81a3-394e2753ecb4}</author>
    <author>tc={3b4e2850-c8c1-4314-97fa-ece728a4a1d4}</author>
    <author>tc={3b5892af-8ed6-46c4-9920-9ae720d88b4d}</author>
    <author>tc={3b785c8f-996d-4e46-9a08-edee3675bfd4}</author>
    <author>tc={3b7c8cd3-6ab8-4a36-8215-715c1692e906}</author>
    <author>tc={3b8f1064-0d15-4711-871b-de418c67927c}</author>
    <author>tc={3bd83812-418a-4f94-b460-9170814552fa}</author>
    <author>tc={3c19eda2-a91a-4d6f-bec3-d34447433a6b}</author>
    <author>tc={3c202b9d-21a9-4812-b7b8-a05716554755}</author>
    <author>tc={3c215d90-18f3-4d6b-96fe-ce42464a9939}</author>
    <author>tc={3c264b12-4dd1-4ba7-85f9-f41fe3850081}</author>
    <author>tc={3c4d5e76-63c8-453a-9dee-a2b9720268be}</author>
    <author>tc={3c6fd55b-f944-46ac-ab7e-df7a869140b1}</author>
    <author>tc={3c708485-85ad-4e15-8d61-93f2d9f7b455}</author>
    <author>tc={3c816c07-f727-4a08-ae75-6865901d8452}</author>
    <author>tc={3cd12830-5bb9-4950-b13e-5c4c9ed99946}</author>
    <author>tc={3cd36a09-d43b-4e8d-949d-3585c2d6ca9e}</author>
    <author>tc={3ce4d058-5dd0-4649-9b37-1bf61556658a}</author>
    <author>tc={3d3f50c7-59c8-4ff2-920f-529028a2bb85}</author>
    <author>tc={3d474341-45fc-4e9c-abf1-f9abaa2e8f0d}</author>
    <author>tc={3d482d8b-3234-4958-ad0f-ca24681e6c84}</author>
    <author>tc={3d954a95-1804-4ee9-b31f-7f620531f4dd}</author>
    <author>tc={3df9f811-8a98-4206-91d6-95b3f2409933}</author>
    <author>tc={3e0def7d-2477-44ec-b949-caf9235a87e7}</author>
    <author>tc={3e14e62a-4113-4464-96ec-64526ff9102b}</author>
    <author>tc={3e37a641-7f68-4d0d-9b03-03b076c40b7e}</author>
    <author>tc={3e3d0b6c-20ed-4019-879a-962fddbb2264}</author>
    <author>tc={3e925448-fc51-4ebe-a0bf-c73be5b5327c}</author>
    <author>tc={3ecbbd61-c057-43dd-adfd-e27482c48ff5}</author>
    <author>tc={3f36fac2-be6f-4876-b090-a3518c41a211}</author>
    <author>tc={3f416a0b-b2a2-4d07-9c4e-a9bc0c8b2562}</author>
    <author>tc={3f4584ee-1dfb-4ace-90cd-9066e2849b78}</author>
    <author>tc={3f590cc5-1949-46f9-89f2-8c99e8a15f6d}</author>
    <author>tc={3fb4029b-2c32-4e13-9376-e6c94d485397}</author>
    <author>tc={3fc1b1bd-bf5c-4352-a0e2-792c0e0f7366}</author>
    <author>tc={3fd5d091-2f19-41a8-81da-2ae34682afc2}</author>
    <author>tc={3fe3ec2a-419f-4628-9da8-3146a44a95bd}</author>
    <author>tc={3ff9a06a-6021-4c37-86af-88864b3c0cc6}</author>
    <author>tc={400869ee-9230-4bc6-ba7b-b05df8023c33}</author>
    <author>tc={401009f5-6146-4079-98b0-3d64046a2fa0}</author>
    <author>tc={407d338d-9bf7-497c-bc6f-e4e8707b82da}</author>
    <author>tc={40bb8191-2fbf-4f27-8dd7-a681690b093e}</author>
    <author>tc={40ea254d-b5d3-458d-b9c5-4dea29a12263}</author>
    <author>tc={4133a7ae-1a9c-4c62-ae9f-f01f0e15ea01}</author>
    <author>tc={4139234d-7ea2-4d72-b13f-dc3e6d1ec2aa}</author>
    <author>tc={41480b84-7076-4e82-bd8a-41a77320996c}</author>
    <author>tc={417f38d7-ce41-4514-a23e-d369a612463d}</author>
    <author>tc={41aadf19-7bb5-4331-b3d7-71954bcb62a1}</author>
    <author>tc={41e552f1-d9be-45a9-9011-e43e54a300db}</author>
    <author>tc={422697f3-0cb0-4639-9cb8-b5bf228e92eb}</author>
    <author>tc={424e829f-6654-4df2-9deb-fccafab1039b}</author>
    <author>tc={4272c220-92ed-4112-ac2e-3114723e4dcf}</author>
    <author>tc={427fc3e5-53e0-40e5-bd20-bee8c0308a98}</author>
    <author>tc={42b0fa25-a5d5-498d-b523-3e9ec1abb245}</author>
    <author>tc={42d9a68f-b797-4c52-854e-fc09345bda8c}</author>
    <author>tc={42fc62ae-2433-4abb-9975-bf187e880973}</author>
    <author>tc={43268e46-5023-4c82-bada-ee73441a323f}</author>
    <author>tc={434d7469-fadb-4088-8d7e-d7dc50311529}</author>
    <author>tc={4375c538-c93d-4280-8ae3-fa5b291cc64f}</author>
    <author>tc={43be8ee0-640b-4b2b-8d81-fef48c51c733}</author>
    <author>tc={43c11ed8-bba4-4e4d-a651-4b402acc7365}</author>
    <author>tc={43c87667-97ff-4618-90a6-a2d507334bcf}</author>
    <author>tc={43ca4942-cc1c-4a53-b560-bbd294d095d8}</author>
    <author>tc={43d1cd53-3360-4aec-bb5f-599193216c4e}</author>
    <author>tc={440f05c0-ac52-4bc5-bb9c-daa841c6fb28}</author>
    <author>tc={442f2488-8599-40ec-8bcf-956c8b024780}</author>
    <author>tc={445422b3-7c5d-481a-8291-b2f599da0c57}</author>
    <author>tc={44a83986-d15e-4399-a36e-b294edc92524}</author>
    <author>tc={44b75e94-7956-4acc-ae72-4d01eada2289}</author>
    <author>tc={44bcd617-4ed7-400a-82eb-9b06bb36dbe0}</author>
    <author>tc={450a00c8-a60a-444b-aa2d-947d62dc24a8}</author>
    <author>tc={45224c01-93c1-4572-abb5-8db086a4062d}</author>
    <author>tc={4567dd0d-bcbf-4dd0-aecc-2336f74c103a}</author>
    <author>tc={45c513d6-3072-4bd9-b271-6be31f1184e4}</author>
    <author>tc={45d1ffa0-3d23-4350-b795-d26ca9642d87}</author>
    <author>tc={45f0d531-1730-402d-85e3-68553df45bd5}</author>
    <author>tc={46136e2c-822b-4b62-88d4-9048e771e12a}</author>
    <author>tc={461693b6-7f2c-4f32-97c4-76e46bb08ebf}</author>
    <author>tc={4637cd7c-093c-4dd7-b7a7-66ad6e82e7b6}</author>
    <author>tc={466ad594-99db-45b6-8a64-f8a171af0f97}</author>
    <author>tc={467f474c-9a7f-41ec-a137-b0eea4d1564c}</author>
    <author>tc={46a0ec3b-5f63-4253-be0b-a754248279cf}</author>
    <author>tc={46a84c75-fdfc-41c4-a6c1-a31a8036c972}</author>
    <author>tc={46c9998f-0285-4848-a06c-f3c4a08a91a7}</author>
    <author>tc={46ea758b-9bee-4084-b485-c68d29a7974e}</author>
    <author>tc={4712d6a2-ff3f-4dbe-8257-1770d09c4783}</author>
    <author>tc={4726cfc0-7df5-48e6-9e7f-cc2255b45b19}</author>
    <author>tc={4763b476-8fb9-40d2-957d-6aabb06fcaf9}</author>
    <author>tc={47ab0e47-88c4-4c31-b148-94a259c2026d}</author>
    <author>tc={47bdc8eb-9e0e-4c18-83cf-badc9d268bbb}</author>
    <author>tc={47c4c961-44f4-4732-aeeb-dbcafac939a7}</author>
    <author>tc={47d7f81b-5981-44a8-ad7e-41927adbab39}</author>
    <author>tc={480b2de3-2c40-48c8-92d5-e0e0fca155f5}</author>
    <author>tc={480d6fc0-5495-470d-a541-504e2b1f5a45}</author>
    <author>tc={4835792c-c2bb-402b-afbb-ef97113103ae}</author>
    <author>tc={48403e61-19bb-4660-9f3e-a949fed33d39}</author>
    <author>tc={486d1ecc-0d81-41d1-8e47-c8eb744aafcd}</author>
    <author>tc={487362a4-2d48-49b7-8631-2a1c08a46408}</author>
    <author>tc={489913dd-0fec-42fe-a356-39b40ea67a72}</author>
    <author>tc={48c47623-6a0a-4988-9f52-16cb0e26b7e9}</author>
    <author>tc={48cd417b-9cc9-4c3c-a8b0-e706b074c046}</author>
    <author>tc={49640162-952f-4f19-8d98-c29b96797b93}</author>
    <author>tc={4968e05d-3860-4576-acfd-6d6a586075f7}</author>
    <author>tc={497b4fff-0c91-45df-b13b-7a59837ffd69}</author>
    <author>tc={49f88d67-7b96-4eff-bd37-5e96929e6e64}</author>
    <author>tc={4a0618e3-3498-4603-a56c-060fab2d3c51}</author>
    <author>tc={4a28dac9-27ee-4122-82d3-daa1cca301f0}</author>
    <author>tc={4a47d0bf-3545-49c2-952c-26a0f2180c2e}</author>
    <author>tc={4a5668e0-9758-4901-968b-f303c51ae43d}</author>
    <author>tc={4a5ddcac-55b1-46f9-bb12-da02eebd44e1}</author>
    <author>tc={4a6f95f2-8cf1-462a-9e91-65b594b1b5a4}</author>
    <author>tc={4a7be0b2-4ac8-403b-b0b3-bf4f1db176d9}</author>
    <author>tc={4a80ced4-7a1e-49a8-baa0-c907cf72edf6}</author>
    <author>tc={4a941d24-331f-45ef-a69d-a686ca6fc87d}</author>
    <author>tc={4ac102e2-6f45-4c5d-9c76-30cd20244721}</author>
    <author>tc={4acd563a-e810-4650-ae1d-fa634ededb96}</author>
    <author>tc={4ad5ab70-43b9-4cd5-b8d2-995f33328565}</author>
    <author>tc={4b1c8cad-50cd-4282-b1d2-de1f8a55e0e9}</author>
    <author>tc={4b210857-9ebc-4f55-a272-13f8369b97ff}</author>
    <author>tc={4b502e6b-8d04-48b7-8522-5d442991fcf8}</author>
    <author>tc={4b5a3ce5-069f-4f99-a959-9d775ebee6c1}</author>
    <author>tc={4b89c7a9-e7e1-4db3-8db4-cb18f7e48c40}</author>
    <author>tc={4bb61734-eced-47cc-9d31-11acd20a0d90}</author>
    <author>tc={4c13bcea-8642-4e07-b95e-464abaf28496}</author>
    <author>tc={4c1aa8f9-9283-4b0a-801a-ef2b6516792f}</author>
    <author>tc={4c53844b-d650-466e-a737-4cd72fbe0f62}</author>
    <author>tc={4c5f5538-6331-41f3-97f0-e9c4520dc498}</author>
    <author>tc={4c7495cc-60a8-47e7-9a1a-8d1e43068c4f}</author>
    <author>tc={4ca87f49-907d-425d-b0b8-34ad57537c63}</author>
    <author>tc={4cad76b8-d66d-483a-991d-db79b2088bdd}</author>
    <author>tc={4cb0ebd0-e035-4e69-a4c2-961e09cebb7c}</author>
    <author>tc={4cd3dc1c-4057-4898-af08-18886391f2a9}</author>
    <author>tc={4ce51016-27d8-4db1-b385-f8b9c87c2fe9}</author>
    <author>tc={4d1530f2-e30a-4bd1-ac28-691de06eb509}</author>
    <author>tc={4d1614df-c234-4ffa-b8fe-1925ca90fa83}</author>
    <author>tc={4d1bac26-20a7-4099-98e4-f6b15f410ee6}</author>
    <author>tc={4d3336b1-0769-46e6-9dbb-fa12b88db6be}</author>
    <author>tc={4d6ebdcc-ad6f-448b-97c5-97e36a9a0ef5}</author>
    <author>tc={4d74e7a3-f023-4e80-a1ce-f1a14ccad2fa}</author>
    <author>tc={4d819f49-5e7d-46c4-b004-8217f2093083}</author>
    <author>tc={4d8b9b1e-a25a-435c-9dcc-2dbaab907621}</author>
    <author>tc={4da64028-6ab6-4099-806e-258b05d19069}</author>
    <author>tc={4da834ba-0545-475b-9d1d-8619e1eccb04}</author>
    <author>tc={4dad5801-12f6-44cd-8f93-ef23bbb1411b}</author>
    <author>tc={4e14572d-457b-4f2c-bd41-af5c6d81fce2}</author>
    <author>tc={4e333c71-39ab-4519-afc2-c9a098dbaf15}</author>
    <author>tc={4e35574d-c421-4ba1-a51a-01d561d0e8c4}</author>
    <author>tc={4e55a7ec-55e2-42c2-9ec6-68ba4a0d677d}</author>
    <author>tc={4e6bf119-9a94-44f0-9117-a965da71d680}</author>
    <author>tc={4e73a004-92af-49f7-8d58-f2edfbb1d611}</author>
    <author>tc={4e86e3ec-75ca-47bb-be7c-14427708a98c}</author>
    <author>tc={4ea25421-ead2-409f-9e64-5f57fb3f991c}</author>
    <author>tc={4ee34930-f0c8-4e8b-92b7-e735f8bdf0f9}</author>
    <author>tc={4ee74212-31b7-447f-852b-ea22f80c07f4}</author>
    <author>tc={4f296229-29a5-4284-9f4f-8b6aa18a5ab0}</author>
    <author>tc={4f41f16d-2261-4c27-8d85-dfcbaf6970eb}</author>
    <author>tc={4f53f5d2-7659-466f-af62-d41eab34ec85}</author>
    <author>tc={4f6b1d99-2b55-43dd-a572-312650f75c0a}</author>
    <author>tc={4f712d17-f0b1-47f7-bbe6-e9413421470a}</author>
    <author>tc={4f800b06-ef8e-41e5-9f94-cab62e70744e}</author>
    <author>tc={501a24e1-cfd5-4ac4-b4ce-f36cafd38a7f}</author>
    <author>tc={502c19f2-d3c7-4370-a236-ddfe4ca3085d}</author>
    <author>tc={502c606f-9754-4df7-8fd2-fcd9667157b0}</author>
    <author>tc={5039d4c1-4179-44d4-961a-4691952a6887}</author>
    <author>tc={508f4436-b7d9-4d44-adc2-ef9657a218e9}</author>
    <author>tc={51308d04-766b-4505-9a58-69172fbc2acf}</author>
    <author>tc={514eaf70-37d3-4929-8ac4-6d976106f001}</author>
    <author>tc={5179dad8-321a-4bad-82ea-105804888763}</author>
    <author>tc={518050b0-9d42-4a6d-9c5d-df836bc1d338}</author>
    <author>tc={5185d23d-b119-4d60-a1d2-735aa1ae907f}</author>
    <author>tc={5188fd29-1e21-4e17-9fd3-c2f4ff1b8ac3}</author>
    <author>tc={518a12c0-c2a0-46f1-891b-21c11a271e5f}</author>
    <author>tc={5193c159-4d24-42a5-894b-b8b20212f791}</author>
    <author>tc={51b6b791-6ed9-4af0-9197-7fc563a096f7}</author>
    <author>tc={51f5dcad-6b53-4ecc-93ab-86a7e77f2f32}</author>
    <author>tc={51fc16dc-5ff5-45e5-a8c1-51e23500748d}</author>
    <author>tc={52074df7-6718-463b-8fec-dc48a42b799c}</author>
    <author>tc={523251e3-f1ff-4bd5-9560-58066450b94d}</author>
    <author>tc={523d3731-038d-46b8-85c7-b8908a9073e5}</author>
    <author>tc={52658359-d0e9-4519-82b9-5e77f7f0b7b6}</author>
    <author>tc={5278b607-41dc-4aba-971c-42386d69dc95}</author>
    <author>tc={529b1f36-8471-4d5c-bd13-9a0bd30ac255}</author>
    <author>tc={52ac7286-3e15-4847-9ad6-f63ce42dafb1}</author>
    <author>tc={52e8b230-3d1a-4595-a865-b3e4c0981a17}</author>
    <author>tc={530104fb-c9d6-46b4-8580-71823296c0ca}</author>
    <author>tc={5310c20b-3f21-4f22-a6b0-9f7f3f958799}</author>
    <author>tc={532167e2-da60-44f3-97b7-65b7b4199a91}</author>
    <author>tc={5348e0f8-4e8b-41b0-b292-8168524e6cb7}</author>
    <author>tc={534a6106-9ee2-44f8-8082-985d8d477d95}</author>
    <author>tc={53cd4139-a671-45d1-b1a5-1fa166b049a8}</author>
    <author>tc={53eb28ed-875c-4d53-a454-cd8f6cb203fe}</author>
    <author>tc={53f7cccc-2c33-4ba3-a83f-9941d6b14c9e}</author>
    <author>tc={540f4e00-f38b-44d5-9867-f6adab510901}</author>
    <author>tc={54224e1d-b0bf-46e6-b9c4-c368e1fbd5df}</author>
    <author>tc={542877f5-8872-4af3-a708-e0845eb6da53}</author>
    <author>tc={547aee98-3ae6-447c-973f-c46b5bad0d1c}</author>
    <author>tc={54d5115d-4bcf-47a4-a154-9fd79f0f3b61}</author>
    <author>tc={54dcc02c-1752-4dfe-8eb3-9341af7f9b9b}</author>
    <author>tc={550d29b3-f79e-4060-a459-67b36f2726f0}</author>
    <author>tc={55334549-d88d-4ce3-9731-f40ab365ce34}</author>
    <author>tc={555d25a2-f893-4344-a8a6-9e0a8b51b028}</author>
    <author>tc={556f6707-959b-4b7a-af8b-12e5c37b3707}</author>
    <author>tc={557c8718-8abb-4a61-b421-8a50f4564432}</author>
    <author>tc={557fec52-79f9-4725-93ed-ab4bc3f2659b}</author>
    <author>tc={559f6dc5-a410-4ce5-9bc9-33bc21212795}</author>
    <author>tc={55cf2b6c-8d2a-4dda-a40e-ca2fd3d99297}</author>
    <author>tc={56487ac1-c776-448c-977c-3ea05b054556}</author>
    <author>tc={5659a4a5-6b18-42f5-a3bc-66df2af1a092}</author>
    <author>tc={5665a9d5-ea55-4f62-bbed-5747b17d0c47}</author>
    <author>tc={5698915d-b7f0-4f2c-94a2-ddb211952eb5}</author>
    <author>tc={576ca547-885c-4540-a8ff-7c1be540375a}</author>
    <author>tc={578d965e-4f96-42a5-ac3c-80b20b1f89df}</author>
    <author>tc={57cf2fa1-04e0-4033-afc2-24e85575e856}</author>
    <author>tc={57e79fda-093e-4735-9321-94ab055a3617}</author>
    <author>tc={5817276a-7fff-44d7-9129-f82cab54e686}</author>
    <author>tc={5838cb9b-bdf2-4826-a9f2-6948767e26c2}</author>
    <author>tc={5843255a-239c-4a5e-98fa-370f442a7eda}</author>
    <author>tc={5843e911-84a7-47b2-9232-8df54679ffe7}</author>
    <author>tc={589ce5f5-68fa-4561-8f12-c2a113d50613}</author>
    <author>tc={58c2236d-2dc9-48dc-b29d-06a02ef6607e}</author>
    <author>tc={58c5413f-c759-471f-914b-2b14ae8f4ae6}</author>
    <author>tc={58ea9d51-63d9-4705-8a1c-6010f6d2fede}</author>
    <author>tc={59321c6b-eed0-4fd1-a689-a67b9a94d754}</author>
    <author>tc={593a894c-9899-4b73-8b5b-d01f0c9e12b9}</author>
    <author>tc={595549b1-d50f-4876-9b7f-addfea8308a1}</author>
    <author>tc={5967da38-3b7f-4ed9-804a-da4732b83b04}</author>
    <author>tc={599dce74-f43e-4cbf-a78a-79ca340b2471}</author>
    <author>tc={59bb8531-eb59-4728-804d-b3cf90eed424}</author>
    <author>tc={59fab77b-4c69-452b-b664-bfb0fdab4414}</author>
    <author>tc={5a41afc8-982c-433b-8869-d0e5256aaece}</author>
    <author>tc={5a480d29-526d-4e2c-a3e0-f01b5ee77496}</author>
    <author>tc={5a6614cb-dadd-4bc8-910c-84e8062c1878}</author>
    <author>tc={5a73343e-4691-410a-a204-3a53ec2b0a39}</author>
    <author>tc={5a9922da-3a50-42f2-bb2d-844c65531e5f}</author>
    <author>tc={5aec80e8-ef21-4f28-bccf-772b228015f7}</author>
    <author>tc={5b01c7fe-965c-49f4-9fb9-d908f792ef6d}</author>
    <author>tc={5b2c7e3a-5f83-440f-bd64-d6c166448228}</author>
    <author>tc={5b539322-8ffb-45ef-b9d3-81858d71563a}</author>
    <author>tc={5b640376-1e90-49d5-9870-e78f313119b6}</author>
    <author>tc={5b6817b8-c45d-4cfe-a2cf-a57ad49f55fb}</author>
    <author>tc={5b911a50-2e92-4ade-8a6c-731332fd5acc}</author>
    <author>tc={5b94b1f0-0af1-48a1-af10-d2400407b3a5}</author>
    <author>tc={5bc84b91-ed8d-4361-a67f-f4432eefcee8}</author>
    <author>tc={5be8d34a-b40f-4180-9bcd-954e27f06ceb}</author>
    <author>tc={5c0b8d21-06a9-458b-b8f9-7c98e81163bf}</author>
    <author>tc={5c29bb0d-2793-44ab-88a4-b304d087cc96}</author>
    <author>tc={5c7d61e9-85f7-4c47-a0c4-ed233ca47002}</author>
    <author>tc={5c8a9193-89a9-4a8a-ae40-5a2b13278baf}</author>
    <author>tc={5ca230cb-4b0f-4b59-8c61-145669c4ee51}</author>
    <author>tc={5cbdad5e-da5a-4bde-b163-ba94e721a1cb}</author>
    <author>tc={5cc401f6-d683-405d-a834-98b2769418b1}</author>
    <author>tc={5cdcff6e-7f1f-4589-9acc-778ab149e0a0}</author>
    <author>tc={5ce2bceb-c90d-4852-b718-9bd5545a5208}</author>
    <author>tc={5ce73669-17b2-46fd-9813-64e3c31e5686}</author>
    <author>tc={5ce96ae2-48fa-4a89-9aa5-5fecc6150afa}</author>
    <author>tc={5d034103-27a4-4373-8012-894cf55ffd63}</author>
    <author>tc={5d084d7a-c70f-44ce-aa1a-442d0aecf6a5}</author>
    <author>tc={5d6b8f28-5c27-4d72-adc0-4a06172e9320}</author>
    <author>tc={5dba16d0-5b4d-4683-be77-ba463f69a4f9}</author>
    <author>tc={5ddc0a52-9d44-4534-908f-7e6d893cf2b2}</author>
    <author>tc={5df8bbf6-258e-4609-8127-2e5c36368502}</author>
    <author>tc={5e2d2246-5446-493e-b216-ab3a93c82060}</author>
    <author>tc={5e69b179-491d-4e3f-9f15-79b2f4ca9cb4}</author>
    <author>tc={5e8a6fec-1460-4883-9794-47a854452041}</author>
    <author>tc={5ea0755b-d926-45e2-aac7-c3c39ae26617}</author>
    <author>tc={5ed983dc-2a9c-4727-acec-435ea2b41a27}</author>
    <author>tc={5f07b258-ce4e-444c-aaa5-942af8e85806}</author>
    <author>tc={5f1d2857-6ac0-4635-a01b-a5f73473c36f}</author>
    <author>tc={5f6075f4-6bea-4c82-aab7-826c191f27f7}</author>
    <author>tc={5f6a09b5-80c2-4ba4-8e70-e64891ecd21c}</author>
    <author>tc={5f6a1621-bcc3-4381-bbaf-5fb19591cf90}</author>
    <author>tc={5f738f3c-96d7-4312-b59e-b620d3ad600e}</author>
    <author>tc={5f7c2826-e91d-4f0b-ab57-6e9e87ad8d91}</author>
    <author>tc={5f91f646-f257-434f-bc14-ea2e6c6b06dd}</author>
    <author>tc={5fb640e9-f00b-46c6-bd6a-ded8b82f6683}</author>
    <author>tc={5fba7cd1-2c37-47a5-bde3-20dfbcf5e874}</author>
    <author>tc={5fc670be-00f7-446a-b973-a19183299398}</author>
    <author>tc={5ffad071-4e37-4052-a722-5631b8065727}</author>
    <author>tc={605a80c5-44b1-47be-8983-c8d39773fa76}</author>
    <author>tc={605b62db-d310-465e-ab47-00ed5508c2e7}</author>
    <author>tc={605d0c9f-b4a9-4785-9d7a-b52465dce45d}</author>
    <author>tc={60618df6-1130-4934-a946-bbcd91bea743}</author>
    <author>tc={60791350-dd3c-4c06-a127-9acfdd6b1d13}</author>
    <author>tc={607bde54-c96e-4d7b-b7b9-be05c50ee4e9}</author>
    <author>tc={6103b862-324e-443a-80e6-fb6f5a4747ca}</author>
    <author>tc={612a2c41-4fbd-442b-9535-ce4a9fe09abf}</author>
    <author>tc={612df5f3-59f7-47b4-a639-9ce2d37bb6a4}</author>
    <author>tc={614ae216-e22f-4a93-a55a-90194a22ca1b}</author>
    <author>tc={615576ff-860d-43b1-8e1f-c33ed54b35df}</author>
    <author>tc={617612e6-ef49-4181-b94e-15e5aa7da24d}</author>
    <author>tc={618a915e-e2d7-4a54-8fc8-99d9d2a0f81a}</author>
    <author>tc={618b8053-3570-4529-976f-5025b3ff813f}</author>
    <author>tc={618fdd96-855d-4ad5-ac39-12e3d3db8f04}</author>
    <author>tc={6190f8ba-9ad0-4bc7-83ec-6fbd27cf11c3}</author>
    <author>tc={619138d8-ee3b-4f3b-83d8-e282ca90440d}</author>
    <author>tc={619e1f58-0188-45e6-8784-d658aa748505}</author>
    <author>tc={61adc27d-9c72-44d8-b55d-f3dfa5c07fc6}</author>
    <author>tc={6211a46f-a1a4-4698-9d0d-bd295e6b8545}</author>
    <author>tc={624b2701-c899-4c3f-b93d-14841aff6287}</author>
    <author>tc={624d1742-0fcd-47b2-a36f-8b9c0c840f42}</author>
    <author>tc={62627f66-8005-4042-8b90-251c94828564}</author>
    <author>tc={626da0a6-8d5a-4ef3-a109-5992fbd2392d}</author>
    <author>tc={6270741d-3179-404a-b47f-5c430bd4898d}</author>
    <author>tc={629fad2b-f286-4fcb-b836-e5ea9cb493ac}</author>
    <author>tc={62a1ec50-857b-4f12-ab48-50b9e0210b8d}</author>
    <author>tc={62adb8b0-b854-4930-b481-3d053c2ea651}</author>
    <author>tc={62b608af-e83e-4545-9427-e3f70b27acbb}</author>
    <author>tc={62ba9102-8573-40b7-a2ed-3c7b95bdc771}</author>
    <author>tc={62f179c5-2939-46bf-a697-d8cda0ccb7d0}</author>
    <author>tc={633c004d-a72d-4df2-9703-9b658eecf39c}</author>
    <author>tc={63a76b97-8824-4d6c-99e3-ae1bcb415757}</author>
    <author>tc={63bc878f-eff5-4c47-807e-b81d76503e73}</author>
    <author>tc={64557e36-917d-4858-9799-e9c670274a26}</author>
    <author>tc={6474b259-5101-41b5-bdfc-0e7fe3e1d220}</author>
    <author>tc={64831377-4c59-4d98-9715-74485d98ab11}</author>
    <author>tc={64945f4c-045b-4984-ae13-87d7e84ea02c}</author>
    <author>tc={64af215e-ab52-4bd9-8777-f76b813c53bb}</author>
    <author>tc={64c2519c-e94b-417f-91e8-2d03d9b36d9b}</author>
    <author>tc={64d14bb2-ecd0-410c-a428-d24e253e9661}</author>
    <author>tc={64d99e51-702b-460d-9633-dcfd7f1f1ba5}</author>
    <author>tc={64fd3fc2-5919-4a86-88d4-2b1bf33eba1d}</author>
    <author>tc={652a23bf-5a40-4b99-8b48-d3f0b952d9da}</author>
    <author>tc={6547f112-6c14-41e8-aa68-98cebd685563}</author>
    <author>tc={65563291-742c-4479-8973-03b68403104d}</author>
    <author>tc={6587a109-4a0a-45ce-a6b8-2beb9fb1fb3e}</author>
    <author>tc={658896aa-1172-4679-b0e4-bb8309f6b22a}</author>
    <author>tc={6597da5e-caa8-490d-a6bb-1fd29c866824}</author>
    <author>tc={65a301a3-8f23-409a-bfc3-87bd6c180e29}</author>
    <author>tc={661dcac1-e712-486f-bca4-89faada7f73c}</author>
    <author>tc={662cd0ac-cc2c-435e-999b-da80e4008924}</author>
    <author>tc={668bbb1d-c53f-4c0d-ac65-6324150e4f7b}</author>
    <author>tc={66a5b7fd-9d1f-4c9a-a8b7-eda1fae3b46a}</author>
    <author>tc={66b909ec-9c16-4440-98a5-18ad21e808b3}</author>
    <author>tc={66ee59dd-94da-4686-bb93-751da2c777ad}</author>
    <author>tc={673f076e-0323-4358-8220-1173f258776c}</author>
    <author>tc={6741398d-9883-482a-b0c6-07f1e9c73ae9}</author>
    <author>tc={675cbb53-4fc8-437e-8c61-20f78e5bfe7d}</author>
    <author>tc={6765498d-59db-4980-8384-79398102b416}</author>
    <author>tc={67738738-3c8f-4b10-928a-1d883e7dc36f}</author>
    <author>tc={67948640-6da1-4718-91d2-b67b913826b6}</author>
    <author>tc={679bc04f-aba7-47a9-89ba-9585fca9cd56}</author>
    <author>tc={67e46d5b-1f77-489a-a5e3-6b0e957f2009}</author>
    <author>tc={6821c3b2-8dc0-45f6-8649-b72d1f00f2cf}</author>
    <author>tc={686dd47b-6acc-47bc-b69c-85d9ab4e203b}</author>
    <author>tc={689e40ba-6330-4740-9624-75fa75165d9e}</author>
    <author>tc={68b95d25-54cd-42cf-bc0e-15c1f8446a81}</author>
    <author>tc={68c9d1a0-6e02-4a4e-b617-01a9fb592384}</author>
    <author>tc={68d2dbde-817c-4efa-9ef2-ad9821f49392}</author>
    <author>tc={68db4482-c688-4ce1-8608-b1dc5c3cbfbe}</author>
    <author>tc={68f879c2-94dc-41d3-9c23-ec81b4b7c47e}</author>
    <author>tc={69021ded-300d-4d9b-bd35-6bed1f73191d}</author>
    <author>tc={690f0fbb-acb6-4ac8-bf73-44f7ecc16abc}</author>
    <author>tc={6925eee7-168e-4f86-bee6-c52beac9b1f1}</author>
    <author>tc={6935ecf6-2b1d-4f55-8798-ee9ef8dafa68}</author>
    <author>tc={69521f3a-3649-49a9-9ef2-a52229e24ab3}</author>
    <author>tc={69767a3f-4638-4912-8b1e-36c30012b072}</author>
    <author>tc={698657ed-5f86-4013-b31b-ba3fa60479f2}</author>
    <author>tc={6998a0c7-1e45-43e2-91bd-5c00444f5030}</author>
    <author>tc={69aefe4e-dd92-41a0-af0e-a79c7dd0c8de}</author>
    <author>tc={69bbd229-81e6-4dd0-9bce-7e67a27ab008}</author>
    <author>tc={69d1b661-cf22-424b-acbf-c5ce73adc20d}</author>
    <author>tc={69de662b-3abf-4899-9343-e382c11afd8f}</author>
    <author>tc={69e3df0f-4338-4f38-a908-86d888769dbe}</author>
    <author>tc={69e58ffa-0119-40d4-9c79-8aeecd07c8f8}</author>
    <author>tc={6a08518c-9d20-4c39-a92e-3c22f08e2bb3}</author>
    <author>tc={6a19ec44-4229-4f63-87d0-35f15699b568}</author>
    <author>tc={6a1a274f-2a75-4e5e-9cdd-f2173e004578}</author>
    <author>tc={6a7c1149-2b1f-4ad3-ad72-6cec2d23ec88}</author>
    <author>tc={6aa0fb2d-d643-4c72-8910-019924e12f3e}</author>
    <author>tc={6aa63305-cc1d-4c1a-80d6-e48dd3a4b258}</author>
    <author>tc={6ac85794-80c2-4836-81fb-87590e9c90bf}</author>
    <author>tc={6b76df43-31d9-4dcd-9b4f-ac7e7ae40947}</author>
    <author>tc={6bbf7978-3340-4dd1-96e3-ddeb1f440594}</author>
    <author>tc={6bc3a782-881e-4fe2-8447-b8dea3b0d7cb}</author>
    <author>tc={6be491b4-b083-4f81-989f-a8a120389c46}</author>
    <author>tc={6c13a310-0db3-42fd-8903-aa325787e255}</author>
    <author>tc={6c1f4525-5714-4e4f-bd5e-696a7624188a}</author>
    <author>tc={6c2a8f58-d907-4528-9d2a-4968fe5d2310}</author>
    <author>tc={6c2b325f-5117-49c8-b2d0-698507bd702a}</author>
    <author>tc={6c385680-ce41-4db9-825a-9e8fcc64a8dd}</author>
    <author>tc={6c6fcce6-180b-4694-9ae2-39d72cbb45f7}</author>
    <author>tc={6c9a26e5-11c0-4af7-ba25-acf9c485cb06}</author>
    <author>tc={6cbeac30-7865-482a-a5cf-01ed82b2b7ea}</author>
    <author>tc={6ccbc4fe-0c43-4f39-855c-70f8c4befa12}</author>
    <author>tc={6ced7124-c49c-48a5-a137-f081d4cdd0d2}</author>
    <author>tc={6d163049-b130-4037-abfd-5a5379720bca}</author>
    <author>tc={6d2253cc-8846-477a-b4b8-e2f4ea96f367}</author>
    <author>tc={6d6845da-0713-41a8-858e-88245818f9d9}</author>
    <author>tc={6d7b8302-e111-45bd-ad9a-9ba9b853c31d}</author>
    <author>tc={6da253ea-d94c-446c-83da-dc86d58b1539}</author>
    <author>tc={6da6cd29-e1aa-49d5-8d9f-5da960788cf6}</author>
    <author>tc={6ddbcfd1-a4f0-46dd-9b4f-db7e57e9d65e}</author>
    <author>tc={6deef390-f533-48d8-932f-5af4dee11588}</author>
    <author>tc={6df49e4a-6905-4fad-ada1-145ef9cb0b2b}</author>
    <author>tc={6df91eea-df46-4c8b-8ed1-3d9911994eff}</author>
    <author>tc={6e2391b9-77d8-48e8-8c41-4627e430822d}</author>
    <author>tc={6e2994b7-c34a-40fe-afea-b8ac164968bd}</author>
    <author>tc={6e4dbde8-07bc-4716-bcba-b0f001305b22}</author>
    <author>tc={6e53ec55-f967-4bd1-8488-25e9978dbba4}</author>
    <author>tc={6e5645d0-0740-4974-a030-a646034319bf}</author>
    <author>tc={6e6aab2b-9c42-4268-9709-5bca0a30d36a}</author>
    <author>tc={6eb874ab-735a-406d-8862-8d9e686e622d}</author>
    <author>tc={6f118116-487f-4c02-bb83-6096220f9cc3}</author>
    <author>tc={6f2c6351-395a-4f92-85f2-a7f4fd8292bf}</author>
    <author>tc={6f936b5e-8f7f-4bda-8ff2-bb2415dae4b5}</author>
    <author>tc={6f9e2913-d081-41b7-b83b-c53115ea72e3}</author>
    <author>tc={6fd052bf-9176-4eac-9017-d7e177264315}</author>
    <author>tc={6ffe7128-21aa-4a48-a7b4-7a34a043fa77}</author>
    <author>tc={6fff67ce-c5ac-49a8-aff9-110b80400b25}</author>
    <author>tc={701a8f03-50e0-4c20-8a86-755f0b9429c6}</author>
    <author>tc={701f2d04-086b-4008-924a-076e44bc889f}</author>
    <author>tc={7046faeb-639c-4096-bd69-be95824aa25e}</author>
    <author>tc={704ecb3a-e314-486f-997c-d8b20fbb486a}</author>
    <author>tc={70654c14-76c5-4a3e-b7b9-d3aadff284e6}</author>
    <author>tc={7095db40-9d98-4f94-96bf-098ba8dcbace}</author>
    <author>tc={70b6fdda-aef1-46d3-8d7c-80dcffa4978d}</author>
    <author>tc={70bc9fef-19f2-4326-a870-c1b5c37f55e0}</author>
    <author>tc={70e8d1b2-20d0-4eb1-a988-28dda29de186}</author>
    <author>tc={70ee78ec-abf8-430e-8e24-dc0b4fea7087}</author>
    <author>tc={70f27f90-d454-4cbc-8977-a99da596c435}</author>
    <author>tc={70f4e24a-69a8-4259-96b4-890971a5df80}</author>
    <author>tc={71469344-840a-4a5c-b531-65bb2c458d1c}</author>
    <author>tc={71736341-48f9-4d25-a75f-4bf008e11fe9}</author>
    <author>tc={71768308-f3a1-4a71-82d1-841296862001}</author>
    <author>tc={71982460-8291-4a62-b34f-2e33640aad0c}</author>
    <author>tc={7198fe67-9179-47e4-b88e-9c22565d1dfc}</author>
    <author>tc={71bce92a-7cc0-453f-a3c3-83b5d762a1b2}</author>
    <author>tc={71bd0d42-98ca-4265-b0cd-76f0292d385f}</author>
    <author>tc={71edf210-a0ea-4ff8-a2d6-c79eec500df3}</author>
    <author>tc={71fc5dd9-fe88-42c2-afe6-095e93ec1bb5}</author>
    <author>tc={720d016d-fe78-4ff9-b015-024d03f192f5}</author>
    <author>tc={7215ed26-0224-44bd-89a3-eee0216def35}</author>
    <author>tc={725aa427-16f0-4c42-b3d4-5c93761c1b83}</author>
    <author>tc={72a2298f-edfd-4b9a-a5d9-ba9284a8a98a}</author>
    <author>tc={730154b8-e7ee-47d9-9015-02afe11ba653}</author>
    <author>tc={7313fe2f-2464-418b-9bd4-2010a4b9e94f}</author>
    <author>tc={736777e2-4927-439b-9b6a-131009be1996}</author>
    <author>tc={736f2311-7bf0-4f9f-987f-736ca2d1df7d}</author>
    <author>tc={737cd586-14cf-4a7d-8d6f-f0bd3cc6f8f3}</author>
    <author>tc={73d21061-7977-4f84-aa2b-a99b158e97e8}</author>
    <author>tc={744dfa1a-7729-4c5b-a712-70fd5164b523}</author>
    <author>tc={746fbc01-20cb-47fb-b944-0c60e4a76a58}</author>
    <author>tc={7475044e-b2f4-4987-8ff8-27e441c1f442}</author>
    <author>tc={748345b4-2bdf-4883-9736-b52b271894ce}</author>
    <author>tc={74abed87-da19-46c2-883c-13359a90650b}</author>
    <author>tc={75271415-b76f-4e60-8bbb-1436e838847c}</author>
    <author>tc={7538b006-68d4-4f25-85c7-a68e7ed2c1e4}</author>
    <author>tc={756c4af1-689d-4cca-915e-07e893486f9d}</author>
    <author>tc={759a7ade-ec03-4cf2-8696-cb9cb518106c}</author>
    <author>tc={75bd4bf7-f5e1-4b31-9291-3155b22743d4}</author>
    <author>tc={75d1eaff-6e48-43a2-a831-2d3730cdd3a6}</author>
    <author>tc={75e27d7b-8874-460a-a736-2bc20b54c120}</author>
    <author>tc={760989c3-1347-4342-80f1-ea3e30740647}</author>
    <author>tc={7622a423-19ec-4894-8155-0b5bc676aecf}</author>
    <author>tc={762c7d54-5f45-41fe-a839-9a2d71f161b8}</author>
    <author>tc={763c4bda-5a17-4218-8f84-0e24d916cb62}</author>
    <author>tc={764bf579-8f1d-497c-9d7a-a8d5b1dd687b}</author>
    <author>tc={764c23e4-4e9d-4815-8192-0a8a8ca313b3}</author>
    <author>tc={76526311-04d7-446c-babc-56a7ca76c642}</author>
    <author>tc={7653829e-89c8-4a5f-b5b1-0324f3884061}</author>
    <author>tc={76752936-9c6b-4dd8-90ea-ca9b19b117c0}</author>
    <author>tc={76b7893f-e367-4f12-aad7-b16cf9519772}</author>
    <author>tc={76bc1606-a975-484a-b388-ec46c0370eb3}</author>
    <author>tc={76e03432-62b2-4d04-b67a-63b717c08fa3}</author>
    <author>tc={76f15c56-b8ae-484a-badc-63d700660767}</author>
    <author>tc={76f9d47c-d222-4df1-9964-8264d2a905c6}</author>
    <author>tc={7705c8e6-3cc9-475e-b810-144bfdd686c9}</author>
    <author>tc={7713a335-0fe2-4614-9793-706bf49218a1}</author>
    <author>tc={77326b35-c155-4e4b-b133-a31ebf7fa909}</author>
    <author>tc={773a2e64-754a-4d42-8c95-b52e7382113d}</author>
    <author>tc={7757e26c-e223-4613-afdd-73ac23184ab0}</author>
    <author>tc={77664ccb-d8af-4ae9-9af0-c3a2e3a92384}</author>
    <author>tc={7768224c-eb81-4317-b142-137a588c05fd}</author>
    <author>tc={77978415-8cdb-4c73-aa2c-78d8b896a02c}</author>
    <author>tc={77d1cdea-90c5-4ed3-8aab-165b037fb04a}</author>
    <author>tc={77e3b1af-c946-4b1c-813c-214e7729b48c}</author>
    <author>tc={77f5c298-f41c-4904-ac2a-ebd752500c51}</author>
    <author>tc={77fc585d-ef0d-4641-970c-be5e7759dccb}</author>
    <author>tc={78430f4a-5550-42da-9e0a-636e479294fa}</author>
    <author>tc={78448726-984f-423c-821f-d181efaa9f14}</author>
    <author>tc={78471c77-f8eb-4186-aeb0-1636b922c754}</author>
    <author>tc={7868a545-39c5-4ad4-bffb-a6104c25391b}</author>
    <author>tc={787a0562-aee5-4807-b53b-d157e4833d4c}</author>
    <author>tc={78a49b81-5a06-485c-8367-9ae824967799}</author>
    <author>tc={78f0515b-499b-4365-9311-ba9eaf8fd835}</author>
    <author>tc={78f726e9-f2ae-4693-9275-76daa241da44}</author>
    <author>tc={7950ccf2-d171-423e-a000-90326f1c0a15}</author>
    <author>tc={795c1d0d-0f98-47c0-bf65-794b8e6b0e98}</author>
    <author>tc={796a461c-7f64-46e4-bba6-f6826ca8ad5a}</author>
    <author>tc={79713a85-8e8b-425c-9739-83992282a7a7}</author>
    <author>tc={797b1046-cef2-4492-a74b-c7c38df05cb9}</author>
    <author>tc={79bb1b24-4988-444d-b1fc-148fdd19ef53}</author>
    <author>tc={79c8a550-48a6-4a0f-939d-d3841bb8c3a1}</author>
    <author>tc={79d46d53-5dbf-43a1-a593-642eb85ef638}</author>
    <author>tc={79fff2fb-4190-480e-aa96-82397ff08c0c}</author>
    <author>tc={7a18089c-650e-4a46-9705-59e6f5f5d430}</author>
    <author>tc={7a84dfae-f4e5-4b46-b866-36c404a761be}</author>
    <author>tc={7a8dbf47-7263-419c-a6b4-c52c32884e6e}</author>
    <author>tc={7ac62fc6-68bd-4551-b8c2-8435761e85a7}</author>
    <author>tc={7af53901-6b30-4ea9-879b-268f56f541a1}</author>
    <author>tc={7afe85c0-e3df-4421-982f-aef78706ea92}</author>
    <author>tc={7b08bc10-33f2-417e-8cbf-a72d10ea1347}</author>
    <author>tc={7b142207-4d73-4b7d-b26b-8efe4be7ed72}</author>
    <author>tc={7b166fa3-8ebe-46dc-8c1f-f08e909f636d}</author>
    <author>tc={7b2dccfd-9f12-4df6-ac66-5df8315e6b6f}</author>
    <author>tc={7b6f1113-37b8-4339-b9b3-32b23c7eb2e5}</author>
    <author>tc={7ba8f871-4113-4045-b619-fdea0cf8027f}</author>
    <author>tc={7bacf1d1-2fc0-455e-b04d-6f7e4878e864}</author>
    <author>tc={7be3c7fd-042e-4747-8b8a-d5a4cdd5d143}</author>
    <author>tc={7c0e0e9a-00a8-4fee-9205-1dd46336f4ad}</author>
    <author>tc={7c3d0503-9b9c-430b-af0b-4aaf3eda1369}</author>
    <author>tc={7c548404-546d-44d6-8dc6-876ac777c235}</author>
    <author>tc={7c8e3272-62cf-4ef5-b3d1-b966a4d37ab3}</author>
    <author>tc={7c9dba17-a1c0-4b1f-9816-a576ec6bf048}</author>
    <author>tc={7cc561c5-16fc-4201-afc0-628707694f46}</author>
    <author>tc={7cd11d31-3da5-4cf1-a8dc-597e5726062d}</author>
    <author>tc={7d081896-6ea5-4881-a322-cb9e09dd23b6}</author>
    <author>tc={7d1755ff-85e6-4a15-9fe8-e13aad499077}</author>
    <author>tc={7d912654-85fe-4bd1-bd56-a7086db91364}</author>
    <author>tc={7da7c183-ef42-4106-868a-1dc2c31c16cf}</author>
    <author>tc={7dafb408-e717-4d71-b618-0920ba9ae275}</author>
    <author>tc={7dbc7c24-9b49-4661-a181-7207071ee446}</author>
    <author>tc={7e153ac6-592c-4201-a683-8e5e38e3669d}</author>
    <author>tc={7e276de0-14b7-4a96-953a-3c6ad23c97dc}</author>
    <author>tc={7e5831d1-f2c5-446e-8ea6-560bb7f49820}</author>
    <author>tc={7e8e1260-574a-43fc-985d-72075779806d}</author>
    <author>tc={7e901349-343a-4267-93c2-b14a371bb240}</author>
    <author>tc={7eb2476e-3b21-4818-87ff-7541f1090771}</author>
    <author>tc={7ebdd82c-41ce-49ec-8188-11ae4dc1b748}</author>
    <author>tc={7ee807d0-bb01-4083-8e44-4706b73e467a}</author>
    <author>tc={7f041c1f-33db-43ca-b3dc-57337db4699b}</author>
    <author>tc={7f6dcb74-b3f6-4653-a766-2c016c73db8f}</author>
    <author>tc={7f9853fa-3481-4fe0-b431-2a48a1fb5ea6}</author>
    <author>tc={7fc994d8-8e7d-423f-8250-f32a8ea80453}</author>
    <author>tc={7fd94109-878d-4694-a5be-16aee33786a3}</author>
    <author>tc={802735cd-30bd-4572-9b22-e24228026598}</author>
    <author>tc={8039fa04-c797-43eb-82e6-6b7ce0695e75}</author>
    <author>tc={8074bc67-f46f-4aa1-a818-7448c262a3d7}</author>
    <author>tc={807911b4-ceea-4f35-89ee-d2712d1c67aa}</author>
    <author>tc={807c617b-4cc3-4d19-8886-a59e73581d45}</author>
    <author>tc={80bc30af-f603-4673-ab0d-b458b05b35f9}</author>
    <author>tc={80d4a39a-10f3-4696-90bb-a61738b78d9f}</author>
    <author>tc={80f1be5f-80bd-4d68-898f-ff1e951e6e84}</author>
    <author>tc={80f9bc67-bbe7-4963-965c-0e4f858b25fc}</author>
    <author>tc={81000dd4-44dc-4294-8d56-2d654a21a82d}</author>
    <author>tc={810eabb3-26a1-4b08-b2c9-16073005e954}</author>
    <author>tc={812323a4-09a3-4f0c-a43b-336b475ffabc}</author>
    <author>tc={813bd15c-6f20-44a4-a54a-1223f9e88bbd}</author>
    <author>tc={814abd92-6000-4771-9e05-9938150e6d8e}</author>
    <author>tc={814d67fe-da6a-4d4a-9313-ddd75d4d1302}</author>
    <author>tc={81512847-57a6-494a-9ebf-9918349fc23f}</author>
    <author>tc={81552c24-ccb9-4eed-ae07-da3107239c38}</author>
    <author>tc={815adf17-d3c0-40a8-8a27-567c9172a2cd}</author>
    <author>tc={81b1545e-e72e-4980-9b74-2ab15f568034}</author>
    <author>tc={81b957ff-afd6-457c-857c-16f1f9fc6353}</author>
    <author>tc={81f93fc5-3ed0-41d4-a826-53a7a785dddf}</author>
    <author>tc={824da676-7340-4710-9a73-ea5d75309687}</author>
    <author>tc={82631492-464a-4415-858a-451530f9e3ff}</author>
    <author>tc={828be83d-8592-4680-9d84-feac55a6f6cd}</author>
    <author>tc={8290d267-f5f0-4439-91b5-9aeb7d643e1b}</author>
    <author>tc={82bf4098-56cf-4131-9370-47fc76cfb24e}</author>
    <author>tc={82def7d6-6c70-404b-8864-2ba184f2ef39}</author>
    <author>tc={831fefcc-1a57-49cb-b32d-20f349cf120b}</author>
    <author>tc={83263a2e-cc12-4dea-9529-97cd8303987f}</author>
    <author>tc={833a3b69-088e-4bec-805e-1eefe8ee4d27}</author>
    <author>tc={835a2af8-b76e-4e64-b42c-84e6843245f5}</author>
    <author>tc={839cb8ab-9640-43a4-a4e5-7f984f7e175c}</author>
    <author>tc={83c76c8d-eb94-46a0-87cf-d27c9cfabc39}</author>
    <author>tc={83d26a59-8587-4b17-87af-10a520a3a8f5}</author>
    <author>tc={83e3e055-70be-42bc-bdbd-3bb3de10a154}</author>
    <author>tc={841d67c1-da06-46cf-9271-7191198ff679}</author>
    <author>tc={841e6599-bcd1-43bf-96b4-6f064104c6ef}</author>
    <author>tc={8426a33d-ae0a-448d-a9b1-4184343f29e3}</author>
    <author>tc={842ac207-6f68-45f3-b450-ccdcc8fb0357}</author>
    <author>tc={84626a8d-4a25-4ee6-b741-8c2931e5080e}</author>
    <author>tc={84668ffe-f59e-49a4-91dc-c499466b8721}</author>
    <author>tc={849321f4-5bc7-4e10-a4dd-bafb0aa850d9}</author>
    <author>tc={84c67695-e180-41c7-826a-2697fd157fa5}</author>
    <author>tc={84d189f4-1464-4775-b4bf-9e6e6089dd13}</author>
    <author>tc={84d2759e-e24e-4287-80aa-a9d189ff1856}</author>
    <author>tc={84e79a64-f659-4f98-a9e0-e91b41eaa6c3}</author>
    <author>tc={84ed731f-9db2-48d2-b614-c6e96e24bfd9}</author>
    <author>tc={8514627e-fd30-488a-a85c-10375d33199e}</author>
    <author>tc={854bfb6a-eb7f-4c86-a9b4-0e46001d6cce}</author>
    <author>tc={8597af9b-2c98-458d-a66b-ceb1ffd3ec61}</author>
    <author>tc={8621c7a6-c044-4865-983c-d6c9afcf479e}</author>
    <author>tc={862fe01b-52a2-4d62-b1b4-4cd37233c483}</author>
    <author>tc={8639c8d2-8e1a-4838-8293-9ac79436b9de}</author>
    <author>tc={866c51ef-18b2-4d9f-a957-141e98840c91}</author>
    <author>tc={867c050d-a255-49ef-9e10-c02563aa90ef}</author>
    <author>tc={86ce9d47-c473-49de-a4bd-85c3e7c1254e}</author>
    <author>tc={86dee9fc-d553-4071-b324-9b854f9a72c8}</author>
    <author>tc={86f48cf9-fa82-48bd-9e63-e498b6093d64}</author>
    <author>tc={87036704-4e4e-4e63-94a8-89a4de6022ac}</author>
    <author>tc={87210313-f59b-473b-97cf-4c1ed42033cb}</author>
    <author>tc={8731016c-19d4-4e6c-8b27-6f59b45b01c8}</author>
    <author>tc={87465af7-f9a3-4c40-bc60-85e2823b5b50}</author>
    <author>tc={8753bccb-3e80-49e2-b13b-3f17a38673d4}</author>
    <author>tc={876a18c8-d14b-401e-a360-44dbda9665ca}</author>
    <author>tc={87c35645-82a0-4b0e-bd7c-481c991e990f}</author>
    <author>tc={880c7d59-ff6d-4339-9c19-5015217df129}</author>
    <author>tc={881f0f00-59ea-4086-a1bc-f3746db81c24}</author>
    <author>tc={8826038f-deea-4b0f-9f0d-091905d864e6}</author>
    <author>tc={886746c0-a457-4fb5-93fb-5b93a00d5244}</author>
    <author>tc={8873bb47-cc89-4f8b-bd83-6920251208ce}</author>
    <author>tc={88981f0f-7633-47f6-8465-c8d717470c11}</author>
    <author>tc={889cf164-3b93-4c48-a8d6-42f54b4baf67}</author>
    <author>tc={88ffab5f-e980-4a70-b91b-5d6147c83935}</author>
    <author>tc={892e685d-5c70-4cda-a4aa-24d477c42572}</author>
    <author>tc={89300c10-107e-4def-ac2d-3c8b8c669448}</author>
    <author>tc={89549eb5-437a-4cde-99ff-3298af0cddeb}</author>
    <author>tc={897f33f4-c08f-44bd-80f7-22c992108c94}</author>
    <author>tc={89a89be2-56c5-4a53-a224-ad37eba93296}</author>
    <author>tc={89c02937-5bfa-4357-a712-3178b9d8c1b9}</author>
    <author>tc={89d22889-1b9a-463f-be92-4de3a3c2eab6}</author>
    <author>tc={89f436ba-6609-4727-9f41-5743e4cbc317}</author>
    <author>tc={8a0e464f-b514-40f6-9614-50002828479d}</author>
    <author>tc={8a1eae02-0c9f-4b5b-9755-bc02827f2e1d}</author>
    <author>tc={8a6f1f3e-d3f2-44f8-9e2a-71592db04796}</author>
    <author>tc={8a9a85cc-1141-4ba5-ba79-18fca5efbe39}</author>
    <author>tc={8b295135-18fe-415e-a9b7-d7da23dd992e}</author>
    <author>tc={8b655ca2-2641-4097-8d56-132af28ee093}</author>
    <author>tc={8b834d6c-7610-42d2-b5ce-187b01a5262c}</author>
    <author>tc={8b8bbe5e-d2da-442b-97c9-2723c0766f5f}</author>
    <author>tc={8c0748d6-22ce-439d-be49-7867beee3ba5}</author>
    <author>tc={8c078e2e-d39c-443c-a590-68228f78de72}</author>
    <author>tc={8c10c6e5-8ffb-4764-bb74-53a149637341}</author>
    <author>tc={8c3dc36c-4a29-4c69-93b4-c9def74d38b2}</author>
    <author>tc={8c630b16-0a6e-43bf-8480-b843086be8f1}</author>
    <author>tc={8c7e69e3-859a-46be-be9c-dcb92ccad401}</author>
    <author>tc={8c824e4d-f441-490b-8d23-1004ceb5df21}</author>
    <author>tc={8ca6c012-fd8e-4dcc-84e6-40cb4b5450db}</author>
    <author>tc={8cd633ab-68af-4e56-90c4-38e5a137033f}</author>
    <author>tc={8cf8aee0-52f6-4126-b54f-72ff931b4666}</author>
    <author>tc={8d04cc9c-4e78-4dda-94f2-16c5bbd6b7fd}</author>
    <author>tc={8d19288e-d958-4829-8859-77afea974f73}</author>
    <author>tc={8d518edb-9a92-4128-85e5-77240910404d}</author>
    <author>tc={8d67806e-10df-4f72-b174-3abc3de5f086}</author>
    <author>tc={8d944a91-9b37-4e5e-8105-1d940c7214af}</author>
    <author>tc={8d9faf76-373a-455b-aa32-fefb7660ebeb}</author>
    <author>tc={8da2b544-f9a5-461d-a05a-d599e1b2f561}</author>
    <author>tc={8dbe41ec-4f1e-4d02-b466-a163daaff166}</author>
    <author>tc={8de70139-ccf4-4ed7-bf66-9ecc232b7ae8}</author>
    <author>tc={8e09c9b2-ac7a-4651-9642-5ddce043ec70}</author>
    <author>tc={8e1b3af3-7d51-47ad-a744-bbafae3f7c69}</author>
    <author>tc={8e20c09a-7a5e-4d61-af58-2a930568cfb0}</author>
    <author>tc={8e25bf77-b1df-4441-91a0-d679cb6bc837}</author>
    <author>tc={8e3671d9-ed14-48f6-a242-30f47e4b3b3a}</author>
    <author>tc={8e3eefd8-74b2-4db6-9756-f15096af0e3c}</author>
    <author>tc={8e77d18b-a6b1-4b35-86ad-4e8997c0fa0d}</author>
    <author>tc={8f13fb7f-ea24-4882-a352-ccb2751a3b4c}</author>
    <author>tc={8f1d27af-52ff-4b8a-86c3-b9d47cc69f15}</author>
    <author>tc={8f5c7bf4-9058-4fbf-ac26-64e5fecaf540}</author>
    <author>tc={8f8ba054-94ec-4ffd-9d03-869aff867ef0}</author>
    <author>tc={8fb3cde6-f433-4672-be44-d599fa630b25}</author>
    <author>tc={8fe4c5d2-e0ad-4ef1-ba4c-a33a5f2cabd9}</author>
    <author>tc={8fef4d78-2a39-4c8a-90e5-7d6266e1ed3b}</author>
    <author>tc={90107935-16cc-4705-909a-bfc5c3b973ef}</author>
    <author>tc={902d37f1-b15d-410c-8bad-cb99d9e8bc47}</author>
    <author>tc={903d8ea4-8571-4457-b2e6-33c7ea7f2796}</author>
    <author>tc={90566287-111a-465e-af17-1bef97a687ff}</author>
    <author>tc={906580cd-578c-45fa-b490-c35bd97e0cb7}</author>
    <author>tc={90734001-dde0-4d54-919f-e6c6cc1a338e}</author>
    <author>tc={9089d752-fad1-4725-850d-6e88f2d3843d}</author>
    <author>tc={90cc6873-8e92-40d9-83ee-52dc2dfecc6d}</author>
    <author>tc={90dc3bcd-c55d-4fab-bd2b-77bf5f1eff8e}</author>
    <author>tc={90ee2428-73b8-4557-87b6-4bb2831581df}</author>
    <author>tc={90f5d8d6-98e7-41ff-8850-5eadccab1099}</author>
    <author>tc={90ff7ca6-28ab-4209-8d2d-112680cc83cb}</author>
    <author>tc={9120ff0e-572f-4925-91c0-215d7fb35132}</author>
    <author>tc={912ccb26-54b4-4c75-917d-abed043a77a3}</author>
    <author>tc={91564119-d845-4c11-b88a-b42cbff0e0ec}</author>
    <author>tc={915aede0-cd9f-4cf0-8e79-a217a30de764}</author>
    <author>tc={9176a5f7-89a7-47d3-861f-f18825e893a0}</author>
    <author>tc={918650e3-7ddf-49c0-82f3-ea6d742e716b}</author>
    <author>tc={91874ea5-797b-426a-88f0-4bf29e8c3e26}</author>
    <author>tc={920c4065-1046-4a3e-aa8b-dccb84754c99}</author>
    <author>tc={9219696f-7dc8-4eff-b182-652f4d3f2448}</author>
    <author>tc={92272d86-80da-4735-a60b-cc3fdcdff458}</author>
    <author>tc={924a0355-56d2-48a4-87ec-e6b2de4e9ef0}</author>
    <author>tc={926f472c-b5a5-43e7-8ea2-840708cd12ea}</author>
    <author>tc={927802c7-0880-49c5-87ea-85d7ef4f6d1d}</author>
    <author>tc={9284b4e9-7142-4670-a882-04fe809965ce}</author>
    <author>tc={92b92a95-b504-4164-98d6-5dc16190af6d}</author>
    <author>tc={92df73fc-04c2-4a25-9a7e-f73cad294226}</author>
    <author>tc={93098a26-8aca-4d3d-bbd4-0a8cb7ebda39}</author>
    <author>tc={93293df8-43fc-4591-92ad-8174db9d35f3}</author>
    <author>tc={9341e5c0-9333-445f-a7f2-d9f89e619408}</author>
    <author>tc={937dd9f9-0048-4ed2-85ed-05887660fffe}</author>
    <author>tc={93c0fb48-4bfb-44b0-8684-2fdfd72d58e3}</author>
    <author>tc={9409f17a-0176-4e0e-ac23-7447f8e0d0ec}</author>
    <author>tc={945d4934-3f59-42ad-ba5d-1ab1c27a34da}</author>
    <author>tc={947048b2-9785-449a-a3fb-4671c5263aba}</author>
    <author>tc={94aaeed6-bfc3-41a7-a55c-ca2bae767610}</author>
    <author>tc={94dbeae3-5c84-449b-a9c5-c6015e2dcc0f}</author>
    <author>tc={94ff1aa1-776c-42fb-82de-0ca4e36b90e0}</author>
    <author>tc={94ff6dd1-ed78-4c9d-baf9-0a8371648d5a}</author>
    <author>tc={950bdd1f-3901-4806-84d7-ba21d9a81df0}</author>
    <author>tc={9510ad84-3079-48ac-8fdc-d6305c92f251}</author>
    <author>tc={953c8556-94e9-4f98-b733-ae9cdb207f95}</author>
    <author>tc={9563d407-a1f1-487e-a4cd-4ddba6d0f8c8}</author>
    <author>tc={957c7da8-47f0-4ce2-8619-98e6f16ed1f7}</author>
    <author>tc={95b0580d-5b62-4b1f-990c-d8224335751f}</author>
    <author>tc={95b1d843-f1d2-41ef-833c-390348022293}</author>
    <author>tc={95ceef75-f37b-42e5-b4d2-dbad0ca507a6}</author>
    <author>tc={95e745bf-b897-4a6c-b640-945136d2f9d5}</author>
    <author>tc={965ab28c-4bfc-454e-aacc-ae4748ceabef}</author>
    <author>tc={96b53b0b-04a3-47cd-8dc1-1b51f8b7d8cb}</author>
    <author>tc={96c121f5-e319-46a7-b1a4-c06fe81dc7c3}</author>
    <author>tc={96c1ee3a-3127-4596-bd12-8152ac431a9f}</author>
    <author>tc={96c97c58-6c9b-44d6-bb91-91928f4a2df6}</author>
    <author>tc={96ca1c3d-1ea1-467e-964e-497d605471fa}</author>
    <author>tc={96cfed26-370a-4fe6-acff-92a2ad7fb6d3}</author>
    <author>tc={96e681d4-5a63-469b-a9fe-41da1ae249b2}</author>
    <author>tc={9722775e-2b8b-41fa-b600-b226602fd0ec}</author>
    <author>tc={97529423-591c-4b3d-83d2-a898436a76bd}</author>
    <author>tc={977df2e9-d48c-4820-9122-c9cc405f6d51}</author>
    <author>tc={978da125-65c6-411c-baa0-3db6bb340043}</author>
    <author>tc={97ada80b-300d-430d-aebb-3e53b220a08e}</author>
    <author>tc={97dd5198-a430-4fa9-8670-88bba56dacf7}</author>
    <author>tc={97e95ff4-6086-4b48-8c15-0bf6b871e2d9}</author>
    <author>tc={9896b727-8a83-42f3-a6e8-d61a4d230be2}</author>
    <author>tc={98a404d4-8f27-4d28-9425-0e7a587fcf47}</author>
    <author>tc={98c31597-efeb-40b9-b771-09d8840b5422}</author>
    <author>tc={98d9d190-d583-4ba5-91eb-dccdb345ec98}</author>
    <author>tc={9902ada4-5f52-4ae8-8ff7-4aef5182bb7f}</author>
    <author>tc={990cf9a5-f49e-42c0-9cde-837ca3f7d603}</author>
    <author>tc={991f94d8-46a0-48e3-8220-1c3f2461ed1e}</author>
    <author>tc={9938ab9b-4369-4781-995f-0617960f51e9}</author>
    <author>tc={993f7531-ca1b-40b4-b345-711a75e4c022}</author>
    <author>tc={9953af39-0afe-4da1-a811-95822d708020}</author>
    <author>tc={9960ad7a-b93d-407d-820c-622e643ef4cb}</author>
    <author>tc={9997ac9f-5135-42bc-b0b6-ab17341f85f9}</author>
    <author>tc={99f4791b-161c-4e13-81af-5befac3d09e4}</author>
    <author>tc={9a0c2892-1ce4-4020-8a77-0a9524cf980a}</author>
    <author>tc={9a17e711-88c1-49fc-8435-1c832404e21e}</author>
    <author>tc={9a226e09-759d-4fd5-8488-3d7b5f3814d9}</author>
    <author>tc={9a3de050-b7f1-455a-ad0e-7ef061a6a751}</author>
    <author>tc={9a6666d6-ecce-4d7d-9ee8-59bed9114906}</author>
    <author>tc={9a6e7e51-b145-4f40-a6a3-de20dc6e5c32}</author>
    <author>tc={9a73ce4e-d46d-41b6-a062-46998f3b3b74}</author>
    <author>tc={9a88054d-b568-4836-8f75-53bb327f871b}</author>
    <author>tc={9a92d4ab-eb7f-456f-96ea-1db4c57d01d2}</author>
    <author>tc={9a991c24-23ff-4294-bd37-c2410988f10f}</author>
    <author>tc={9aba4510-e42f-4999-8c88-459acd6e00ab}</author>
    <author>tc={9acb44bb-3f11-4a08-8211-8c5ded0e2651}</author>
    <author>tc={9ae11e92-2589-4af1-8607-f18174a14437}</author>
    <author>tc={9af0bbd1-c648-405a-8e15-c65bcc0893cd}</author>
    <author>tc={9b204298-bd92-4e85-85d2-a84771c59a68}</author>
    <author>tc={9b351722-dbf5-49cf-b084-ecc741b30987}</author>
    <author>tc={9b482d6a-5102-4bfc-8c30-24b4e7d2a8f6}</author>
    <author>tc={9b5039ac-a072-46c8-b245-dbaac4f826b3}</author>
    <author>tc={9b576243-6a35-4c75-8c22-1143acc91f1d}</author>
    <author>tc={9b5a1a78-8000-4d92-aad3-f65e60a834b3}</author>
    <author>tc={9b6ff849-b358-4620-947e-dc0a04d70b0a}</author>
    <author>tc={9bdacae6-6c52-42f6-ae6d-047971113c3a}</author>
    <author>tc={9bffac01-3c1e-4b7e-b487-a8aa5c8ff5c7}</author>
    <author>tc={9c12541c-7b34-4104-a66b-e229870eca91}</author>
    <author>tc={9c18559c-1c4b-490d-92b3-e00b64c86f9e}</author>
    <author>tc={9c3b3981-6bae-4251-b167-7ea6251e5634}</author>
    <author>tc={9c6f6384-02bb-4ede-8373-0c187f50189b}</author>
    <author>tc={9cb051b9-f0d2-480c-a651-5da5d107c18e}</author>
    <author>tc={9cdbc9b3-57f7-426c-9229-3b91518b4e0f}</author>
    <author>tc={9cf8ce34-5a86-442e-bec7-de51b4e5a9ba}</author>
    <author>tc={9d21a534-3afa-481f-b27e-9d52dc723506}</author>
    <author>tc={9d31e3b1-1ee4-4e77-82d1-529b1b3e9747}</author>
    <author>tc={9d404bf0-9382-4f4e-91c2-ff1851a2a76f}</author>
    <author>tc={9d5fc167-af40-4c36-8b71-a3d7dabdec61}</author>
    <author>tc={9d9b1559-5509-43ad-b876-0f53feeb465d}</author>
    <author>tc={9e1d3642-57ba-4886-9114-0c0a52cf3531}</author>
    <author>tc={9e23f70e-51a4-45da-9281-34da98156658}</author>
    <author>tc={9e4ea9c0-f2d3-4770-ada4-21d07674f59d}</author>
    <author>tc={9e615e2e-c7a1-47d0-b558-c69222b3e7a8}</author>
    <author>tc={9e706f39-8af6-4a83-93bc-5aceae474980}</author>
    <author>tc={9eb718a5-f564-40f0-a6c7-d81bb1dcaedb}</author>
    <author>tc={9eec5892-b692-4a2a-a882-ce04d06b0c7b}</author>
    <author>tc={9efa1eec-5afa-474f-ae63-b3b097797f48}</author>
    <author>tc={9efb3076-4d60-432f-a1f0-98fb178870fa}</author>
    <author>tc={9f0abca7-30fc-4896-be5c-54dab83ab30f}</author>
    <author>tc={9f43ddfb-131c-4a49-86ce-ffedfff1d18e}</author>
    <author>tc={9f4859cc-20b9-4657-a880-2158d4b2e8f3}</author>
    <author>tc={9f4fd8b8-9fd0-4cfd-8c2c-3ec17a03641b}</author>
    <author>tc={9f7606f9-6ffe-40e3-8371-18d00331e2b4}</author>
    <author>tc={9f9c8130-f1fe-44ea-b939-1cb40c4f5079}</author>
    <author>tc={9fbf2099-5dbd-484e-9d94-511ac31c04fc}</author>
    <author>tc={9fd8ada3-13cf-4bf8-b7a9-7f99a32ecfa8}</author>
    <author>tc={9fd9d721-332c-4664-8f18-a7649d617dd2}</author>
    <author>tc={9feb3239-b35e-4475-9ea7-8be7749ac9e5}</author>
    <author>tc={9ff4a62b-3e4c-4c16-8392-eefae227935e}</author>
    <author>tc={9ff93520-bdca-4000-8ac3-8913916753d3}</author>
    <author>tc={a00e640d-f9db-4c71-bc22-db7bc3aa80a0}</author>
    <author>tc={a0382c42-6b69-4ab9-952f-91f515a05a1b}</author>
    <author>tc={a079f978-d7ff-48d2-bf4d-cfe10d704282}</author>
    <author>tc={a0950308-5c92-4433-a215-3aa0a61b9f40}</author>
    <author>tc={a0cfadcd-f92a-460e-9c55-645b4f371782}</author>
    <author>tc={a0dd8c03-6452-44ec-8637-517da8b16cf0}</author>
    <author>tc={a10483f7-b3dc-4804-868b-af36ebb01fcb}</author>
    <author>tc={a10a32e7-2480-443b-a33c-2947ba350212}</author>
    <author>tc={a13ea31f-83f8-493b-ae50-0308ef070ed5}</author>
    <author>tc={a15dfa76-a04f-41ea-b66c-1eaa69a738ef}</author>
    <author>tc={a1ce01a3-4a5c-49af-82ed-ad694edf04ce}</author>
    <author>tc={a22d48a7-5fe9-4efb-954d-65ddd52eb26b}</author>
    <author>tc={a25ce7c4-3ce4-41a0-a7db-4a2fb1141dbb}</author>
    <author>tc={a260495b-3b1f-48c9-91f1-c54dfa67030e}</author>
    <author>tc={a272a70d-a1ce-48f6-b7b4-5939286e5fd4}</author>
    <author>tc={a279cceb-b3a7-4bb6-8dd1-1e6bd41d1caf}</author>
    <author>tc={a27fc542-7125-4f35-aea6-576c4da96189}</author>
    <author>tc={a2818c29-e2bf-45c3-aadd-beb14ce086fd}</author>
    <author>tc={a28b6fa0-dce7-4bcd-8cdc-373369b29aaf}</author>
    <author>tc={a2af9120-6229-40b6-b517-ac5767c7fa99}</author>
    <author>tc={a2d46653-5205-428d-90a8-f81d6a56be24}</author>
    <author>tc={a317fc65-cbfb-40fe-962a-6936098dcef1}</author>
    <author>tc={a3427b1c-c93d-424c-aa40-c5ebad13331b}</author>
    <author>tc={a347cd5a-a038-40d7-af49-a409483ae7e8}</author>
    <author>tc={a3503810-7748-4dbe-bcc1-842f5829d8f6}</author>
    <author>tc={a3650349-e85c-4b58-9063-08ad9a049fd6}</author>
    <author>tc={a387246e-bc97-4f7b-b46e-a7cfd000f7fd}</author>
    <author>tc={a3a83132-daf4-4519-8376-53c01dc4f33b}</author>
    <author>tc={a3dea2fa-5f26-4501-9778-83eb24ed4b43}</author>
    <author>tc={a40bc7e5-c137-4975-974d-672aa1d5830e}</author>
    <author>tc={a43f4508-1460-4122-846c-3a7e45a49388}</author>
    <author>tc={a443e57d-f3be-4ec2-89bc-d4b953d78d80}</author>
    <author>tc={a456e805-371f-41ea-8829-ab16cfe311f4}</author>
    <author>tc={a4782d46-a115-4bfe-8815-3337c9721c86}</author>
    <author>tc={a4829138-389f-4ca0-9aca-02776a3b852b}</author>
    <author>tc={a4a32c23-36dd-4cd1-a393-ab5e59024ff5}</author>
    <author>tc={a4acdbf9-88c2-4ec2-bf62-04070faa1610}</author>
    <author>tc={a4bfe073-aaa1-4f02-8a21-faff996cd292}</author>
    <author>tc={a4c9d85c-ddd2-416c-b3ac-404306f7b9b0}</author>
    <author>tc={a4c9dfd6-47c6-4230-a8a9-8cee347c0a82}</author>
    <author>tc={a4d40398-241a-493f-ae2f-a5de6da962cb}</author>
    <author>tc={a4f76f5b-774b-4775-8482-799c3a43a626}</author>
    <author>tc={a4ff0bab-fbbf-4e60-bb8f-839f2e066873}</author>
    <author>tc={a5426f61-9824-47d4-920b-3a20a5cc91be}</author>
    <author>tc={a5534516-4774-400f-b7a5-48561a974aa9}</author>
    <author>tc={a561bc7f-5405-48d0-b988-a8cb6f0d8072}</author>
    <author>tc={a56428bf-147a-4cf0-b6e8-4e251792e6d2}</author>
    <author>tc={a5abef4c-82ea-4b92-8e9d-ade9b7d8f3f9}</author>
    <author>tc={a5b69665-f152-4358-977f-a7184045479c}</author>
    <author>tc={a5bacd3b-2038-4954-88e6-6822639d5586}</author>
    <author>tc={a5cfe6b1-abcd-407b-8d0e-2fad6ab8e63a}</author>
    <author>tc={a5d0c535-f6c7-4dde-9b3d-bceec867b593}</author>
    <author>tc={a5d6b016-f1c4-4183-9631-92866d41b6a5}</author>
    <author>tc={a6183463-80b0-49ee-8c6f-abf32d7582ae}</author>
    <author>tc={a6231693-1838-4196-9c5f-446cd6cfe1f0}</author>
    <author>tc={a623eb4e-5bda-4395-bfde-15bbec80950f}</author>
    <author>tc={a68f5ea8-7de5-48d8-87d1-4a7079ec0004}</author>
    <author>tc={a6992199-bbaa-4dd0-9c1c-928abda64cc9}</author>
    <author>tc={a6b8d0d2-ba56-4e4c-a7d9-9a702cc1e3b0}</author>
    <author>tc={a6c6b191-f814-4a5a-9ccf-6845e43753c6}</author>
    <author>tc={a6e42ea6-0c20-41fa-8b97-ea1ee4cd1500}</author>
    <author>tc={a6eada46-4058-4cad-878b-552c74751a26}</author>
    <author>tc={a708630c-a760-4fbf-92eb-45beeddf8ec0}</author>
    <author>tc={a718e7ce-8c50-4764-9dd7-a966cce9d475}</author>
    <author>tc={a72f81da-1126-47af-bd6a-930b49ba67a5}</author>
    <author>tc={a737b835-e9c1-4aef-83f4-cb4f88fa0de0}</author>
    <author>tc={a738a15b-4639-45c9-a191-6adc154af058}</author>
    <author>tc={a74b4016-08ba-47ab-ad87-26ee1227824a}</author>
    <author>tc={a76b784d-9c38-46ff-a41b-4769f3938205}</author>
    <author>tc={a7895ebd-842f-4935-aeea-be64c6c10c08}</author>
    <author>tc={a7a881af-df24-42d9-8a9b-703b64990a9f}</author>
    <author>tc={a7ad0f80-58c8-4626-9876-4f65265eec2f}</author>
    <author>tc={a7e2f81b-6a92-489b-bddf-288f05d3f687}</author>
    <author>tc={a7e6bdfa-4baa-488d-ac74-70f0b6bbcbc8}</author>
    <author>tc={a7f09aef-65a9-4062-818c-0f346e168e75}</author>
    <author>tc={a7f9063a-1449-4105-9131-7bcc12c98c7f}</author>
    <author>tc={a826bbc7-e0a9-4810-8cd0-d4c5b9e0ba87}</author>
    <author>tc={a8981fe8-81e2-42b4-b0c6-b60d8ab7796e}</author>
    <author>tc={a8c05bc5-0168-4c9d-af28-421c4aefc344}</author>
    <author>tc={a923bde4-6bf9-4dc0-a9b2-1242573fa4da}</author>
    <author>tc={a93664c6-0892-48f9-8191-f2519ebafc80}</author>
    <author>tc={a9426ce3-58af-492d-a741-df3ebfa77984}</author>
    <author>tc={a978ec76-4039-41b6-96fb-6fbfddcebb80}</author>
    <author>tc={a9b6696b-71b5-4941-b222-9f80526f5b7d}</author>
    <author>tc={a9c8ea2b-aee9-42b4-986a-a7e8f9db5a14}</author>
    <author>tc={a9fa9b7f-39c4-490a-af47-f2420a8fbe7b}</author>
    <author>tc={aa026a69-8dc6-424f-a0cb-056300a819c5}</author>
    <author>tc={aa7a50d8-2cdf-4424-987f-346dd62bb4c9}</author>
    <author>tc={aad9cb30-6c3a-41a5-b31f-ac4bdb116fc9}</author>
    <author>tc={aaf314c6-4b55-411d-8a80-b6d9180df4c1}</author>
    <author>tc={ab051ef8-968f-463f-909a-2c83658a6969}</author>
    <author>tc={ab47d58c-2208-42c3-b1bb-19edfa44e5c1}</author>
    <author>tc={ab5198ed-b93e-482d-a1a6-a044e0377f43}</author>
    <author>tc={ab5a7491-1ffe-4b27-b781-ba92deb0e172}</author>
    <author>tc={aba7cd76-2be7-43ed-98a6-f8bb97016fd6}</author>
    <author>tc={aba7ecaa-a0b4-4fb0-85f6-457e7aa47a66}</author>
    <author>tc={abe691bf-202f-4bed-bad7-69123bbe1aef}</author>
    <author>tc={abf37974-5812-4bd6-ace1-540b3724095a}</author>
    <author>tc={ac070e02-1d3c-4dcd-8c8e-d5a77be13cef}</author>
    <author>tc={ac0775d0-24d9-4aa3-b618-801ac3d43b2e}</author>
    <author>tc={acbaa134-c342-4346-ba8d-2fbeef05b9a6}</author>
    <author>tc={acd9ef3a-a35d-4713-bea2-f3ba17acf2b8}</author>
    <author>tc={ace9559b-0f69-4da8-b323-f0951389e980}</author>
    <author>tc={ad60b3d3-bede-413a-a21e-b153a40ee4b8}</author>
    <author>tc={ada5d2d5-333c-4713-8f49-5ea648a19b7a}</author>
    <author>tc={adb20f10-7ef6-49c7-83b6-643c2c635912}</author>
    <author>tc={adc520a7-9791-4bf3-a30d-5c27bafaf1af}</author>
    <author>tc={ae3e5eaa-1830-49b1-87d0-cc19bc7115ac}</author>
    <author>tc={ae6ca2ce-339e-4348-8584-7954607f66cf}</author>
    <author>tc={aec47c20-f029-4ffb-bf13-749675e4c7a5}</author>
    <author>tc={aee3b6f0-37d2-43af-b20a-2ea963f38a1c}</author>
    <author>tc={af3433ae-959b-4a9e-aa1e-8a885a47c0a0}</author>
    <author>tc={af60a781-c0ab-4e94-99e1-e4509f0dc7da}</author>
    <author>tc={af82df37-0eed-478a-a31a-3d965cc9579e}</author>
    <author>tc={afa94d3f-1978-42fe-91fe-e1bf1084b942}</author>
    <author>tc={afbdad98-b681-4605-8680-3959902efa65}</author>
    <author>tc={afe9af80-2324-445a-b1e4-d2fa51d440ee}</author>
    <author>tc={b016833f-18d5-4653-bae0-0d9c8c8a2ea6}</author>
    <author>tc={b06a2c4a-18b3-497a-9c38-705c42d26645}</author>
    <author>tc={b08c5b96-9fd6-4e20-8a57-8d5a403660db}</author>
    <author>tc={b0bd3c38-cda5-4183-ab12-1e93383779e4}</author>
    <author>tc={b0c5a440-0f1a-4aa4-9cf6-0ed447f9de02}</author>
    <author>tc={b0e14ff0-8739-44fe-befb-ddd28157d348}</author>
    <author>tc={b0e750b6-1dd8-4a6c-ab86-02820796bdd1}</author>
    <author>tc={b0fd2422-fe6a-4860-8afb-3dd7bb552f2f}</author>
    <author>tc={b10c6598-16d8-4473-85fe-0bf7ef2f03dd}</author>
    <author>tc={b13a7bbf-e09f-4cee-9f6a-ebc14e1df3b5}</author>
    <author>tc={b14f3e49-25e1-45e3-bc8d-41be5a72691f}</author>
    <author>tc={b19844a8-6fb7-4d5c-b3c3-6f1c87f34813}</author>
    <author>tc={b1efb86a-24c7-4bc1-948d-90fddbd9b64c}</author>
    <author>tc={b2023f1e-4c18-43fd-9ca1-fbe91de1d43a}</author>
    <author>tc={b231d977-5268-454c-a4d6-aa636115b07e}</author>
    <author>tc={b2546984-dc92-4641-aa90-1b8f2292e82e}</author>
    <author>tc={b29178af-1738-40e7-9f05-3d45550e03f1}</author>
    <author>tc={b29a2742-3707-4944-b64d-364c0fa8beee}</author>
    <author>tc={b2b4231e-5e9e-4da0-a619-ef186e10d931}</author>
    <author>tc={b2c1207c-434e-4d69-80c8-c97f0510d528}</author>
    <author>tc={b2f6b850-8c62-4021-ae4a-1fab941536f2}</author>
    <author>tc={b31b9767-3109-4acc-9a33-784dc63ebd52}</author>
    <author>tc={b3a5007c-d1fc-46b6-a2db-32eae8413a86}</author>
    <author>tc={b3a86e7b-6884-411c-9599-0f730145a6c4}</author>
    <author>tc={b3b5520c-60f1-4ab4-81e5-2ec0a9b16937}</author>
    <author>tc={b3e2b56a-8d31-4787-89c0-ef060ef9f2c1}</author>
    <author>tc={b3ef3e0c-c913-407b-892f-a2fb59a453ef}</author>
    <author>tc={b423c62c-0d5e-4da5-a639-38ecb3664681}</author>
    <author>tc={b433ef16-7e17-44fd-8da5-e97e2b5e47b5}</author>
    <author>tc={b4948bad-07f3-4071-b546-4f2c8f7c3e77}</author>
    <author>tc={b50b3d28-3bcb-4b7a-9a2d-d6f94b06837a}</author>
    <author>tc={b552aa10-d19f-4b99-aff6-8c03d5241971}</author>
    <author>tc={b5619f61-4e61-4ead-9e90-b6df6c27f665}</author>
    <author>tc={b5c26f07-b10a-4c87-9b49-9f9a242d6126}</author>
    <author>tc={b5f3f6fa-9d09-4da9-8066-67cabe5ea53a}</author>
    <author>tc={b60d9fc3-ee7a-4283-b12c-1abee3efb050}</author>
    <author>tc={b61d979e-2c8f-4949-880e-c74655fe5a67}</author>
    <author>tc={b633ea23-5bcc-4c5a-8f48-09287bbf5f59}</author>
    <author>tc={b63a9489-1217-4f8e-bbbb-57e6cb6ed72e}</author>
    <author>tc={b661dd17-ea21-47db-9e03-6e65f661dbd6}</author>
    <author>tc={b67e6ebc-876c-43bc-b841-528807868d0e}</author>
    <author>tc={b7101222-7a55-42f7-a4d2-209efa6795a3}</author>
    <author>tc={b7238e91-9504-461e-a3c7-121331b5ecaa}</author>
    <author>tc={b76f2723-dc5f-46f1-83a7-276809797096}</author>
    <author>tc={b78665a1-d9d9-4a26-a174-414aac13e55a}</author>
    <author>tc={b7b3bdb7-b281-4dea-91f8-4cac557672ef}</author>
    <author>tc={b7c7618d-8449-43cc-8837-8a2f186c2bf6}</author>
    <author>tc={b7d050bb-1de1-4fd7-8f71-6fe27e1ccfd6}</author>
    <author>tc={b7e0fba7-d844-4cc9-8e2e-b57e4e946e46}</author>
    <author>tc={b8477bb2-c888-48ac-9355-c35fda64f937}</author>
    <author>tc={b87381ae-50e9-4555-8bb8-e8f558701876}</author>
    <author>tc={b891e736-41b6-438f-9ae7-812271679934}</author>
    <author>tc={b895aaca-799a-40ec-9958-a95a8155c6ec}</author>
    <author>tc={b897620b-5ff6-427f-8338-ea07b60d0914}</author>
    <author>tc={b8994ef4-8eda-4d22-b270-021ae6c907e0}</author>
    <author>tc={b8aa21ce-967d-42b2-b04c-e430c11493fd}</author>
    <author>tc={b8b258e5-5783-4291-b2d3-ce3f2ebce0eb}</author>
    <author>tc={b8dd40cd-f518-409e-917f-19bb14450340}</author>
    <author>tc={b90113c3-ab35-4aa7-bc82-8c02dd751156}</author>
    <author>tc={b92b15a8-6814-42e7-8d9d-b735cd565e18}</author>
    <author>tc={b9489be3-f6f1-4aea-a102-888f962aa4e6}</author>
    <author>tc={b9931603-61fe-4b6b-bbfa-1bad609a7ed0}</author>
    <author>tc={b9990089-4ea0-401d-9c3e-f1710ec6b69d}</author>
    <author>tc={b9a8a757-0097-4a1f-ab93-84b1013698c1}</author>
    <author>tc={b9c7bca8-9955-4f5a-91fc-23fb94c47782}</author>
    <author>tc={b9e1380e-f6cb-4de7-a7a0-1bdb02144a3a}</author>
    <author>tc={ba0c504d-9675-4046-81e5-e263029b209b}</author>
    <author>tc={ba333e4e-fb5d-464a-8d5f-40d6821e349c}</author>
    <author>tc={ba582d7a-4b37-4573-af27-ce71d88b9b9e}</author>
    <author>tc={ba725b27-1d00-4bcc-a2c0-7d3d607efdfb}</author>
    <author>tc={ba7e88fc-b3a5-4309-acd9-a9687661df79}</author>
    <author>tc={bad038cb-c599-4c8e-887e-ffd429cc9cf3}</author>
    <author>tc={bb36d3b6-e392-4078-a2cf-4e3b9b09b017}</author>
    <author>tc={bb7258d5-172c-47f3-b7d0-70577e675bb4}</author>
    <author>tc={bb74bacf-05e8-4d6b-bfce-799257e04db8}</author>
    <author>tc={bb76634a-5f33-45ea-a62d-1b80a71160c8}</author>
    <author>tc={bc3e6291-2531-4fb3-948e-0f3fbbe0a08b}</author>
    <author>tc={bc6f87e5-01e6-4d32-84fa-ce091ae74d30}</author>
    <author>tc={bc7190dc-5383-4ffd-abbf-830f7446181b}</author>
    <author>tc={bcbb8cdc-9bbc-4908-b014-5fac86594865}</author>
    <author>tc={bcc599f9-d1e2-4cf4-9f3d-be5f29f9d661}</author>
    <author>tc={bce9420a-83a1-4046-ab20-c0e7e77662a0}</author>
    <author>tc={bceee833-b535-4c8a-bb01-80f9c178f920}</author>
    <author>tc={bd155d94-6cc2-4f74-ae52-95b655cdfa93}</author>
    <author>tc={bd23c948-0f71-411a-bd49-dffbdfac7f72}</author>
    <author>tc={bd437fb3-9e58-4ad6-86e2-60def2448359}</author>
    <author>tc={bd44514e-deca-42dd-b303-f13d66aefef0}</author>
    <author>tc={bd579ceb-22f3-497d-8eb9-5370b176c908}</author>
    <author>tc={bd8a368f-d0fe-4d90-b09b-421c9c3c185e}</author>
    <author>tc={bdf93815-6210-4255-ac18-f6cf4fefd75f}</author>
    <author>tc={be082c35-06b2-47cc-8e3a-68757359d43f}</author>
    <author>tc={be41be9b-601f-4dca-9f98-bf24276c968b}</author>
    <author>tc={be42bc82-7588-4a8d-8607-271c9dd1ea04}</author>
    <author>tc={be561d30-09e4-429c-a495-ec156217dba3}</author>
    <author>tc={be640adf-30d8-4531-b167-521bc4ccb529}</author>
    <author>tc={be8140c7-89c0-4e45-8bf3-fdc6071453f9}</author>
    <author>tc={be8b83be-4356-4ae8-86f7-e7b990a74870}</author>
    <author>tc={beaa93d5-e70c-4ef7-b6a9-ee76b18409cc}</author>
    <author>tc={bf018a46-eccf-4ee1-8ef8-40a196e7fb0e}</author>
    <author>tc={bf05dc1f-03cc-4b50-9dc5-d5cea13f968f}</author>
    <author>tc={bf096c88-bf48-49d8-ac98-a703e4e08698}</author>
    <author>tc={bf0e8356-e07b-4c9a-bcd0-eb324ce7993e}</author>
    <author>tc={bf137753-6a16-46ed-af51-08b6babf8af8}</author>
    <author>tc={bf5284c4-ff01-4bfa-9d67-cb073f61dfec}</author>
    <author>tc={bf64037f-4e31-47d5-93b8-0304ece16727}</author>
    <author>tc={bf6d9350-d656-4400-95ed-5e61194840a6}</author>
    <author>tc={bfb714db-15ed-4311-9e52-1e54b9085c90}</author>
    <author>tc={bfba450e-e7d6-4c86-8311-0c231489e662}</author>
    <author>tc={bfbb2c3e-8f42-49a2-9e40-26e6f59741c7}</author>
    <author>tc={bfcd1d5f-2848-48d8-adfd-c00f24bf53f4}</author>
    <author>tc={bfd7b4ba-2204-4122-b2db-614c1adb6c2f}</author>
    <author>tc={bfe9530e-16b2-4e8f-9170-e4826fd891f0}</author>
    <author>tc={bff1f813-5166-4697-bc6e-d51f5ed659c7}</author>
    <author>tc={bff42558-fee6-4b87-964c-2adf11ff381c}</author>
    <author>tc={bffd91ce-397b-4489-8fbc-0ecae463297f}</author>
    <author>tc={c00657f4-8676-4396-8f52-d3bc1f6aca3e}</author>
    <author>tc={c09843eb-4518-4ee0-b4ed-89bc4a8624fc}</author>
    <author>tc={c0ad1c1f-60f3-486a-83f4-76dc091d2fd5}</author>
    <author>tc={c11d1a66-ce9d-4e35-bd35-dc0596714159}</author>
    <author>tc={c190d085-0a9e-447b-ba6f-6d8aa14c586d}</author>
    <author>tc={c1d5f42c-f8a9-40d9-9749-6ad632eb9f6f}</author>
    <author>tc={c1d6c875-ee9c-4b04-9d8b-38b865883606}</author>
    <author>tc={c203f96d-adf5-4342-b4dd-d09b5a4f4e48}</author>
    <author>tc={c206966e-10ae-4aff-8397-827509d9e6ac}</author>
    <author>tc={c2113ee9-d71f-4e70-afdc-86cd37bd838e}</author>
    <author>tc={c21cea9c-f733-4e58-8c34-eb83c6879e42}</author>
    <author>tc={c2336789-4f04-4d4c-812e-4f412709d261}</author>
    <author>tc={c26712a5-22ec-47bb-9bef-25cf7ceff098}</author>
    <author>tc={c26ee43c-5f4f-4f78-96f9-f779e8674f63}</author>
    <author>tc={c29baf42-732d-4094-b707-7dab1c637bf0}</author>
    <author>tc={c2a5ac62-8016-4ecd-a688-88ac861d32b5}</author>
    <author>tc={c2d59b9d-35e7-401c-b9ee-5817da79a392}</author>
    <author>tc={c2de4ed6-fc3f-41cb-8e24-692fd79b04e3}</author>
    <author>tc={c2e0a62a-5e7c-46da-aa8a-c47483c8c500}</author>
    <author>tc={c2f06764-03a9-4db3-ba81-3148c007b111}</author>
    <author>tc={c302719f-b30d-4480-b386-81f962c2ba9a}</author>
    <author>tc={c309394c-9a09-47d9-b7f6-b89c3391501b}</author>
    <author>tc={c318a005-5833-4bcf-b6bd-11079c499c25}</author>
    <author>tc={c3260ec6-04b3-4439-811c-492f9810d399}</author>
    <author>tc={c36caed4-62db-4e1e-82b4-05fbe9a22f37}</author>
    <author>tc={c3a90057-1b0d-45a6-8b3d-3c0a3ac56b86}</author>
    <author>tc={c3abc17c-1a3f-47ac-8c03-14a4ed124d60}</author>
    <author>tc={c3d9caff-5441-4054-887a-cbeb420f33d8}</author>
    <author>tc={c420b6a6-f571-49c9-a55f-00f8b1c237dd}</author>
    <author>tc={c463c1a0-2d9b-4432-8d03-b71189e1ba49}</author>
    <author>tc={c475b815-e2bb-4330-9538-54f3f0a940b8}</author>
    <author>tc={c487e591-8cd6-4815-8fe8-1e92f346a70b}</author>
    <author>tc={c4a6d84e-8835-4438-b53b-5205de24f128}</author>
    <author>tc={c4a8aed6-4eaa-42ce-8870-9fb7c2168a9e}</author>
    <author>tc={c4b091dd-fd1f-42cc-b417-86fb61101dc1}</author>
    <author>tc={c4b8e247-0ec1-4b75-8c38-c5b02629cb56}</author>
    <author>tc={c4c0d436-f995-45dd-8a1e-77407a780491}</author>
    <author>tc={c4d1168a-a216-46ef-b033-2e1b93432838}</author>
    <author>tc={c50e1ce6-826d-46b8-8b28-f93c441ae4c1}</author>
    <author>tc={c5443996-386a-4a70-93fb-dac6abdf275e}</author>
    <author>tc={c5479ef7-e894-4f1a-9831-44ae51715b2a}</author>
    <author>tc={c54f3058-df53-4cc7-a718-94b6b6187882}</author>
    <author>tc={c575ecbe-91b9-44b9-ac63-f7141440624a}</author>
    <author>tc={c58837a7-0c57-4a70-9cff-529fb8a992d0}</author>
    <author>tc={c58f9a18-1b48-404e-a315-587a3c25e4cf}</author>
    <author>tc={c5c61b8a-8cf2-4554-bf23-72e07a995bfd}</author>
    <author>tc={c5c867e3-e95a-43e4-a2be-ffea7eb15728}</author>
    <author>tc={c6285e88-3e14-4b76-b31a-17571b21593c}</author>
    <author>tc={c6a6d173-6f3c-41f8-b00e-0031fca9409c}</author>
    <author>tc={c6c3c302-08a0-4ffe-bc9e-8afc37fa6eee}</author>
    <author>tc={c6e5ea00-b486-4801-bf5b-c31e9e6ac3dd}</author>
    <author>tc={c7025a04-7123-485f-a522-005d02821a3c}</author>
    <author>tc={c705e6dc-3d26-4265-8dca-814eefaa7317}</author>
    <author>tc={c707869c-b364-44ae-99d6-b38550a67319}</author>
    <author>tc={c748fd61-d21b-4c56-a994-f50c765d26f7}</author>
    <author>tc={c7840b9f-0ead-42cb-80a9-551dae3b6500}</author>
    <author>tc={c799ac72-145c-4ebf-a2c0-ab65a2a467f9}</author>
    <author>tc={c7a2bdf8-e347-4f44-9dad-b9e931b63297}</author>
    <author>tc={c7a9b855-3c53-407e-a7c1-3bd80570e167}</author>
    <author>tc={c7cf9164-8d5c-461f-930b-aeedf2974182}</author>
    <author>tc={c7fbe95e-6ad6-493a-b8e4-c2081d3509a2}</author>
    <author>tc={c811f553-e26a-42f4-86c7-feccb1238233}</author>
    <author>tc={c8264767-4bd1-4c99-93de-3d8c743f208a}</author>
    <author>tc={c84a35c2-f5c9-497e-9afd-cbf2ac430e1c}</author>
    <author>tc={c8b2166a-608c-4f4b-bd76-d9d6e661b8eb}</author>
    <author>tc={c8bea39e-a761-49b0-8cef-f39339f3b255}</author>
    <author>tc={c8d6db2b-4c68-4a74-a030-b75470b40e1b}</author>
    <author>tc={c8dd9f0e-def5-4535-9832-4d8443c3b8e0}</author>
    <author>tc={c9264381-90ce-40c0-89c7-8f4804185f4b}</author>
    <author>tc={c9338825-5e70-4130-8a13-474606a10064}</author>
    <author>tc={c95faffc-7c5c-4b00-86f1-3bbc7b6ad32b}</author>
    <author>tc={c9824e80-b802-42b1-8ceb-b7d56de6b0ee}</author>
    <author>tc={c9b50966-c152-4d34-b226-d9451c01170b}</author>
    <author>tc={c9e70aab-4a51-4bff-b884-235ea1f6ada8}</author>
    <author>tc={c9f539b8-11f3-4b2d-a539-3ff491ad4883}</author>
    <author>tc={ca2cc07b-27dc-498e-b9e4-257bc5184a6f}</author>
    <author>tc={ca40a1cf-e7b2-4ebc-a853-ba2df1c6b550}</author>
    <author>tc={ca4654aa-eaf3-45a2-b926-9b9ca9f0e2bb}</author>
    <author>tc={ca496e66-b8d6-413e-95d4-e94cd750a03a}</author>
    <author>tc={ca80d571-b385-4f09-926e-a6ee2144dc94}</author>
    <author>tc={ca95a2c7-efec-418b-9dd5-d27beda4da8c}</author>
    <author>tc={ca9a1312-9853-40d3-a745-4b9d31c2dbf1}</author>
    <author>tc={cae1153c-7186-452e-b7e5-8a294da49988}</author>
    <author>tc={cb075d56-7ee6-44e3-9b1d-c0682975d798}</author>
    <author>tc={cb220d4b-fcb8-40ad-bd9e-0a4f45995dfa}</author>
    <author>tc={cb3c406f-8c9c-4534-8821-e375265a21ce}</author>
    <author>tc={cb4a3626-8473-4f5b-8853-30107751bfcb}</author>
    <author>tc={cb4f0bf1-efec-4e03-807b-6d10d65328a9}</author>
    <author>tc={cb786804-42f8-4c93-9e0b-f0213069c3cd}</author>
    <author>tc={cb867bd4-fcc7-4d4d-89d7-e5d2f9d2eca8}</author>
    <author>tc={cc1c179a-867f-4741-9cc8-95e32ad787df}</author>
    <author>tc={cc23061a-cc72-44a6-beb9-27cde284be2e}</author>
    <author>tc={cc281bec-757f-4a28-9a8b-0e0e586ad5a6}</author>
    <author>tc={cc387b37-bc1f-4133-b522-cce82ff13690}</author>
    <author>tc={cc44b7ba-8525-4e55-9809-6c6f8462d467}</author>
    <author>tc={cc559fc4-12c9-4e71-96b1-465904474591}</author>
    <author>tc={cc84a991-1355-4c3e-904f-927fc9f950d3}</author>
    <author>tc={cc9ff124-a390-450a-a831-9c927ca2d128}</author>
    <author>tc={cca1f52e-98da-4efa-b37a-883a2370cbc8}</author>
    <author>tc={ccc2424c-3319-4f2f-8a3b-3db2cbde0088}</author>
    <author>tc={cd21f3f2-01a3-4980-b120-4b39f6fa473e}</author>
    <author>tc={cd8f6098-dd3d-42c9-8eea-d9854b296a39}</author>
    <author>tc={cd94e0ca-844c-4bcd-866f-162d9d578d72}</author>
    <author>tc={cdbed2c2-90a3-4f90-95ee-3b9fe10714bf}</author>
    <author>tc={ce3065e0-da1d-4dfb-b235-e584b5958bb8}</author>
    <author>tc={ce588d2d-03ea-4636-a0a2-001e11dcdc01}</author>
    <author>tc={ce5b51c8-349d-4147-9bdc-dd2299e1f150}</author>
    <author>tc={ce748508-e787-4d04-8f12-485b7313fde1}</author>
    <author>tc={ceb1b18a-3cb5-4f96-80df-5ddd0b904916}</author>
    <author>tc={cebb556d-3a6d-4f19-9ab8-e369efebecdf}</author>
    <author>tc={cf0e7b9d-d138-4021-b211-6d36f70048a5}</author>
    <author>tc={cf2dd116-9847-449d-9478-6a9cf91ce05a}</author>
    <author>tc={cf502a93-4e11-4eb7-826a-6c10b5a5b1d3}</author>
    <author>tc={cf6279fb-aad6-428c-b885-a4773a77fa61}</author>
    <author>tc={cf82de31-cc05-43b2-ad4f-72ff0ddd6216}</author>
    <author>tc={cf9ec8d3-76cb-4291-9a83-6943b7b25930}</author>
    <author>tc={cfa30e3b-a217-4fd7-8e2f-da94471bfcc1}</author>
    <author>tc={cfde5336-b0e7-4011-b56f-5a6ec642dba3}</author>
    <author>tc={d00992f5-4d0f-47c2-adda-3f4f167cce35}</author>
    <author>tc={d07ef4d2-a499-4380-9303-c9bd92a4c119}</author>
    <author>tc={d08d61de-987a-4082-99c9-8c696596b9a6}</author>
    <author>tc={d0b787b3-923a-46f1-b8a7-35f6e8601c5c}</author>
    <author>tc={d0de19a6-4f6b-46fe-a8f4-ef1680471e27}</author>
    <author>tc={d112e5a9-db52-43e9-82c6-eb4d42fb92e7}</author>
    <author>tc={d119dd6f-8aba-4a50-b35f-d5aa186e6132}</author>
    <author>tc={d15338bc-edf4-4251-9088-f1a36f202755}</author>
    <author>tc={d176ce97-ece7-4ce9-aa17-7cb6041ebed3}</author>
    <author>tc={d17dd593-c5a0-4732-8a78-929924dae085}</author>
    <author>tc={d18888f0-ee6d-45a8-aac6-09e0187743c8}</author>
    <author>tc={d1a557db-c265-4112-8c35-2f083688e498}</author>
    <author>tc={d1b234c5-fe46-4775-92ea-f65e84199168}</author>
    <author>tc={d1b2cde5-9938-4255-9afe-2cc29d77756f}</author>
    <author>tc={d1c4eae6-4646-4bc7-a7f4-e8943aed9edf}</author>
    <author>tc={d22d886c-3e91-49f2-bfb0-cbbdc65b3e0f}</author>
    <author>tc={d2749892-c058-4677-97bb-ed9c8c918d1f}</author>
    <author>tc={d28236e2-6bb5-461a-974a-023b17f03605}</author>
    <author>tc={d2b70ccd-9e7e-41ba-9796-e8242ed47163}</author>
    <author>tc={d2c0420e-59e5-4ba5-bfcb-e6e6aebb47fd}</author>
    <author>tc={d2d1ea29-bbad-4e85-adb4-a79c8b795dc4}</author>
    <author>tc={d2d7473b-526a-4f63-ae68-a2c5edfb1f4e}</author>
    <author>tc={d2e01c00-580f-4e43-a09e-8d618b2d7ac0}</author>
    <author>tc={d2f53a51-3727-4826-9961-49840767c7ae}</author>
    <author>tc={d33d36e6-3de3-4c9e-a533-d870601bfd2c}</author>
    <author>tc={d38d5604-ca39-4dfe-aeac-6a5a3cd1fffa}</author>
    <author>tc={d3b68345-3ef7-4ba8-a71a-4e3eca36c87a}</author>
    <author>tc={d3df4641-2f6e-4d74-bb7b-03f9e3d16170}</author>
    <author>tc={d3dfe556-e4a8-4824-a19c-f29231501193}</author>
    <author>tc={d3e1a144-19dd-49c8-bf76-e30cf69b2a4e}</author>
    <author>tc={d3e6e142-9557-438f-bf90-bf082628124e}</author>
    <author>tc={d3fd7ae5-4bfe-485f-9ea6-50e8ebf3b4fa}</author>
    <author>tc={d405038c-4205-4df5-840d-6047ead4eebf}</author>
    <author>tc={d46016a7-5cdb-4aed-9b7b-1505f9508243}</author>
    <author>tc={d477bbdb-3806-4006-85e6-a00ee2800efd}</author>
    <author>tc={d47eab40-866c-474b-a7c4-90f48eacf655}</author>
    <author>tc={d4b8e2d5-89ef-4639-bd15-89f6f549cd14}</author>
    <author>tc={d4bf9a40-e9c2-4f4d-a158-84e2b62e7f3d}</author>
    <author>tc={d4e392a8-67af-4b95-ab11-50d5cddd4e72}</author>
    <author>tc={d4e673fc-85fe-4697-a5a6-a3ecaf7b5d32}</author>
    <author>tc={d4e8b60d-29e9-4630-b0a0-07f55e71c774}</author>
    <author>tc={d5283a4e-8cfd-4586-a59c-ad75103bb588}</author>
    <author>tc={d529b9ed-5131-419e-a79b-b2c3913d710d}</author>
    <author>tc={d52b97ce-8f46-4cf9-bb11-01c0c4f726cf}</author>
    <author>tc={d551c810-a808-4e9f-afc6-f402a874b96e}</author>
    <author>tc={d5627899-e0b2-4bf4-81e7-d5c2c81722b5}</author>
    <author>tc={d5b0b859-304b-4c4f-a566-39c673849da1}</author>
    <author>tc={d5b91945-3072-48c0-8064-a519a7acbbc5}</author>
    <author>tc={d5d08049-1bf4-4500-a37f-60b26f806a15}</author>
    <author>tc={d5db29b2-2610-4f28-ab44-2ff5cec0b532}</author>
    <author>tc={d6106f66-1a6e-45a5-8b87-2f4a0a565690}</author>
    <author>tc={d61f51e2-4820-49e1-9fd6-6ac571ebf8fa}</author>
    <author>tc={d66b5d42-99fa-468f-9f69-7ef791f48eb5}</author>
    <author>tc={d6742f34-02ac-4e6e-83d2-6a2ec3cf45c9}</author>
    <author>tc={d680cdef-674a-44df-a455-2172867724b0}</author>
    <author>tc={d6898605-2b7c-46a6-9197-5ae01e90a91e}</author>
    <author>tc={d6aca98a-0a1b-43da-8c04-e605329b0d9d}</author>
    <author>tc={d6b01d23-d233-4986-a147-45c02ea54688}</author>
    <author>tc={d6ed3116-fda0-4248-be98-fdf4ba5b9c1b}</author>
    <author>tc={d7670179-c5e1-4f71-ba9e-f2138f06265e}</author>
    <author>tc={d779a218-cbde-463f-974b-b9bcd3ba10cc}</author>
    <author>tc={d7900a02-5c51-47b7-abd1-95109bf054b8}</author>
    <author>tc={d7902e88-44e0-4bca-a2d6-2fe18569dc4a}</author>
    <author>tc={d792fb87-867d-436d-9df1-0b09607b00ae}</author>
    <author>tc={d7bbe356-4372-4ed7-ab89-b1e9fa3cefcc}</author>
    <author>tc={d800fc91-7289-455b-bfc1-f80634cf47b8}</author>
    <author>tc={d803457f-d9f4-4f97-be96-82fd82adbd7e}</author>
    <author>tc={d83a3d9a-c634-4249-b9d4-e5c886e9ddd4}</author>
    <author>tc={d843cc51-3783-4f3d-82cd-d7443ef15899}</author>
    <author>tc={d84bd03c-22d8-4d81-ad29-6679a7647550}</author>
    <author>tc={d8511690-c30d-4204-9785-05d0304c1146}</author>
    <author>tc={d870b729-e051-4469-a8c0-51f22ff0a7bf}</author>
    <author>tc={d8ae2c7e-2b5a-4e2e-abf7-70c30d9e77f4}</author>
    <author>tc={d8d9c66c-be63-4ccb-9eca-114063b938d6}</author>
    <author>tc={d8e7e082-8529-438d-a957-0252b632d068}</author>
    <author>tc={d97edff3-11dd-4dde-8f6a-fbee5242d6f5}</author>
    <author>tc={d9973d10-f9f1-4aef-9d6c-f81c6d66dedb}</author>
    <author>tc={d9a1c30c-3016-4ca9-aaa4-afa4203958dd}</author>
    <author>tc={d9aa4a54-9ddb-4d09-95e9-570505da88f6}</author>
    <author>tc={d9c7a1a6-543a-4c68-b60f-df4cdb5db438}</author>
    <author>tc={d9ce1010-e762-4eb3-9e5c-d9ec92acaaa1}</author>
    <author>tc={d9f16453-f91a-4072-8882-8c644f015b95}</author>
    <author>tc={d9f82702-84f4-4cc5-9c9e-677a6e394e06}</author>
    <author>tc={da0980a9-06b4-4e66-b0b9-6b40bf6a999f}</author>
    <author>tc={da3e630c-c701-4f31-a864-8cce23fcfd19}</author>
    <author>tc={da6d1738-54ef-47ae-8873-7a35debcc0ae}</author>
    <author>tc={da6e005a-f5e6-4662-aa05-b17d74234101}</author>
    <author>tc={da874a21-633f-4e7a-ab39-68836b513c84}</author>
    <author>tc={daa79360-aa9e-459a-be25-158ed6730b74}</author>
    <author>tc={dab3f06f-586d-4a95-8748-a0162846a678}</author>
    <author>tc={dad2866c-a120-4a0e-a451-834c47b8104e}</author>
    <author>tc={daf3f06d-2650-4fcb-81bf-f34f4d164f3d}</author>
    <author>tc={db02873b-d8d9-4738-9d2f-7b7e09bc02af}</author>
    <author>tc={db674ca5-bf69-4041-be01-a296e3218700}</author>
    <author>tc={dba6212e-18fa-4bf0-ad52-c29454f094c3}</author>
    <author>tc={dbf98c81-153b-4167-8a72-8cff241dce4a}</author>
    <author>tc={dc1973d1-192d-4936-be68-6e65600b272a}</author>
    <author>tc={dc342eea-8bb8-420b-b840-988c4e502be2}</author>
    <author>tc={dc558372-6de1-4563-bebb-fa13cf5f5b2a}</author>
    <author>tc={dc5b34ce-0ed7-4d09-a5b2-4969b0dd1f0d}</author>
    <author>tc={dc87a539-88a0-4d5a-a44c-08f4659d5e5b}</author>
    <author>tc={dcb78104-b7b5-47ae-bfa6-28baf9084a07}</author>
    <author>tc={dcc9a429-c941-4458-b0f8-157638a442f6}</author>
    <author>tc={dce8ac5b-53c3-48e2-88f5-baf15d1b8969}</author>
    <author>tc={dceb5837-8465-445c-9cd9-31f7a941202c}</author>
    <author>tc={dd0ddbc7-ab84-47f7-94b2-e1ce9dfe3921}</author>
    <author>tc={dd3e715f-633e-4a47-b846-2805a6ca5f4d}</author>
    <author>tc={dd4ebfba-a3a2-43fc-9914-c82640662259}</author>
    <author>tc={dd4ff7e6-87bf-474c-afb2-f3bb6431f96f}</author>
    <author>tc={dd60b442-fa07-4508-ad82-f4ed7d883a85}</author>
    <author>tc={dd6e84db-cd3b-4b6c-8181-9b95f7cbbf15}</author>
    <author>tc={dd7d121e-65a8-420c-8c31-94cf6d0ba21c}</author>
    <author>tc={ddaff263-f071-41b3-a941-c234fdc20ed1}</author>
    <author>tc={ddc939ca-2313-4cca-bfbe-4a7043c866ad}</author>
    <author>tc={ddd0155f-e91e-4786-9f6e-83e6af903aad}</author>
    <author>tc={ddd99a32-02f8-4491-89b6-08c805ad0a3e}</author>
    <author>tc={de774b27-e09b-4463-96ea-92664944425f}</author>
    <author>tc={dea8c4ee-731c-4795-b1a9-f573894b73ee}</author>
    <author>tc={dec63f9d-84e2-40b1-b3c1-64f8192aea1c}</author>
    <author>tc={dec9df73-f092-4fe1-84b1-4cde39014c22}</author>
    <author>tc={ded6b701-9535-45cf-854f-1aa818fd6ec3}</author>
    <author>tc={df14e3cf-3eed-401b-bc7f-8c2ab37e0304}</author>
    <author>tc={df19336b-d27d-48f4-b53a-be74d57daafd}</author>
    <author>tc={df2c0b4a-e888-4769-88c3-41695032c455}</author>
    <author>tc={df4d4c34-3fdb-434b-bd27-8a31c5fb545c}</author>
    <author>tc={df4fbd04-2a97-457a-91e1-139fd721f309}</author>
    <author>tc={df5b0b3a-52fb-4c33-b9b5-c12eb5572305}</author>
    <author>tc={df7630b7-5eaa-46ad-8314-d919b5f694cb}</author>
    <author>tc={df9d8e9c-748c-48ee-b9d2-9d13416460d8}</author>
    <author>tc={dfbf82e4-f142-46e4-93b4-bdd6b5b9e5de}</author>
    <author>tc={dfc8fc58-824e-4173-96d0-805ecdfc170d}</author>
    <author>tc={dfee85e8-29e6-40f3-9e38-414f121cdb8a}</author>
    <author>tc={dff34ac6-1259-4b68-9597-4042563a3b1d}</author>
    <author>tc={dffefa23-76e3-454e-bf7d-43de3efd94c0}</author>
    <author>tc={e007a8b1-1859-4aeb-870c-13caa125a1d0}</author>
    <author>tc={e0483d2a-e131-4113-bd7e-0e3639bc283e}</author>
    <author>tc={e066173e-b475-434a-a653-4cac327bfaa4}</author>
    <author>tc={e07bb751-bfdb-4035-ac0c-44707d13bb04}</author>
    <author>tc={e08021b2-516a-43de-8250-72c519cc1fcb}</author>
    <author>tc={e085fb37-91d0-4ae4-aa5b-78ad1aa6be68}</author>
    <author>tc={e08ea4d0-dbfa-4385-9ea1-01a1732de5e7}</author>
    <author>tc={e0a5afa3-9b25-4ccd-8412-e4836f2bec3a}</author>
    <author>tc={e0e8b518-a5f1-4c52-ba8a-2e092442bc52}</author>
    <author>tc={e1144ec5-e5b0-40e4-bf53-53851ec10822}</author>
    <author>tc={e1209b3a-c203-4df6-9d39-ac314980f0ef}</author>
    <author>tc={e152e993-32cc-44fb-b9d1-79b6c0286102}</author>
    <author>tc={e16f047a-a249-4da6-a029-edb1d25435b8}</author>
    <author>tc={e18a4679-c90c-407e-b230-9753d67f98cb}</author>
    <author>tc={e19036be-a8b8-4cac-bf1a-1f2391fc8259}</author>
    <author>tc={e1c47050-9fb6-4fa0-bf58-5662f2295776}</author>
    <author>tc={e1de2580-a6c8-4ffb-b5c2-c14392cadc4d}</author>
    <author>tc={e207ad0b-cba0-4196-b65e-6be7f194b0b1}</author>
    <author>tc={e278f185-94b3-4f2d-a469-487fd095e702}</author>
    <author>tc={e280be20-c539-41f2-aaf6-e77ea68e792b}</author>
    <author>tc={e2b30795-8003-4140-9ff1-dc33323a198e}</author>
    <author>tc={e2d6ca82-5304-4a72-a30d-894b2ee6fd03}</author>
    <author>tc={e333febe-b0e8-490b-8b8e-65bc22460efe}</author>
    <author>tc={e3376274-3f2e-4842-94cf-1adbb0599040}</author>
    <author>tc={e33a0208-2ce6-47b0-9ab3-5316d68444bb}</author>
    <author>tc={e33f0dc2-df31-4947-966e-d7fd82d62235}</author>
    <author>tc={e3826065-9475-48c2-b4e5-304e37617496}</author>
    <author>tc={e38b43bc-4d34-4c4f-ac20-5e9b5062f7be}</author>
    <author>tc={e38e7ee5-ece6-430c-9742-166f3211c85b}</author>
    <author>tc={e399ea54-00e2-46cd-9ea9-203b8927e0f0}</author>
    <author>tc={e3e1d1bd-0ff3-4395-994f-4658a7e1396f}</author>
    <author>tc={e3f7585d-232b-412d-8d27-b7c2b868919f}</author>
    <author>tc={e4003750-b9c4-4125-a9fb-9b6509770dee}</author>
    <author>tc={e43e7ec4-dc82-4863-a4bc-f297a12c3a14}</author>
    <author>tc={e44c4368-c0ff-46ab-abb9-becf6d3c64d1}</author>
    <author>tc={e4709706-4c89-4f93-a974-1ff657bb77f5}</author>
    <author>tc={e4a54803-16cd-43ca-b381-dc1ecf4d3a53}</author>
    <author>tc={e4bf202f-e7ec-4f42-8ca6-e61eaf19041f}</author>
    <author>tc={e4c4acf6-e331-4c20-be6d-0488b1423eea}</author>
    <author>tc={e4e3459e-fa2c-487f-8574-72222dd730e7}</author>
    <author>tc={e4fce3e8-879c-4166-aeb2-42e288f8fe70}</author>
    <author>tc={e510f87f-c6b2-48bc-8b7f-d227d32ac6b5}</author>
    <author>tc={e51b925c-4383-4e35-a36a-7dbe056820fd}</author>
    <author>tc={e59b898c-d9e2-4889-b9ab-89d96825125a}</author>
    <author>tc={e59c689b-e56d-4544-9043-0bb909a39cd2}</author>
    <author>tc={e5a543f9-3c68-41c6-b1d0-54241043c211}</author>
    <author>tc={e5c263a5-e171-4b0f-9138-37b1396e2e96}</author>
    <author>tc={e5e832cf-1624-46ca-b3a8-014671dfcbfa}</author>
    <author>tc={e5f19727-84f6-45b9-9fd1-c7cdd69463af}</author>
    <author>tc={e63d2a7b-93cd-48e2-aa9c-8b626f512fb2}</author>
    <author>tc={e648a16d-a81c-4e4f-a73d-764e02d6bfd4}</author>
    <author>tc={e6e8a159-f3ca-4bd0-9c63-2d78fd95ed04}</author>
    <author>tc={e71210fb-150d-44a4-9fc9-c2ef2902ecb4}</author>
    <author>tc={e7167d40-32db-47ea-bad2-a9bda802cc93}</author>
    <author>tc={e737c827-18a1-45a7-b673-dafa85c94d15}</author>
    <author>tc={e73b494a-76c0-45ec-8d26-7ed883ffd015}</author>
    <author>tc={e78ea263-8e86-491b-8911-906593b154f7}</author>
    <author>tc={e7c173e8-1f5c-4795-bc5e-98660bb9a318}</author>
    <author>tc={e839c337-5fd1-4259-aade-97ba451c989f}</author>
    <author>tc={e84ac9d3-05d7-4d2b-bc81-9257d37efd9e}</author>
    <author>tc={e86bbab7-81a8-4e0b-92ee-2345f933834a}</author>
    <author>tc={e8cf36c1-79d0-427f-9f70-98ae506dc488}</author>
    <author>tc={e91f12ba-da96-489b-820d-709bc54561e5}</author>
    <author>tc={e922068f-4a5e-41cf-807e-556ed8cb8a6c}</author>
    <author>tc={e93303bd-42d1-4b6d-ac23-599f167e4b08}</author>
    <author>tc={e9611ab9-1fca-4f59-b31e-36602cbd79f2}</author>
    <author>tc={e9778491-5042-47f0-bd7f-e3cef274c13f}</author>
    <author>tc={e9a000eb-9c3f-410a-8e4c-1b298e1ccb08}</author>
    <author>tc={e9bcf603-98d0-47f5-964f-b893b7b103fa}</author>
    <author>tc={e9c33384-60d6-406a-a2e3-3eea8d43b348}</author>
    <author>tc={e9c53e38-afae-4c8b-92a2-ce69a73d5bac}</author>
    <author>tc={e9d7c3bf-35be-409a-81ac-d13ff99b507e}</author>
    <author>tc={e9e8e2a1-e4d0-45d3-a610-af731bdd0224}</author>
    <author>tc={ea152fa0-fbdf-4c34-ba29-abc06f7e88c2}</author>
    <author>tc={ea212d79-7a17-4832-8edc-7beb1de1fbbc}</author>
    <author>tc={ea25cbb6-78cc-4a80-a06b-926db02cab49}</author>
    <author>tc={ea292a34-8f9b-4fdf-b051-56b272da473e}</author>
    <author>tc={ea587c8b-8d11-4da0-ad3e-21c5b5bdf2eb}</author>
    <author>tc={ea6a4323-4e61-4f2a-9b47-26c058944f34}</author>
    <author>tc={ea77fd74-ad56-46d9-bfc6-e9031067fb42}</author>
    <author>tc={ea95c69d-833d-4616-94bb-35766a0214cb}</author>
    <author>tc={ea9a441a-668f-44d7-acdd-f2d40a75897e}</author>
    <author>tc={eac99e58-b780-4ee9-9972-6914584e33f5}</author>
    <author>tc={eb4c3ade-68f2-487e-8903-b03b2478122e}</author>
    <author>tc={eb4f6183-fc68-4d46-9c11-a4f40af91b8b}</author>
    <author>tc={eb69786d-bd6e-4b2c-98e5-c8612f494ac2}</author>
    <author>tc={eb6b4c91-02e1-4351-81c1-0b373ed70f6c}</author>
    <author>tc={eb7f935b-9b50-4038-893b-6b89b6abad18}</author>
    <author>tc={eb9388c3-8c37-47f4-885d-3280810533e6}</author>
    <author>tc={ebcf6838-2bea-46db-a4e0-a219cccc5224}</author>
    <author>tc={ec06d902-c7c5-48a0-82d5-62c13f1431d8}</author>
    <author>tc={ec1877df-d1ef-4999-b996-dd36268a51bc}</author>
    <author>tc={ec197874-7f41-4c26-b7ff-8406b9effe9e}</author>
    <author>tc={ec25c552-a6c1-43b4-a7d6-cf6ba2f7a990}</author>
    <author>tc={ec5eb9c8-4bd2-4266-a669-9153d55051f3}</author>
    <author>tc={ecd23204-83d4-4312-90c5-6aa32b6a3332}</author>
    <author>tc={ed145ccb-eee2-47f2-acef-335ab01ea368}</author>
    <author>tc={ed1e0444-ac42-4e0a-aa03-edf7aa6a992f}</author>
    <author>tc={ed307294-1d9f-43fa-b9de-d0412d428e26}</author>
    <author>tc={ed3a40ee-1093-4b19-a8f9-71d22861a4c4}</author>
    <author>tc={ed3accd3-ebec-4eb6-b2aa-9091dabf2b33}</author>
    <author>tc={ed49e8f3-c9fa-4b25-a420-091ac6538cc7}</author>
    <author>tc={ed4fc505-b2b4-4d03-b067-d817748bf1c2}</author>
    <author>tc={edb6bbef-dca2-41fe-9d3c-58dbd012859a}</author>
    <author>tc={ee009268-97aa-401b-bfb5-813f5b32d4be}</author>
    <author>tc={ee0a585d-6d73-4158-ae79-819da2e30219}</author>
    <author>tc={ee2770f4-7846-4e6f-a846-7c56a6a10618}</author>
    <author>tc={ee597796-e658-4a09-8103-d3b59cd7b20c}</author>
    <author>tc={ee66009a-fda3-46f3-ada4-e169802213af}</author>
    <author>tc={ee7bd4c7-3a14-4e36-b736-adcd828923cb}</author>
    <author>tc={ee7c6ef9-6a53-4017-bef5-43737c4d05ac}</author>
    <author>tc={eea3fbe2-3fb8-4693-b5c3-54a7fb0bc889}</author>
    <author>tc={eeb67141-e9b0-4694-86ea-7fd0eae501d8}</author>
    <author>tc={eeb95852-2d8e-4960-80bc-44e9c5110f0e}</author>
    <author>tc={eefa1f1c-86a1-4dca-b0cc-79fcd67cc1fd}</author>
    <author>tc={ef0e7451-98ca-433e-b020-43f65ec2964e}</author>
    <author>tc={ef5b6280-0375-4f55-9122-be74b3936b50}</author>
    <author>tc={ef64f0ba-b3b7-4bf8-961d-4f4b6e610343}</author>
    <author>tc={ef6c9c75-4ef0-4b77-83b3-1c9f356de9c8}</author>
    <author>tc={efd3fc38-ae19-4289-95fd-e4ab489ef4ba}</author>
    <author>tc={efe5c594-9cfe-46c8-8184-dd9aa69cbfef}</author>
    <author>tc={f03e9133-790c-4b72-bca5-25ec9d341a83}</author>
    <author>tc={f0450280-a408-4795-b1a1-2b1582f8c107}</author>
    <author>tc={f05c09ab-fa71-4082-b581-e160c031026c}</author>
    <author>tc={f0875a45-9edc-43f6-85dc-c36b2e5e5a12}</author>
    <author>tc={f09611dc-04fc-4f55-9693-b2ab77de5749}</author>
    <author>tc={f0d0bbb8-7bbe-41dd-9796-0efe52a735fc}</author>
    <author>tc={f0d98dfb-bdea-4f9d-975b-c1ed35786736}</author>
    <author>tc={f112cdad-f0b3-4201-8fac-299efdcf111c}</author>
    <author>tc={f142c2c3-b132-4577-8dc9-3873c04505c4}</author>
    <author>tc={f14a6bb8-f971-4d72-97e2-4f11b5ad310d}</author>
    <author>tc={f19ed777-de44-4c3d-b6b2-08d5579e68d5}</author>
    <author>tc={f1b96b93-cb7c-49a9-a8a7-7bae2cff4a1c}</author>
    <author>tc={f1d65f23-ff46-4e22-9491-a3d9c9c49ae0}</author>
    <author>tc={f1dc3348-8dbb-4634-89d1-285503f6a64a}</author>
    <author>tc={f23b2778-5a3a-4e35-a44b-4da98f72d84e}</author>
    <author>tc={f2912cc8-1548-40fa-bc4d-e3211a25a030}</author>
    <author>tc={f2f85f42-8145-4714-ac05-77c5b6ed9cea}</author>
    <author>tc={f3b09b66-e6b1-49d1-92e9-5761ac47e5a6}</author>
    <author>tc={f3cc3ba2-6d2e-402f-95c1-80326b56f861}</author>
    <author>tc={f3de9402-4290-428c-ad59-88b4876823c7}</author>
    <author>tc={f40347da-53ee-46ad-b169-56f282b91ba2}</author>
    <author>tc={f44f4fa1-8518-4048-8407-dbf1caef796a}</author>
    <author>tc={f4660e54-c542-48b2-bffd-45fa5eefdfb3}</author>
    <author>tc={f48d2b16-cec0-45f0-abc4-e4d8f11179bf}</author>
    <author>tc={f493d419-92d2-41b0-9b93-9f4696d0bca0}</author>
    <author>tc={f4a739b6-0475-4ef7-a69c-b04af9967f8f}</author>
    <author>tc={f4c7aa5f-cbcb-48d0-ba9b-45c60bf1cc22}</author>
    <author>tc={f4c9eb68-c184-4970-a26d-ab9654b550f1}</author>
    <author>tc={f5038228-67ed-47d4-b155-bdd3fa712a05}</author>
    <author>tc={f5205ad4-7dcd-49c1-9c98-157510cf4485}</author>
    <author>tc={f529b916-8bbf-48bb-9789-49276ca98b4e}</author>
    <author>tc={f52e83f0-fcd4-4846-8298-f836595bbd7d}</author>
    <author>tc={f570a81b-40aa-48c8-a200-a7d5cf09667b}</author>
    <author>tc={f5767609-50ad-4607-b2b6-e2e79741da1c}</author>
    <author>tc={f58072ba-adcf-4dc7-81bd-085c42327ddb}</author>
    <author>tc={f5943eb4-461c-4e47-9a05-d2d65a98948b}</author>
    <author>tc={f59f33bd-36e8-47b5-92d0-8a2d17a75231}</author>
    <author>tc={f5a2dd4e-4a21-431b-b859-208bf228f4f4}</author>
    <author>tc={f5d3f23e-c6a2-448a-9ea7-1b8908f344e7}</author>
    <author>tc={f5f113f1-f5ef-493c-b5a1-d981bc253cf9}</author>
    <author>tc={f6026292-3caf-4c0e-8332-b28060dc5e6b}</author>
    <author>tc={f608ae9d-72ac-48be-a37b-5f0c3af95fe6}</author>
    <author>tc={f619f29b-48b7-430e-b65d-eadc05acc146}</author>
    <author>tc={f67a97fb-407c-49f5-b321-175cd6f55e71}</author>
    <author>tc={f69d7ff1-8392-40eb-b12d-772c6cbdfff5}</author>
    <author>tc={f6ad5adc-0064-4bc5-b935-dbc59767416c}</author>
    <author>tc={f6c25650-92dc-47df-a5de-2223a69521c4}</author>
    <author>tc={f6c77bbb-e234-4082-8542-c15f07b424cb}</author>
    <author>tc={f6cfc3db-f598-4aa8-b72b-67b0eadfd2f4}</author>
    <author>tc={f72f712e-1c6f-4b29-8ec2-66b48e80bbac}</author>
    <author>tc={f736035f-066e-43ab-8561-b9fc019871c7}</author>
    <author>tc={f741ebe3-a43b-4782-9bda-edd5c65377ec}</author>
    <author>tc={f76c0428-51d5-4876-ac6c-69102bea6ba1}</author>
    <author>tc={f77fdb43-b0c6-4a3d-a442-770663771902}</author>
    <author>tc={f787e845-b0e7-49e3-b678-c822674bbde4}</author>
    <author>tc={f7c2cb47-c1bc-480a-a268-8eabb394aea7}</author>
    <author>tc={f7c9c37c-3687-44d9-b117-3f630c6b9f8e}</author>
    <author>tc={f84d44f0-c607-45aa-b6ac-3bcae17f6105}</author>
    <author>tc={f8740fc3-5d4f-4953-94a3-f947b1ccfa98}</author>
    <author>tc={f88be9b4-7aa0-43af-aff7-fda5b68b53ae}</author>
    <author>tc={f8b1542e-0c00-46a8-b8fc-c34336ff98d7}</author>
    <author>tc={f8fb18ae-d94e-4bfd-95cc-252a5a867e85}</author>
    <author>tc={f8fc8359-cfbb-4fe4-8402-140b6af4df41}</author>
    <author>tc={f926dcfc-55c4-472b-ad1c-2ba0df4846ab}</author>
    <author>tc={f939bcc8-670c-42dd-97c6-67a13c705bdb}</author>
    <author>tc={f942e61a-124b-4e9b-ac07-1a738e63a885}</author>
    <author>tc={f9536738-56c1-41c3-ae2e-3042c5882bbc}</author>
    <author>tc={f95b9f61-88f3-48c8-b1c5-a31e205fec76}</author>
    <author>tc={f9acfa30-9710-42ef-9e6d-b2895e874274}</author>
    <author>tc={f9eefc6c-1c68-468b-9d88-b483d7368aa0}</author>
    <author>tc={fa0b5b59-b277-4135-8864-fe697a177b9a}</author>
    <author>tc={fa5fa398-3673-4a15-982f-5b30bada1042}</author>
    <author>tc={fa846844-adcd-40e0-aced-4e80955fd9af}</author>
    <author>tc={faabb4cb-d2d9-41a3-b185-2a9fa4b916ce}</author>
    <author>tc={fad2849a-1b48-412f-b8cf-1127476cccfd}</author>
    <author>tc={fad2eaab-caf3-4287-83b3-e63e73707deb}</author>
    <author>tc={faf7d1d2-680d-4c33-bd81-2364ad854fb6}</author>
    <author>tc={fb23e769-4a5d-4ef3-8af6-69ed29e0c4d5}</author>
    <author>tc={fb3d57bf-5fe6-49c4-bd2f-e9d5b291b16c}</author>
    <author>tc={fb8f68fd-3df7-4434-a907-ebf2ed84d02d}</author>
    <author>tc={fba9912a-56b5-4614-b039-c4b674d781d2}</author>
    <author>tc={fbcb9f87-89f6-4246-9dd2-486987978c79}</author>
    <author>tc={fbe31a5f-8bc4-4da2-a078-60ddd36192f0}</author>
    <author>tc={fc0dfe4a-e966-47fa-8de6-c46d085154b0}</author>
    <author>tc={fc3e0b6c-d917-49be-90a7-e24f8114939f}</author>
    <author>tc={fc46cec7-eb14-46ee-89eb-fc488eb8d518}</author>
    <author>tc={fc6f4aa4-bc88-4e00-b0f9-e5f86c50587a}</author>
    <author>tc={fc6febcb-1119-4b33-b83a-130f0452aeec}</author>
    <author>tc={fc7a8cbe-eedb-48ae-9c57-9dc0e94acea2}</author>
    <author>tc={fc927cf4-b901-48e3-8cba-fa62d5fa256c}</author>
    <author>tc={fc9a5474-9cdc-4234-bcc7-e0c10bf422e8}</author>
    <author>tc={fccf9e13-e445-4e88-ab96-5543e1465e1b}</author>
    <author>tc={fce8bc99-1d66-4622-82d4-a1aa81d34c92}</author>
    <author>tc={fcf0af17-5f2f-4ba3-addb-6a6e31184236}</author>
    <author>tc={fd0d2e97-9002-4a97-85d4-a0e545ac2b0f}</author>
    <author>tc={fd427bb0-499c-4dee-ada2-9630cb0b3d07}</author>
    <author>tc={fd4a1a96-6c93-4229-9926-07293147cde8}</author>
    <author>tc={fdb6760f-4fa4-48b1-93db-7ff0bb133402}</author>
    <author>tc={fe119f34-f759-4eba-a4d5-6d3bce19e76d}</author>
    <author>tc={fe1e5286-498e-47d5-b09b-0473f4ea0722}</author>
    <author>tc={fe95392b-d0c7-4297-9c52-e64246c488aa}</author>
    <author>tc={fe95b421-0821-4db5-b81c-c2e176ed03a6}</author>
    <author>tc={fea4abf2-09be-41ba-b0f2-fe744b8ce21b}</author>
    <author>tc={fecb8d6f-ab59-4f92-b9a4-1e74aa832f0c}</author>
    <author>tc={fed92577-5d6f-40e8-b05b-e88781db1f29}</author>
    <author>tc={fedad54a-fb7d-4dce-a68b-baf462a3f706}</author>
    <author>tc={fef4b00a-5225-4bae-af6d-afe6c8b56cdb}</author>
    <author>tc={ff2ac651-f4f9-4ecd-b030-cc45902ca126}</author>
    <author>tc={ff45a1e9-44b7-42df-843a-987385202c58}</author>
    <author>tc={ff67726a-1f92-4b34-82ea-7cc508efa6fc}</author>
    <author>tc={ff7a9d34-e05e-4b34-8b0b-7575631f6a7c}</author>
    <author>tc={ff80cae5-997b-4d21-95d6-c9453a71ccee}</author>
    <author>tc={ff8d697a-3364-4941-9314-13f642df871f}</author>
    <author>tc={ff938606-0318-485e-b93f-993fca64b84c}</author>
    <author>tc={ffa82f37-b8b5-4ef6-aa8e-020830850234}</author>
    <author>tc={ffb5a8cd-3c0d-44f4-a704-51d1bf43353a}</author>
    <author>tc={ffe3a672-858b-4a50-97aa-baef43f65cbe}</author>
  </authors>
  <commentList>
    <comment authorId="0" xr:uid="{005522d4-7fc2-4459-a7cb-fddd14c6be76}" ref="A167">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1" xr:uid="{00691b5f-0c53-4715-9b9a-c2253fb833ac}" ref="V266">
      <text>
        <t xml:space="preserve">[Threaded comment]
 Your version of Excel allows you to read this threaded comment; however, any edits to it will get removed if the file is opened in a newer version of Excel. Learn more: https://go.microsoft.com/fwlink/?linkid=870924
Comment:
	11/20 received the IA report and determination letter, claim under deductible, sent to PAs (SG)
</t>
      </text>
    </comment>
    <comment authorId="2" xr:uid="{007adfd0-e976-4c90-9fd1-157b60d44b0c}" ref="A1">
      <text>
        <t xml:space="preserve">[Threaded comment]
 Your version of Excel allows you to read this threaded comment; however, any edits to it will get removed if the file is opened in a newer version of Excel. Learn more: https://go.microsoft.com/fwlink/?linkid=870924
Comment:
	11/18
</t>
      </text>
    </comment>
    <comment authorId="3" xr:uid="{00838642-248f-4adb-b752-f799d20d59d5}" ref="P90">
      <text>
        <t xml:space="preserve">[Threaded comment]
 Your version of Excel allows you to read this threaded comment; however, any edits to it will get removed if the file is opened in a newer version of Excel. Learn more: https://go.microsoft.com/fwlink/?linkid=870924
Comment:
	8/30
</t>
      </text>
    </comment>
    <comment authorId="4" xr:uid="{00c61a6d-8fa1-417a-8e12-18c531ece4bb}" ref="A1">
      <text>
        <t xml:space="preserve">[Threaded comment]
 Your version of Excel allows you to read this threaded comment; however, any edits to it will get removed if the file is opened in a newer version of Excel. Learn more: https://go.microsoft.com/fwlink/?linkid=870924
Comment:
	03/08 left a VM and emailed req. policy (CM)
Reply:
	03/18 left a VM and emailed req. IA and policy (CM)
</t>
      </text>
    </comment>
    <comment authorId="5" xr:uid="{00d0469f-6195-4de8-b7fd-9c4442d5c2fa}" ref="M253">
      <text>
        <t xml:space="preserve">[Threaded comment]
 Your version of Excel allows you to read this threaded comment; however, any edits to it will get removed if the file is opened in a newer version of Excel. Learn more: https://go.microsoft.com/fwlink/?linkid=870924
Comment:
	11/21 sent to DA
</t>
      </text>
    </comment>
    <comment authorId="6" xr:uid="{00f60ad5-49a6-4227-9b0c-84f939160840}"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7" xr:uid="{010e726f-dd36-4bfd-ad7b-b340f7a3b75d}" ref="P255">
      <text>
        <t xml:space="preserve">[Threaded comment]
 Your version of Excel allows you to read this threaded comment; however, any edits to it will get removed if the file is opened in a newer version of Excel. Learn more: https://go.microsoft.com/fwlink/?linkid=870924
Comment:
	11/13
</t>
      </text>
    </comment>
    <comment authorId="8" xr:uid="{011886ad-2346-4459-b338-227b430f26dc}" ref="V164">
      <text>
        <t xml:space="preserve">[Threaded comment]
 Your version of Excel allows you to read this threaded comment; however, any edits to it will get removed if the file is opened in a newer version of Excel. Learn more: https://go.microsoft.com/fwlink/?linkid=870924
Comment:
	08/02 Peter is asking 35k (CM)
08/06 DA says he can pay $25k max on this claim, tell Ivan and Peter via ws, they are also cc'd on the email (CM)
</t>
      </text>
    </comment>
    <comment authorId="9" xr:uid="{01203e7a-ca9f-446d-9586-da01eefb3381}" ref="N378">
      <text>
        <t xml:space="preserve">[Threaded comment]
 Your version of Excel allows you to read this threaded comment; however, any edits to it will get removed if the file is opened in a newer version of Excel. Learn more: https://go.microsoft.com/fwlink/?linkid=870924
Comment:
	8/13 sent to josh
Reply:
	8/13 aprobado
</t>
      </text>
    </comment>
    <comment authorId="10" xr:uid="{01241b19-de6c-487c-926c-ede892197b93}"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1" xr:uid="{01283df4-eb86-476b-8a4e-914a18476615}"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 xr:uid="{016c541d-8835-41a6-a66a-c5ede1cc2a42}" ref="V236">
      <text>
        <t xml:space="preserve">[Threaded comment]
 Your version of Excel allows you to read this threaded comment; however, any edits to it will get removed if the file is opened in a newer version of Excel. Learn more: https://go.microsoft.com/fwlink/?linkid=870924
Comment:
	12/16  DA is asking some info (CM)
</t>
      </text>
    </comment>
    <comment authorId="13" xr:uid="{019bfbbd-7838-4b0b-869d-673d460e7065}"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4" xr:uid="{019ef35f-539c-40fd-a2df-0c1e5be19bd7}" ref="M264">
      <text>
        <t xml:space="preserve">[Threaded comment]
 Your version of Excel allows you to read this threaded comment; however, any edits to it will get removed if the file is opened in a newer version of Excel. Learn more: https://go.microsoft.com/fwlink/?linkid=870924
Comment:
	11/18 Sent the estimate to DA
</t>
      </text>
    </comment>
    <comment authorId="15" xr:uid="{01a5c0b6-eb91-4641-adf7-830777ff720a}" ref="V177">
      <text>
        <t xml:space="preserve">[Threaded comment]
 Your version of Excel allows you to read this threaded comment; however, any edits to it will get removed if the file is opened in a newer version of Excel. Learn more: https://go.microsoft.com/fwlink/?linkid=870924
Comment:
	06/26 received the previous determination letter, and the previous IA report, sent to PAs, asked if they want to request mediation, also asked Jakey to review the estimate sent by JP (CM)
</t>
      </text>
    </comment>
    <comment authorId="16" xr:uid="{01ade180-6da7-4fef-a01f-af3e7ae34c87}"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7" xr:uid="{01f5ca3b-e148-44c3-b60d-85a27355609f}" ref="M231">
      <text>
        <t xml:space="preserve">[Threaded comment]
 Your version of Excel allows you to read this threaded comment; however, any edits to it will get removed if the file is opened in a newer version of Excel. Learn more: https://go.microsoft.com/fwlink/?linkid=870924
Comment:
	11/05 Sent estimate to DA and client. No picture file
</t>
      </text>
    </comment>
    <comment authorId="18" xr:uid="{020c1436-925f-415b-a8c6-ee167c2eed58}" ref="Q283">
      <text>
        <t xml:space="preserve">[Threaded comment]
 Your version of Excel allows you to read this threaded comment; however, any edits to it will get removed if the file is opened in a newer version of Excel. Learn more: https://go.microsoft.com/fwlink/?linkid=870924
Comment:
	02/13
</t>
      </text>
    </comment>
    <comment authorId="19" xr:uid="{0248a819-577f-4e71-a351-87be6a1b2de1}"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20" xr:uid="{026f798f-2c0d-4272-a892-46ef5dec096f}" ref="V207">
      <text>
        <t xml:space="preserve">[Threaded comment]
 Your version of Excel allows you to read this threaded comment; however, any edits to it will get removed if the file is opened in a newer version of Excel. Learn more: https://go.microsoft.com/fwlink/?linkid=870924
Comment:
	12/23 received the appraisal package, asked David to sign the appraisal agreement, sent Day the OA info (CM)
</t>
      </text>
    </comment>
    <comment authorId="21" xr:uid="{028096c9-29ef-45f5-b652-479cfad43035}" ref="O166">
      <text>
        <t xml:space="preserve">[Threaded comment]
 Your version of Excel allows you to read this threaded comment; however, any edits to it will get removed if the file is opened in a newer version of Excel. Learn more: https://go.microsoft.com/fwlink/?linkid=870924
Comment:
	7/29 enviado para q firme cliente
7/29 enviado al DA y perry
</t>
      </text>
    </comment>
    <comment authorId="22" xr:uid="{0281941e-31e5-463b-a187-1139ce1e798a}" ref="A1">
      <text>
        <t xml:space="preserve">[Threaded comment]
 Your version of Excel allows you to read this threaded comment; however, any edits to it will get removed if the file is opened in a newer version of Excel. Learn more: https://go.microsoft.com/fwlink/?linkid=870924
Comment:
	01/30
</t>
      </text>
    </comment>
    <comment authorId="23" xr:uid="{02b9c69e-6925-45b5-ac50-7f6b3432ec03}" ref="M265">
      <text>
        <t xml:space="preserve">[Threaded comment]
 Your version of Excel allows you to read this threaded comment; however, any edits to it will get removed if the file is opened in a newer version of Excel. Learn more: https://go.microsoft.com/fwlink/?linkid=870924
Comment:
	11/21 Sent estimate to DA
</t>
      </text>
    </comment>
    <comment authorId="24" xr:uid="{02bfca19-48a2-4645-a83f-f2cb4a3a7a90}"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25" xr:uid="{02c0c1ab-f422-45a5-9cf2-9a05cdbff560}" ref="V301">
      <text>
        <t xml:space="preserve">[Threaded comment]
 Your version of Excel allows you to read this threaded comment; however, any edits to it will get removed if the file is opened in a newer version of Excel. Learn more: https://go.microsoft.com/fwlink/?linkid=870924
Comment:
	04/08 need to cancel with the DFS once received the settlement release (CM)
</t>
      </text>
    </comment>
    <comment authorId="26" xr:uid="{02ccbc5a-6cd5-43d2-abce-abe58b4394fe}" ref="V289">
      <text>
        <t xml:space="preserve">[Threaded comment]
 Your version of Excel allows you to read this threaded comment; however, any edits to it will get removed if the file is opened in a newer version of Excel. Learn more: https://go.microsoft.com/fwlink/?linkid=870924
Comment:
	04/02 DA offered a Global Settlement for $46,153.39. That is $ 18,961.87 new money in exchange for a signed release. Peter previously asked 25k, asked them how to proceed (CM)
</t>
      </text>
    </comment>
    <comment authorId="27" xr:uid="{02da285f-ff4a-4f55-b274-75097ef210a6}" ref="O140">
      <text>
        <t xml:space="preserve">[Threaded comment]
 Your version of Excel allows you to read this threaded comment; however, any edits to it will get removed if the file is opened in a newer version of Excel. Learn more: https://go.microsoft.com/fwlink/?linkid=870924
Comment:
	9/24 envie a Joshua para que haga firmar al cliente
Reply:
	9/30 enviado al cliente
</t>
      </text>
    </comment>
    <comment authorId="28" xr:uid="{03046f5b-3844-4e10-a2a7-95a9ab4e9bde}" ref="M207">
      <text>
        <t xml:space="preserve">[Threaded comment]
 Your version of Excel allows you to read this threaded comment; however, any edits to it will get removed if the file is opened in a newer version of Excel. Learn more: https://go.microsoft.com/fwlink/?linkid=870924
Comment:
	esperar IA report
Reply:
	11/08 received the determination letter and IA report, asked JP to review and send our estimate (CM)
Reply:
	10/13 Sent the estimate to the carrier
</t>
      </text>
    </comment>
    <comment authorId="29" xr:uid="{0324061d-389e-4767-85a1-146c128f4113}" ref="V242">
      <text>
        <t xml:space="preserve">[Threaded comment]
 Your version of Excel allows you to read this threaded comment; however, any edits to it will get removed if the file is opened in a newer version of Excel. Learn more: https://go.microsoft.com/fwlink/?linkid=870924
Comment:
	11/11 received an email saying that this is under deductible, asked for a copy of the IA report and the policy (CM)
Reply:
	11/12 DA says is the IA is work privilage (CM)
</t>
      </text>
    </comment>
    <comment authorId="30" xr:uid="{033275dd-72db-4f0b-8096-6565f523c0d0}" ref="V167">
      <text>
        <t xml:space="preserve">[Threaded comment]
 Your version of Excel allows you to read this threaded comment; however, any edits to it will get removed if the file is opened in a newer version of Excel. Learn more: https://go.microsoft.com/fwlink/?linkid=870924
Comment:
	08/27 DA is offering 17k, and says "the insured provide a roofer estimate to replace the roof for less than half the cost then your estimate. Will proceed with appraisal to resolve claim." asked PA's who should i ask for this appraisal (CM)
</t>
      </text>
    </comment>
    <comment authorId="31" xr:uid="{03327cb6-a6f7-457c-841a-1400d1c02c94}" ref="A1">
      <text>
        <t xml:space="preserve">[Threaded comment]
 Your version of Excel allows you to read this threaded comment; however, any edits to it will get removed if the file is opened in a newer version of Excel. Learn more: https://go.microsoft.com/fwlink/?linkid=870924
Comment:
	inform Sarah
</t>
      </text>
    </comment>
    <comment authorId="32" xr:uid="{0332d32d-085b-4dab-bc82-78306534d497}" ref="V112">
      <text>
        <t xml:space="preserve">[Threaded comment]
 Your version of Excel allows you to read this threaded comment; however, any edits to it will get removed if the file is opened in a newer version of Excel. Learn more: https://go.microsoft.com/fwlink/?linkid=870924
Comment:
	07/08 as per letter received, asked David what info is the appraiser requesting (CM)
</t>
      </text>
    </comment>
    <comment authorId="33" xr:uid="{0343f330-6b8a-4e78-9f5c-030d84db2d6e}" ref="N359">
      <text>
        <t xml:space="preserve">[Threaded comment]
 Your version of Excel allows you to read this threaded comment; however, any edits to it will get removed if the file is opened in a newer version of Excel. Learn more: https://go.microsoft.com/fwlink/?linkid=870924
Comment:
	5/28 sent to ivan
Reply:
	5/28 aprobado
</t>
      </text>
    </comment>
    <comment authorId="34" xr:uid="{03478090-3816-4d3f-864b-04c334a232d9}" ref="A1">
      <text>
        <t xml:space="preserve">[Threaded comment]
 Your version of Excel allows you to read this threaded comment; however, any edits to it will get removed if the file is opened in a newer version of Excel. Learn more: https://go.microsoft.com/fwlink/?linkid=870924
Comment:
	07/02
</t>
      </text>
    </comment>
    <comment authorId="35" xr:uid="{03a6bc18-5bc3-4b9a-8f0c-26e1bea1bce7}" ref="O284">
      <text>
        <t xml:space="preserve">[Threaded comment]
 Your version of Excel allows you to read this threaded comment; however, any edits to it will get removed if the file is opened in a newer version of Excel. Learn more: https://go.microsoft.com/fwlink/?linkid=870924
Comment:
	3/4 sent to client to sign
</t>
      </text>
    </comment>
    <comment authorId="36" xr:uid="{03ab18b4-78fd-4741-b37a-002a486e8683}" ref="V163">
      <text>
        <t xml:space="preserve">[Threaded comment]
 Your version of Excel allows you to read this threaded comment; however, any edits to it will get removed if the file is opened in a newer version of Excel. Learn more: https://go.microsoft.com/fwlink/?linkid=870924
Comment:
	08/15 spoke with the DA, and he mentioned that during the 2022 inspection, no damages were found. He also said that a re-inspection is not covered by the policy, and we would need to file a new claim for the damages. asked PAs how to proceed (CM)
</t>
      </text>
    </comment>
    <comment authorId="37" xr:uid="{03b8373e-184d-4f21-8f5b-fb1693e68711}" ref="A170">
      <text>
        <t xml:space="preserve">[Threaded comment]
 Your version of Excel allows you to read this threaded comment; however, any edits to it will get removed if the file is opened in a newer version of Excel. Learn more: https://go.microsoft.com/fwlink/?linkid=870924
Comment:
	08/22 requested mediation (CM)
@scheduling@ipadjustinggroup.com
Reply:
	Marked as resolved
Reply:
	Yalaaa, ya estamos casi agendados
Re-opened
</t>
      </text>
    </comment>
    <comment authorId="38" xr:uid="{03bed58c-7299-4b33-83ad-5189ac8f1890}" ref="M195">
      <text>
        <t xml:space="preserve">[Threaded comment]
 Your version of Excel allows you to read this threaded comment; however, any edits to it will get removed if the file is opened in a newer version of Excel. Learn more: https://go.microsoft.com/fwlink/?linkid=870924
Comment:
	WAITING IA REPORT
Reply:
	11/05 Sent the estimate and picture file to DA and client
</t>
      </text>
    </comment>
    <comment authorId="39" xr:uid="{03da153f-121f-4f61-998b-ca35a0ddd309}" ref="A1">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40" xr:uid="{03f054a9-f9cd-4ce1-b856-7481570f0c17}" ref="O156">
      <text>
        <t xml:space="preserve">[Threaded comment]
 Your version of Excel allows you to read this threaded comment; however, any edits to it will get removed if the file is opened in a newer version of Excel. Learn more: https://go.microsoft.com/fwlink/?linkid=870924
Comment:
	9/24 Request spol form
</t>
      </text>
    </comment>
    <comment authorId="41" xr:uid="{04125466-4c0d-414f-b97d-8c3e04c43477}" ref="N234">
      <text>
        <t xml:space="preserve">[Threaded comment]
 Your version of Excel allows you to read this threaded comment; however, any edits to it will get removed if the file is opened in a newer version of Excel. Learn more: https://go.microsoft.com/fwlink/?linkid=870924
Comment:
	10/30 Sent the estimate to Joshua for approval.
Reply:
	10/30 Joshua approved the estimate
</t>
      </text>
    </comment>
    <comment authorId="42" xr:uid="{0432fa59-4d06-47e8-bf4c-25830f49b631}" ref="P234">
      <text>
        <t xml:space="preserve">[Threaded comment]
 Your version of Excel allows you to read this threaded comment; however, any edits to it will get removed if the file is opened in a newer version of Excel. Learn more: https://go.microsoft.com/fwlink/?linkid=870924
Comment:
	11/26
</t>
      </text>
    </comment>
    <comment authorId="43" xr:uid="{04780dd9-a098-452f-a4a0-b5c5a32e06b6}" ref="A295">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44" xr:uid="{04d9c946-380e-4f69-8ef1-127a3428bdcd}" ref="V280">
      <text>
        <t xml:space="preserve">[Threaded comment]
 Your version of Excel allows you to read this threaded comment; however, any edits to it will get removed if the file is opened in a newer version of Excel. Learn more: https://go.microsoft.com/fwlink/?linkid=870924
Comment:
	02/04 DA requested some domunentation after the mediation conference, sent to PAs (CM)
</t>
      </text>
    </comment>
    <comment authorId="45" xr:uid="{04f04e4f-36ea-4c39-a4a9-5fbe7ba61903}" ref="V99">
      <text>
        <t xml:space="preserve">[Threaded comment]
 Your version of Excel allows you to read this threaded comment; however, any edits to it will get removed if the file is opened in a newer version of Excel. Learn more: https://go.microsoft.com/fwlink/?linkid=870924
Comment:
	08/12 Peter is asking 65k (CM)
</t>
      </text>
    </comment>
    <comment authorId="46" xr:uid="{0518e078-249c-4b09-99ae-7302c9b96c0d}" ref="P179">
      <text>
        <t xml:space="preserve">[Threaded comment]
 Your version of Excel allows you to read this threaded comment; however, any edits to it will get removed if the file is opened in a newer version of Excel. Learn more: https://go.microsoft.com/fwlink/?linkid=870924
Comment:
	08/28 they say they will reinspect (CM)
</t>
      </text>
    </comment>
    <comment authorId="47" xr:uid="{057bbd92-395d-47a5-b3d3-26c122d0e612}" ref="P90">
      <text>
        <t xml:space="preserve">[Threaded comment]
 Your version of Excel allows you to read this threaded comment; however, any edits to it will get removed if the file is opened in a newer version of Excel. Learn more: https://go.microsoft.com/fwlink/?linkid=870924
Comment:
	09/23
</t>
      </text>
    </comment>
    <comment authorId="48" xr:uid="{05859b4a-d59f-48ae-8c17-e20b883bb47e}" ref="P201">
      <text>
        <t xml:space="preserve">[Threaded comment]
 Your version of Excel allows you to read this threaded comment; however, any edits to it will get removed if the file is opened in a newer version of Excel. Learn more: https://go.microsoft.com/fwlink/?linkid=870924
Comment:
	09/05 insp
</t>
      </text>
    </comment>
    <comment authorId="49" xr:uid="{05aa8dfb-7c2f-4c4d-bad0-e879df2203c3}" ref="N381">
      <text>
        <t xml:space="preserve">[Threaded comment]
 Your version of Excel allows you to read this threaded comment; however, any edits to it will get removed if the file is opened in a newer version of Excel. Learn more: https://go.microsoft.com/fwlink/?linkid=870924
Comment:
	7/3 sent to josh
Reply:
	7/17 aprobado el update
</t>
      </text>
    </comment>
    <comment authorId="50" xr:uid="{06061c52-b94b-4172-9151-7aeba8fa2b8d}" ref="M224">
      <text>
        <t xml:space="preserve">[Threaded comment]
 Your version of Excel allows you to read this threaded comment; however, any edits to it will get removed if the file is opened in a newer version of Excel. Learn more: https://go.microsoft.com/fwlink/?linkid=870924
Comment:
	esperar IA report
Reply:
	11/25 sent to DA
</t>
      </text>
    </comment>
    <comment authorId="51" xr:uid="{064b16d4-d9dd-4f08-b619-f095a7485321}" ref="Q363">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52" xr:uid="{064ed4ed-6ee1-4590-8977-527c7722262c}" ref="N225">
      <text>
        <t xml:space="preserve">[Threaded comment]
 Your version of Excel allows you to read this threaded comment; however, any edits to it will get removed if the file is opened in a newer version of Excel. Learn more: https://go.microsoft.com/fwlink/?linkid=870924
Comment:
	10/18 aprobado
</t>
      </text>
    </comment>
    <comment authorId="53" xr:uid="{065790a7-dbe7-40ed-985e-b440ebf0bddd}" ref="A335">
      <text>
        <t xml:space="preserve">[Threaded comment]
 Your version of Excel allows you to read this threaded comment; however, any edits to it will get removed if the file is opened in a newer version of Excel. Learn more: https://go.microsoft.com/fwlink/?linkid=870924
Comment:
	Peter
Reply:
	Depreciation $ 5,614.74
</t>
      </text>
    </comment>
    <comment authorId="54" xr:uid="{06a8cfa9-c0ce-40d5-a465-30a3d1d0a580}" ref="O183">
      <text>
        <t xml:space="preserve">[Threaded comment]
 Your version of Excel allows you to read this threaded comment; however, any edits to it will get removed if the file is opened in a newer version of Excel. Learn more: https://go.microsoft.com/fwlink/?linkid=870924
Comment:
	8/14 enviado al cliente @admin@ipadjustinggroup.com
</t>
      </text>
    </comment>
    <comment authorId="55" xr:uid="{073a80d1-3b6d-47ce-bf32-06119f0cf895}" ref="N183">
      <text>
        <t xml:space="preserve">[Threaded comment]
 Your version of Excel allows you to read this threaded comment; however, any edits to it will get removed if the file is opened in a newer version of Excel. Learn more: https://go.microsoft.com/fwlink/?linkid=870924
Comment:
	7/29 enviado a juan
Reply:
	8/14 Juan aprobo
</t>
      </text>
    </comment>
    <comment authorId="56" xr:uid="{078f112a-c396-4337-bcdc-af88af15e7e8}" ref="A168">
      <text>
        <t xml:space="preserve">[Threaded comment]
 Your version of Excel allows you to read this threaded comment; however, any edits to it will get removed if the file is opened in a newer version of Excel. Learn more: https://go.microsoft.com/fwlink/?linkid=870924
Comment:
	08/22 request mediation (CM) @scheduling@ipadjustinggroup.com
</t>
      </text>
    </comment>
    <comment authorId="57" xr:uid="{07b43702-c730-4dd1-a1bf-ea3fff8123eb}" ref="P189">
      <text>
        <t xml:space="preserve">[Threaded comment]
 Your version of Excel allows you to read this threaded comment; however, any edits to it will get removed if the file is opened in a newer version of Excel. Learn more: https://go.microsoft.com/fwlink/?linkid=870924
Comment:
	09/03
</t>
      </text>
    </comment>
    <comment authorId="58" xr:uid="{07d7aaeb-67f8-4763-8290-4c75fdc40c62}" ref="N318">
      <text>
        <t xml:space="preserve">[Threaded comment]
 Your version of Excel allows you to read this threaded comment; however, any edits to it will get removed if the file is opened in a newer version of Excel. Learn more: https://go.microsoft.com/fwlink/?linkid=870924
Comment:
	2/14/25 ivan approved
</t>
      </text>
    </comment>
    <comment authorId="59" xr:uid="{083b1a31-ed9f-4e66-b5d3-d93dff82ecbe}" ref="A1">
      <text>
        <t xml:space="preserve">[Threaded comment]
 Your version of Excel allows you to read this threaded comment; however, any edits to it will get removed if the file is opened in a newer version of Excel. Learn more: https://go.microsoft.com/fwlink/?linkid=870924
Comment:
	insp was 04/06
</t>
      </text>
    </comment>
    <comment authorId="60" xr:uid="{083cb64d-cabf-4be8-80e1-3af6115c6d2d}" ref="N280">
      <text>
        <t xml:space="preserve">[Threaded comment]
 Your version of Excel allows you to read this threaded comment; however, any edits to it will get removed if the file is opened in a newer version of Excel. Learn more: https://go.microsoft.com/fwlink/?linkid=870924
Comment:
	12/10 sent to josh
Reply:
	12/10 approved
</t>
      </text>
    </comment>
    <comment authorId="61" xr:uid="{08437a0f-4514-426b-9068-ad0c72da36f3}" ref="M244">
      <text>
        <t xml:space="preserve">[Threaded comment]
 Your version of Excel allows you to read this threaded comment; however, any edits to it will get removed if the file is opened in a newer version of Excel. Learn more: https://go.microsoft.com/fwlink/?linkid=870924
Comment:
	1/10/25 sent to DA
</t>
      </text>
    </comment>
    <comment authorId="62" xr:uid="{0876aec7-1d2b-4285-9f1f-58cc4b237318}" ref="N188">
      <text>
        <t xml:space="preserve">[Threaded comment]
 Your version of Excel allows you to read this threaded comment; however, any edits to it will get removed if the file is opened in a newer version of Excel. Learn more: https://go.microsoft.com/fwlink/?linkid=870924
Comment:
	5/27 updated the estimate, compared with IA report
</t>
      </text>
    </comment>
    <comment authorId="63" xr:uid="{08bfaee4-34f6-4743-8a01-92508030fc1b}" ref="V205">
      <text>
        <t xml:space="preserve">[Threaded comment]
 Your version of Excel allows you to read this threaded comment; however, any edits to it will get removed if the file is opened in a newer version of Excel. Learn more: https://go.microsoft.com/fwlink/?linkid=870924
Comment:
	09/23 received a determination letter, undisputted payment for 3.6k, and the IA report from before our representation, sent to PA's (CM)
</t>
      </text>
    </comment>
    <comment authorId="64" xr:uid="{08d6a491-01f4-4593-b2a6-862a524d922d}" ref="V224">
      <text>
        <t xml:space="preserve">[Threaded comment]
 Your version of Excel allows you to read this threaded comment; however, any edits to it will get removed if the file is opened in a newer version of Excel. Learn more: https://go.microsoft.com/fwlink/?linkid=870924
Comment:
	11/25 called DA asked for the IA report, she said the claim is under deductible, received the IA report, sent to PAs and asked JP to send our estimate (CM)
</t>
      </text>
    </comment>
    <comment authorId="65" xr:uid="{0906ef66-2a98-4400-bfba-d6d048bc0649}" ref="M405">
      <text>
        <t xml:space="preserve">[Threaded comment]
 Your version of Excel allows you to read this threaded comment; however, any edits to it will get removed if the file is opened in a newer version of Excel. Learn more: https://go.microsoft.com/fwlink/?linkid=870924
Comment:
	3/24 SENT TO DA
</t>
      </text>
    </comment>
    <comment authorId="66" xr:uid="{090fea7f-da66-4cb8-a659-eeb81802ad65}"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67" xr:uid="{092484b0-1609-4bbe-9983-46403a9ed3e8}" ref="V246">
      <text>
        <t xml:space="preserve">[Threaded comment]
 Your version of Excel allows you to read this threaded comment; however, any edits to it will get removed if the file is opened in a newer version of Excel. Learn more: https://go.microsoft.com/fwlink/?linkid=870924
Comment:
	11/12 asked Jaky to send the plumber invoince as per DA request (CM)
</t>
      </text>
    </comment>
    <comment authorId="68" xr:uid="{093663f2-b37f-4fb0-b8af-abfa2db9d5fb}" ref="A308">
      <text>
        <t xml:space="preserve">[Threaded comment]
 Your version of Excel allows you to read this threaded comment; however, any edits to it will get removed if the file is opened in a newer version of Excel. Learn more: https://go.microsoft.com/fwlink/?linkid=870924
Comment:
	Peter
Reply:
	Ordinance or Law of $3,489.96 
Recoverable depreciation of $5,730.94
</t>
      </text>
    </comment>
    <comment authorId="69" xr:uid="{0961c6c4-346d-4c2f-a0bb-1653ef3b45e7}" ref="O249">
      <text>
        <t xml:space="preserve">[Threaded comment]
 Your version of Excel allows you to read this threaded comment; however, any edits to it will get removed if the file is opened in a newer version of Excel. Learn more: https://go.microsoft.com/fwlink/?linkid=870924
Comment:
	12/19 sent SPOL to client SG
</t>
      </text>
    </comment>
    <comment authorId="70" xr:uid="{09762d7b-a52a-4e07-9e55-8821a287b0c8}" ref="V247">
      <text>
        <t xml:space="preserve">[Threaded comment]
 Your version of Excel allows you to read this threaded comment; however, any edits to it will get removed if the file is opened in a newer version of Excel. Learn more: https://go.microsoft.com/fwlink/?linkid=870924
Comment:
	01/31 Mediation resulted in an impasse as per Mediator info (CM)
</t>
      </text>
    </comment>
    <comment authorId="71" xr:uid="{097bd483-f59e-435e-81e6-e1f095d11b93}" ref="A180">
      <text>
        <t xml:space="preserve">[Threaded comment]
 Your version of Excel allows you to read this threaded comment; however, any edits to it will get removed if the file is opened in a newer version of Excel. Learn more: https://go.microsoft.com/fwlink/?linkid=870924
Comment:
	09/12 requested mediation @scheduling@ipadjustinggroup.com
Assigned to scheduling@ipadjustinggroup.com
Reply:
	Marked as done
</t>
      </text>
    </comment>
    <comment authorId="72" xr:uid="{0983661b-0beb-49cc-a44c-b59639bdd7bc}" ref="A140">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73" xr:uid="{09aff18a-be97-4f64-9632-8c759b6e6d2c}" ref="O286">
      <text>
        <t xml:space="preserve">[Threaded comment]
 Your version of Excel allows you to read this threaded comment; however, any edits to it will get removed if the file is opened in a newer version of Excel. Learn more: https://go.microsoft.com/fwlink/?linkid=870924
Comment:
	3/4 sent to client to sign
</t>
      </text>
    </comment>
    <comment authorId="74" xr:uid="{09e3768b-efce-41db-bf5f-d2f37a552e4c}" ref="V140">
      <text>
        <t xml:space="preserve">[Threaded comment]
 Your version of Excel allows you to read this threaded comment; however, any edits to it will get removed if the file is opened in a newer version of Excel. Learn more: https://go.microsoft.com/fwlink/?linkid=870924
Comment:
	08/12 The FA informs she is working on the estimate, she is asking for the measurements of the interior (CM) @joshua@ipadjustinggroup.com
</t>
      </text>
    </comment>
    <comment authorId="75" xr:uid="{09e389aa-c3f2-4d50-8979-110966b6e10a}" ref="O300">
      <text>
        <t xml:space="preserve">[Threaded comment]
 Your version of Excel allows you to read this threaded comment; however, any edits to it will get removed if the file is opened in a newer version of Excel. Learn more: https://go.microsoft.com/fwlink/?linkid=870924
Comment:
	@jp.ipestimates@gmail.com necesitamos SPOL de Shana Junior
Assigned to jp.ipestimates@gmail.com
Reply:
	4/17 enviado al cliente para q firme y notarice
</t>
      </text>
    </comment>
    <comment authorId="76" xr:uid="{09f4de84-fb5d-49b1-9ca6-9af4e445d24a}" ref="V206">
      <text>
        <t xml:space="preserve">[Threaded comment]
 Your version of Excel allows you to read this threaded comment; however, any edits to it will get removed if the file is opened in a newer version of Excel. Learn more: https://go.microsoft.com/fwlink/?linkid=870924
Comment:
	10/07 JD informs that we are going to receive a denial, ask us to send them the denial letter (CM)
</t>
      </text>
    </comment>
    <comment authorId="77" xr:uid="{09f4f7ad-a79c-40d0-b15a-2b6326563aa0}" ref="A1">
      <text>
        <t xml:space="preserve">[Threaded comment]
 Your version of Excel allows you to read this threaded comment; however, any edits to it will get removed if the file is opened in a newer version of Excel. Learn more: https://go.microsoft.com/fwlink/?linkid=870924
Comment:
	07/02
</t>
      </text>
    </comment>
    <comment authorId="78" xr:uid="{09fe886f-09b0-446b-b3ea-667e1b4267d9}" ref="A216">
      <text>
        <t xml:space="preserve">[Threaded comment]
 Your version of Excel allows you to read this threaded comment; however, any edits to it will get removed if the file is opened in a newer version of Excel. Learn more: https://go.microsoft.com/fwlink/?linkid=870924
Comment:
	vamos a pedir mediacion
</t>
      </text>
    </comment>
    <comment authorId="79" xr:uid="{09fe9982-e852-4d81-8bdf-cbc1a67d4c41}" ref="R354">
      <text>
        <t xml:space="preserve">[Threaded comment]
 Your version of Excel allows you to read this threaded comment; however, any edits to it will get removed if the file is opened in a newer version of Excel. Learn more: https://go.microsoft.com/fwlink/?linkid=870924
Comment:
	Beverly Scott / 931-214-4349
</t>
      </text>
    </comment>
    <comment authorId="80" xr:uid="{0a1fc043-eeda-4b94-aad2-0f80bd5a5194}" ref="A202">
      <text>
        <t xml:space="preserve">[Threaded comment]
 Your version of Excel allows you to read this threaded comment; however, any edits to it will get removed if the file is opened in a newer version of Excel. Learn more: https://go.microsoft.com/fwlink/?linkid=870924
Comment:
	09/12 invoke appraisal @scheduling@ipadjustinggroup.com
Reply:
	Marked as resolved
</t>
      </text>
    </comment>
    <comment authorId="81" xr:uid="{0a63d541-4a43-4ed6-9488-9b790a91b5d7}" ref="N404">
      <text>
        <t xml:space="preserve">[Threaded comment]
 Your version of Excel allows you to read this threaded comment; however, any edits to it will get removed if the file is opened in a newer version of Excel. Learn more: https://go.microsoft.com/fwlink/?linkid=870924
Comment:
	4/17/26 sent to ivan
</t>
      </text>
    </comment>
    <comment authorId="82" xr:uid="{0a6a9958-7011-4b5d-80d7-f4c5edfdc64a}" ref="N252">
      <text>
        <t xml:space="preserve">[Threaded comment]
 Your version of Excel allows you to read this threaded comment; however, any edits to it will get removed if the file is opened in a newer version of Excel. Learn more: https://go.microsoft.com/fwlink/?linkid=870924
Comment:
	11/07 Sent the estimate to Joshua for review.
Reply:
	11/07 Joshua approved the estimate.
</t>
      </text>
    </comment>
    <comment authorId="83" xr:uid="{0aa15cb3-5cbc-41b7-9671-c3bae0dcf251}"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84" xr:uid="{0ab4d6af-e2da-4945-b252-7ef07385a22e}" ref="M363">
      <text>
        <t xml:space="preserve">[Threaded comment]
 Your version of Excel allows you to read this threaded comment; however, any edits to it will get removed if the file is opened in a newer version of Excel. Learn more: https://go.microsoft.com/fwlink/?linkid=870924
Comment:
	8/25 sent to carrier
</t>
      </text>
    </comment>
    <comment authorId="85" xr:uid="{0ac1ec16-55f2-4b07-9d1b-0a9d894f9ae4}" ref="P234">
      <text>
        <t xml:space="preserve">[Threaded comment]
 Your version of Excel allows you to read this threaded comment; however, any edits to it will get removed if the file is opened in a newer version of Excel. Learn more: https://go.microsoft.com/fwlink/?linkid=870924
Comment:
	01/08
</t>
      </text>
    </comment>
    <comment authorId="86" xr:uid="{0b033763-b7dc-43cd-820b-cada1008b811}" ref="V150">
      <text>
        <t xml:space="preserve">[Threaded comment]
 Your version of Excel allows you to read this threaded comment; however, any edits to it will get removed if the file is opened in a newer version of Excel. Learn more: https://go.microsoft.com/fwlink/?linkid=870924
Comment:
	10/18 Wilber is asking Ivan about this claim, informed Ivan to call him via WS (CM)
Reply:
	10/28 Asked Iván if he talked with Wilber about this claim (CM)
</t>
      </text>
    </comment>
    <comment authorId="87" xr:uid="{0b4d15f0-deff-4515-a5f2-a9943c8a97a0}" ref="N185">
      <text>
        <t xml:space="preserve">[Threaded comment]
 Your version of Excel allows you to read this threaded comment; however, any edits to it will get removed if the file is opened in a newer version of Excel. Learn more: https://go.microsoft.com/fwlink/?linkid=870924
Comment:
	6/29 sent to Juan
</t>
      </text>
    </comment>
    <comment authorId="88" xr:uid="{0b83300c-5c0c-4c35-989e-dd8f516a65bd}" ref="A244">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89" xr:uid="{0ba4286c-a277-41b6-8a51-641011c66c6e}" ref="N339">
      <text>
        <t xml:space="preserve">[Threaded comment]
 Your version of Excel allows you to read this threaded comment; however, any edits to it will get removed if the file is opened in a newer version of Excel. Learn more: https://go.microsoft.com/fwlink/?linkid=870924
Comment:
	3/13 sent to ivan
Reply:
	3/19 aprobado por ivan
</t>
      </text>
    </comment>
    <comment authorId="90" xr:uid="{0bba72dd-ea6c-4040-94af-fb4d4bc35636}" ref="M334">
      <text>
        <t xml:space="preserve">[Threaded comment]
 Your version of Excel allows you to read this threaded comment; however, any edits to it will get removed if the file is opened in a newer version of Excel. Learn more: https://go.microsoft.com/fwlink/?linkid=870924
Comment:
	6/24 sent to DA
</t>
      </text>
    </comment>
    <comment authorId="91" xr:uid="{0be1523d-41cc-4221-a5d9-0e8d27c67c9a}" ref="N208">
      <text>
        <t xml:space="preserve">[Threaded comment]
 Your version of Excel allows you to read this threaded comment; however, any edits to it will get removed if the file is opened in a newer version of Excel. Learn more: https://go.microsoft.com/fwlink/?linkid=870924
Comment:
	10/1 enviado a juan
Reply:
	Paul follow up with Juan 175
Reply:
	11/05 Ask Juan to review the estimate
Reply:
	10/30 Juan approved the estimate
</t>
      </text>
    </comment>
    <comment authorId="92" xr:uid="{0c0b52fb-4c58-4a4d-8eb5-be7cdda9dda3}" ref="A1">
      <text>
        <t xml:space="preserve">[Threaded comment]
 Your version of Excel allows you to read this threaded comment; however, any edits to it will get removed if the file is opened in a newer version of Excel. Learn more: https://go.microsoft.com/fwlink/?linkid=870924
Comment:
	10/28
</t>
      </text>
    </comment>
    <comment authorId="93" xr:uid="{0c20bfc3-0073-4eba-bc6f-6f68cfe86387}"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94" xr:uid="{0c287a85-f996-4ba2-b700-59cacd6ea70d}" ref="A1">
      <text>
        <t xml:space="preserve">[Threaded comment]
 Your version of Excel allows you to read this threaded comment; however, any edits to it will get removed if the file is opened in a newer version of Excel. Learn more: https://go.microsoft.com/fwlink/?linkid=870924
Comment:
	01/20
</t>
      </text>
    </comment>
    <comment authorId="95" xr:uid="{0c461b61-80ef-42c4-9bbb-b0720c080c58}"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96" xr:uid="{0c93dcb3-c5be-4757-8387-084b084b4c61}" ref="N235">
      <text>
        <t xml:space="preserve">[Threaded comment]
 Your version of Excel allows you to read this threaded comment; however, any edits to it will get removed if the file is opened in a newer version of Excel. Learn more: https://go.microsoft.com/fwlink/?linkid=870924
Comment:
	10/23 Sent estimate to David for approval.
Reply:
	10/25 David approved the estimate.
</t>
      </text>
    </comment>
    <comment authorId="97" xr:uid="{0c96329f-0818-4cb5-8369-e488f78e3d50}" ref="V175">
      <text>
        <t xml:space="preserve">[Threaded comment]
 Your version of Excel allows you to read this threaded comment; however, any edits to it will get removed if the file is opened in a newer version of Excel. Learn more: https://go.microsoft.com/fwlink/?linkid=870924
Comment:
	07/08 carrier is requesting the plumbing invoice to continue with the claim process, asked Ivan via ws (CM)
</t>
      </text>
    </comment>
    <comment authorId="98" xr:uid="{0ce2c5be-55de-4065-950e-63cd625d4e4d}" ref="U158">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99" xr:uid="{0d018a23-6167-4f0c-bb2d-07af97c8c5b3}" ref="A1">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00" xr:uid="{0d0a3a29-d91d-44ab-9262-2bc7a6eba04d}"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01" xr:uid="{0d209226-f8a4-428c-8834-ef54acd300d3}" ref="A138">
      <text>
        <t xml:space="preserve">[Threaded comment]
 Your version of Excel allows you to read this threaded comment; however, any edits to it will get removed if the file is opened in a newer version of Excel. Learn more: https://go.microsoft.com/fwlink/?linkid=870924
Comment:
	07/16 Peter informs the claim is settled, payment pending (CM) @scheduling@ipadjustinggroup.com
</t>
      </text>
    </comment>
    <comment authorId="102" xr:uid="{0d238948-0561-4250-8ae8-419f25fe7c12}" ref="V273">
      <text>
        <t xml:space="preserve">[Threaded comment]
 Your version of Excel allows you to read this threaded comment; however, any edits to it will get removed if the file is opened in a newer version of Excel. Learn more: https://go.microsoft.com/fwlink/?linkid=870924
Comment:
	01/28 Peter is asking 38.5k (CM)
</t>
      </text>
    </comment>
    <comment authorId="103" xr:uid="{0d25fb88-6fd5-4d16-832c-a6c57b321d02}" ref="M315">
      <text>
        <t xml:space="preserve">[Threaded comment]
 Your version of Excel allows you to read this threaded comment; however, any edits to it will get removed if the file is opened in a newer version of Excel. Learn more: https://go.microsoft.com/fwlink/?linkid=870924
Comment:
	2/28 sent to carrier
</t>
      </text>
    </comment>
    <comment authorId="104" xr:uid="{0d5b1499-530d-42e0-9e0b-7442344fcf01}" ref="A1">
      <text>
        <t xml:space="preserve">[Threaded comment]
 Your version of Excel allows you to read this threaded comment; however, any edits to it will get removed if the file is opened in a newer version of Excel. Learn more: https://go.microsoft.com/fwlink/?linkid=870924
Comment:
	05/01 sent an email requesting policy and IA (CM)
</t>
      </text>
    </comment>
    <comment authorId="105" xr:uid="{0d9dd926-9d23-45ab-8ed5-39909aef1c1f}" ref="V261">
      <text>
        <t xml:space="preserve">[Threaded comment]
 Your version of Excel allows you to read this threaded comment; however, any edits to it will get removed if the file is opened in a newer version of Excel. Learn more: https://go.microsoft.com/fwlink/?linkid=870924
Comment:
	01/07 sent the denial letter to PAs, asked them how to proceed (CM)
</t>
      </text>
    </comment>
    <comment authorId="106" xr:uid="{0da31890-0b98-4115-9d14-d955713fbf2b}" ref="N237">
      <text>
        <t xml:space="preserve">[Threaded comment]
 Your version of Excel allows you to read this threaded comment; however, any edits to it will get removed if the file is opened in a newer version of Excel. Learn more: https://go.microsoft.com/fwlink/?linkid=870924
Comment:
	10/24 Sent estimate to Peter for approval.
Reply:
	12/11 Peter approved
</t>
      </text>
    </comment>
    <comment authorId="107" xr:uid="{0db1d3ac-ee25-4733-a743-3307ff339330}" ref="A109">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$2,165.91
</t>
      </text>
    </comment>
    <comment authorId="108" xr:uid="{0db94bcf-6884-4da7-83ab-6554cb1cecfb}" ref="O205">
      <text>
        <t xml:space="preserve">[Threaded comment]
 Your version of Excel allows you to read this threaded comment; however, any edits to it will get removed if the file is opened in a newer version of Excel. Learn more: https://go.microsoft.com/fwlink/?linkid=870924
Comment:
	12/18 sent to client SG
</t>
      </text>
    </comment>
    <comment authorId="109" xr:uid="{0dbe8d6c-54aa-44fa-91ce-8a148f4de33c}" ref="V222">
      <text>
        <t xml:space="preserve">[Threaded comment]
 Your version of Excel allows you to read this threaded comment; however, any edits to it will get removed if the file is opened in a newer version of Excel. Learn more: https://go.microsoft.com/fwlink/?linkid=870924
Comment:
	10/28 Received the IA report and determination letter is underdeductible, sent to PAs (CM)
Reply:
	engineer will be on 11/06 (CM)
</t>
      </text>
    </comment>
    <comment authorId="110" xr:uid="{0dc15857-bbf6-4fed-8459-f7f0d0520569}"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111" xr:uid="{0dc9adfc-67a1-4eba-8442-6654b890d881}" ref="M193">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7/30 enviado con picture file
</t>
      </text>
    </comment>
    <comment authorId="112" xr:uid="{0de53bab-02ac-4b4e-aca2-5ecba4766344}" ref="M273">
      <text>
        <t xml:space="preserve">[Threaded comment]
 Your version of Excel allows you to read this threaded comment; however, any edits to it will get removed if the file is opened in a newer version of Excel. Learn more: https://go.microsoft.com/fwlink/?linkid=870924
Comment:
	1/20 sent to DA. No picture file
</t>
      </text>
    </comment>
    <comment authorId="113" xr:uid="{0e003c9e-f998-4b01-82ec-6f542938f416}" ref="P214">
      <text>
        <t xml:space="preserve">[Threaded comment]
 Your version of Excel allows you to read this threaded comment; however, any edits to it will get removed if the file is opened in a newer version of Excel. Learn more: https://go.microsoft.com/fwlink/?linkid=870924
Comment:
	Inspection will be on 11/13 (CM)
</t>
      </text>
    </comment>
    <comment authorId="114" xr:uid="{0e392fe5-a554-4113-bfef-eb00b4865b5f}" ref="A241">
      <text>
        <t xml:space="preserve">[Threaded comment]
 Your version of Excel allows you to read this threaded comment; however, any edits to it will get removed if the file is opened in a newer version of Excel. Learn more: https://go.microsoft.com/fwlink/?linkid=870924
Comment:
	haven't sent yet, David hasn't approve the estimate
</t>
      </text>
    </comment>
    <comment authorId="115" xr:uid="{0e83b614-a1cc-42fc-8c0d-86356438d139}"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16" xr:uid="{0e9ec5c7-eb2f-4edb-8497-e1fc14505c4c}" ref="V191">
      <text>
        <t xml:space="preserve">[Threaded comment]
 Your version of Excel allows you to read this threaded comment; however, any edits to it will get removed if the file is opened in a newer version of Excel. Learn more: https://go.microsoft.com/fwlink/?linkid=870924
Comment:
	07/12 Carrier informs that the insured didn't have an active policy in 2022, informed Ivan, he said he will correct the LOR, the client has a heritage policy (CM)
</t>
      </text>
    </comment>
    <comment authorId="117" xr:uid="{0eb1899a-afef-4c52-9020-829dde4c082f}" ref="A159">
      <text>
        <t xml:space="preserve">[Threaded comment]
 Your version of Excel allows you to read this threaded comment; however, any edits to it will get removed if the file is opened in a newer version of Excel. Learn more: https://go.microsoft.com/fwlink/?linkid=870924
Comment:
	07/16 request mediation (CM) @scheduling@ipadjustinggroup.com
</t>
      </text>
    </comment>
    <comment authorId="118" xr:uid="{0ebb757c-aff8-4190-8081-df926115cfbc}" ref="U173">
      <text>
        <t xml:space="preserve">[Threaded comment]
 Your version of Excel allows you to read this threaded comment; however, any edits to it will get removed if the file is opened in a newer version of Excel. Learn more: https://go.microsoft.com/fwlink/?linkid=870924
Comment:
	Prefered Method text
</t>
      </text>
    </comment>
    <comment authorId="119" xr:uid="{0f0ceb39-fce9-4d5e-84a6-03f978085ccc}" ref="M290">
      <text>
        <t xml:space="preserve">[Threaded comment]
 Your version of Excel allows you to read this threaded comment; however, any edits to it will get removed if the file is opened in a newer version of Excel. Learn more: https://go.microsoft.com/fwlink/?linkid=870924
Comment:
	when sending it to the carrier please CC the client pateldk71@yahoo.com
</t>
      </text>
    </comment>
    <comment authorId="120" xr:uid="{0f8453b8-989d-4fc0-8dc6-cc28512b6637}" ref="A183">
      <text>
        <t xml:space="preserve">[Threaded comment]
 Your version of Excel allows you to read this threaded comment; however, any edits to it will get removed if the file is opened in a newer version of Excel. Learn more: https://go.microsoft.com/fwlink/?linkid=870924
Comment:
	09/12 request mediation @scheduling@ipadjustinggroup.com
Assigned to scheduling@ipadjustinggroup.com
Reply:
	Marked as done
</t>
      </text>
    </comment>
    <comment authorId="121" xr:uid="{0f97371b-78cb-419b-a4f3-b77b55ea1883}" ref="V153">
      <text>
        <t xml:space="preserve">[Threaded comment]
 Your version of Excel allows you to read this threaded comment; however, any edits to it will get removed if the file is opened in a newer version of Excel. Learn more: https://go.microsoft.com/fwlink/?linkid=870924
Comment:
	07/15 DA says the claim will be closed until we submit additional documentation (CM)
</t>
      </text>
    </comment>
    <comment authorId="122" xr:uid="{0fe0e3db-2dca-418d-a3bf-7cdafa86605c}"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3" xr:uid="{0ff5e253-9370-4c4e-bcc5-92cca1c33d3a}" ref="V204">
      <text>
        <t xml:space="preserve">[Threaded comment]
 Your version of Excel allows you to read this threaded comment; however, any edits to it will get removed if the file is opened in a newer version of Excel. Learn more: https://go.microsoft.com/fwlink/?linkid=870924
Comment:
	11/18 DA says that he is waiting the confirmation to do the breakdown payment as Peter asked (CM)
</t>
      </text>
    </comment>
    <comment authorId="124" xr:uid="{101f8d38-34c2-4f57-87a1-f2e70a7fc60e}"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125" xr:uid="{108e50b8-8ff6-4885-bee0-5f74cf900edf}" ref="M352">
      <text>
        <t xml:space="preserve">[Threaded comment]
 Your version of Excel allows you to read this threaded comment; however, any edits to it will get removed if the file is opened in a newer version of Excel. Learn more: https://go.microsoft.com/fwlink/?linkid=870924
Comment:
	5/27 sent to DA
</t>
      </text>
    </comment>
    <comment authorId="126" xr:uid="{109974bf-bc48-4b78-b4d8-f6cafb6c099b}" ref="A1">
      <text>
        <t xml:space="preserve">[Threaded comment]
 Your version of Excel allows you to read this threaded comment; however, any edits to it will get removed if the file is opened in a newer version of Excel. Learn more: https://go.microsoft.com/fwlink/?linkid=870924
Comment:
	Pedir a Day que agende llamada con DA
</t>
      </text>
    </comment>
    <comment authorId="127" xr:uid="{10c9d741-a12d-41af-a4a9-2af53921826d}"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28" xr:uid="{115bcaf4-cbea-420d-81c8-066602cb0a21}" ref="M211">
      <text>
        <t xml:space="preserve">[Threaded comment]
 Your version of Excel allows you to read this threaded comment; however, any edits to it will get removed if the file is opened in a newer version of Excel. Learn more: https://go.microsoft.com/fwlink/?linkid=870924
Comment:
	esperar IA report
Reply:
	12/10 sent to carrier
</t>
      </text>
    </comment>
    <comment authorId="129" xr:uid="{11814deb-762e-4caf-98a3-bcd0471e26d4}" ref="P179">
      <text>
        <t xml:space="preserve">[Threaded comment]
 Your version of Excel allows you to read this threaded comment; however, any edits to it will get removed if the file is opened in a newer version of Excel. Learn more: https://go.microsoft.com/fwlink/?linkid=870924
Comment:
	reinsp for 09/11
</t>
      </text>
    </comment>
    <comment authorId="130" xr:uid="{1188f71c-c5ac-4e7e-9b38-12309a3ae236}" ref="A263">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131" xr:uid="{119d4170-47c3-48ed-9362-da9dcdbda01b}" ref="V251">
      <text>
        <t xml:space="preserve">[Threaded comment]
 Your version of Excel allows you to read this threaded comment; however, any edits to it will get removed if the file is opened in a newer version of Excel. Learn more: https://go.microsoft.com/fwlink/?linkid=870924
Comment:
	12/16 recieved the appraisal agreement asked peter to sign it, sent the OA info to Day (CM)
</t>
      </text>
    </comment>
    <comment authorId="132" xr:uid="{11a46f84-56b5-43b4-b4b3-c6b4928d378b}" ref="P304">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33" xr:uid="{11d3148f-285e-4eb0-8274-e75f5dc478c5}" ref="A1">
      <text>
        <t xml:space="preserve">[Threaded comment]
 Your version of Excel allows you to read this threaded comment; however, any edits to it will get removed if the file is opened in a newer version of Excel. Learn more: https://go.microsoft.com/fwlink/?linkid=870924
Comment:
	08/12 asked DA a copy of the policy (CM)
</t>
      </text>
    </comment>
    <comment authorId="134" xr:uid="{11d338b5-d3d0-4ce2-8704-7c32eca77cd5}" ref="A288">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135" xr:uid="{124c231f-f4cc-44b1-a93b-993d5c0bbfba}" ref="O171">
      <text>
        <t xml:space="preserve">[Threaded comment]
 Your version of Excel allows you to read this threaded comment; however, any edits to it will get removed if the file is opened in a newer version of Excel. Learn more: https://go.microsoft.com/fwlink/?linkid=870924
Comment:
	FIGA hacer en el sistema cuando se necesite
</t>
      </text>
    </comment>
    <comment authorId="136" xr:uid="{126f51b8-569b-4283-8f98-430ef9f4f5c8}" ref="P276">
      <text>
        <t xml:space="preserve">[Threaded comment]
 Your version of Excel allows you to read this threaded comment; however, any edits to it will get removed if the file is opened in a newer version of Excel. Learn more: https://go.microsoft.com/fwlink/?linkid=870924
Comment:
	insp. on 11/21
</t>
      </text>
    </comment>
    <comment authorId="137" xr:uid="{12a42ae6-ad83-42c9-b109-19ff0eda4957}" ref="A97">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$2,559.97
Coverage B: $944.68
</t>
      </text>
    </comment>
    <comment authorId="138" xr:uid="{12ae92f7-b6d5-41c7-a57c-bc065599294f}" ref="N305">
      <text>
        <t xml:space="preserve">[Threaded comment]
 Your version of Excel allows you to read this threaded comment; however, any edits to it will get removed if the file is opened in a newer version of Excel. Learn more: https://go.microsoft.com/fwlink/?linkid=870924
Comment:
	3/3 sent to josh
Reply:
	3/4 aprobado
</t>
      </text>
    </comment>
    <comment authorId="139" xr:uid="{12b6cdb2-6b8d-4301-8f83-d08b4b51dc4a}" ref="N257">
      <text>
        <t xml:space="preserve">[Threaded comment]
 Your version of Excel allows you to read this threaded comment; however, any edits to it will get removed if the file is opened in a newer version of Excel. Learn more: https://go.microsoft.com/fwlink/?linkid=870924
Comment:
	11/23 Sent to Ivan for review
Reply:
	12/10 Ivan approved the estimate
</t>
      </text>
    </comment>
    <comment authorId="140" xr:uid="{12f24b02-0d83-47af-8207-0bcc1ad88d0b}" ref="O90">
      <text>
        <t xml:space="preserve">[Threaded comment]
 Your version of Excel allows you to read this threaded comment; however, any edits to it will get removed if the file is opened in a newer version of Excel. Learn more: https://go.microsoft.com/fwlink/?linkid=870924
Comment:
	haz SPOL cliente 48 @jp.ipestimates@gmail.com
</t>
      </text>
    </comment>
    <comment authorId="141" xr:uid="{12f2924d-7cc6-49e0-8069-459869b74b9f}" ref="A1">
      <text>
        <t xml:space="preserve">[Threaded comment]
 Your version of Excel allows you to read this threaded comment; however, any edits to it will get removed if the file is opened in a newer version of Excel. Learn more: https://go.microsoft.com/fwlink/?linkid=870924
Comment:
	sarah
</t>
      </text>
    </comment>
    <comment authorId="142" xr:uid="{12fb1439-56f4-4ba0-a4c0-2eb8fa1ccb9b}" ref="A153">
      <text>
        <t xml:space="preserve">[Threaded comment]
 Your version of Excel allows you to read this threaded comment; however, any edits to it will get removed if the file is opened in a newer version of Excel. Learn more: https://go.microsoft.com/fwlink/?linkid=870924
Comment:
	07/25 requested mediation (CM)
@scheduling@ipadjustinggroup.com
</t>
      </text>
    </comment>
    <comment authorId="143" xr:uid="{1398c5f0-77a5-4f1c-a60d-ee3bc0260d20}" ref="A1">
      <text>
        <t xml:space="preserve">[Threaded comment]
 Your version of Excel allows you to read this threaded comment; however, any edits to it will get removed if the file is opened in a newer version of Excel. Learn more: https://go.microsoft.com/fwlink/?linkid=870924
Comment:
	04/16 received a letter, DA says claim will close if they don't receive the estimate (CM)
</t>
      </text>
    </comment>
    <comment authorId="144" xr:uid="{13cf970e-fbd9-4eeb-83a3-873f09114958}" ref="M392">
      <text>
        <t xml:space="preserve">[Threaded comment]
 Your version of Excel allows you to read this threaded comment; however, any edits to it will get removed if the file is opened in a newer version of Excel. Learn more: https://go.microsoft.com/fwlink/?linkid=870924
Comment:
	2/5/26 sent to DA
</t>
      </text>
    </comment>
    <comment authorId="145" xr:uid="{140edb9a-53cc-420a-9cc1-bdde5ea05c31}" ref="A390">
      <text>
        <t xml:space="preserve">[Threaded comment]
 Your version of Excel allows you to read this threaded comment; however, any edits to it will get removed if the file is opened in a newer version of Excel. Learn more: https://go.microsoft.com/fwlink/?linkid=870924
Comment:
	Juan $500
</t>
      </text>
    </comment>
    <comment authorId="146" xr:uid="{143953b7-9783-4d34-9622-0d688ae71373}" ref="N186">
      <text>
        <t xml:space="preserve">[Threaded comment]
 Your version of Excel allows you to read this threaded comment; however, any edits to it will get removed if the file is opened in a newer version of Excel. Learn more: https://go.microsoft.com/fwlink/?linkid=870924
Comment:
	7/30 pedi info a ivan del estimado
Reply:
	8/28 pedi a ivan alguna info
Reply:
	11/05 pedi info a Ivan para hacer estimado
Reply:
	1/28/25 ivan esta esperando a ver q hace el carrier
</t>
      </text>
    </comment>
    <comment authorId="147" xr:uid="{143e3f88-5910-4024-b7d4-faeb2883b666}" ref="V230">
      <text>
        <t xml:space="preserve">[Threaded comment]
 Your version of Excel allows you to read this threaded comment; however, any edits to it will get removed if the file is opened in a newer version of Excel. Learn more: https://go.microsoft.com/fwlink/?linkid=870924
Comment:
	11/06 DA sent an autorization form and spol to be filled out, asked PAs if they want me to complete the authorization form for the bank (CM)
Reply:
	11/26 Received the denial letter, sent to PAs and asked JP to send our estimate (CM)
</t>
      </text>
    </comment>
    <comment authorId="148" xr:uid="{145b9ca6-91db-48e7-ba00-a7375f3e6c3b}" ref="U153">
      <text>
        <t xml:space="preserve">[Threaded comment]
 Your version of Excel allows you to read this threaded comment; however, any edits to it will get removed if the file is opened in a newer version of Excel. Learn more: https://go.microsoft.com/fwlink/?linkid=870924
Comment:
	Prefered Method text
</t>
      </text>
    </comment>
    <comment authorId="149" xr:uid="{1462f5d4-9866-43f9-80a1-c6f98460441b}" ref="N244">
      <text>
        <t xml:space="preserve">[Threaded comment]
 Your version of Excel allows you to read this threaded comment; however, any edits to it will get removed if the file is opened in a newer version of Excel. Learn more: https://go.microsoft.com/fwlink/?linkid=870924
Comment:
	11/09 Sent estimate to Johua for review.
Reply:
	11/11 Joshua approved the estimate
</t>
      </text>
    </comment>
    <comment authorId="150" xr:uid="{1473ecbc-09ec-451a-a13e-588f668b64d0}" ref="V309">
      <text>
        <t xml:space="preserve">[Threaded comment]
 Your version of Excel allows you to read this threaded comment; however, any edits to it will get removed if the file is opened in a newer version of Excel. Learn more: https://go.microsoft.com/fwlink/?linkid=870924
Comment:
	01/30 received the IA report, asked JP to send our estimate (CM)
</t>
      </text>
    </comment>
    <comment authorId="151" xr:uid="{14764118-d2e3-4186-9dc6-30fcf6a5a635}" ref="M171">
      <text>
        <t xml:space="preserve">[Threaded comment]
 Your version of Excel allows you to read this threaded comment; however, any edits to it will get removed if the file is opened in a newer version of Excel. Learn more: https://go.microsoft.com/fwlink/?linkid=870924
Comment:
	7/09 esperando el IA report
Reply:
	7/30 juan envio a la DA
</t>
      </text>
    </comment>
    <comment authorId="152" xr:uid="{147bedf9-fb72-4e06-9dd1-2cc354c620fd}" ref="P317">
      <text>
        <t xml:space="preserve">[Threaded comment]
 Your version of Excel allows you to read this threaded comment; however, any edits to it will get removed if the file is opened in a newer version of Excel. Learn more: https://go.microsoft.com/fwlink/?linkid=870924
Comment:
	02/28 insp
</t>
      </text>
    </comment>
    <comment authorId="153" xr:uid="{14932756-f4db-45a2-8241-03f576a5835f}"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54" xr:uid="{14a833b5-8c4b-409f-9b05-61d5ab3882d9}" ref="M409">
      <text>
        <t xml:space="preserve">[Threaded comment]
 Your version of Excel allows you to read this threaded comment; however, any edits to it will get removed if the file is opened in a newer version of Excel. Learn more: https://go.microsoft.com/fwlink/?linkid=870924
Comment:
	5/5 sent to DA
</t>
      </text>
    </comment>
    <comment authorId="155" xr:uid="{14b2248e-8daa-4eb8-a417-7661e7ff8802}" ref="M166">
      <text>
        <t xml:space="preserve">[Threaded comment]
 Your version of Excel allows you to read this threaded comment; however, any edits to it will get removed if the file is opened in a newer version of Excel. Learn more: https://go.microsoft.com/fwlink/?linkid=870924
Comment:
	7/24 enviado al carrier, sin fotos.
7/17 enviar a penas apruebe Juan, es re-open
y enviar el SPOL porque estan pidiendo con angustia (CM) @jp.ipestimates@gmail.com
Reply:
	ya lo hago
Reply:
	Carito, necesito la poliza, la tienes?
</t>
      </text>
    </comment>
    <comment authorId="156" xr:uid="{14b2af20-390f-4407-999a-ee22be193136}" ref="V174">
      <text>
        <t xml:space="preserve">[Threaded comment]
 Your version of Excel allows you to read this threaded comment; however, any edits to it will get removed if the file is opened in a newer version of Excel. Learn more: https://go.microsoft.com/fwlink/?linkid=870924
Comment:
	08/19 received the IA report, the claim is under deductible, asked IP's how to proceed (CM)
</t>
      </text>
    </comment>
    <comment authorId="157" xr:uid="{14bb4eb7-cc08-4520-89b7-edf754d638f5}" ref="N275">
      <text>
        <t xml:space="preserve">[Threaded comment]
 Your version of Excel allows you to read this threaded comment; however, any edits to it will get removed if the file is opened in a newer version of Excel. Learn more: https://go.microsoft.com/fwlink/?linkid=870924
Comment:
	11/21 Sent the estimate to Angie for review
Reply:
	1/13 angie approved
</t>
      </text>
    </comment>
    <comment authorId="158" xr:uid="{14dc71bb-f8e4-468c-808d-8ce440d857ff}" ref="A1">
      <text>
        <t xml:space="preserve">[Threaded comment]
 Your version of Excel allows you to read this threaded comment; however, any edits to it will get removed if the file is opened in a newer version of Excel. Learn more: https://go.microsoft.com/fwlink/?linkid=870924
Comment:
	9/17 aprobado por jacob
</t>
      </text>
    </comment>
    <comment authorId="159" xr:uid="{151698ec-6ea1-4c96-9eb2-94757f1b666b}" ref="V292">
      <text>
        <t xml:space="preserve">[Threaded comment]
 Your version of Excel allows you to read this threaded comment; however, any edits to it will get removed if the file is opened in a newer version of Excel. Learn more: https://go.microsoft.com/fwlink/?linkid=870924
Comment:
	12/23 received the determination letter, below deductible, asked JP to review the IA report and send our estimate (CM)
</t>
      </text>
    </comment>
    <comment authorId="160" xr:uid="{152430d2-286e-4a2d-82ad-0ba1c1a82dc4}" ref="A207">
      <text>
        <t xml:space="preserve">[Threaded comment]
 Your version of Excel allows you to read this threaded comment; however, any edits to it will get removed if the file is opened in a newer version of Excel. Learn more: https://go.microsoft.com/fwlink/?linkid=870924
Comment:
	David M.
Reply:
	(O&amp;L) $4,281.16
</t>
      </text>
    </comment>
    <comment authorId="161" xr:uid="{153d5731-1fcf-4126-8c1c-0fd2b542c2a1}" ref="V197">
      <text>
        <t xml:space="preserve">[Threaded comment]
 Your version of Excel allows you to read this threaded comment; however, any edits to it will get removed if the file is opened in a newer version of Excel. Learn more: https://go.microsoft.com/fwlink/?linkid=870924
Comment:
	08/02 DA is asking for an examination under oath and the SPOL, asked PAs to explain me better that doc (CM)
08/06 Ivan explained that examination under oath is like a recorded statement but with lawyers, asked if I should ask Day or Perry for that (CM)
</t>
      </text>
    </comment>
    <comment authorId="162" xr:uid="{1544d7a1-d0c4-4ee6-a169-8c34521e07e1}" ref="P207">
      <text>
        <t xml:space="preserve">[Threaded comment]
 Your version of Excel allows you to read this threaded comment; however, any edits to it will get removed if the file is opened in a newer version of Excel. Learn more: https://go.microsoft.com/fwlink/?linkid=870924
Comment:
	Inspection will be on 11/01 (CM)
</t>
      </text>
    </comment>
    <comment authorId="163" xr:uid="{158777a1-dddd-4f05-80fd-aed058154032}" ref="P188">
      <text>
        <t xml:space="preserve">[Threaded comment]
 Your version of Excel allows you to read this threaded comment; however, any edits to it will get removed if the file is opened in a newer version of Excel. Learn more: https://go.microsoft.com/fwlink/?linkid=870924
Comment:
	02/25
</t>
      </text>
    </comment>
    <comment authorId="164" xr:uid="{15a47b9f-db67-45ca-aa35-7ddf71b3203b}" ref="N347">
      <text>
        <t xml:space="preserve">[Threaded comment]
 Your version of Excel allows you to read this threaded comment; however, any edits to it will get removed if the file is opened in a newer version of Excel. Learn more: https://go.microsoft.com/fwlink/?linkid=870924
Comment:
	3/31 sent to Josh
Reply:
	4/12 aprobado
</t>
      </text>
    </comment>
    <comment authorId="165" xr:uid="{15ac3cdd-49e7-4362-b4a3-145e2fcd4c87}" ref="A1">
      <text>
        <t xml:space="preserve">[Threaded comment]
 Your version of Excel allows you to read this threaded comment; however, any edits to it will get removed if the file is opened in a newer version of Excel. Learn more: https://go.microsoft.com/fwlink/?linkid=870924
Comment:
	@admin@ipadjustinggroup.com
Assigned to admin@ipadjustinggroup.com
Reply:
	Marked as done
Reply:
	POOOSI JAJAJ
Re-opened
</t>
      </text>
    </comment>
    <comment authorId="166" xr:uid="{15b1c0c4-869c-4545-b477-f8b5791d4f44}" ref="M191">
      <text>
        <t xml:space="preserve">[Threaded comment]
 Your version of Excel allows you to read this threaded comment; however, any edits to it will get removed if the file is opened in a newer version of Excel. Learn more: https://go.microsoft.com/fwlink/?linkid=870924
Comment:
	WAITING IA REPORT
Reply:
	revisa engineer report y manda estimado 155
</t>
      </text>
    </comment>
    <comment authorId="167" xr:uid="{15e868dd-d803-4e03-9d4a-4539efc64817}" ref="M155">
      <text>
        <t xml:space="preserve">[Threaded comment]
 Your version of Excel allows you to read this threaded comment; however, any edits to it will get removed if the file is opened in a newer version of Excel. Learn more: https://go.microsoft.com/fwlink/?linkid=870924
Comment:
	7/12 enviado sin fotos.
</t>
      </text>
    </comment>
    <comment authorId="168" xr:uid="{16479c50-1e1a-4f9c-9258-147091ec0069}" ref="V171">
      <text>
        <t xml:space="preserve">[Threaded comment]
 Your version of Excel allows you to read this threaded comment; however, any edits to it will get removed if the file is opened in a newer version of Excel. Learn more: https://go.microsoft.com/fwlink/?linkid=870924
Comment:
	09/12 received an email saying that they have settled in 40k this claim on the mediation conference, pending the settlement release (CM)
</t>
      </text>
    </comment>
    <comment authorId="169" xr:uid="{16bfec47-10e3-44eb-9014-fe66616c629e}" ref="B199">
      <text>
        <t xml:space="preserve">[Threaded comment]
 Your version of Excel allows you to read this threaded comment; however, any edits to it will get removed if the file is opened in a newer version of Excel. Learn more: https://go.microsoft.com/fwlink/?linkid=870924
Comment:
	Ivan / Jakey
</t>
      </text>
    </comment>
    <comment authorId="170" xr:uid="{16cc5493-21d3-4546-81d8-fa5cb8cde699}" ref="M286">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1/20 subido a CP
</t>
      </text>
    </comment>
    <comment authorId="171" xr:uid="{16d6b865-7e09-4cf8-98cc-18afd2383438}"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72" xr:uid="{16f488d1-1ca4-4ce5-934a-5a3e694077a1}" ref="A225">
      <text>
        <t xml:space="preserve">[Threaded comment]
 Your version of Excel allows you to read this threaded comment; however, any edits to it will get removed if the file is opened in a newer version of Excel. Learn more: https://go.microsoft.com/fwlink/?linkid=870924
Comment:
	we were paid for this @admin@ipadjustinggroup.com
Assigned to admin@ipadjustinggroup.com
</t>
      </text>
    </comment>
    <comment authorId="173" xr:uid="{170b5f6b-df5d-4200-a7bd-1838a3f43732}"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74" xr:uid="{170de5af-9552-42ab-8573-a4769356949b}" ref="V161">
      <text>
        <t xml:space="preserve">[Threaded comment]
 Your version of Excel allows you to read this threaded comment; however, any edits to it will get removed if the file is opened in a newer version of Excel. Learn more: https://go.microsoft.com/fwlink/?linkid=870924
Comment:
	07/22 Ivan is asking 45k to settle (CM)
</t>
      </text>
    </comment>
    <comment authorId="175" xr:uid="{170eda9a-cacd-4d66-bbd9-a3e39962c570}" ref="V187">
      <text>
        <t xml:space="preserve">[Threaded comment]
 Your version of Excel allows you to read this threaded comment; however, any edits to it will get removed if the file is opened in a newer version of Excel. Learn more: https://go.microsoft.com/fwlink/?linkid=870924
Comment:
	10/28 Iván asked Sarah to reschedule the mediation (CM)
</t>
      </text>
    </comment>
    <comment authorId="176" xr:uid="{173b9998-3e00-484e-9d3e-5bad54c329f3}" ref="M164">
      <text>
        <t xml:space="preserve">[Threaded comment]
 Your version of Excel allows you to read this threaded comment; however, any edits to it will get removed if the file is opened in a newer version of Excel. Learn more: https://go.microsoft.com/fwlink/?linkid=870924
Comment:
	9/03 Peter: I sent it to the DA. I am still trying to negotiate with him directly
</t>
      </text>
    </comment>
    <comment authorId="177" xr:uid="{174a5476-9fe3-4f09-a77e-5154e5a4a6a9}"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78" xr:uid="{17567063-2dd9-4d32-ae71-0c24da410864}" ref="Q313">
      <text>
        <t xml:space="preserve">[Threaded comment]
 Your version of Excel allows you to read this threaded comment; however, any edits to it will get removed if the file is opened in a newer version of Excel. Learn more: https://go.microsoft.com/fwlink/?linkid=870924
Comment:
	03/13
</t>
      </text>
    </comment>
    <comment authorId="179" xr:uid="{178082f6-e907-4088-af06-d6aa3174ac99}"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80" xr:uid="{17967e6c-48c4-46f3-91da-791a3fc1ddbf}" ref="V107">
      <text>
        <t xml:space="preserve">[Threaded comment]
 Your version of Excel allows you to read this threaded comment; however, any edits to it will get removed if the file is opened in a newer version of Excel. Learn more: https://go.microsoft.com/fwlink/?linkid=870924
Comment:
	01/22 DA is questioning our estimate, and client requires a call, askes Juan via WS, sent to I&amp;P as well (CM)
</t>
      </text>
    </comment>
    <comment authorId="181" xr:uid="{17ad0dc2-50be-40d8-832e-7a01da78f8af}" ref="A321">
      <text>
        <t xml:space="preserve">[Threaded comment]
 Your version of Excel allows you to read this threaded comment; however, any edits to it will get removed if the file is opened in a newer version of Excel. Learn more: https://go.microsoft.com/fwlink/?linkid=870924
Comment:
	05/16 submitted mediaiton @scheduling@ipadjustinggroup.com
Assigned to scheduling@ipadjustinggroup.com
</t>
      </text>
    </comment>
    <comment authorId="182" xr:uid="{17d673a7-3a48-4c2c-88c9-a9a95769b819}" ref="A156">
      <text>
        <t xml:space="preserve">[Threaded comment]
 Your version of Excel allows you to read this threaded comment; however, any edits to it will get removed if the file is opened in a newer version of Excel. Learn more: https://go.microsoft.com/fwlink/?linkid=870924
Comment:
	Stephen
</t>
      </text>
    </comment>
    <comment authorId="183" xr:uid="{17daa247-bd12-4689-9c02-1b44dd6dd493}" ref="V17">
      <text>
        <t xml:space="preserve">[Threaded comment]
 Your version of Excel allows you to read this threaded comment; however, any edits to it will get removed if the file is opened in a newer version of Excel. Learn more: https://go.microsoft.com/fwlink/?linkid=870924
Comment:
	06/10 DA says, that the insured informed on 04/17 that she didn't want to pursue this claim, and she stated this claim should not have been filed. ask Jakey to call the client to find out (CM)
</t>
      </text>
    </comment>
    <comment authorId="184" xr:uid="{17f4c8e7-299e-4fa8-adf8-4fd20dedc8a7}" ref="N398">
      <text>
        <t xml:space="preserve">[Threaded comment]
 Your version of Excel allows you to read this threaded comment; however, any edits to it will get removed if the file is opened in a newer version of Excel. Learn more: https://go.microsoft.com/fwlink/?linkid=870924
Comment:
	4/17 Josh dice que se va a trabajar con el estimado de Hail Storm q ya se envio
</t>
      </text>
    </comment>
    <comment authorId="185" xr:uid="{18124d9b-d3f9-4193-b916-9b3cee143c1f}" ref="V236">
      <text>
        <t xml:space="preserve">[Threaded comment]
 Your version of Excel allows you to read this threaded comment; however, any edits to it will get removed if the file is opened in a newer version of Excel. Learn more: https://go.microsoft.com/fwlink/?linkid=870924
Comment:
	02/04 DA is asking the invoice for the roof replacement, sent to PA (CM)
</t>
      </text>
    </comment>
    <comment authorId="186" xr:uid="{183ed5e4-4535-4565-86d8-6c170bd9393f}" ref="V187">
      <text>
        <t xml:space="preserve">[Threaded comment]
 Your version of Excel allows you to read this threaded comment; however, any edits to it will get removed if the file is opened in a newer version of Excel. Learn more: https://go.microsoft.com/fwlink/?linkid=870924
Comment:
	08/15 Received a denial, and the IA report sent to PAs, asked how to proceed (CM)
</t>
      </text>
    </comment>
    <comment authorId="187" xr:uid="{184d007a-d471-4de0-bd74-101ee1d94f80}" ref="A26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Noted
Marked as done
</t>
      </text>
    </comment>
    <comment authorId="188" xr:uid="{1869e2c8-8ddd-44b5-b803-75960583c3e3}" ref="A1">
      <text>
        <t xml:space="preserve">[Threaded comment]
 Your version of Excel allows you to read this threaded comment; however, any edits to it will get removed if the file is opened in a newer version of Excel. Learn more: https://go.microsoft.com/fwlink/?linkid=870924
Comment:
	9/12 enviado a josh
Reply:
	9/12 aprobado por josh
</t>
      </text>
    </comment>
    <comment authorId="189" xr:uid="{186f4479-383f-43f7-8b18-3612610b4963}" ref="N188">
      <text>
        <t xml:space="preserve">[Threaded comment]
 Your version of Excel allows you to read this threaded comment; however, any edits to it will get removed if the file is opened in a newer version of Excel. Learn more: https://go.microsoft.com/fwlink/?linkid=870924
Comment:
	8/29 aprobado por juan
</t>
      </text>
    </comment>
    <comment authorId="190" xr:uid="{18928104-ef57-4bd0-a54d-b71f38b9cbc2}" ref="M312">
      <text>
        <t xml:space="preserve">[Threaded comment]
 Your version of Excel allows you to read this threaded comment; however, any edits to it will get removed if the file is opened in a newer version of Excel. Learn more: https://go.microsoft.com/fwlink/?linkid=870924
Comment:
	2/24 sent to DA
</t>
      </text>
    </comment>
    <comment authorId="191" xr:uid="{189e8ff9-39c1-4fc3-b6d0-aab2bb4f5b47}" ref="A192">
      <text>
        <t xml:space="preserve">[Threaded comment]
 Your version of Excel allows you to read this threaded comment; however, any edits to it will get removed if the file is opened in a newer version of Excel. Learn more: https://go.microsoft.com/fwlink/?linkid=870924
Comment:
	08/30 stand by appraisal as per DA request
</t>
      </text>
    </comment>
    <comment authorId="192" xr:uid="{18ab81ab-e042-4347-9492-6d0a3d7eeb6c}" ref="A120">
      <text>
        <t xml:space="preserve">[Threaded comment]
 Your version of Excel allows you to read this threaded comment; however, any edits to it will get removed if the file is opened in a newer version of Excel. Learn more: https://go.microsoft.com/fwlink/?linkid=870924
Comment:
	we were paid @admin@ipadjustinggroup.com
Assigned to admin@ipadjustinggroup.com
Reply:
	Marked as done
</t>
      </text>
    </comment>
    <comment authorId="193" xr:uid="{18d35678-525a-4ace-a868-65d31e360934}" ref="V203">
      <text>
        <t xml:space="preserve">[Threaded comment]
 Your version of Excel allows you to read this threaded comment; however, any edits to it will get removed if the file is opened in a newer version of Excel. Learn more: https://go.microsoft.com/fwlink/?linkid=870924
Comment:
	09/11 waiting for the certified policy, sent docs to Wilber with a general policy (CM)
</t>
      </text>
    </comment>
    <comment authorId="194" xr:uid="{18dc02be-0516-4f88-ab17-5bfdf57131c1}"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195" xr:uid="{18e4ab3b-7d2d-4c9b-ab5f-661aa3906838}" ref="P224">
      <text>
        <t xml:space="preserve">[Threaded comment]
 Your version of Excel allows you to read this threaded comment; however, any edits to it will get removed if the file is opened in a newer version of Excel. Learn more: https://go.microsoft.com/fwlink/?linkid=870924
Comment:
	Inspection will be on 11/07 (CM)
</t>
      </text>
    </comment>
    <comment authorId="196" xr:uid="{18e59285-79c3-4673-804d-d9c7be44a92c}"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policy
Assigned to iandres.assistant@gmail.com
</t>
      </text>
    </comment>
    <comment authorId="197" xr:uid="{18f797cc-3f0f-40ed-9ab4-1c15de90e687}" ref="A169">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198" xr:uid="{196f55a6-9c50-4462-8fcc-cc05beeadf47}" ref="N277">
      <text>
        <t xml:space="preserve">[Threaded comment]
 Your version of Excel allows you to read this threaded comment; however, any edits to it will get removed if the file is opened in a newer version of Excel. Learn more: https://go.microsoft.com/fwlink/?linkid=870924
Comment:
	11/20 Sent the estimate to Juan for review
Reply:
	11/25 Juan approved the estimate
Reply:
	2/9/25 se envio a juan un update
</t>
      </text>
    </comment>
    <comment authorId="199" xr:uid="{1972fa03-1a4a-4a29-9449-366f48b08e21}" ref="A1">
      <text>
        <t xml:space="preserve">[Threaded comment]
 Your version of Excel allows you to read this threaded comment; however, any edits to it will get removed if the file is opened in a newer version of Excel. Learn more: https://go.microsoft.com/fwlink/?linkid=870924
Comment:
	07/16 Peter sent to closed claims (CM) @scheduling@ipadjustinggroup.com
</t>
      </text>
    </comment>
    <comment authorId="200" xr:uid="{197d33b5-e95f-4209-a693-f41eb849d78e}" ref="A1">
      <text>
        <t xml:space="preserve">[Threaded comment]
 Your version of Excel allows you to read this threaded comment; however, any edits to it will get removed if the file is opened in a newer version of Excel. Learn more: https://go.microsoft.com/fwlink/?linkid=870924
Comment:
	9/17 sent to client
</t>
      </text>
    </comment>
    <comment authorId="201" xr:uid="{197e65f2-6243-45d6-a6b7-1687e24acc75}" ref="A1">
      <text>
        <t xml:space="preserve">[Threaded comment]
 Your version of Excel allows you to read this threaded comment; however, any edits to it will get removed if the file is opened in a newer version of Excel. Learn more: https://go.microsoft.com/fwlink/?linkid=870924
Comment:
	02/28 DA asked some info (CM)
</t>
      </text>
    </comment>
    <comment authorId="202" xr:uid="{19aa7887-a4eb-4c82-a2a0-5cebf08577e7}"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203" xr:uid="{19e16260-18db-48e0-9f89-06a857b77163}" ref="Q209">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204" xr:uid="{19fa0275-b989-4e58-a103-7054a1397c27}" ref="V183">
      <text>
        <t xml:space="preserve">[Threaded comment]
 Your version of Excel allows you to read this threaded comment; however, any edits to it will get removed if the file is opened in a newer version of Excel. Learn more: https://go.microsoft.com/fwlink/?linkid=870924
Comment:
	07/08 DA is asking for our estimate, asked for it to Juan, asked for the policy(CM)
</t>
      </text>
    </comment>
    <comment authorId="205" xr:uid="{19ff0378-07dc-4352-b722-eb5c54ee9f71}" ref="V235">
      <text>
        <t xml:space="preserve">[Threaded comment]
 Your version of Excel allows you to read this threaded comment; however, any edits to it will get removed if the file is opened in a newer version of Excel. Learn more: https://go.microsoft.com/fwlink/?linkid=870924
Comment:
	12/18 recieved the appraisal agreement asked peter to sign it, sent the OA info to Day (CM)
</t>
      </text>
    </comment>
    <comment authorId="206" xr:uid="{19ff0df8-132f-44cd-8931-8f0b92ecef1e}" ref="N368">
      <text>
        <t xml:space="preserve">[Threaded comment]
 Your version of Excel allows you to read this threaded comment; however, any edits to it will get removed if the file is opened in a newer version of Excel. Learn more: https://go.microsoft.com/fwlink/?linkid=870924
Comment:
	7/1 sent to ivan
Reply:
	7/3 Ivan approved the estimate
</t>
      </text>
    </comment>
    <comment authorId="207" xr:uid="{1a03f920-1fd1-4dde-b213-04f2df372f59}" ref="A1">
      <text>
        <t xml:space="preserve">[Threaded comment]
 Your version of Excel allows you to read this threaded comment; however, any edits to it will get removed if the file is opened in a newer version of Excel. Learn more: https://go.microsoft.com/fwlink/?linkid=870924
Comment:
	Inform Sarah
</t>
      </text>
    </comment>
    <comment authorId="208" xr:uid="{1a1063c7-42fc-44e7-95b3-944d2399abc3}" ref="P201">
      <text>
        <t xml:space="preserve">[Threaded comment]
 Your version of Excel allows you to read this threaded comment; however, any edits to it will get removed if the file is opened in a newer version of Excel. Learn more: https://go.microsoft.com/fwlink/?linkid=870924
Comment:
	09/19
09/26 rs
</t>
      </text>
    </comment>
    <comment authorId="209" xr:uid="{1a435d55-e5b3-4c5a-981b-120b31ae6659}" ref="V146">
      <text>
        <t xml:space="preserve">[Threaded comment]
 Your version of Excel allows you to read this threaded comment; however, any edits to it will get removed if the file is opened in a newer version of Excel. Learn more: https://go.microsoft.com/fwlink/?linkid=870924
Comment:
	08/15 Peter is consulting the attorneys for this claim (CM)
</t>
      </text>
    </comment>
    <comment authorId="210" xr:uid="{1a8b3337-6ed7-4625-9bbc-af2e26336efd}" ref="V229">
      <text>
        <t xml:space="preserve">[Threaded comment]
 Your version of Excel allows you to read this threaded comment; however, any edits to it will get removed if the file is opened in a newer version of Excel. Learn more: https://go.microsoft.com/fwlink/?linkid=870924
Comment:
	12/11 they are issuing a payment for 14k and they are closing the claim, sen to PAs (CM)
</t>
      </text>
    </comment>
    <comment authorId="211" xr:uid="{1a8c7838-1435-4cf9-9259-9b227fabd20b}" ref="V87">
      <text>
        <t xml:space="preserve">[Threaded comment]
 Your version of Excel allows you to read this threaded comment; however, any edits to it will get removed if the file is opened in a newer version of Excel. Learn more: https://go.microsoft.com/fwlink/?linkid=870924
Comment:
	09/20 follow up with Juan this estimate via Whatsapp (CM)
</t>
      </text>
    </comment>
    <comment authorId="212" xr:uid="{1aa1f32c-50b3-40b6-be55-06722cdd24cc}" ref="S31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213" xr:uid="{1aaf19bc-5790-468b-bb17-2daeafe0a02d}" ref="B142">
      <text>
        <t xml:space="preserve">[Threaded comment]
 Your version of Excel allows you to read this threaded comment; however, any edits to it will get removed if the file is opened in a newer version of Excel. Learn more: https://go.microsoft.com/fwlink/?linkid=870924
Comment:
	Angie / Ivan
</t>
      </text>
    </comment>
    <comment authorId="214" xr:uid="{1ac5c1bc-786f-43d7-856d-b2d71bb0d1e4}" ref="N264">
      <text>
        <t xml:space="preserve">[Threaded comment]
 Your version of Excel allows you to read this threaded comment; however, any edits to it will get removed if the file is opened in a newer version of Excel. Learn more: https://go.microsoft.com/fwlink/?linkid=870924
Comment:
	11/13 Sent the estimate to Joshua for review.
</t>
      </text>
    </comment>
    <comment authorId="215" xr:uid="{1ae65e2e-9292-4277-93f2-dba3d414e7fe}" ref="A1">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216" xr:uid="{1b0a10d2-fee3-42e3-8b29-f0a45c86671c}" ref="R347">
      <text>
        <t xml:space="preserve">[Threaded comment]
 Your version of Excel allows you to read this threaded comment; however, any edits to it will get removed if the file is opened in a newer version of Excel. Learn more: https://go.microsoft.com/fwlink/?linkid=870924
Comment:
	@admin@ipadjustinggroup.com DA INFO UDATED
Assigned to admin@ipadjustinggroup.com
</t>
      </text>
    </comment>
    <comment authorId="217" xr:uid="{1b0f1c9e-5185-4ae3-994b-1348a427a4e8}" ref="R366">
      <text>
        <t xml:space="preserve">[Threaded comment]
 Your version of Excel allows you to read this threaded comment; however, any edits to it will get removed if the file is opened in a newer version of Excel. Learn more: https://go.microsoft.com/fwlink/?linkid=870924
Comment:
	reyna.lopez1@assurant.com
</t>
      </text>
    </comment>
    <comment authorId="218" xr:uid="{1b16d0dc-ea92-41f7-a61d-d1e1f12e9fa0}" ref="N204">
      <text>
        <t xml:space="preserve">[Threaded comment]
 Your version of Excel allows you to read this threaded comment; however, any edits to it will get removed if the file is opened in a newer version of Excel. Learn more: https://go.microsoft.com/fwlink/?linkid=870924
Comment:
	8/19 sent to david
</t>
      </text>
    </comment>
    <comment authorId="219" xr:uid="{1b777a3f-2a60-4f9a-94c4-259199d9ece9}" ref="N332">
      <text>
        <t xml:space="preserve">[Threaded comment]
 Your version of Excel allows you to read this threaded comment; however, any edits to it will get removed if the file is opened in a newer version of Excel. Learn more: https://go.microsoft.com/fwlink/?linkid=870924
Comment:
	4/3 sent to josh
Reply:
	4/3 aprobado
</t>
      </text>
    </comment>
    <comment authorId="220" xr:uid="{1b9ebc76-11aa-47e4-a9c0-e09bae20a78e}" ref="A1">
      <text>
        <t xml:space="preserve">[Threaded comment]
 Your version of Excel allows you to read this threaded comment; however, any edits to it will get removed if the file is opened in a newer version of Excel. Learn more: https://go.microsoft.com/fwlink/?linkid=870924
Comment:
	09/10
</t>
      </text>
    </comment>
    <comment authorId="221" xr:uid="{1bbd3553-0e17-47f8-bda7-47caf4ff3681}" ref="O348">
      <text>
        <t xml:space="preserve">[Threaded comment]
 Your version of Excel allows you to read this threaded comment; however, any edits to it will get removed if the file is opened in a newer version of Excel. Learn more: https://go.microsoft.com/fwlink/?linkid=870924
Comment:
	5/30 Sent to client
</t>
      </text>
    </comment>
    <comment authorId="222" xr:uid="{1bcd38e9-822c-4f04-992c-2f5f96d9a418}" ref="V107">
      <text>
        <t xml:space="preserve">[Threaded comment]
 Your version of Excel allows you to read this threaded comment; however, any edits to it will get removed if the file is opened in a newer version of Excel. Learn more: https://go.microsoft.com/fwlink/?linkid=870924
Comment:
	09/20 asked Juan to review the estimate and photos via Whatsapp (CM)
</t>
      </text>
    </comment>
    <comment authorId="223" xr:uid="{1bcdcbb6-fa1d-4394-b553-31d14778b91f}"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224" xr:uid="{1bcf7167-ed88-477c-b418-00dfd8f7f111}" ref="V249">
      <text>
        <t xml:space="preserve">[Threaded comment]
 Your version of Excel allows you to read this threaded comment; however, any edits to it will get removed if the file is opened in a newer version of Excel. Learn more: https://go.microsoft.com/fwlink/?linkid=870924
Comment:
	12/17 DA sent an offer for 15k says that the client hasn't replace the roof before evethough he was paid (CM)
Reply:
	01/21 DA is following up on her offer (CM)
</t>
      </text>
    </comment>
    <comment authorId="225" xr:uid="{1c131c69-7bc9-408f-988f-0cfd20f30785}"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226" xr:uid="{1c1f894d-57e2-4ca6-b936-d768fdf59a3d}" ref="N321">
      <text>
        <t xml:space="preserve">[Threaded comment]
 Your version of Excel allows you to read this threaded comment; however, any edits to it will get removed if the file is opened in a newer version of Excel. Learn more: https://go.microsoft.com/fwlink/?linkid=870924
Comment:
	2/20 sent to ivan
Reply:
	2/26 ivan approved
Reply:
	3/20 con el ia report se hizo una actualizacion del estimado
</t>
      </text>
    </comment>
    <comment authorId="227" xr:uid="{1c36ab4b-7036-42ca-b53e-02922971a441}" ref="M199">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t>
      </text>
    </comment>
    <comment authorId="228" xr:uid="{1ca0f777-c662-4a49-b45e-38764ff579c9}" ref="V275">
      <text>
        <t xml:space="preserve">[Threaded comment]
 Your version of Excel allows you to read this threaded comment; however, any edits to it will get removed if the file is opened in a newer version of Excel. Learn more: https://go.microsoft.com/fwlink/?linkid=870924
Comment:
	11/19 spoke with DA he told me that they have done an inspection and they wanted to pay to the client, but they have the incorrect mortgage company, they were requesting to correct it, asked Angelica to contact the client (CM)
</t>
      </text>
    </comment>
    <comment authorId="229" xr:uid="{1caf4d71-989a-4a17-80df-e9e810d311c9}" ref="P273">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230" xr:uid="{1cb3e70e-6395-4027-9d88-2bceafd1f44f}" ref="A129">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231" xr:uid="{1d12468b-05dd-4158-92a8-6fd6a339906d}" ref="V234">
      <text>
        <t xml:space="preserve">[Threaded comment]
 Your version of Excel allows you to read this threaded comment; however, any edits to it will get removed if the file is opened in a newer version of Excel. Learn more: https://go.microsoft.com/fwlink/?linkid=870924
Comment:
	02/06 Day received a call from the DA she informed that she has sent a payment for $5490.33 (CM)
</t>
      </text>
    </comment>
    <comment authorId="232" xr:uid="{1d2c498f-a2e2-4b7f-9312-b099aea84dbe}" ref="A59">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$1,610.87
</t>
      </text>
    </comment>
    <comment authorId="233" xr:uid="{1d6347c3-941f-4438-83a1-c28ac48985e6}" ref="V259">
      <text>
        <t xml:space="preserve">[Threaded comment]
 Your version of Excel allows you to read this threaded comment; however, any edits to it will get removed if the file is opened in a newer version of Excel. Learn more: https://go.microsoft.com/fwlink/?linkid=870924
Comment:
	01/08 sent the denial letter to PAs, asked JP to send our estimate (CM)
</t>
      </text>
    </comment>
    <comment authorId="234" xr:uid="{1d642280-df95-4fa9-b84a-7783c078f50e}" ref="V169">
      <text>
        <t xml:space="preserve">[Threaded comment]
 Your version of Excel allows you to read this threaded comment; however, any edits to it will get removed if the file is opened in a newer version of Excel. Learn more: https://go.microsoft.com/fwlink/?linkid=870924
Comment:
	07/17 DA is requesting appraisal, asked PAs if they agree on it, and if I should ask Wilber if he agree on been the appraiser (CM)
</t>
      </text>
    </comment>
    <comment authorId="235" xr:uid="{1d9f88ce-54ca-440d-b17c-78b7c7ef0ace}" ref="A310">
      <text>
        <t xml:space="preserve">[Threaded comment]
 Your version of Excel allows you to read this threaded comment; however, any edits to it will get removed if the file is opened in a newer version of Excel. Learn more: https://go.microsoft.com/fwlink/?linkid=870924
Comment:
	Joshua
Reply:
	Ordinance &amp; Law: $2,603.85
</t>
      </text>
    </comment>
    <comment authorId="236" xr:uid="{1daf8d58-060b-4db2-93c8-5373617c4c22}" ref="A1">
      <text>
        <t xml:space="preserve">[Threaded comment]
 Your version of Excel allows you to read this threaded comment; however, any edits to it will get removed if the file is opened in a newer version of Excel. Learn more: https://go.microsoft.com/fwlink/?linkid=870924
Comment:
	11/25 sent to DA - 212 @admin@ipadjustinggroup.com
</t>
      </text>
    </comment>
    <comment authorId="237" xr:uid="{1dbcec04-2373-44c4-98b7-ab78da99e60f}" ref="N222">
      <text>
        <t xml:space="preserve">[Threaded comment]
 Your version of Excel allows you to read this threaded comment; however, any edits to it will get removed if the file is opened in a newer version of Excel. Learn more: https://go.microsoft.com/fwlink/?linkid=870924
Comment:
	10/24 Sent the estimate to Joshua for review.
Reply:
	10/28 RECEIVED IA 191
Reply:
	0/24 Joshua approved the estimate
</t>
      </text>
    </comment>
    <comment authorId="238" xr:uid="{1dc6a07e-3319-4334-b07f-02b6890bd85d}" ref="U297">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239" xr:uid="{1dd549e3-27ee-4a26-a9a6-688e61f0f9b3}" ref="A1">
      <text>
        <t xml:space="preserve">[Threaded comment]
 Your version of Excel allows you to read this threaded comment; however, any edits to it will get removed if the file is opened in a newer version of Excel. Learn more: https://go.microsoft.com/fwlink/?linkid=870924
Comment:
	07/17 recieved the IA report, DA informs she has issued a check for 13k, PAs cc'd (CM)
</t>
      </text>
    </comment>
    <comment authorId="240" xr:uid="{1de548d9-b414-4d47-9fef-2bcc4281c1b0}" ref="V223">
      <text>
        <t xml:space="preserve">[Threaded comment]
 Your version of Excel allows you to read this threaded comment; however, any edits to it will get removed if the file is opened in a newer version of Excel. Learn more: https://go.microsoft.com/fwlink/?linkid=870924
Comment:
	11/12 recieved a determination letter, they are issuimg 2 checks, and the IA report, asked JP to send our estimate (CM)
</t>
      </text>
    </comment>
    <comment authorId="241" xr:uid="{1e11ec60-b8b3-478d-beb4-a5b98e447e30}" ref="O278">
      <text>
        <t xml:space="preserve">[Threaded comment]
 Your version of Excel allows you to read this threaded comment; however, any edits to it will get removed if the file is opened in a newer version of Excel. Learn more: https://go.microsoft.com/fwlink/?linkid=870924
Comment:
	01/07 Ready just missing to have the estimate amount.
</t>
      </text>
    </comment>
    <comment authorId="242" xr:uid="{1e837079-50f6-4ffc-9ad4-7a17ee65638f}" ref="O164">
      <text>
        <t xml:space="preserve">[Threaded comment]
 Your version of Excel allows you to read this threaded comment; however, any edits to it will get removed if the file is opened in a newer version of Excel. Learn more: https://go.microsoft.com/fwlink/?linkid=870924
Comment:
	@jp.ipestimates@gmail.com follow up on this spol pedimos mediacion ya
Reply:
	Marked as resolved
Reply:
	Re-opened
</t>
      </text>
    </comment>
    <comment authorId="243" xr:uid="{1ea361f9-9205-4b75-9c0e-29162f0b3d44}" ref="P254">
      <text>
        <t xml:space="preserve">[Threaded comment]
 Your version of Excel allows you to read this threaded comment; however, any edits to it will get removed if the file is opened in a newer version of Excel. Learn more: https://go.microsoft.com/fwlink/?linkid=870924
Comment:
	12/10
</t>
      </text>
    </comment>
    <comment authorId="244" xr:uid="{1eabb879-3cb9-48af-adf5-29530f67689b}" ref="V190">
      <text>
        <t xml:space="preserve">[Threaded comment]
 Your version of Excel allows you to read this threaded comment; however, any edits to it will get removed if the file is opened in a newer version of Excel. Learn more: https://go.microsoft.com/fwlink/?linkid=870924
Comment:
	08/08 Asked Ivan if he complete the recorded statement, and asked if he want me to send the SPOL now (CM)
</t>
      </text>
    </comment>
    <comment authorId="245" xr:uid="{1eb0ebfd-d2e9-4ad4-ad45-69e469203e1f}" ref="M407">
      <text>
        <t xml:space="preserve">[Threaded comment]
 Your version of Excel allows you to read this threaded comment; however, any edits to it will get removed if the file is opened in a newer version of Excel. Learn more: https://go.microsoft.com/fwlink/?linkid=870924
Comment:
	4/8/26 carito envio
</t>
      </text>
    </comment>
    <comment authorId="246" xr:uid="{1eb49dfe-634b-469f-9855-33c8435544f7}" ref="N260">
      <text>
        <t xml:space="preserve">[Threaded comment]
 Your version of Excel allows you to read this threaded comment; however, any edits to it will get removed if the file is opened in a newer version of Excel. Learn more: https://go.microsoft.com/fwlink/?linkid=870924
Comment:
	11/17 Sent the estimate to Ivan for review
Reply:
	1/28/25 david approved
</t>
      </text>
    </comment>
    <comment authorId="247" xr:uid="{1ebfa6d9-09ec-4db1-98bc-4c1775d04a6a}" ref="A1">
      <text>
        <t xml:space="preserve">[Threaded comment]
 Your version of Excel allows you to read this threaded comment; however, any edits to it will get removed if the file is opened in a newer version of Excel. Learn more: https://go.microsoft.com/fwlink/?linkid=870924
Comment:
	@admin@ipadjustinggroup.com
Assigned to admin@ipadjustinggroup.com
</t>
      </text>
    </comment>
    <comment authorId="248" xr:uid="{1ef95265-4598-4f11-a42b-99af49a397f2}" ref="A190">
      <text>
        <t xml:space="preserve">[Threaded comment]
 Your version of Excel allows you to read this threaded comment; however, any edits to it will get removed if the file is opened in a newer version of Excel. Learn more: https://go.microsoft.com/fwlink/?linkid=870924
Comment:
	11/26 submitted the mediation request (CM) @scheduling@ipadjustinggroup.com
Assigned to scheduling@ipadjustinggroup.com
Reply:
	Marked as done
</t>
      </text>
    </comment>
    <comment authorId="249" xr:uid="{1f1ccbfa-b620-4473-8e43-ed9713b9ddef}" ref="V230">
      <text>
        <t xml:space="preserve">[Threaded comment]
 Your version of Excel allows you to read this threaded comment; however, any edits to it will get removed if the file is opened in a newer version of Excel. Learn more: https://go.microsoft.com/fwlink/?linkid=870924
Comment:
	01/21 Peter says we should wait for the estimate (CM)
</t>
      </text>
    </comment>
    <comment authorId="250" xr:uid="{1f92b5e0-772f-440c-864e-520887d60e17}" ref="A208">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251" xr:uid="{1f947f52-b5a4-4e46-888e-7fb0b4b1d464}" ref="V295">
      <text>
        <t xml:space="preserve">[Threaded comment]
 Your version of Excel allows you to read this threaded comment; however, any edits to it will get removed if the file is opened in a newer version of Excel. Learn more: https://go.microsoft.com/fwlink/?linkid=870924
Comment:
	12/27 recieved a denial letter, sent to PAs, asked JP to send our estimate once ready (CM)
</t>
      </text>
    </comment>
    <comment authorId="252" xr:uid="{1fa1224a-0502-477a-bd09-65d9517591b1}" ref="N233">
      <text>
        <t xml:space="preserve">[Threaded comment]
 Your version of Excel allows you to read this threaded comment; however, any edits to it will get removed if the file is opened in a newer version of Excel. Learn more: https://go.microsoft.com/fwlink/?linkid=870924
Comment:
	10/30 Sent the estimate to Joshua for approval.
Reply:
	10/30 Joshua approved the estimate
</t>
      </text>
    </comment>
    <comment authorId="253" xr:uid="{1fac6b1b-7269-48d5-a41d-0dec9900cb4f}" ref="V129">
      <text>
        <t xml:space="preserve">[Threaded comment]
 Your version of Excel allows you to read this threaded comment; however, any edits to it will get removed if the file is opened in a newer version of Excel. Learn more: https://go.microsoft.com/fwlink/?linkid=870924
Comment:
	10/02 asked DA to reissue the check #60535774 for $928.87, he is going to request (CM)
</t>
      </text>
    </comment>
    <comment authorId="254" xr:uid="{1fd9ec5d-bba1-4a6b-a9f6-f42458827a65}" ref="K87">
      <text>
        <t xml:space="preserve">[Threaded comment]
 Your version of Excel allows you to read this threaded comment; however, any edits to it will get removed if the file is opened in a newer version of Excel. Learn more: https://go.microsoft.com/fwlink/?linkid=870924
Comment:
	8/28 Carito en el estimado que me envio Juan esta Water damage @admin@ipadjustinggroup.com
</t>
      </text>
    </comment>
    <comment authorId="255" xr:uid="{201f1a61-dcdc-4618-b509-6aed78888a71}" ref="A1">
      <text>
        <t xml:space="preserve">[Threaded comment]
 Your version of Excel allows you to read this threaded comment; however, any edits to it will get removed if the file is opened in a newer version of Excel. Learn more: https://go.microsoft.com/fwlink/?linkid=870924
Comment:
	08/27
</t>
      </text>
    </comment>
    <comment authorId="256" xr:uid="{202331fe-d54b-45ce-9fe7-d5d34b9374c6}" ref="M374">
      <text>
        <t xml:space="preserve">[Threaded comment]
 Your version of Excel allows you to read this threaded comment; however, any edits to it will get removed if the file is opened in a newer version of Excel. Learn more: https://go.microsoft.com/fwlink/?linkid=870924
Comment:
	7/23 josh pidio enviar al DA nuestro estimado y fotos
</t>
      </text>
    </comment>
    <comment authorId="257" xr:uid="{2056b5b4-16b6-4ecd-8e7f-30fc7c947567}" ref="N308">
      <text>
        <t xml:space="preserve">[Threaded comment]
 Your version of Excel allows you to read this threaded comment; however, any edits to it will get removed if the file is opened in a newer version of Excel. Learn more: https://go.microsoft.com/fwlink/?linkid=870924
Comment:
	1/21 sent to ivan
Reply:
	2/4/25 sent an update
Reply:
	2/14 aprobado
</t>
      </text>
    </comment>
    <comment authorId="258" xr:uid="{20e48460-4f56-4df3-b443-f76497f18edf}"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259" xr:uid="{210a10ee-d697-4d8c-8f56-5903e262c672}" ref="A198">
      <text>
        <t xml:space="preserve">[Threaded comment]
 Your version of Excel allows you to read this threaded comment; however, any edits to it will get removed if the file is opened in a newer version of Excel. Learn more: https://go.microsoft.com/fwlink/?linkid=870924
Comment:
	08/14 Peter says maybe he will invoke appraisal, waiting for the previous IA report (CM)
</t>
      </text>
    </comment>
    <comment authorId="260" xr:uid="{210fd527-dda0-48db-afb0-d5c9e44e68f3}" ref="V280">
      <text>
        <t xml:space="preserve">[Threaded comment]
 Your version of Excel allows you to read this threaded comment; however, any edits to it will get removed if the file is opened in a newer version of Excel. Learn more: https://go.microsoft.com/fwlink/?linkid=870924
Comment:
	01/23 DA did an offer for 5k, sent to PAs (CM)
Reply:
	01/27 Peter is asking 27k (CM)
</t>
      </text>
    </comment>
    <comment authorId="261" xr:uid="{21135158-6fcb-45ea-b7e2-45577fc41431}" ref="V154">
      <text>
        <t xml:space="preserve">[Threaded comment]
 Your version of Excel allows you to read this threaded comment; however, any edits to it will get removed if the file is opened in a newer version of Excel. Learn more: https://go.microsoft.com/fwlink/?linkid=870924
Comment:
	10/28 called Henry Wimp asked if he has a response from the underwritters, he didn't, he asked me to call asain tomorrow morning, informed that Juan Baltazar is now legal, if it better to continue with the policy as it is right now, he didn't know either (CM)
</t>
      </text>
    </comment>
    <comment authorId="262" xr:uid="{2125493d-70b3-44a3-92c6-1965ea328d03}" ref="Q310">
      <text>
        <t xml:space="preserve">[Threaded comment]
 Your version of Excel allows you to read this threaded comment; however, any edits to it will get removed if the file is opened in a newer version of Excel. Learn more: https://go.microsoft.com/fwlink/?linkid=870924
Comment:
	02/13
</t>
      </text>
    </comment>
    <comment authorId="263" xr:uid="{213dafc5-4ead-43d3-b147-36f7130ec369}" ref="A169">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264" xr:uid="{213f7f65-499b-4cc1-81af-ae77fcc8b9c3}" ref="O227">
      <text>
        <t xml:space="preserve">[Threaded comment]
 Your version of Excel allows you to read this threaded comment; however, any edits to it will get removed if the file is opened in a newer version of Excel. Learn more: https://go.microsoft.com/fwlink/?linkid=870924
Comment:
	12/17 sent to client. JP
</t>
      </text>
    </comment>
    <comment authorId="265" xr:uid="{215ca3ce-677e-4675-838b-917e8bc9e715}" ref="P192">
      <text>
        <t xml:space="preserve">[Threaded comment]
 Your version of Excel allows you to read this threaded comment; however, any edits to it will get removed if the file is opened in a newer version of Excel. Learn more: https://go.microsoft.com/fwlink/?linkid=870924
Comment:
	they will reinspect
</t>
      </text>
    </comment>
    <comment authorId="266" xr:uid="{216fcfb8-4ab4-42a6-90bb-2407553e073d}" ref="P278">
      <text>
        <t xml:space="preserve">[Threaded comment]
 Your version of Excel allows you to read this threaded comment; however, any edits to it will get removed if the file is opened in a newer version of Excel. Learn more: https://go.microsoft.com/fwlink/?linkid=870924
Comment:
	insp. on 12/02
</t>
      </text>
    </comment>
    <comment authorId="267" xr:uid="{21b0c0db-7bec-48a1-88f7-30c66a582841}" ref="N354">
      <text>
        <t xml:space="preserve">[Threaded comment]
 Your version of Excel allows you to read this threaded comment; however, any edits to it will get removed if the file is opened in a newer version of Excel. Learn more: https://go.microsoft.com/fwlink/?linkid=870924
Comment:
	@jp.ipestimates@gmail.com Haz el estimado de Walton please, y mandalo
Assigned to jp.ipestimates@gmail.com
Reply:
	4/19 enviado a josh para q revise @admin@ipadjustinggroup.com
Reply:
	@admin@ipadjustinggroup.com Carito estoy esperando q josh apruebe el estimado de walton
Reply:
	4/23 aprobado
</t>
      </text>
    </comment>
    <comment authorId="268" xr:uid="{21cb0a52-aec0-4a63-b13d-3ebb3a7349aa}" ref="A239">
      <text>
        <t xml:space="preserve">[Threaded comment]
 Your version of Excel allows you to read this threaded comment; however, any edits to it will get removed if the file is opened in a newer version of Excel. Learn more: https://go.microsoft.com/fwlink/?linkid=870924
Comment:
	Joshua
Reply:
	O/L: $921.81
</t>
      </text>
    </comment>
    <comment authorId="269" xr:uid="{21de2d7d-5b78-452c-b156-e93b7ea95f8b}" ref="A1">
      <text>
        <t xml:space="preserve">[Threaded comment]
 Your version of Excel allows you to read this threaded comment; however, any edits to it will get removed if the file is opened in a newer version of Excel. Learn more: https://go.microsoft.com/fwlink/?linkid=870924
Comment:
	01/31 Follow up policy w/ email. Inspection is not done yet.
</t>
      </text>
    </comment>
    <comment authorId="270" xr:uid="{22137ddb-7cab-42a7-94ba-a12c4d383a15}" ref="V333">
      <text>
        <t xml:space="preserve">[Threaded comment]
 Your version of Excel allows you to read this threaded comment; however, any edits to it will get removed if the file is opened in a newer version of Excel. Learn more: https://go.microsoft.com/fwlink/?linkid=870924
Comment:
	04/01 received a stand on their denial letter, asked I&amp;P HOW TP PROCEED(CM)
</t>
      </text>
    </comment>
    <comment authorId="271" xr:uid="{22347d22-17be-4cab-8ac4-f29eec81eec6}" ref="A148">
      <text>
        <t xml:space="preserve">[Threaded comment]
 Your version of Excel allows you to read this threaded comment; however, any edits to it will get removed if the file is opened in a newer version of Excel. Learn more: https://go.microsoft.com/fwlink/?linkid=870924
Comment:
	We were paid for this @admin@ipadjustinggroup.com
Assigned to admin@ipadjustinggroup.com
</t>
      </text>
    </comment>
    <comment authorId="272" xr:uid="{22384235-3ed5-493f-a782-5e7b2afed457}" ref="A182">
      <text>
        <t xml:space="preserve">[Threaded comment]
 Your version of Excel allows you to read this threaded comment; however, any edits to it will get removed if the file is opened in a newer version of Excel. Learn more: https://go.microsoft.com/fwlink/?linkid=870924
Comment:
	@jp.ipestimates@gmail.com @scheduling@ipadjustinggroup.com i have file again this client with a different claim# consider it as a reopen (CM)
</t>
      </text>
    </comment>
    <comment authorId="273" xr:uid="{2251a0fd-72f7-41e5-aed8-e37c3154a887}" ref="A129">
      <text>
        <t xml:space="preserve">[Threaded comment]
 Your version of Excel allows you to read this threaded comment; however, any edits to it will get removed if the file is opened in a newer version of Excel. Learn more: https://go.microsoft.com/fwlink/?linkid=870924
Comment:
	NO Recoverable depreciation
</t>
      </text>
    </comment>
    <comment authorId="274" xr:uid="{226e9759-3876-45bf-8dd0-8d2ce1ae92be}" ref="Q335">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275" xr:uid="{22955888-8d88-4c70-9c7d-ba26919a1ad2}" ref="P248">
      <text>
        <t xml:space="preserve">[Threaded comment]
 Your version of Excel allows you to read this threaded comment; however, any edits to it will get removed if the file is opened in a newer version of Excel. Learn more: https://go.microsoft.com/fwlink/?linkid=870924
Comment:
	Inspection been scheduled for 11/08 (CM)
</t>
      </text>
    </comment>
    <comment authorId="276" xr:uid="{22b51f86-0cec-4afa-abf6-5048b6cb4595}"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277" xr:uid="{22fe971d-1982-4cf1-a3ea-9e72ba1e93ba}" ref="V159">
      <text>
        <t xml:space="preserve">[Threaded comment]
 Your version of Excel allows you to read this threaded comment; however, any edits to it will get removed if the file is opened in a newer version of Excel. Learn more: https://go.microsoft.com/fwlink/?linkid=870924
Comment:
	08/20 asked Stephen Forker if he wants to take this appraisal (CM)
</t>
      </text>
    </comment>
    <comment authorId="278" xr:uid="{2300c727-86b8-4a54-9446-d69dffb94769}" ref="A1">
      <text>
        <t xml:space="preserve">[Threaded comment]
 Your version of Excel allows you to read this threaded comment; however, any edits to it will get removed if the file is opened in a newer version of Excel. Learn more: https://go.microsoft.com/fwlink/?linkid=870924
Comment:
	10/21 Sent estimate to David for approval.
Reply:
	10/21 aprobado por David
Reply:
	10/30 received a determination and a IA, sent to PAs and JP for their review, asked JP to review and send our estimate (CM)
</t>
      </text>
    </comment>
    <comment authorId="279" xr:uid="{2309e8fc-16e3-4f55-9e87-e465b65a1c51}" ref="O172">
      <text>
        <t xml:space="preserve">[Threaded comment]
 Your version of Excel allows you to read this threaded comment; however, any edits to it will get removed if the file is opened in a newer version of Excel. Learn more: https://go.microsoft.com/fwlink/?linkid=870924
Comment:
	8/08 sent to client
Reply:
	08/13 Jakey sent the SPOL and drivers license to get this one notarized (CM)
</t>
      </text>
    </comment>
    <comment authorId="280" xr:uid="{230c8647-fca5-45c5-a04e-98ccf46d680d}" ref="M366">
      <text>
        <t xml:space="preserve">[Threaded comment]
 Your version of Excel allows you to read this threaded comment; however, any edits to it will get removed if the file is opened in a newer version of Excel. Learn more: https://go.microsoft.com/fwlink/?linkid=870924
Comment:
	9/30 sent to DA
</t>
      </text>
    </comment>
    <comment authorId="281" xr:uid="{23105361-b868-46bd-ad1b-0f61e432d86e}" ref="A121">
      <text>
        <t xml:space="preserve">[Threaded comment]
 Your version of Excel allows you to read this threaded comment; however, any edits to it will get removed if the file is opened in a newer version of Excel. Learn more: https://go.microsoft.com/fwlink/?linkid=870924
Comment:
	07/16 Day has to push the appraisal (CM) @scheduling@ipadjustinggroup.com
</t>
      </text>
    </comment>
    <comment authorId="282" xr:uid="{232bb0b7-03b6-4d99-808a-3092bd7adac3}" ref="N392">
      <text>
        <t xml:space="preserve">[Threaded comment]
 Your version of Excel allows you to read this threaded comment; however, any edits to it will get removed if the file is opened in a newer version of Excel. Learn more: https://go.microsoft.com/fwlink/?linkid=870924
Comment:
	12/17/25 sent to peter
Reply:
	1/12/26 aprobado
</t>
      </text>
    </comment>
    <comment authorId="283" xr:uid="{232bd52c-72db-4b54-82f4-d73e22eadbc9}" ref="V181">
      <text>
        <t xml:space="preserve">[Threaded comment]
 Your version of Excel allows you to read this threaded comment; however, any edits to it will get removed if the file is opened in a newer version of Excel. Learn more: https://go.microsoft.com/fwlink/?linkid=870924
Comment:
	08/08 asked PAs how to proceed as we have a denial letter (CM)
</t>
      </text>
    </comment>
    <comment authorId="284" xr:uid="{232bee27-19d7-4acd-b09f-ed6215de7fce}"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285" xr:uid="{232feccf-b3b1-45b3-8ac5-6aae695d28cf}" ref="V182">
      <text>
        <t xml:space="preserve">[Threaded comment]
 Your version of Excel allows you to read this threaded comment; however, any edits to it will get removed if the file is opened in a newer version of Excel. Learn more: https://go.microsoft.com/fwlink/?linkid=870924
Comment:
	09/23 received an offer of 11k, sent to PA's (CM)
Reply:
	10/07 Peter did a counteroffer for 55k, if not accepted we will continue with appraisal (CM)
Reply:
	10/21 Peter followed up on the counteroffer (CM)
Reply:
	10/28 Wilber talked to Ivan, says Ivan will call the insured in order to take a decision about the appraisal (AL)
</t>
      </text>
    </comment>
    <comment authorId="286" xr:uid="{23bf3409-f37d-46f1-a8b3-f3d1f9039732}" ref="V222">
      <text>
        <t xml:space="preserve">[Threaded comment]
 Your version of Excel allows you to read this threaded comment; however, any edits to it will get removed if the file is opened in a newer version of Excel. Learn more: https://go.microsoft.com/fwlink/?linkid=870924
Comment:
	01/16 received the Engineer report, DA is denying the claim, sent to PAs asked how to proceed (CM)
</t>
      </text>
    </comment>
    <comment authorId="287" xr:uid="{23c6d023-0b9c-47ea-a504-d2b6bd49923e}" ref="A211">
      <text>
        <t xml:space="preserve">[Threaded comment]
 Your version of Excel allows you to read this threaded comment; however, any edits to it will get removed if the file is opened in a newer version of Excel. Learn more: https://go.microsoft.com/fwlink/?linkid=870924
Comment:
	Peter
Reply:
	nothing to be recovered
</t>
      </text>
    </comment>
    <comment authorId="288" xr:uid="{23cd3833-ab22-4f7c-b29d-b0c2e12d78ac}" ref="N289">
      <text>
        <t xml:space="preserve">[Threaded comment]
 Your version of Excel allows you to read this threaded comment; however, any edits to it will get removed if the file is opened in a newer version of Excel. Learn more: https://go.microsoft.com/fwlink/?linkid=870924
Comment:
	12/10 waiting for Juans info (rescreen porch)
Reply:
	12/13 sent to JUan
Reply:
	1/3/25 juan approved
</t>
      </text>
    </comment>
    <comment authorId="289" xr:uid="{24268bba-25b6-4c96-ab99-7ee1fb8dfdc5}" ref="A165">
      <text>
        <t xml:space="preserve">[Threaded comment]
 Your version of Excel allows you to read this threaded comment; however, any edits to it will get removed if the file is opened in a newer version of Excel. Learn more: https://go.microsoft.com/fwlink/?linkid=870924
Comment:
	08/13 Mediation won't be needed cause Josh and Pete will close the claim soon. (DE) @admin@ipadjustinggroup.com
Assigned to admin@ipadjustinggroup.com
</t>
      </text>
    </comment>
    <comment authorId="290" xr:uid="{24434d38-66ab-4968-916e-d7cec7410820}" ref="N273">
      <text>
        <t xml:space="preserve">[Threaded comment]
 Your version of Excel allows you to read this threaded comment; however, any edits to it will get removed if the file is opened in a newer version of Excel. Learn more: https://go.microsoft.com/fwlink/?linkid=870924
Comment:
	1/20 Sent the estimate to Juan
Reply:
	12/4 sent to Juan an update
Reply:
	1/17 juan approved
</t>
      </text>
    </comment>
    <comment authorId="291" xr:uid="{24719d80-faba-4d98-8290-3b791853f28d}" ref="P289">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292" xr:uid="{2472ccda-ec17-4eeb-b4d5-aec58e5df7ff}"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293" xr:uid="{249c89fa-2cdd-49dd-943c-c1b9ce1ddb3e}" ref="O150">
      <text>
        <t xml:space="preserve">[Threaded comment]
 Your version of Excel allows you to read this threaded comment; however, any edits to it will get removed if the file is opened in a newer version of Excel. Learn more: https://go.microsoft.com/fwlink/?linkid=870924
Comment:
	DA is requesting SPOL @jp.ipestimates@gmail.com
Reply:
	7/31 sent to client
Reply:
	9/03 se hizo seguimiento al cliente
</t>
      </text>
    </comment>
    <comment authorId="294" xr:uid="{24a167b3-8adc-4fd3-a43c-983f5fd80f34}" ref="A1">
      <text>
        <t xml:space="preserve">[Threaded comment]
 Your version of Excel allows you to read this threaded comment; however, any edits to it will get removed if the file is opened in a newer version of Excel. Learn more: https://go.microsoft.com/fwlink/?linkid=870924
Comment:
	07/03
</t>
      </text>
    </comment>
    <comment authorId="295" xr:uid="{24d84bb2-efa2-4d0b-8019-31176777689b}" ref="V211">
      <text>
        <t xml:space="preserve">[Threaded comment]
 Your version of Excel allows you to read this threaded comment; however, any edits to it will get removed if the file is opened in a newer version of Excel. Learn more: https://go.microsoft.com/fwlink/?linkid=870924
Comment:
	11/18 received the IA report, and determination letter, below deductible, asked Jp to send our estimate (CM)
</t>
      </text>
    </comment>
    <comment authorId="296" xr:uid="{24fc1000-1144-454f-9cdc-cb1a0841ab3d}" ref="M254">
      <text>
        <t xml:space="preserve">[Threaded comment]
 Your version of Excel allows you to read this threaded comment; however, any edits to it will get removed if the file is opened in a newer version of Excel. Learn more: https://go.microsoft.com/fwlink/?linkid=870924
Comment:
	12/30 sent to DA
</t>
      </text>
    </comment>
    <comment authorId="297" xr:uid="{24fc1bf0-2cb4-4de7-a93a-3ed43a475b59}" ref="A181">
      <text>
        <t xml:space="preserve">[Threaded comment]
 Your version of Excel allows you to read this threaded comment; however, any edits to it will get removed if the file is opened in a newer version of Excel. Learn more: https://go.microsoft.com/fwlink/?linkid=870924
Comment:
	08/28 requested mediation (CM) @scheduling@ipadjustinggroup.com
Reply:
	Marked as resolved
</t>
      </text>
    </comment>
    <comment authorId="298" xr:uid="{253c8fe2-6bc6-46a9-82de-ad97d8a338aa}" ref="A352">
      <text>
        <t xml:space="preserve">[Threaded comment]
 Your version of Excel allows you to read this threaded comment; however, any edits to it will get removed if the file is opened in a newer version of Excel. Learn more: https://go.microsoft.com/fwlink/?linkid=870924
Comment:
	Joshua
Reply:
	O&amp;L $1406,54
</t>
      </text>
    </comment>
    <comment authorId="299" xr:uid="{258cee47-2077-4b15-ae41-5cdef31cd94a}" ref="N324">
      <text>
        <t xml:space="preserve">[Threaded comment]
 Your version of Excel allows you to read this threaded comment; however, any edits to it will get removed if the file is opened in a newer version of Excel. Learn more: https://go.microsoft.com/fwlink/?linkid=870924
Comment:
	2/24 sent to josh
Reply:
	3/12 Josh approved the estimate
</t>
      </text>
    </comment>
    <comment authorId="300" xr:uid="{25bb7934-9944-42cd-81a1-d18e248de3fe}" ref="V191">
      <text>
        <t xml:space="preserve">[Threaded comment]
 Your version of Excel allows you to read this threaded comment; however, any edits to it will get removed if the file is opened in a newer version of Excel. Learn more: https://go.microsoft.com/fwlink/?linkid=870924
Comment:
	12/10 Peter is asking 80k to settle this claim (CM)
Reply:
	12/17 DA is offering 11k, IPs is cc'd (CM)
</t>
      </text>
    </comment>
    <comment authorId="301" xr:uid="{25bf2f0a-6c0f-4132-a168-bdf82183118f}" ref="A277">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302" xr:uid="{25bfc588-c879-4630-973a-07471621de50}" ref="A321">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303" xr:uid="{25dcc6ff-d28d-4036-a3cf-926063286cff}" ref="N191">
      <text>
        <t xml:space="preserve">[Threaded comment]
 Your version of Excel allows you to read this threaded comment; however, any edits to it will get removed if the file is opened in a newer version of Excel. Learn more: https://go.microsoft.com/fwlink/?linkid=870924
Comment:
	7/31 sent to Ivan
8/06 ivan approved
</t>
      </text>
    </comment>
    <comment authorId="304" xr:uid="{25fb350a-4a70-45cc-834e-ef8c86f5f241}" ref="A234">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305" xr:uid="{2633424b-f1e3-48d2-a910-5ae6666eda56}" ref="O199">
      <text>
        <t xml:space="preserve">[Threaded comment]
 Your version of Excel allows you to read this threaded comment; however, any edits to it will get removed if the file is opened in a newer version of Excel. Learn more: https://go.microsoft.com/fwlink/?linkid=870924
Comment:
	8/23 enviado al clienre para q firme. @admin@ipadjustinggroup.com
Reply:
	09/11 Jakey informs that the client doesn't want to sign the SPOL, he asked me to continue this claim without it, asked Day about this reinspection (CM)
</t>
      </text>
    </comment>
    <comment authorId="306" xr:uid="{2649ef28-b2b2-4087-babc-36794c337280}"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307" xr:uid="{2676c43d-b2b1-46e8-ba96-6fb2868d6047}" ref="M294">
      <text>
        <t xml:space="preserve">[Threaded comment]
 Your version of Excel allows you to read this threaded comment; however, any edits to it will get removed if the file is opened in a newer version of Excel. Learn more: https://go.microsoft.com/fwlink/?linkid=870924
Comment:
	ESPERAR IA REPORT
Reply:
	1/20 sent to DA
</t>
      </text>
    </comment>
    <comment authorId="308" xr:uid="{269cecc7-12f9-4055-9ac4-a1ba48560ff5}" ref="V201">
      <text>
        <t xml:space="preserve">[Threaded comment]
 Your version of Excel allows you to read this threaded comment; however, any edits to it will get removed if the file is opened in a newer version of Excel. Learn more: https://go.microsoft.com/fwlink/?linkid=870924
Comment:
	10/29 Wilber is asking for the estimate. Asked Peter to send it ASAP (AL)
</t>
      </text>
    </comment>
    <comment authorId="309" xr:uid="{26b4f13c-3bd5-46ef-93be-0e42d17c213c}" ref="V192">
      <text>
        <t xml:space="preserve">[Threaded comment]
 Your version of Excel allows you to read this threaded comment; however, any edits to it will get removed if the file is opened in a newer version of Excel. Learn more: https://go.microsoft.com/fwlink/?linkid=870924
Comment:
	08/06 received a letter with an undisputed payment and the IA report (CM)
</t>
      </text>
    </comment>
    <comment authorId="310" xr:uid="{26e490eb-16bd-4607-adde-c93e80780725}" ref="A330">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311" xr:uid="{26e6fae6-940e-4c22-8c0b-4170b2b751af}" ref="N268">
      <text>
        <t xml:space="preserve">[Threaded comment]
 Your version of Excel allows you to read this threaded comment; however, any edits to it will get removed if the file is opened in a newer version of Excel. Learn more: https://go.microsoft.com/fwlink/?linkid=870924
Comment:
	11/17 Sent the estimate to David for review - verificar el SQ del techo
Reply:
	5/28 sent an update to Peter
Reply:
	6/6 aprobado por peter el update
</t>
      </text>
    </comment>
    <comment authorId="312" xr:uid="{26f21350-a81b-4610-af0d-a77ce41584f4}" ref="N141">
      <text>
        <t xml:space="preserve">[Threaded comment]
 Your version of Excel allows you to read this threaded comment; however, any edits to it will get removed if the file is opened in a newer version of Excel. Learn more: https://go.microsoft.com/fwlink/?linkid=870924
Comment:
	ENVIAR A MEDIACION CON EL ESTIMADO APROBADO JP
Reply:
	8/28 enviado a Juan para revision @admin@ipadjustinggroup.com
Reply:
	10/30 Juan approved the estimate
</t>
      </text>
    </comment>
    <comment authorId="313" xr:uid="{2702d418-8742-4785-b8be-dfca5e83eaf3}"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314" xr:uid="{271dcd87-67c3-453b-9ea6-f4159724cc61}" ref="M271">
      <text>
        <t xml:space="preserve">[Threaded comment]
 Your version of Excel allows you to read this threaded comment; however, any edits to it will get removed if the file is opened in a newer version of Excel. Learn more: https://go.microsoft.com/fwlink/?linkid=870924
Comment:
	12/11 sent to carrier. No picture file
</t>
      </text>
    </comment>
    <comment authorId="315" xr:uid="{27202a02-9e03-468c-b64e-ed8a19d349f8}" ref="N226">
      <text>
        <t xml:space="preserve">[Threaded comment]
 Your version of Excel allows you to read this threaded comment; however, any edits to it will get removed if the file is opened in a newer version of Excel. Learn more: https://go.microsoft.com/fwlink/?linkid=870924
Comment:
	1/19 juan envia el estimado vacio sin info
Reply:
	11/20 Sent the estimate to Juan for review
Reply:
	11/25 Juan approved the estimate
Reply:
	2/26 peter pidio actualizar el estimado, enviado
</t>
      </text>
    </comment>
    <comment authorId="316" xr:uid="{27397e80-22eb-40cf-a12a-94f786c20264}" ref="A1">
      <text>
        <t xml:space="preserve">[Threaded comment]
 Your version of Excel allows you to read this threaded comment; however, any edits to it will get removed if the file is opened in a newer version of Excel. Learn more: https://go.microsoft.com/fwlink/?linkid=870924
Comment:
	01/20
</t>
      </text>
    </comment>
    <comment authorId="317" xr:uid="{27810793-f9a1-41e1-803f-2132e629d3d6}" ref="A1">
      <text>
        <t xml:space="preserve">[Threaded comment]
 Your version of Excel allows you to read this threaded comment; however, any edits to it will get removed if the file is opened in a newer version of Excel. Learn more: https://go.microsoft.com/fwlink/?linkid=870924
Comment:
	04/11 left a VM to the DA and sent an email, asking to send us the policy to verify the information that the client is giving us (CM)
</t>
      </text>
    </comment>
    <comment authorId="318" xr:uid="{2786cdbc-d86a-49ef-b863-fd86393032bd}" ref="V217">
      <text>
        <t xml:space="preserve">[Threaded comment]
 Your version of Excel allows you to read this threaded comment; however, any edits to it will get removed if the file is opened in a newer version of Excel. Learn more: https://go.microsoft.com/fwlink/?linkid=870924
Comment:
	12/02 Carrier sent IA Report , Partial Determination Letter and a RECAP, sent to JP (AL)
</t>
      </text>
    </comment>
    <comment authorId="319" xr:uid="{27ac8022-bbb5-44c6-a1af-cf5f245b302d}" ref="P273">
      <text>
        <t xml:space="preserve">[Threaded comment]
 Your version of Excel allows you to read this threaded comment; however, any edits to it will get removed if the file is opened in a newer version of Excel. Learn more: https://go.microsoft.com/fwlink/?linkid=870924
Comment:
	insp. on 11/20
</t>
      </text>
    </comment>
    <comment authorId="320" xr:uid="{27adeda2-2637-4d52-acf3-6cdd3e060157}" ref="V179">
      <text>
        <t xml:space="preserve">[Threaded comment]
 Your version of Excel allows you to read this threaded comment; however, any edits to it will get removed if the file is opened in a newer version of Excel. Learn more: https://go.microsoft.com/fwlink/?linkid=870924
Comment:
	10/02 received the IA report and undisputted payment for $12,820.92, sent the SPOL notarized(CM)
</t>
      </text>
    </comment>
    <comment authorId="321" xr:uid="{27cafcd7-51d5-4414-a9e5-d3ec4905d844}" ref="N240">
      <text>
        <t xml:space="preserve">[Threaded comment]
 Your version of Excel allows you to read this threaded comment; however, any edits to it will get removed if the file is opened in a newer version of Excel. Learn more: https://go.microsoft.com/fwlink/?linkid=870924
Comment:
	10/30 Sent estimate to Myers for approval.
Reply:
	10/30 Myers approved the estimate
</t>
      </text>
    </comment>
    <comment authorId="322" xr:uid="{27d0e5b5-c0fc-486f-a951-4e618feaa200}" ref="V188">
      <text>
        <t xml:space="preserve">[Threaded comment]
 Your version of Excel allows you to read this threaded comment; however, any edits to it will get removed if the file is opened in a newer version of Excel. Learn more: https://go.microsoft.com/fwlink/?linkid=870924
Comment:
	09/03 received a letter in wich they say that they are closing the claim because they haven't inspect, asked Day to contact the FA (CM)
</t>
      </text>
    </comment>
    <comment authorId="323" xr:uid="{27d1040d-4f66-44d4-b789-32a448d5135c}" ref="P182">
      <text>
        <t xml:space="preserve">[Threaded comment]
 Your version of Excel allows you to read this threaded comment; however, any edits to it will get removed if the file is opened in a newer version of Excel. Learn more: https://go.microsoft.com/fwlink/?linkid=870924
Comment:
	08/07 insp
08/14 asked for a copy of the IA report or determination on this claim (CM)
</t>
      </text>
    </comment>
    <comment authorId="324" xr:uid="{27f6ade0-d0f1-4182-820a-d5a6a77cd94f}" ref="A207">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325" xr:uid="{281169b4-1cf7-4527-9961-0bf3c59d2179}" ref="V186">
      <text>
        <t xml:space="preserve">[Threaded comment]
 Your version of Excel allows you to read this threaded comment; however, any edits to it will get removed if the file is opened in a newer version of Excel. Learn more: https://go.microsoft.com/fwlink/?linkid=870924
Comment:
	08/28 they sent all the documentation from before denial and engineer report, sent to PAs (CM)
</t>
      </text>
    </comment>
    <comment authorId="326" xr:uid="{282ee0d8-2859-4783-a851-5f0f7d796c0e}" ref="M310">
      <text>
        <t xml:space="preserve">[Threaded comment]
 Your version of Excel allows you to read this threaded comment; however, any edits to it will get removed if the file is opened in a newer version of Excel. Learn more: https://go.microsoft.com/fwlink/?linkid=870924
Comment:
	3/12 sent to carrier
</t>
      </text>
    </comment>
    <comment authorId="327" xr:uid="{283a65fa-fe1d-4e73-b4e3-c79c526f688f}" ref="M327">
      <text>
        <t xml:space="preserve">[Threaded comment]
 Your version of Excel allows you to read this threaded comment; however, any edits to it will get removed if the file is opened in a newer version of Excel. Learn more: https://go.microsoft.com/fwlink/?linkid=870924
Comment:
	3/12 sent to DA and client
</t>
      </text>
    </comment>
    <comment authorId="328" xr:uid="{2846d8df-200a-44eb-917a-82cae6a987b2}" ref="O141">
      <text>
        <t xml:space="preserve">[Threaded comment]
 Your version of Excel allows you to read this threaded comment; however, any edits to it will get removed if the file is opened in a newer version of Excel. Learn more: https://go.microsoft.com/fwlink/?linkid=870924
Comment:
	1/21/25 pedi el formato
Reply:
	dice que no quiere SPOL el DA
</t>
      </text>
    </comment>
    <comment authorId="329" xr:uid="{28535cb0-1ffc-404c-b944-af14bb2e4235}" ref="M287">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revisar IA
Reply:
	1/13/25 sent to carrier
</t>
      </text>
    </comment>
    <comment authorId="330" xr:uid="{289ebafd-e703-4710-9b2e-2e575a4b5ada}" ref="V199">
      <text>
        <t xml:space="preserve">[Threaded comment]
 Your version of Excel allows you to read this threaded comment; however, any edits to it will get removed if the file is opened in a newer version of Excel. Learn more: https://go.microsoft.com/fwlink/?linkid=870924
Comment:
	09/18 DA is requesting a RS and she also wants to discuss the claim with the PA, Day is cc'd, Day informs that the client doesn't want to continue with this claim, Jakey said that he will confirm about this claim (CM)
Reply:
	10/07 Peter will call the client to convince her to continue with the claim (CM)
Reply:
	10/30 DA is looking for a response til 11/13 if not they will close it (CM)
</t>
      </text>
    </comment>
    <comment authorId="331" xr:uid="{28b43e05-9b15-4818-9e43-ccf286064e6a}" ref="N204">
      <text>
        <t xml:space="preserve">[Threaded comment]
 Your version of Excel allows you to read this threaded comment; however, any edits to it will get removed if the file is opened in a newer version of Excel. Learn more: https://go.microsoft.com/fwlink/?linkid=870924
Comment:
	8/19 Sent to David
Reply:
	8/19 David approved
</t>
      </text>
    </comment>
    <comment authorId="332" xr:uid="{290abaf7-06ae-4f64-b849-d28d5a694dc7}" ref="A1">
      <text>
        <t xml:space="preserve">[Threaded comment]
 Your version of Excel allows you to read this threaded comment; however, any edits to it will get removed if the file is opened in a newer version of Excel. Learn more: https://go.microsoft.com/fwlink/?linkid=870924
Comment:
	02/19 left a VM and email req. engineering report (CM)
Reply:
	02/22 DA called and said that in the engineering inspection they only found a shingle damage, gave Peter's info (CM)
Reply:
	03/27 left a vm to DA asked if they have a initial determination letter (CM)
</t>
      </text>
    </comment>
    <comment authorId="333" xr:uid="{290f441d-0934-4ac6-9d6a-23ddce6805bc}" ref="V385">
      <text>
        <t xml:space="preserve">[Threaded comment]
 Your version of Excel allows you to read this threaded comment; however, any edits to it will get removed if the file is opened in a newer version of Excel. Learn more: https://go.microsoft.com/fwlink/?linkid=870924
Comment:
	09/29 received the IA report asked I&amp;P how much they want to offer on this one, the DA is offering 10k (CM)
</t>
      </text>
    </comment>
    <comment authorId="334" xr:uid="{2986046e-bf75-4873-bbf4-96947e274b80}" ref="V270">
      <text>
        <t xml:space="preserve">[Threaded comment]
 Your version of Excel allows you to read this threaded comment; however, any edits to it will get removed if the file is opened in a newer version of Excel. Learn more: https://go.microsoft.com/fwlink/?linkid=870924
Comment:
	11/21 recieved the determination letter, is below deductible, sent to PAs and JP, asked him to send our estimate after reviewing the IA (CM)
</t>
      </text>
    </comment>
    <comment authorId="335" xr:uid="{299f365d-c8ea-465b-9d8f-eaf062302ddb}"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336" xr:uid="{2a01abdb-5625-4c0b-99d2-167e5ae5e556}" ref="A159">
      <text>
        <t xml:space="preserve">[Threaded comment]
 Your version of Excel allows you to read this threaded comment; however, any edits to it will get removed if the file is opened in a newer version of Excel. Learn more: https://go.microsoft.com/fwlink/?linkid=870924
Comment:
	Stephen
Reply:
	Recoverable Depreciation $ 2,158.99
Ordinance or Law Items $ 3,069.66"
</t>
      </text>
    </comment>
    <comment authorId="337" xr:uid="{2a0f6fec-0dca-4323-ae4c-857691a5626d}" ref="N327">
      <text>
        <t xml:space="preserve">[Threaded comment]
 Your version of Excel allows you to read this threaded comment; however, any edits to it will get removed if the file is opened in a newer version of Excel. Learn more: https://go.microsoft.com/fwlink/?linkid=870924
Comment:
	3/6 sent to Ivan
Reply:
	3/12 Ivan aprueba
</t>
      </text>
    </comment>
    <comment authorId="338" xr:uid="{2a618f2e-62ec-4ac1-8ea6-0a08bc763212}" ref="A1">
      <text>
        <t xml:space="preserve">[Threaded comment]
 Your version of Excel allows you to read this threaded comment; however, any edits to it will get removed if the file is opened in a newer version of Excel. Learn more: https://go.microsoft.com/fwlink/?linkid=870924
Comment:
	sent sarah spol @sarah@ipadjustinggroup.com
Assigned to sarah@ipadjustinggroup.com
</t>
      </text>
    </comment>
    <comment authorId="339" xr:uid="{2a6c1583-12aa-4445-998f-236e2b76909b}" ref="Q331">
      <text>
        <t xml:space="preserve">[Threaded comment]
 Your version of Excel allows you to read this threaded comment; however, any edits to it will get removed if the file is opened in a newer version of Excel. Learn more: https://go.microsoft.com/fwlink/?linkid=870924
Comment:
	03/06
</t>
      </text>
    </comment>
    <comment authorId="340" xr:uid="{2a7911d8-b7cd-4f30-b888-1bdf4f9baedf}" ref="P174">
      <text>
        <t xml:space="preserve">[Threaded comment]
 Your version of Excel allows you to read this threaded comment; however, any edits to it will get removed if the file is opened in a newer version of Excel. Learn more: https://go.microsoft.com/fwlink/?linkid=870924
Comment:
	08/28
</t>
      </text>
    </comment>
    <comment authorId="341" xr:uid="{2a838475-7f73-47c5-b767-fa53180d3a13}" ref="P188">
      <text>
        <t xml:space="preserve">[Threaded comment]
 Your version of Excel allows you to read this threaded comment; however, any edits to it will get removed if the file is opened in a newer version of Excel. Learn more: https://go.microsoft.com/fwlink/?linkid=870924
Comment:
	08/30 no inspection scheduled
</t>
      </text>
    </comment>
    <comment authorId="342" xr:uid="{2a841f66-105f-466f-b360-7a0841f2419c}" ref="V212">
      <text>
        <t xml:space="preserve">[Threaded comment]
 Your version of Excel allows you to read this threaded comment; however, any edits to it will get removed if the file is opened in a newer version of Excel. Learn more: https://go.microsoft.com/fwlink/?linkid=870924
Comment:
	11/08 Received a call from DA saying they are going to send a denial (CM)
</t>
      </text>
    </comment>
    <comment authorId="343" xr:uid="{2a8bdec6-c034-459f-aa54-85efebe10202}" ref="V88">
      <text>
        <t xml:space="preserve">[Threaded comment]
 Your version of Excel allows you to read this threaded comment; however, any edits to it will get removed if the file is opened in a newer version of Excel. Learn more: https://go.microsoft.com/fwlink/?linkid=870924
Comment:
	DENIAL LETTER
09/20 follow up with Juan this estimate via Whatsapp (CM)
</t>
      </text>
    </comment>
    <comment authorId="344" xr:uid="{2ae4a825-d41b-4361-929d-87351bca4c38}" ref="A387">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345" xr:uid="{2b03319f-2fc9-44cf-a26e-1ca8d02bf805}" ref="M221">
      <text>
        <t xml:space="preserve">[Threaded comment]
 Your version of Excel allows you to read this threaded comment; however, any edits to it will get removed if the file is opened in a newer version of Excel. Learn more: https://go.microsoft.com/fwlink/?linkid=870924
Comment:
	12/10 sent to carrier
</t>
      </text>
    </comment>
    <comment authorId="346" xr:uid="{2b47272b-635f-4fb5-bd00-474efe0df415}"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347" xr:uid="{2b569617-20b8-4b34-b8e8-9290bf3dadae}" ref="N296">
      <text>
        <t xml:space="preserve">[Threaded comment]
 Your version of Excel allows you to read this threaded comment; however, any edits to it will get removed if the file is opened in a newer version of Excel. Learn more: https://go.microsoft.com/fwlink/?linkid=870924
Comment:
	1/13/25 sent to ivan
Reply:
	1/13 aprobado
</t>
      </text>
    </comment>
    <comment authorId="348" xr:uid="{2b6bea3d-039f-48b8-ac59-24c2c72fa365}"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349" xr:uid="{2b6eb08d-2ecf-4915-bcc6-dc46532716c6}" ref="N291">
      <text>
        <t xml:space="preserve">[Threaded comment]
 Your version of Excel allows you to read this threaded comment; however, any edits to it will get removed if the file is opened in a newer version of Excel. Learn more: https://go.microsoft.com/fwlink/?linkid=870924
Comment:
	12/11 pedi a angie info de los sketchs
Reply:
	1/3/25 sent to angie for review
Reply:
	1/6/25 Angie approved
</t>
      </text>
    </comment>
    <comment authorId="350" xr:uid="{2b78e492-5eee-418e-b1d2-bb319c7b6e51}" ref="M355">
      <text>
        <t xml:space="preserve">[Threaded comment]
 Your version of Excel allows you to read this threaded comment; however, any edits to it will get removed if the file is opened in a newer version of Excel. Learn more: https://go.microsoft.com/fwlink/?linkid=870924
Comment:
	4/24 sent to carrier
</t>
      </text>
    </comment>
    <comment authorId="351" xr:uid="{2b7a82d5-a04c-4714-8f14-dd0db4c96165}" ref="N236">
      <text>
        <t xml:space="preserve">[Threaded comment]
 Your version of Excel allows you to read this threaded comment; however, any edits to it will get removed if the file is opened in a newer version of Excel. Learn more: https://go.microsoft.com/fwlink/?linkid=870924
Comment:
	12/3 Joshua pidio agregar garage door y cambiar policy number del estimado anterior, enviado para revision
Reply:
	12/05 Joshua approved the estimate
</t>
      </text>
    </comment>
    <comment authorId="352" xr:uid="{2be967ae-b142-4921-bc44-f96d4e001601}" ref="V182">
      <text>
        <t xml:space="preserve">[Threaded comment]
 Your version of Excel allows you to read this threaded comment; however, any edits to it will get removed if the file is opened in a newer version of Excel. Learn more: https://go.microsoft.com/fwlink/?linkid=870924
Comment:
	11/11 we have the appraisal agreement sign by the client (CM)
</t>
      </text>
    </comment>
    <comment authorId="353" xr:uid="{2beb698a-9269-4777-aae6-8008f3cf1c52}" ref="A407">
      <text>
        <t xml:space="preserve">[Threaded comment]
 Your version of Excel allows you to read this threaded comment; however, any edits to it will get removed if the file is opened in a newer version of Excel. Learn more: https://go.microsoft.com/fwlink/?linkid=870924
Comment:
	Pedro
</t>
      </text>
    </comment>
    <comment authorId="354" xr:uid="{2c15f487-0098-4fd0-a455-869e14b1e518}" ref="A1">
      <text>
        <t xml:space="preserve">[Threaded comment]
 Your version of Excel allows you to read this threaded comment; however, any edits to it will get removed if the file is opened in a newer version of Excel. Learn more: https://go.microsoft.com/fwlink/?linkid=870924
Comment:
	12/09 Sent to Juan
</t>
      </text>
    </comment>
    <comment authorId="355" xr:uid="{2c3db686-d235-49ad-a1bc-0c66a51c4bc7}" ref="A1">
      <text>
        <t xml:space="preserve">[Threaded comment]
 Your version of Excel allows you to read this threaded comment; however, any edits to it will get removed if the file is opened in a newer version of Excel. Learn more: https://go.microsoft.com/fwlink/?linkid=870924
Comment:
	04/12 received a determination letter, sent to PAs and asked how to proceed next (CM)
</t>
      </text>
    </comment>
    <comment authorId="356" xr:uid="{2c589d6d-91bc-42ca-8eb8-b0617d6f809d}" ref="A138">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357" xr:uid="{2c5ca035-6f42-48b5-88eb-ba5c3682fb8b}" ref="N150">
      <text>
        <t xml:space="preserve">[Threaded comment]
 Your version of Excel allows you to read this threaded comment; however, any edits to it will get removed if the file is opened in a newer version of Excel. Learn more: https://go.microsoft.com/fwlink/?linkid=870924
Comment:
	5/15 sent to Juan
7/24 juan approved
</t>
      </text>
    </comment>
    <comment authorId="358" xr:uid="{2c703b1d-fa74-40e5-b74e-e46f19a0c517}" ref="M238">
      <text>
        <t xml:space="preserve">[Threaded comment]
 Your version of Excel allows you to read this threaded comment; however, any edits to it will get removed if the file is opened in a newer version of Excel. Learn more: https://go.microsoft.com/fwlink/?linkid=870924
Comment:
	11/05 Sent the estimate and picture file to the DA and client
</t>
      </text>
    </comment>
    <comment authorId="359" xr:uid="{2cd7439d-8b9a-4958-bce9-605247718814}" ref="Q348">
      <text>
        <t xml:space="preserve">[Threaded comment]
 Your version of Excel allows you to read this threaded comment; however, any edits to it will get removed if the file is opened in a newer version of Excel. Learn more: https://go.microsoft.com/fwlink/?linkid=870924
Comment:
	04/04
</t>
      </text>
    </comment>
    <comment authorId="360" xr:uid="{2d120ebc-3261-4b45-9993-918813c795da}" ref="V203">
      <text>
        <t xml:space="preserve">[Threaded comment]
 Your version of Excel allows you to read this threaded comment; however, any edits to it will get removed if the file is opened in a newer version of Excel. Learn more: https://go.microsoft.com/fwlink/?linkid=870924
Comment:
	08/27 Citizens is demanding appraisal, asked PAs who should i ask for this appraisal (CM)
</t>
      </text>
    </comment>
    <comment authorId="361" xr:uid="{2d3c01cc-7c6a-4143-aeea-c33c68da08e9}" ref="A1">
      <text>
        <t xml:space="preserve">[Threaded comment]
 Your version of Excel allows you to read this threaded comment; however, any edits to it will get removed if the file is opened in a newer version of Excel. Learn more: https://go.microsoft.com/fwlink/?linkid=870924
Comment:
	esperar IA report
</t>
      </text>
    </comment>
    <comment authorId="362" xr:uid="{2d63eed2-e545-4452-a6d0-c8e1ed84f18b}" ref="J390">
      <text>
        <t xml:space="preserve">[Threaded comment]
 Your version of Excel allows you to read this threaded comment; however, any edits to it will get removed if the file is opened in a newer version of Excel. Learn more: https://go.microsoft.com/fwlink/?linkid=870924
Comment:
	001-00-611528
</t>
      </text>
    </comment>
    <comment authorId="363" xr:uid="{2da023aa-6c09-4440-81fd-a3429adef04a}" ref="V192">
      <text>
        <t xml:space="preserve">[Threaded comment]
 Your version of Excel allows you to read this threaded comment; however, any edits to it will get removed if the file is opened in a newer version of Excel. Learn more: https://go.microsoft.com/fwlink/?linkid=870924
Comment:
	07/15 DA is asking for an updated W9, she also have some questions, sent to PAs (CM)
</t>
      </text>
    </comment>
    <comment authorId="364" xr:uid="{2da3dd6f-0651-4c33-aac8-385a48625e17}"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365" xr:uid="{2da55d2f-ea27-48a4-913d-afc11316d154}" ref="N335">
      <text>
        <t xml:space="preserve">[Threaded comment]
 Your version of Excel allows you to read this threaded comment; however, any edits to it will get removed if the file is opened in a newer version of Excel. Learn more: https://go.microsoft.com/fwlink/?linkid=870924
Comment:
	3/12 sent to ivan
Reply:
	3/12 aprobado
</t>
      </text>
    </comment>
    <comment authorId="366" xr:uid="{2db96d3b-c87e-49c8-8cee-6c37771e64ef}" ref="N286">
      <text>
        <t xml:space="preserve">[Threaded comment]
 Your version of Excel allows you to read this threaded comment; however, any edits to it will get removed if the file is opened in a newer version of Excel. Learn more: https://go.microsoft.com/fwlink/?linkid=870924
Comment:
	1/20 sent to myers
Reply:
	1/20 approved
</t>
      </text>
    </comment>
    <comment authorId="367" xr:uid="{2dd0eba5-68b3-4b80-b2ea-cfcd9ece17e2}" ref="A88">
      <text>
        <t xml:space="preserve">[Threaded comment]
 Your version of Excel allows you to read this threaded comment; however, any edits to it will get removed if the file is opened in a newer version of Excel. Learn more: https://go.microsoft.com/fwlink/?linkid=870924
Comment:
	submitted mediation @scheduling@ipadjustinggroup.com
</t>
      </text>
    </comment>
    <comment authorId="368" xr:uid="{2dd8fa11-a658-4e82-ae01-eddc19a3e965}" ref="M196">
      <text>
        <t xml:space="preserve">[Threaded comment]
 Your version of Excel allows you to read this threaded comment; however, any edits to it will get removed if the file is opened in a newer version of Excel. Learn more: https://go.microsoft.com/fwlink/?linkid=870924
Comment:
	esperar IA report
Reply:
	8/28 sent (CM)
</t>
      </text>
    </comment>
    <comment authorId="369" xr:uid="{2de82c9d-6927-4526-bc56-fcc853e467f8}" ref="A230">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mediation
Assigned to scheduling@ipadjustinggroup.com
Reply:
	Marked as done
</t>
      </text>
    </comment>
    <comment authorId="370" xr:uid="{2e17033f-37a3-40df-b497-0d0156734915}" ref="O179">
      <text>
        <t xml:space="preserve">[Threaded comment]
 Your version of Excel allows you to read this threaded comment; however, any edits to it will get removed if the file is opened in a newer version of Excel. Learn more: https://go.microsoft.com/fwlink/?linkid=870924
Comment:
	9/24 enviado al cliente
</t>
      </text>
    </comment>
    <comment authorId="371" xr:uid="{2e1daa21-c443-40c3-b29d-fefe2385a3cb}" ref="A182">
      <text>
        <t xml:space="preserve">[Threaded comment]
 Your version of Excel allows you to read this threaded comment; however, any edits to it will get removed if the file is opened in a newer version of Excel. Learn more: https://go.microsoft.com/fwlink/?linkid=870924
Comment:
	Peter
Reply:
	Recoverable Depreciation: $1,091.55
</t>
      </text>
    </comment>
    <comment authorId="372" xr:uid="{2e3d92a4-fbb7-4976-bf65-15e57c3fde5e}" ref="A343">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373" xr:uid="{2e56a61d-ba4a-495d-81a0-39f3f0e9c49e}" ref="A1">
      <text>
        <t xml:space="preserve">[Threaded comment]
 Your version of Excel allows you to read this threaded comment; however, any edits to it will get removed if the file is opened in a newer version of Excel. Learn more: https://go.microsoft.com/fwlink/?linkid=870924
Comment:
	waiting for Ivan decision with the appraisal
</t>
      </text>
    </comment>
    <comment authorId="374" xr:uid="{2e585728-4f53-4494-8b1a-cf1baffff465}" ref="M262">
      <text>
        <t xml:space="preserve">[Threaded comment]
 Your version of Excel allows you to read this threaded comment; however, any edits to it will get removed if the file is opened in a newer version of Excel. Learn more: https://go.microsoft.com/fwlink/?linkid=870924
Comment:
	subir a clampath
</t>
      </text>
    </comment>
    <comment authorId="375" xr:uid="{2e615b43-9afe-447d-b097-b2729b61da30}" ref="M304">
      <text>
        <t xml:space="preserve">[Threaded comment]
 Your version of Excel allows you to read this threaded comment; however, any edits to it will get removed if the file is opened in a newer version of Excel. Learn more: https://go.microsoft.com/fwlink/?linkid=870924
Comment:
	1/20/25 sent to DA
</t>
      </text>
    </comment>
    <comment authorId="376" xr:uid="{2eb4d52d-d6c9-49ee-a329-c0952e7e6d0b}"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377" xr:uid="{2ecd9246-e1d1-43b5-9a97-446c98cf224b}" ref="A150">
      <text>
        <t xml:space="preserve">[Threaded comment]
 Your version of Excel allows you to read this threaded comment; however, any edits to it will get removed if the file is opened in a newer version of Excel. Learn more: https://go.microsoft.com/fwlink/?linkid=870924
Comment:
	10/07 asked wilber
</t>
      </text>
    </comment>
    <comment authorId="378" xr:uid="{2ed798d5-efb5-4b71-8ce2-0079604f3854}" ref="N230">
      <text>
        <t xml:space="preserve">[Threaded comment]
 Your version of Excel allows you to read this threaded comment; however, any edits to it will get removed if the file is opened in a newer version of Excel. Learn more: https://go.microsoft.com/fwlink/?linkid=870924
Comment:
	12/04 pedi info a david de estimado
Reply:
	4/17 sent to Ivan
Reply:
	4/18 aprobado el update
</t>
      </text>
    </comment>
    <comment authorId="379" xr:uid="{2ee32e68-5567-49eb-a0e9-1dc53504096f}" ref="V191">
      <text>
        <t xml:space="preserve">[Threaded comment]
 Your version of Excel allows you to read this threaded comment; however, any edits to it will get removed if the file is opened in a newer version of Excel. Learn more: https://go.microsoft.com/fwlink/?linkid=870924
Comment:
	carrier rep is requesting to settle before mediation. Ivan &amp; Peter cc'd
</t>
      </text>
    </comment>
    <comment authorId="380" xr:uid="{2efefac9-0e22-459b-90be-8c9768dd34d8}" ref="N407">
      <text>
        <t xml:space="preserve">[Threaded comment]
 Your version of Excel allows you to read this threaded comment; however, any edits to it will get removed if the file is opened in a newer version of Excel. Learn more: https://go.microsoft.com/fwlink/?linkid=870924
Comment:
	4/8 aprobado
</t>
      </text>
    </comment>
    <comment authorId="381" xr:uid="{2f0ca243-765e-41a2-bc8f-069474ae24f3}" ref="M219">
      <text>
        <t xml:space="preserve">[Threaded comment]
 Your version of Excel allows you to read this threaded comment; however, any edits to it will get removed if the file is opened in a newer version of Excel. Learn more: https://go.microsoft.com/fwlink/?linkid=870924
Comment:
	esperar IA report
Reply:
	12/13 sent to DA
</t>
      </text>
    </comment>
    <comment authorId="382" xr:uid="{2f13c242-4ac5-43e0-aafb-29150af274ec}" ref="N299">
      <text>
        <t xml:space="preserve">[Threaded comment]
 Your version of Excel allows you to read this threaded comment; however, any edits to it will get removed if the file is opened in a newer version of Excel. Learn more: https://go.microsoft.com/fwlink/?linkid=870924
Comment:
	1/13/25 sent to josh
Reply:
	1/13 aprobado
</t>
      </text>
    </comment>
    <comment authorId="383" xr:uid="{2fa642f3-185d-4e7f-b0db-7345857f3e4a}" ref="A1">
      <text>
        <t xml:space="preserve">[Threaded comment]
 Your version of Excel allows you to read this threaded comment; however, any edits to it will get removed if the file is opened in a newer version of Excel. Learn more: https://go.microsoft.com/fwlink/?linkid=870924
Comment:
	11/21
</t>
      </text>
    </comment>
    <comment authorId="384" xr:uid="{2fd51c23-e9c5-469d-9db2-30cfc9e00af8}" ref="N150">
      <text>
        <t xml:space="preserve">[Threaded comment]
 Your version of Excel allows you to read this threaded comment; however, any edits to it will get removed if the file is opened in a newer version of Excel. Learn more: https://go.microsoft.com/fwlink/?linkid=870924
Comment:
	3/3 peter pidio hacer update
</t>
      </text>
    </comment>
    <comment authorId="385" xr:uid="{2fe24fde-7664-458b-aa51-6a0180fdef79}" ref="V57">
      <text>
        <t xml:space="preserve">[Threaded comment]
 Your version of Excel allows you to read this threaded comment; however, any edits to it will get removed if the file is opened in a newer version of Excel. Learn more: https://go.microsoft.com/fwlink/?linkid=870924
Comment:
	11/14 the law group from the carrier is requesting some info, sent to I&amp;P (CM)
Reply:
	12/19 Iván says that the client doesn't have the documentation that the law firm is requesting, asked if i should inform to MSPG (CM)
</t>
      </text>
    </comment>
    <comment authorId="386" xr:uid="{2fe54859-cf6b-410f-b319-38ddee5eac92}" ref="A187">
      <text>
        <t xml:space="preserve">[Threaded comment]
 Your version of Excel allows you to read this threaded comment; however, any edits to it will get removed if the file is opened in a newer version of Excel. Learn more: https://go.microsoft.com/fwlink/?linkid=870924
Comment:
	08/26 requested appraisal with Wilber info (CM) @scheduling@ipadjustinggroup.com
</t>
      </text>
    </comment>
    <comment authorId="387" xr:uid="{2feeaa62-9681-4dfc-97fc-5aec3d849432}" ref="A1">
      <text>
        <t xml:space="preserve">[Threaded comment]
 Your version of Excel allows you to read this threaded comment; however, any edits to it will get removed if the file is opened in a newer version of Excel. Learn more: https://go.microsoft.com/fwlink/?linkid=870924
Comment:
	04/12 sent Peter some inquiries of the DA (cm)
</t>
      </text>
    </comment>
    <comment authorId="388" xr:uid="{300cbc9d-0812-42a2-89e6-c68068b0a83f}"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389" xr:uid="{300f2f92-b845-41f7-8626-1533bdab8c91}" ref="V231">
      <text>
        <t xml:space="preserve">[Threaded comment]
 Your version of Excel allows you to read this threaded comment; however, any edits to it will get removed if the file is opened in a newer version of Excel. Learn more: https://go.microsoft.com/fwlink/?linkid=870924
Comment:
	08/26 received a letter that the claim is underdeductible, they are offering 2.5k to the NOI process, it expires on 09/08 (CM)
</t>
      </text>
    </comment>
    <comment authorId="390" xr:uid="{300f78b8-cc84-4ae3-8cfc-6dad7446d71a}" ref="A251">
      <text>
        <t xml:space="preserve">[Threaded comment]
 Your version of Excel allows you to read this threaded comment; however, any edits to it will get removed if the file is opened in a newer version of Excel. Learn more: https://go.microsoft.com/fwlink/?linkid=870924
Comment:
	Peter
Reply:
	nothing to be recovered i think
</t>
      </text>
    </comment>
    <comment authorId="391" xr:uid="{302ed177-3b3f-48e9-860b-8b6c3db7372b}" ref="N181">
      <text>
        <t xml:space="preserve">[Threaded comment]
 Your version of Excel allows you to read this threaded comment; however, any edits to it will get removed if the file is opened in a newer version of Excel. Learn more: https://go.microsoft.com/fwlink/?linkid=870924
Comment:
	6/21 aprobado por david
</t>
      </text>
    </comment>
    <comment authorId="392" xr:uid="{303082ad-53f5-434f-b5c8-4a56138c868e}" ref="N152">
      <text>
        <t xml:space="preserve">[Threaded comment]
 Your version of Excel allows you to read this threaded comment; however, any edits to it will get removed if the file is opened in a newer version of Excel. Learn more: https://go.microsoft.com/fwlink/?linkid=870924
Comment:
	YA ESTA SETTLED, NO HACER.
</t>
      </text>
    </comment>
    <comment authorId="393" xr:uid="{30451e38-c51b-4a27-a7c9-ef9bbdec2fbf}" ref="P110">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394" xr:uid="{304cd9c4-c7e1-4ddc-ad91-569f97452e2d}" ref="M354">
      <text>
        <t xml:space="preserve">[Threaded comment]
 Your version of Excel allows you to read this threaded comment; however, any edits to it will get removed if the file is opened in a newer version of Excel. Learn more: https://go.microsoft.com/fwlink/?linkid=870924
Comment:
	4/23 sent to DA
Reply:
	5/8 sent an update to Peter
Reply:
	5/28 sent to DA
</t>
      </text>
    </comment>
    <comment authorId="395" xr:uid="{305ae05a-41ac-4436-abbf-2fe2fc171d8f}" ref="O160">
      <text>
        <t xml:space="preserve">[Threaded comment]
 Your version of Excel allows you to read this threaded comment; however, any edits to it will get removed if the file is opened in a newer version of Excel. Learn more: https://go.microsoft.com/fwlink/?linkid=870924
Comment:
	9/19 enviado al cliente
</t>
      </text>
    </comment>
    <comment authorId="396" xr:uid="{306a51e1-1816-4305-8289-a7e82f41a02a}" ref="M107">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1/21/25 sent to carrier
</t>
      </text>
    </comment>
    <comment authorId="397" xr:uid="{306c5384-a14d-466b-bd91-8f62d09bd67b}" ref="B153">
      <text>
        <t xml:space="preserve">[Threaded comment]
 Your version of Excel allows you to read this threaded comment; however, any edits to it will get removed if the file is opened in a newer version of Excel. Learn more: https://go.microsoft.com/fwlink/?linkid=870924
Comment:
	David / Ivan
</t>
      </text>
    </comment>
    <comment authorId="398" xr:uid="{30e4ed53-3149-44f5-b5ec-29147d0cbcc4}" ref="N329">
      <text>
        <t xml:space="preserve">[Threaded comment]
 Your version of Excel allows you to read this threaded comment; however, any edits to it will get removed if the file is opened in a newer version of Excel. Learn more: https://go.microsoft.com/fwlink/?linkid=870924
Comment:
	4/17 sent to josh
Reply:
	4/17 aprobado
</t>
      </text>
    </comment>
    <comment authorId="399" xr:uid="{30eedbdb-40eb-4182-9507-2b008ad581f6}" ref="V90">
      <text>
        <t xml:space="preserve">[Threaded comment]
 Your version of Excel allows you to read this threaded comment; however, any edits to it will get removed if the file is opened in a newer version of Excel. Learn more: https://go.microsoft.com/fwlink/?linkid=870924
Comment:
	04/16 received a letter, DA says claim will close if they don't receive the estimate (CM)
</t>
      </text>
    </comment>
    <comment authorId="400" xr:uid="{3100c7d4-adb7-4b51-9ded-a3a167043086}"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401" xr:uid="{3126c563-b6f8-473c-bc30-da4c4f845f26}" ref="M270">
      <text>
        <t xml:space="preserve">[Threaded comment]
 Your version of Excel allows you to read this threaded comment; however, any edits to it will get removed if the file is opened in a newer version of Excel. Learn more: https://go.microsoft.com/fwlink/?linkid=870924
Comment:
	3/12 sent to carrier
</t>
      </text>
    </comment>
    <comment authorId="402" xr:uid="{3156ad51-5963-4d81-8bd8-e765fe588963}" ref="A1">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403" xr:uid="{3164bede-8b34-4229-9009-93ee578bc116}"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404" xr:uid="{3173dbcc-db69-4320-b8bc-64232bbd7406}" ref="V214">
      <text>
        <t xml:space="preserve">[Threaded comment]
 Your version of Excel allows you to read this threaded comment; however, any edits to it will get removed if the file is opened in a newer version of Excel. Learn more: https://go.microsoft.com/fwlink/?linkid=870924
Comment:
	11/26 recieved the IA report and determination letter, underdeductible, sent to PAs and JP, asked him to send our estimate (CM)
Reply:
	11/26 Peter asked me to request mediation, informed that we don't have our estimate, waiting his reconfirmation to submit this mediation (CM)
</t>
      </text>
    </comment>
    <comment authorId="405" xr:uid="{31755e21-fa1b-47df-8060-0f50063145dc}" ref="V308">
      <text>
        <t xml:space="preserve">[Threaded comment]
 Your version of Excel allows you to read this threaded comment; however, any edits to it will get removed if the file is opened in a newer version of Excel. Learn more: https://go.microsoft.com/fwlink/?linkid=870924
Comment:
	02/03 received the IA report and the payment letter, they are issuing a payment for 65k, asked Iván to review the estimate that JP sent (CM)
</t>
      </text>
    </comment>
    <comment authorId="406" xr:uid="{3184e253-28fb-479b-aff9-b0a664c50c9b}" ref="S21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pilas Day
Assigned to scheduling@ipadjustinggroup.com
Reply:
	Marked as done
Reply:
	YEAP, organizing the umpire appraisal
Re-opened
</t>
      </text>
    </comment>
    <comment authorId="407" xr:uid="{31be2046-21e2-46d3-b048-6529b217442b}" ref="N396">
      <text>
        <t xml:space="preserve">[Threaded comment]
 Your version of Excel allows you to read this threaded comment; however, any edits to it will get removed if the file is opened in a newer version of Excel. Learn more: https://go.microsoft.com/fwlink/?linkid=870924
Comment:
	1/27 aprobado
</t>
      </text>
    </comment>
    <comment authorId="408" xr:uid="{31e0f388-87d3-45fd-a66f-707267aa7400}" ref="M251">
      <text>
        <t xml:space="preserve">[Threaded comment]
 Your version of Excel allows you to read this threaded comment; however, any edits to it will get removed if the file is opened in a newer version of Excel. Learn more: https://go.microsoft.com/fwlink/?linkid=870924
Comment:
	12/06 sent to carrier
</t>
      </text>
    </comment>
    <comment authorId="409" xr:uid="{320ce581-4356-4eeb-9e07-ed6296d2b915}" ref="P150">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410" xr:uid="{3239ee0b-1808-40f0-bd7e-3aea474690a4}" ref="M234">
      <text>
        <t xml:space="preserve">[Threaded comment]
 Your version of Excel allows you to read this threaded comment; however, any edits to it will get removed if the file is opened in a newer version of Excel. Learn more: https://go.microsoft.com/fwlink/?linkid=870924
Comment:
	2/3/25 sent to client
Reply:
	no se pudo enviar al cliente el estimado, no tiene email
</t>
      </text>
    </comment>
    <comment authorId="411" xr:uid="{325195d4-ceea-45b1-9065-7bf9ee7d66e2}" ref="N198">
      <text>
        <t xml:space="preserve">[Threaded comment]
 Your version of Excel allows you to read this threaded comment; however, any edits to it will get removed if the file is opened in a newer version of Excel. Learn more: https://go.microsoft.com/fwlink/?linkid=870924
Comment:
	8/07 sent to jakey
8/07 approved
</t>
      </text>
    </comment>
    <comment authorId="412" xr:uid="{3299e4dd-d22e-4053-a9b7-2e18243ec2d0}" ref="A90">
      <text>
        <t xml:space="preserve">[Threaded comment]
 Your version of Excel allows you to read this threaded comment; however, any edits to it will get removed if the file is opened in a newer version of Excel. Learn more: https://go.microsoft.com/fwlink/?linkid=870924
Comment:
	requested mediation @scheduling@ipadjustinggroup.com
Reply:
	Marked as resolved
</t>
      </text>
    </comment>
    <comment authorId="413" xr:uid="{32a3db7b-90bf-464c-9b48-2c29d823b37c}"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414" xr:uid="{331220bb-ba6e-4cff-a225-c753a36d2e3b}" ref="V318">
      <text>
        <t xml:space="preserve">[Threaded comment]
 Your version of Excel allows you to read this threaded comment; however, any edits to it will get removed if the file is opened in a newer version of Excel. Learn more: https://go.microsoft.com/fwlink/?linkid=870924
Comment:
	02/24 received an determination letter with an undisputted for 18k, DA is asking for our offer to settle, sent to I&amp;P (CM)
</t>
      </text>
    </comment>
    <comment authorId="415" xr:uid="{3356b534-5ff1-4bca-9f49-ec4b86197493}" ref="A99">
      <text>
        <t xml:space="preserve">[Threaded comment]
 Your version of Excel allows you to read this threaded comment; however, any edits to it will get removed if the file is opened in a newer version of Excel. Learn more: https://go.microsoft.com/fwlink/?linkid=870924
Comment:
	Stephen
Reply:
	recoverable depreciation: $1722,67
</t>
      </text>
    </comment>
    <comment authorId="416" xr:uid="{338646bd-a5af-4d6c-99f3-fa9ac8e25564}" ref="V247">
      <text>
        <t xml:space="preserve">[Threaded comment]
 Your version of Excel allows you to read this threaded comment; however, any edits to it will get removed if the file is opened in a newer version of Excel. Learn more: https://go.microsoft.com/fwlink/?linkid=870924
Comment:
	02/18 received a supplement coverage determination after the mediation, claim is closed as per FPI (CM)
</t>
      </text>
    </comment>
    <comment authorId="417" xr:uid="{33dd046f-45a6-4571-9db9-3180a5467e40}" ref="V188">
      <text>
        <t xml:space="preserve">[Threaded comment]
 Your version of Excel allows you to read this threaded comment; however, any edits to it will get removed if the file is opened in a newer version of Excel. Learn more: https://go.microsoft.com/fwlink/?linkid=870924
Comment:
	08/28 follow up with Juan this estimate (CM)
</t>
      </text>
    </comment>
    <comment authorId="418" xr:uid="{342fb1b5-7821-4290-9a9a-4cb75db4bde4}" ref="P191">
      <text>
        <t xml:space="preserve">[Threaded comment]
 Your version of Excel allows you to read this threaded comment; however, any edits to it will get removed if the file is opened in a newer version of Excel. Learn more: https://go.microsoft.com/fwlink/?linkid=870924
Comment:
	insp 08/08
eng insp 09/03
follow up on 09/19
</t>
      </text>
    </comment>
    <comment authorId="419" xr:uid="{34321742-a418-4bc6-ab5e-275074e83429}" ref="M168">
      <text>
        <t xml:space="preserve">[Threaded comment]
 Your version of Excel allows you to read this threaded comment; however, any edits to it will get removed if the file is opened in a newer version of Excel. Learn more: https://go.microsoft.com/fwlink/?linkid=870924
Comment:
	waiting IA report
Reply:
	08/08 received a denial, send the IA report please @jp.ipestimates@gmail.com
Reply:
	envio el estimado diras jeje. ok ya envio.
Reply:
	8/12 enviado al DA y cliente
Reply:
	perfect! gracias Paulillo
</t>
      </text>
    </comment>
    <comment authorId="420" xr:uid="{343b29bf-8647-4697-8895-51a71f331c6f}"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421" xr:uid="{3485c2b0-2e9e-47f6-8016-ab11e2bb7181}" ref="M203">
      <text>
        <t xml:space="preserve">[Threaded comment]
 Your version of Excel allows you to read this threaded comment; however, any edits to it will get removed if the file is opened in a newer version of Excel. Learn more: https://go.microsoft.com/fwlink/?linkid=870924
Comment:
	mandar estimado @jp.ipestimates@gmail.com
Reply:
	ya mande yo (CM)
Reply:
	ok
</t>
      </text>
    </comment>
    <comment authorId="422" xr:uid="{349385d2-30d5-43e1-9b65-834af55f50cf}" ref="M180">
      <text>
        <t xml:space="preserve">[Threaded comment]
 Your version of Excel allows you to read this threaded comment; however, any edits to it will get removed if the file is opened in a newer version of Excel. Learn more: https://go.microsoft.com/fwlink/?linkid=870924
Comment:
	8/29 enviado
</t>
      </text>
    </comment>
    <comment authorId="423" xr:uid="{34ca30e8-c832-4697-9c87-9aa8675715e7}" ref="M276">
      <text>
        <t xml:space="preserve">[Threaded comment]
 Your version of Excel allows you to read this threaded comment; however, any edits to it will get removed if the file is opened in a newer version of Excel. Learn more: https://go.microsoft.com/fwlink/?linkid=870924
Comment:
	4/12 sent to carrier
</t>
      </text>
    </comment>
    <comment authorId="424" xr:uid="{34d67655-6ac1-43aa-9ee3-cc0e603f1c4e}" ref="O184">
      <text>
        <t xml:space="preserve">[Threaded comment]
 Your version of Excel allows you to read this threaded comment; however, any edits to it will get removed if the file is opened in a newer version of Excel. Learn more: https://go.microsoft.com/fwlink/?linkid=870924
Comment:
	1/21/25 sent to client
</t>
      </text>
    </comment>
    <comment authorId="425" xr:uid="{34e103d9-a8d8-4f53-a778-d8a1fdc07f32}" ref="A252">
      <text>
        <t xml:space="preserve">[Threaded comment]
 Your version of Excel allows you to read this threaded comment; however, any edits to it will get removed if the file is opened in a newer version of Excel. Learn more: https://go.microsoft.com/fwlink/?linkid=870924
Comment:
	Peter
Reply:
	nothing to be recovered i think
</t>
      </text>
    </comment>
    <comment authorId="426" xr:uid="{350309a4-1394-4d05-97d5-c5549865c24b}" ref="N390">
      <text>
        <t xml:space="preserve">[Threaded comment]
 Your version of Excel allows you to read this threaded comment; however, any edits to it will get removed if the file is opened in a newer version of Excel. Learn more: https://go.microsoft.com/fwlink/?linkid=870924
Comment:
	10/20 sent to josh
Reply:
	10/21 aprobado
</t>
      </text>
    </comment>
    <comment authorId="427" xr:uid="{350a3aaa-16df-41fa-9e8c-c8f15bcb0821}" ref="A354">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428" xr:uid="{35188f51-f89f-4802-80a4-866cd7d66f27}" ref="O407">
      <text>
        <t xml:space="preserve">[Threaded comment]
 Your version of Excel allows you to read this threaded comment; however, any edits to it will get removed if the file is opened in a newer version of Excel. Learn more: https://go.microsoft.com/fwlink/?linkid=870924
Comment:
	4/15 sent to client
</t>
      </text>
    </comment>
    <comment authorId="429" xr:uid="{353135ab-824c-4992-96a5-ad4d9e29761d}" ref="V231">
      <text>
        <t xml:space="preserve">[Threaded comment]
 Your version of Excel allows you to read this threaded comment; however, any edits to it will get removed if the file is opened in a newer version of Excel. Learn more: https://go.microsoft.com/fwlink/?linkid=870924
Comment:
	10/30 received the iA report sent to JP and PAS, for his review asked him to send our estimate when ready (CM)
</t>
      </text>
    </comment>
    <comment authorId="430" xr:uid="{3576bbc2-bf8a-4b0f-aecf-c803d7e4c8c2}" ref="V303">
      <text>
        <t xml:space="preserve">[Threaded comment]
 Your version of Excel allows you to read this threaded comment; however, any edits to it will get removed if the file is opened in a newer version of Excel. Learn more: https://go.microsoft.com/fwlink/?linkid=870924
Comment:
	01/21 customer service informed that this claim is under deductible (CM)
Reply:
	02/13 followed up on this claim (CM)
</t>
      </text>
    </comment>
    <comment authorId="431" xr:uid="{35efbed6-2013-49bf-b31a-04ca0e815e35}"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432" xr:uid="{3655dd4f-47ac-4607-9243-f47ac7a852f2}" ref="V331">
      <text>
        <t xml:space="preserve">[Threaded comment]
 Your version of Excel allows you to read this threaded comment; however, any edits to it will get removed if the file is opened in a newer version of Excel. Learn more: https://go.microsoft.com/fwlink/?linkid=870924
Comment:
	04/09 received a denial due the policy has wind exclusion, informed PAs (CM)
</t>
      </text>
    </comment>
    <comment authorId="433" xr:uid="{36564bb3-151e-4780-b663-37f6a45e6c38}" ref="P110">
      <text>
        <t xml:space="preserve">[Threaded comment]
 Your version of Excel allows you to read this threaded comment; however, any edits to it will get removed if the file is opened in a newer version of Excel. Learn more: https://go.microsoft.com/fwlink/?linkid=870924
Comment:
	10/01
</t>
      </text>
    </comment>
    <comment authorId="434" xr:uid="{3674d97f-0548-4a98-92ae-6902904d3605}" ref="M277">
      <text>
        <t xml:space="preserve">[Threaded comment]
 Your version of Excel allows you to read this threaded comment; however, any edits to it will get removed if the file is opened in a newer version of Excel. Learn more: https://go.microsoft.com/fwlink/?linkid=870924
Comment:
	12/3 Sent the estimate to carrier and client
Reply:
	2/28/25 sent an update to carrrier
</t>
      </text>
    </comment>
    <comment authorId="435" xr:uid="{36840326-47b7-40fb-8f88-308fb04d3f35}" ref="O221">
      <text>
        <t xml:space="preserve">[Threaded comment]
 Your version of Excel allows you to read this threaded comment; however, any edits to it will get removed if the file is opened in a newer version of Excel. Learn more: https://go.microsoft.com/fwlink/?linkid=870924
Comment:
	12/18 sent SPOL to client SG
</t>
      </text>
    </comment>
    <comment authorId="436" xr:uid="{36b2b74b-8019-4eaa-bfda-6b559ad28e84}" ref="O90">
      <text>
        <t xml:space="preserve">[Threaded comment]
 Your version of Excel allows you to read this threaded comment; however, any edits to it will get removed if the file is opened in a newer version of Excel. Learn more: https://go.microsoft.com/fwlink/?linkid=870924
Comment:
	9/02 enviado al cliente @admin@ipadjustinggroup.com
Reply:
	09/03 Reginald's email address is incorrect, sent the SPOL to Peter (CM)
Reply:
	09/06 sent SPOL to DA, asked Perry to upload it on claimspath (CM)
</t>
      </text>
    </comment>
    <comment authorId="437" xr:uid="{36f2a531-25d2-4794-a952-bf1f57803b16}" ref="N401">
      <text>
        <t xml:space="preserve">[Threaded comment]
 Your version of Excel allows you to read this threaded comment; however, any edits to it will get removed if the file is opened in a newer version of Excel. Learn more: https://go.microsoft.com/fwlink/?linkid=870924
Comment:
	5/13 enviado ACTION ITEM a Ivan
Reply:
	5/18 sent the estimate to Peter for review
</t>
      </text>
    </comment>
    <comment authorId="438" xr:uid="{376469a2-c842-467c-85a9-da9ce3524b24}" ref="A345">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439" xr:uid="{379044df-0b5f-4602-b79c-0222b86d046e}" ref="P228">
      <text>
        <t xml:space="preserve">[Threaded comment]
 Your version of Excel allows you to read this threaded comment; however, any edits to it will get removed if the file is opened in a newer version of Excel. Learn more: https://go.microsoft.com/fwlink/?linkid=870924
Comment:
	insp on 10/15
</t>
      </text>
    </comment>
    <comment authorId="440" xr:uid="{37a4578d-1237-4968-a3f3-081bc3984fa3}"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441" xr:uid="{37c03f6d-a849-45b8-ae1f-32eef95a4306}" ref="P191">
      <text>
        <t xml:space="preserve">[Threaded comment]
 Your version of Excel allows you to read this threaded comment; however, any edits to it will get removed if the file is opened in a newer version of Excel. Learn more: https://go.microsoft.com/fwlink/?linkid=870924
Comment:
	08/08 insp.
08/13 DA won't send the IA report but he is going to review it and then reach out to us (CM)
</t>
      </text>
    </comment>
    <comment authorId="442" xr:uid="{38175d18-1d07-4f48-8cd7-91ad311a34e7}" ref="O110">
      <text>
        <t xml:space="preserve">[Threaded comment]
 Your version of Excel allows you to read this threaded comment; however, any edits to it will get removed if the file is opened in a newer version of Excel. Learn more: https://go.microsoft.com/fwlink/?linkid=870924
Comment:
	9/09 enviado un updated como pidio el cliente
Reply:
	09/12 sent the notarized SPOL to carrier (CM)
</t>
      </text>
    </comment>
    <comment authorId="443" xr:uid="{383e43f6-53cf-48b1-a351-09f142b1c2f4}" ref="R239">
      <text>
        <t xml:space="preserve">[Threaded comment]
 Your version of Excel allows you to read this threaded comment; however, any edits to it will get removed if the file is opened in a newer version of Excel. Learn more: https://go.microsoft.com/fwlink/?linkid=870924
Comment:
	@admin@ipadjustinggroup.com subir info del DA a CW.
</t>
      </text>
    </comment>
    <comment authorId="444" xr:uid="{38479c5f-90b4-4ebd-b5d8-2afc9bbe05fb}" ref="A1">
      <text>
        <t xml:space="preserve">[Threaded comment]
 Your version of Excel allows you to read this threaded comment; however, any edits to it will get removed if the file is opened in a newer version of Excel. Learn more: https://go.microsoft.com/fwlink/?linkid=870924
Comment:
	12/11
</t>
      </text>
    </comment>
    <comment authorId="445" xr:uid="{38651765-7a8c-42fe-be31-947437c6d6ae}" ref="V281">
      <text>
        <t xml:space="preserve">[Threaded comment]
 Your version of Excel allows you to read this threaded comment; however, any edits to it will get removed if the file is opened in a newer version of Excel. Learn more: https://go.microsoft.com/fwlink/?linkid=870924
Comment:
	12/19 received the determination letter, claim is under deductible (CM)
</t>
      </text>
    </comment>
    <comment authorId="446" xr:uid="{3884d552-7ee8-40e7-8aca-a1144f07e479}" ref="V197">
      <text>
        <t xml:space="preserve">[Threaded comment]
 Your version of Excel allows you to read this threaded comment; however, any edits to it will get removed if the file is opened in a newer version of Excel. Learn more: https://go.microsoft.com/fwlink/?linkid=870924
Comment:
	03/31 received a denial after the EUO, asked I&amp;P how to proceed (CM)
</t>
      </text>
    </comment>
    <comment authorId="447" xr:uid="{389a7483-358e-44a5-bf7f-2cd8b70653ce}" ref="M383">
      <text>
        <t xml:space="preserve">[Threaded comment]
 Your version of Excel allows you to read this threaded comment; however, any edits to it will get removed if the file is opened in a newer version of Excel. Learn more: https://go.microsoft.com/fwlink/?linkid=870924
Comment:
	7/17 sent to DA
</t>
      </text>
    </comment>
    <comment authorId="448" xr:uid="{38ce77c8-384d-443a-a00c-837cb366964a}" ref="N375">
      <text>
        <t xml:space="preserve">[Threaded comment]
 Your version of Excel allows you to read this threaded comment; however, any edits to it will get removed if the file is opened in a newer version of Excel. Learn more: https://go.microsoft.com/fwlink/?linkid=870924
Comment:
	7/1 aprobado por Ivan, dice q esperemos para enviar estimado
</t>
      </text>
    </comment>
    <comment authorId="449" xr:uid="{38de0951-d800-4c0b-a52b-3fc2ac79de5d}" ref="M378">
      <text>
        <t xml:space="preserve">[Threaded comment]
 Your version of Excel allows you to read this threaded comment; however, any edits to it will get removed if the file is opened in a newer version of Excel. Learn more: https://go.microsoft.com/fwlink/?linkid=870924
Comment:
	8/13 sent to DA
</t>
      </text>
    </comment>
    <comment authorId="450" xr:uid="{38f46225-aa2d-4942-adc4-677424312af2}" ref="A1">
      <text>
        <t xml:space="preserve">[Threaded comment]
 Your version of Excel allows you to read this threaded comment; however, any edits to it will get removed if the file is opened in a newer version of Excel. Learn more: https://go.microsoft.com/fwlink/?linkid=870924
Comment:
	03/25 received denial letter (CM)
</t>
      </text>
    </comment>
    <comment authorId="451" xr:uid="{390e77df-7700-4bf9-9e3f-da7fb52d2da1}" ref="M362">
      <text>
        <t xml:space="preserve">[Threaded comment]
 Your version of Excel allows you to read this threaded comment; however, any edits to it will get removed if the file is opened in a newer version of Excel. Learn more: https://go.microsoft.com/fwlink/?linkid=870924
Comment:
	5/8 sent to carrier
Reply:
	Carito enviado al carrier DERANTY COHEN @admin@ipadjustinggroup.com
Reply:
	5/13 sent audit/variation  report @admin@ipadjustinggroup.com
</t>
      </text>
    </comment>
    <comment authorId="452" xr:uid="{39189f8c-3691-41a4-a500-6c3bea87ddf8}" ref="A1">
      <text>
        <t xml:space="preserve">[Threaded comment]
 Your version of Excel allows you to read this threaded comment; however, any edits to it will get removed if the file is opened in a newer version of Excel. Learn more: https://go.microsoft.com/fwlink/?linkid=870924
Comment:
	spoke to client on 12/5
</t>
      </text>
    </comment>
    <comment authorId="453" xr:uid="{3920e79a-e9a0-4af8-a326-65d6982ab890}" ref="V201">
      <text>
        <t xml:space="preserve">[Threaded comment]
 Your version of Excel allows you to read this threaded comment; however, any edits to it will get removed if the file is opened in a newer version of Excel. Learn more: https://go.microsoft.com/fwlink/?linkid=870924
Comment:
	10/28 Uploaded Payment recap, IA report and determination letter, sent to IP. Asked if they wanted to request mediatoin. (AL)
Reply:
	10/29 Wilber is asking for the estimate. Asked Peter to send it ASAP (AL)
Marked as resolved
</t>
      </text>
    </comment>
    <comment authorId="454" xr:uid="{39693bf3-aa90-4874-aa36-f4af174de905}" ref="V108">
      <text>
        <t xml:space="preserve">[Threaded comment]
 Your version of Excel allows you to read this threaded comment; however, any edits to it will get removed if the file is opened in a newer version of Excel. Learn more: https://go.microsoft.com/fwlink/?linkid=870924
Comment:
	05/09 Ivan sent an email to DA (CM)
</t>
      </text>
    </comment>
    <comment authorId="455" xr:uid="{39806475-23a0-432b-8c35-9c66d954d69d}" ref="A1">
      <text>
        <t xml:space="preserve">[Threaded comment]
 Your version of Excel allows you to read this threaded comment; however, any edits to it will get removed if the file is opened in a newer version of Excel. Learn more: https://go.microsoft.com/fwlink/?linkid=870924
Comment:
	ask day to follow up
</t>
      </text>
    </comment>
    <comment authorId="456" xr:uid="{39a3181c-c272-4767-9d70-386df20e47bf}"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457" xr:uid="{39ac48d9-7300-42c2-ae5d-7b9d6349bd1a}" ref="C1">
      <text>
        <t xml:space="preserve">[Threaded comment]
 Your version of Excel allows you to read this threaded comment; however, any edits to it will get removed if the file is opened in a newer version of Excel. Learn more: https://go.microsoft.com/fwlink/?linkid=870924
Comment:
	naranja porq no tiene action item para mi
</t>
      </text>
    </comment>
    <comment authorId="458" xr:uid="{39b103e0-b2e7-4ce6-8a5c-36ae09036180}" ref="Q315">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459" xr:uid="{3a599431-e304-4c86-8488-e62b143bf43e}" ref="P197">
      <text>
        <t xml:space="preserve">[Threaded comment]
 Your version of Excel allows you to read this threaded comment; however, any edits to it will get removed if the file is opened in a newer version of Excel. Learn more: https://go.microsoft.com/fwlink/?linkid=870924
Comment:
	insp 09/13
</t>
      </text>
    </comment>
    <comment authorId="460" xr:uid="{3ac12e66-6361-42e6-bff8-f9f0dd5ce074}" ref="A1">
      <text>
        <t xml:space="preserve">[Threaded comment]
 Your version of Excel allows you to read this threaded comment; however, any edits to it will get removed if the file is opened in a newer version of Excel. Learn more: https://go.microsoft.com/fwlink/?linkid=870924
Comment:
	10/16
</t>
      </text>
    </comment>
    <comment authorId="461" xr:uid="{3ac48427-b2d0-4a4a-a112-f53228dde520}" ref="V351">
      <text>
        <t xml:space="preserve">[Threaded comment]
 Your version of Excel allows you to read this threaded comment; however, any edits to it will get removed if the file is opened in a newer version of Excel. Learn more: https://go.microsoft.com/fwlink/?linkid=870924
Comment:
	04/17 DA offered 20K for this claim, asked for a copy of the policy (CM)
</t>
      </text>
    </comment>
    <comment authorId="462" xr:uid="{3ae090bd-3956-48b6-b181-276a8341dfac}" ref="M87">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1/13/25 peter dice que se haga y envie un solo claim por huracan Ian
</t>
      </text>
    </comment>
    <comment authorId="463" xr:uid="{3b4cbdab-c535-4d8e-81a3-394e2753ecb4}" ref="N279">
      <text>
        <t xml:space="preserve">[Threaded comment]
 Your version of Excel allows you to read this threaded comment; however, any edits to it will get removed if the file is opened in a newer version of Excel. Learn more: https://go.microsoft.com/fwlink/?linkid=870924
Comment:
	4/2 sent to Peter
Reply:
	4/9 aprobado por peter
</t>
      </text>
    </comment>
    <comment authorId="464" xr:uid="{3b4e2850-c8c1-4314-97fa-ece728a4a1d4}" ref="P220">
      <text>
        <t xml:space="preserve">[Threaded comment]
 Your version of Excel allows you to read this threaded comment; however, any edits to it will get removed if the file is opened in a newer version of Excel. Learn more: https://go.microsoft.com/fwlink/?linkid=870924
Comment:
	Inspection been scheduled for 11/07 (CM)
</t>
      </text>
    </comment>
    <comment authorId="465" xr:uid="{3b5892af-8ed6-46c4-9920-9ae720d88b4d}" ref="O170">
      <text>
        <t xml:space="preserve">[Threaded comment]
 Your version of Excel allows you to read this threaded comment; however, any edits to it will get removed if the file is opened in a newer version of Excel. Learn more: https://go.microsoft.com/fwlink/?linkid=870924
Comment:
	07/31 SPOL notarized by Sarah is uploaded on CW, ready to be sent to carrier once received the IA report @jp.ipestimates@gmail.com
Reply:
	Paul envia este spol ya recibimos la denial @jp.ipestimates@gmail.com
</t>
      </text>
    </comment>
    <comment authorId="466" xr:uid="{3b785c8f-996d-4e46-9a08-edee3675bfd4}" ref="A203">
      <text>
        <t xml:space="preserve">[Threaded comment]
 Your version of Excel allows you to read this threaded comment; however, any edits to it will get removed if the file is opened in a newer version of Excel. Learn more: https://go.microsoft.com/fwlink/?linkid=870924
Comment:
	08/15 invoke appraisal after we send our estimate as per Joshua request (CM)
</t>
      </text>
    </comment>
    <comment authorId="467" xr:uid="{3b7c8cd3-6ab8-4a36-8215-715c1692e906}" ref="M302">
      <text>
        <t xml:space="preserve">[Threaded comment]
 Your version of Excel allows you to read this threaded comment; however, any edits to it will get removed if the file is opened in a newer version of Excel. Learn more: https://go.microsoft.com/fwlink/?linkid=870924
Comment:
	4/3 upload CP
</t>
      </text>
    </comment>
    <comment authorId="468" xr:uid="{3b8f1064-0d15-4711-871b-de418c67927c}" ref="V141">
      <text>
        <t xml:space="preserve">[Threaded comment]
 Your version of Excel allows you to read this threaded comment; however, any edits to it will get removed if the file is opened in a newer version of Excel. Learn more: https://go.microsoft.com/fwlink/?linkid=870924
Comment:
	07/16 Once received the estimate we request mediation (CM)
Reply:
	08/28 follow up with Juan this estimate (CM)
</t>
      </text>
    </comment>
    <comment authorId="469" xr:uid="{3bd83812-418a-4f94-b460-9170814552fa}" ref="N189">
      <text>
        <t xml:space="preserve">[Threaded comment]
 Your version of Excel allows you to read this threaded comment; however, any edits to it will get removed if the file is opened in a newer version of Excel. Learn more: https://go.microsoft.com/fwlink/?linkid=870924
Comment:
	7/10 aprobado por ivan
</t>
      </text>
    </comment>
    <comment authorId="470" xr:uid="{3c19eda2-a91a-4d6f-bec3-d34447433a6b}" ref="A1">
      <text>
        <t xml:space="preserve">[Threaded comment]
 Your version of Excel allows you to read this threaded comment; however, any edits to it will get removed if the file is opened in a newer version of Excel. Learn more: https://go.microsoft.com/fwlink/?linkid=870924
Comment:
	01/31 Sent email to follow up IA report &amp; policy- DE
Reply:
	02/16 left a VM and email req. docs (CM)
</t>
      </text>
    </comment>
    <comment authorId="471" xr:uid="{3c202b9d-21a9-4812-b7b8-a05716554755}" ref="M228">
      <text>
        <t xml:space="preserve">[Threaded comment]
 Your version of Excel allows you to read this threaded comment; however, any edits to it will get removed if the file is opened in a newer version of Excel. Learn more: https://go.microsoft.com/fwlink/?linkid=870924
Comment:
	11/1/24 sent to DA
</t>
      </text>
    </comment>
    <comment authorId="472" xr:uid="{3c215d90-18f3-4d6b-96fe-ce42464a9939}" ref="N221">
      <text>
        <t xml:space="preserve">[Threaded comment]
 Your version of Excel allows you to read this threaded comment; however, any edits to it will get removed if the file is opened in a newer version of Excel. Learn more: https://go.microsoft.com/fwlink/?linkid=870924
Comment:
	11/05 pregunte a Josh si se agrega algo mas al roof. via wasap
Reply:
	12/04 sent to Joshua
Reply:
	12/06 Josh approved the estimate
</t>
      </text>
    </comment>
    <comment authorId="473" xr:uid="{3c264b12-4dd1-4ba7-85f9-f41fe3850081}" ref="A1">
      <text>
        <t xml:space="preserve">[Threaded comment]
 Your version of Excel allows you to read this threaded comment; however, any edits to it will get removed if the file is opened in a newer version of Excel. Learn more: https://go.microsoft.com/fwlink/?linkid=870924
Comment:
	09/11
</t>
      </text>
    </comment>
    <comment authorId="474" xr:uid="{3c4d5e76-63c8-453a-9dee-a2b9720268be}" ref="A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@sarah@ipadjustinggroup.com closed claim
</t>
      </text>
    </comment>
    <comment authorId="475" xr:uid="{3c6fd55b-f944-46ac-ab7e-df7a869140b1}" ref="Q314">
      <text>
        <t xml:space="preserve">[Threaded comment]
 Your version of Excel allows you to read this threaded comment; however, any edits to it will get removed if the file is opened in a newer version of Excel. Learn more: https://go.microsoft.com/fwlink/?linkid=870924
Comment:
	02/17
</t>
      </text>
    </comment>
    <comment authorId="476" xr:uid="{3c708485-85ad-4e15-8d61-93f2d9f7b455}" ref="V198">
      <text>
        <t xml:space="preserve">[Threaded comment]
 Your version of Excel allows you to read this threaded comment; however, any edits to it will get removed if the file is opened in a newer version of Excel. Learn more: https://go.microsoft.com/fwlink/?linkid=870924
Comment:
	10/10 received an email from carrier, saying they do not accept the appraisal demand as per the policy, asked us to send the spol, sent it to JP, also informed Peter and sent email to PA's (CM)
</t>
      </text>
    </comment>
    <comment authorId="477" xr:uid="{3c816c07-f727-4a08-ae75-6865901d8452}" ref="A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@sarah@ipadjustinggroup.com closed claim
Reply:
	Marked as resolved
</t>
      </text>
    </comment>
    <comment authorId="478" xr:uid="{3cd12830-5bb9-4950-b13e-5c4c9ed99946}"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479" xr:uid="{3cd36a09-d43b-4e8d-949d-3585c2d6ca9e}" ref="V281">
      <text>
        <t xml:space="preserve">[Threaded comment]
 Your version of Excel allows you to read this threaded comment; however, any edits to it will get removed if the file is opened in a newer version of Excel. Learn more: https://go.microsoft.com/fwlink/?linkid=870924
Comment:
	02/18 asked PAs if they want to request mediation as we received the new determination based on the engineer insp. asked Joshua to send the H Ian docs that they have beem asking (CM)
</t>
      </text>
    </comment>
    <comment authorId="480" xr:uid="{3ce4d058-5dd0-4649-9b37-1bf61556658a}" ref="V193">
      <text>
        <t xml:space="preserve">[Threaded comment]
 Your version of Excel allows you to read this threaded comment; however, any edits to it will get removed if the file is opened in a newer version of Excel. Learn more: https://go.microsoft.com/fwlink/?linkid=870924
Comment:
	08/09 Ivan sent lit docs to client (CM)
</t>
      </text>
    </comment>
    <comment authorId="481" xr:uid="{3d3f50c7-59c8-4ff2-920f-529028a2bb85}" ref="N224">
      <text>
        <t xml:space="preserve">[Threaded comment]
 Your version of Excel allows you to read this threaded comment; however, any edits to it will get removed if the file is opened in a newer version of Excel. Learn more: https://go.microsoft.com/fwlink/?linkid=870924
Comment:
	10/22 enviado a Joshua
Reply:
	10/22 aprobado
</t>
      </text>
    </comment>
    <comment authorId="482" xr:uid="{3d474341-45fc-4e9c-abf1-f9abaa2e8f0d}" ref="A1">
      <text>
        <t xml:space="preserve">[Threaded comment]
 Your version of Excel allows you to read this threaded comment; however, any edits to it will get removed if the file is opened in a newer version of Excel. Learn more: https://go.microsoft.com/fwlink/?linkid=870924
Comment:
	08/27
</t>
      </text>
    </comment>
    <comment authorId="483" xr:uid="{3d482d8b-3234-4958-ad0f-ca24681e6c84}" ref="V133">
      <text>
        <t xml:space="preserve">[Threaded comment]
 Your version of Excel allows you to read this threaded comment; however, any edits to it will get removed if the file is opened in a newer version of Excel. Learn more: https://go.microsoft.com/fwlink/?linkid=870924
Comment:
	08/14 received a settlement release for 25k sent to PAs (CM)
</t>
      </text>
    </comment>
    <comment authorId="484" xr:uid="{3d954a95-1804-4ee9-b31f-7f620531f4dd}" ref="A50">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485" xr:uid="{3df9f811-8a98-4206-91d6-95b3f2409933}" ref="V300">
      <text>
        <t xml:space="preserve">[Threaded comment]
 Your version of Excel allows you to read this threaded comment; however, any edits to it will get removed if the file is opened in a newer version of Excel. Learn more: https://go.microsoft.com/fwlink/?linkid=870924
Comment:
	01/24 DA is asking all docs for the previous claim (h ian), she is asking a recorded statement, sent to Day and Joshua, asked for the IA report, received it, sent to PAs, pending coverage decision (CM)
</t>
      </text>
    </comment>
    <comment authorId="486" xr:uid="{3e0def7d-2477-44ec-b949-caf9235a87e7}" ref="O195">
      <text>
        <t xml:space="preserve">[Threaded comment]
 Your version of Excel allows you to read this threaded comment; however, any edits to it will get removed if the file is opened in a newer version of Excel. Learn more: https://go.microsoft.com/fwlink/?linkid=870924
Comment:
	08/20 sent blank SPOL to complete to JP (CM) @jp.ipestimates@gmail.com
Reply:
	enviado al cliente (159) para que firme @admin@ipadjustinggroup.com
</t>
      </text>
    </comment>
    <comment authorId="487" xr:uid="{3e14e62a-4113-4464-96ec-64526ff9102b}" ref="A1">
      <text>
        <t xml:space="preserve">[Threaded comment]
 Your version of Excel allows you to read this threaded comment; however, any edits to it will get removed if the file is opened in a newer version of Excel. Learn more: https://go.microsoft.com/fwlink/?linkid=870924
Comment:
	12/10
</t>
      </text>
    </comment>
    <comment authorId="488" xr:uid="{3e37a641-7f68-4d0d-9b03-03b076c40b7e}" ref="P166">
      <text>
        <t xml:space="preserve">[Threaded comment]
 Your version of Excel allows you to read this threaded comment; however, any edits to it will get removed if the file is opened in a newer version of Excel. Learn more: https://go.microsoft.com/fwlink/?linkid=870924
Comment:
	10/09
</t>
      </text>
    </comment>
    <comment authorId="489" xr:uid="{3e3d0b6c-20ed-4019-879a-962fddbb2264}" ref="V254">
      <text>
        <t xml:space="preserve">[Threaded comment]
 Your version of Excel allows you to read this threaded comment; however, any edits to it will get removed if the file is opened in a newer version of Excel. Learn more: https://go.microsoft.com/fwlink/?linkid=870924
Comment:
	02/28 Iván informed me that Peter got to an agreement on the mediation for 45k, expect a release (CM)
</t>
      </text>
    </comment>
    <comment authorId="490" xr:uid="{3e925448-fc51-4ebe-a0bf-c73be5b5327c}" ref="P189">
      <text>
        <t xml:space="preserve">[Threaded comment]
 Your version of Excel allows you to read this threaded comment; however, any edits to it will get removed if the file is opened in a newer version of Excel. Learn more: https://go.microsoft.com/fwlink/?linkid=870924
Comment:
	09/24
</t>
      </text>
    </comment>
    <comment authorId="491" xr:uid="{3ecbbd61-c057-43dd-adfd-e27482c48ff5}" ref="N197">
      <text>
        <t xml:space="preserve">[Threaded comment]
 Your version of Excel allows you to read this threaded comment; however, any edits to it will get removed if the file is opened in a newer version of Excel. Learn more: https://go.microsoft.com/fwlink/?linkid=870924
Comment:
	8/03 sent to Ivan
8/05 ivan approved
</t>
      </text>
    </comment>
    <comment authorId="492" xr:uid="{3f36fac2-be6f-4876-b090-a3518c41a211}" ref="P158">
      <text>
        <t xml:space="preserve">[Threaded comment]
 Your version of Excel allows you to read this threaded comment; however, any edits to it will get removed if the file is opened in a newer version of Excel. Learn more: https://go.microsoft.com/fwlink/?linkid=870924
Comment:
	11/06
</t>
      </text>
    </comment>
    <comment authorId="493" xr:uid="{3f416a0b-b2a2-4d07-9c4e-a9bc0c8b2562}" ref="M397">
      <text>
        <t xml:space="preserve">[Threaded comment]
 Your version of Excel allows you to read this threaded comment; however, any edits to it will get removed if the file is opened in a newer version of Excel. Learn more: https://go.microsoft.com/fwlink/?linkid=870924
Comment:
	1/25 sent to carrier
</t>
      </text>
    </comment>
    <comment authorId="494" xr:uid="{3f4584ee-1dfb-4ace-90cd-9066e2849b78}" ref="V373">
      <text>
        <t xml:space="preserve">[Threaded comment]
 Your version of Excel allows you to read this threaded comment; however, any edits to it will get removed if the file is opened in a newer version of Excel. Learn more: https://go.microsoft.com/fwlink/?linkid=870924
Comment:
	08/02 received the new determination, no payment will be on this claim after the engineer inspection (CM)
</t>
      </text>
    </comment>
    <comment authorId="495" xr:uid="{3f590cc5-1949-46f9-89f2-8c99e8a15f6d}" ref="A393">
      <text>
        <t xml:space="preserve">[Threaded comment]
 Your version of Excel allows you to read this threaded comment; however, any edits to it will get removed if the file is opened in a newer version of Excel. Learn more: https://go.microsoft.com/fwlink/?linkid=870924
Comment:
	Pedro
</t>
      </text>
    </comment>
    <comment authorId="496" xr:uid="{3fb4029b-2c32-4e13-9376-e6c94d485397}" ref="A1">
      <text>
        <t xml:space="preserve">[Threaded comment]
 Your version of Excel allows you to read this threaded comment; however, any edits to it will get removed if the file is opened in a newer version of Excel. Learn more: https://go.microsoft.com/fwlink/?linkid=870924
Comment:
	08/22 Donald Gordon is going to Closed claims @scheduling@ipadjustinggroup.com @sarah@ipadjustinggroup.com
Assigned to scheduling@ipadjustinggroup.com
</t>
      </text>
    </comment>
    <comment authorId="497" xr:uid="{3fc1b1bd-bf5c-4352-a0e2-792c0e0f7366}" ref="R224">
      <text>
        <t xml:space="preserve">[Threaded comment]
 Your version of Excel allows you to read this threaded comment; however, any edits to it will get removed if the file is opened in a newer version of Excel. Learn more: https://go.microsoft.com/fwlink/?linkid=870924
Comment:
	@admin@ipadjustinggroup.com NEW DA INFO
Assigned to admin@ipadjustinggroup.com
</t>
      </text>
    </comment>
    <comment authorId="498" xr:uid="{3fd5d091-2f19-41a8-81da-2ae34682afc2}" ref="V211">
      <text>
        <t xml:space="preserve">[Threaded comment]
 Your version of Excel allows you to read this threaded comment; however, any edits to it will get removed if the file is opened in a newer version of Excel. Learn more: https://go.microsoft.com/fwlink/?linkid=870924
Comment:
	12/19 received the appraisal agreement, asked Peter to sign it, sent to Day the OA info (CM)
</t>
      </text>
    </comment>
    <comment authorId="499" xr:uid="{3fe3ec2a-419f-4628-9da8-3146a44a95bd}"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500" xr:uid="{3ff9a06a-6021-4c37-86af-88864b3c0cc6}" ref="P166">
      <text>
        <t xml:space="preserve">[Threaded comment]
 Your version of Excel allows you to read this threaded comment; however, any edits to it will get removed if the file is opened in a newer version of Excel. Learn more: https://go.microsoft.com/fwlink/?linkid=870924
Comment:
	11/06
</t>
      </text>
    </comment>
    <comment authorId="501" xr:uid="{400869ee-9230-4bc6-ba7b-b05df8023c33}" ref="M291">
      <text>
        <t xml:space="preserve">[Threaded comment]
 Your version of Excel allows you to read this threaded comment; however, any edits to it will get removed if the file is opened in a newer version of Excel. Learn more: https://go.microsoft.com/fwlink/?linkid=870924
Comment:
	1/13/25 sent to carrier
</t>
      </text>
    </comment>
    <comment authorId="502" xr:uid="{401009f5-6146-4079-98b0-3d64046a2fa0}" ref="A141">
      <text>
        <t xml:space="preserve">[Threaded comment]
 Your version of Excel allows you to read this threaded comment; however, any edits to it will get removed if the file is opened in a newer version of Excel. Learn more: https://go.microsoft.com/fwlink/?linkid=870924
Comment:
	requested mediation @scheduling@ipadjustinggroup.com
Reply:
	Marked as resolved
</t>
      </text>
    </comment>
    <comment authorId="503" xr:uid="{407d338d-9bf7-497c-bc6f-e4e8707b82da}" ref="A1">
      <text>
        <t xml:space="preserve">[Threaded comment]
 Your version of Excel allows you to read this threaded comment; however, any edits to it will get removed if the file is opened in a newer version of Excel. Learn more: https://go.microsoft.com/fwlink/?linkid=870924
Comment:
	05/01 sent an email following up on this claim (CM)
</t>
      </text>
    </comment>
    <comment authorId="504" xr:uid="{40bb8191-2fbf-4f27-8dd7-a681690b093e}"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505" xr:uid="{40ea254d-b5d3-458d-b9c5-4dea29a12263}" ref="P271">
      <text>
        <t xml:space="preserve">[Threaded comment]
 Your version of Excel allows you to read this threaded comment; however, any edits to it will get removed if the file is opened in a newer version of Excel. Learn more: https://go.microsoft.com/fwlink/?linkid=870924
Comment:
	insp. on 11/21
</t>
      </text>
    </comment>
    <comment authorId="506" xr:uid="{4133a7ae-1a9c-4c62-ae9f-f01f0e15ea01}" ref="A296">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507" xr:uid="{4139234d-7ea2-4d72-b13f-dc3e6d1ec2aa}"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508" xr:uid="{41480b84-7076-4e82-bd8a-41a77320996c}" ref="A189">
      <text>
        <t xml:space="preserve">[Threaded comment]
 Your version of Excel allows you to read this threaded comment; however, any edits to it will get removed if the file is opened in a newer version of Excel. Learn more: https://go.microsoft.com/fwlink/?linkid=870924
Comment:
	Wilber
Reply:
	O&amp;L: $1,364.00
Recoverable dep: $2,776.43
</t>
      </text>
    </comment>
    <comment authorId="509" xr:uid="{417f38d7-ce41-4514-a23e-d369a612463d}" ref="A210">
      <text>
        <t xml:space="preserve">[Threaded comment]
 Your version of Excel allows you to read this threaded comment; however, any edits to it will get removed if the file is opened in a newer version of Excel. Learn more: https://go.microsoft.com/fwlink/?linkid=870924
Comment:
	11/13 requested mediation via email and submitted online (CM) @scheduling@ipadjustinggroup.com @iandres.assistant@gmail.com
</t>
      </text>
    </comment>
    <comment authorId="510" xr:uid="{41aadf19-7bb5-4331-b3d7-71954bcb62a1}" ref="D286">
      <text>
        <t xml:space="preserve">[Threaded comment]
 Your version of Excel allows you to read this threaded comment; however, any edits to it will get removed if the file is opened in a newer version of Excel. Learn more: https://go.microsoft.com/fwlink/?linkid=870924
Comment:
	NEED TO UPLOAD DOCS TO CLAIMPATH
</t>
      </text>
    </comment>
    <comment authorId="511" xr:uid="{41e552f1-d9be-45a9-9011-e43e54a300db}" ref="A1">
      <text>
        <t xml:space="preserve">[Threaded comment]
 Your version of Excel allows you to read this threaded comment; however, any edits to it will get removed if the file is opened in a newer version of Excel. Learn more: https://go.microsoft.com/fwlink/?linkid=870924
Comment:
	9/17 aprobado por jacob
</t>
      </text>
    </comment>
    <comment authorId="512" xr:uid="{422697f3-0cb0-4639-9cb8-b5bf228e92eb}" ref="V164">
      <text>
        <t xml:space="preserve">[Threaded comment]
 Your version of Excel allows you to read this threaded comment; however, any edits to it will get removed if the file is opened in a newer version of Excel. Learn more: https://go.microsoft.com/fwlink/?linkid=870924
Comment:
	09/02 asked Peter how to proceed next after he approves the new estimate as we have requested mediation and sent the spol (CM)
</t>
      </text>
    </comment>
    <comment authorId="513" xr:uid="{424e829f-6654-4df2-9deb-fccafab1039b}" ref="V322">
      <text>
        <t xml:space="preserve">[Threaded comment]
 Your version of Excel allows you to read this threaded comment; however, any edits to it will get removed if the file is opened in a newer version of Excel. Learn more: https://go.microsoft.com/fwlink/?linkid=870924
Comment:
	02/13 DA called to inform me about the corrections that we need to do on the LOR, he won't continue with the claim until we modify what he has requested, sent to PAs (CM)
</t>
      </text>
    </comment>
    <comment authorId="514" xr:uid="{4272c220-92ed-4112-ac2e-3114723e4dcf}" ref="A296">
      <text>
        <t xml:space="preserve">[Threaded comment]
 Your version of Excel allows you to read this threaded comment; however, any edits to it will get removed if the file is opened in a newer version of Excel. Learn more: https://go.microsoft.com/fwlink/?linkid=870924
Comment:
	Peter
Reply:
	@scheduling@ipadjustinggroup.com
</t>
      </text>
    </comment>
    <comment authorId="515" xr:uid="{427fc3e5-53e0-40e5-bd20-bee8c0308a98}" ref="O154">
      <text>
        <t xml:space="preserve">[Threaded comment]
 Your version of Excel allows you to read this threaded comment; however, any edits to it will get removed if the file is opened in a newer version of Excel. Learn more: https://go.microsoft.com/fwlink/?linkid=870924
Comment:
	haz el SPOL @jp.ipestimates@gmail.com
</t>
      </text>
    </comment>
    <comment authorId="516" xr:uid="{42b0fa25-a5d5-498d-b523-3e9ec1abb245}" ref="A1">
      <text>
        <t xml:space="preserve">[Threaded comment]
 Your version of Excel allows you to read this threaded comment; however, any edits to it will get removed if the file is opened in a newer version of Excel. Learn more: https://go.microsoft.com/fwlink/?linkid=870924
Comment:
	08/30
</t>
      </text>
    </comment>
    <comment authorId="517" xr:uid="{42d9a68f-b797-4c52-854e-fc09345bda8c}" ref="O197">
      <text>
        <t xml:space="preserve">[Threaded comment]
 Your version of Excel allows you to read this threaded comment; however, any edits to it will get removed if the file is opened in a newer version of Excel. Learn more: https://go.microsoft.com/fwlink/?linkid=870924
Comment:
	DA is asking SPOL
Reply:
	waiting for Ivans approval (JP)
Reply:
	8/06 sent to client to sign
</t>
      </text>
    </comment>
    <comment authorId="518" xr:uid="{42fc62ae-2433-4abb-9975-bf187e880973}" ref="A156">
      <text>
        <t xml:space="preserve">[Threaded comment]
 Your version of Excel allows you to read this threaded comment; however, any edits to it will get removed if the file is opened in a newer version of Excel. Learn more: https://go.microsoft.com/fwlink/?linkid=870924
Comment:
	Stephen
Reply:
	not sure if recoverable
</t>
      </text>
    </comment>
    <comment authorId="519" xr:uid="{43268e46-5023-4c82-bada-ee73441a323f}" ref="V189">
      <text>
        <t xml:space="preserve">[Threaded comment]
 Your version of Excel allows you to read this threaded comment; however, any edits to it will get removed if the file is opened in a newer version of Excel. Learn more: https://go.microsoft.com/fwlink/?linkid=870924
Comment:
	08/27 DA is asking to complete a w9, not sure what they are asking sent to I&amp;P (CM)
</t>
      </text>
    </comment>
    <comment authorId="520" xr:uid="{434d7469-fadb-4088-8d7e-d7dc50311529}" ref="M220">
      <text>
        <t xml:space="preserve">[Threaded comment]
 Your version of Excel allows you to read this threaded comment; however, any edits to it will get removed if the file is opened in a newer version of Excel. Learn more: https://go.microsoft.com/fwlink/?linkid=870924
Comment:
	esperar IA report
Reply:
	12/10 sent to DA
</t>
      </text>
    </comment>
    <comment authorId="521" xr:uid="{4375c538-c93d-4280-8ae3-fa5b291cc64f}" ref="M146">
      <text>
        <t xml:space="preserve">[Threaded comment]
 Your version of Excel allows you to read this threaded comment; however, any edits to it will get removed if the file is opened in a newer version of Excel. Learn more: https://go.microsoft.com/fwlink/?linkid=870924
Comment:
	7/15 sent to carrier
</t>
      </text>
    </comment>
    <comment authorId="522" xr:uid="{43be8ee0-640b-4b2b-8d81-fef48c51c733}" ref="A218">
      <text>
        <t xml:space="preserve">[Threaded comment]
 Your version of Excel allows you to read this threaded comment; however, any edits to it will get removed if the file is opened in a newer version of Excel. Learn more: https://go.microsoft.com/fwlink/?linkid=870924
Comment:
	Peter
Reply:
	Ordinance or Law: $3,152.45
</t>
      </text>
    </comment>
    <comment authorId="523" xr:uid="{43c11ed8-bba4-4e4d-a651-4b402acc7365}"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524" xr:uid="{43c87667-97ff-4618-90a6-a2d507334bcf}"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525" xr:uid="{43ca4942-cc1c-4a53-b560-bbd294d095d8}" ref="N363">
      <text>
        <t xml:space="preserve">[Threaded comment]
 Your version of Excel allows you to read this threaded comment; however, any edits to it will get removed if the file is opened in a newer version of Excel. Learn more: https://go.microsoft.com/fwlink/?linkid=870924
Comment:
	juan no envia la info completa para terminar el estimado
Reply:
	6/24 sent to Juan, agregue items del IA report
Reply:
	7/11 Juan dice q no va a continuar con este reclamo
Reply:
	7/16 seguimos con el reclamo, envie a juan update
Reply:
	7/24 se pide a Juan nuevamente q revise el estimado.
Reply:
	8/5 se pide a juan q revise el estimado
Reply:
	8/21 peter aprueba y q suba valor a 70k
</t>
      </text>
    </comment>
    <comment authorId="526" xr:uid="{43d1cd53-3360-4aec-bb5f-599193216c4e}" ref="N310">
      <text>
        <t xml:space="preserve">[Threaded comment]
 Your version of Excel allows you to read this threaded comment; however, any edits to it will get removed if the file is opened in a newer version of Excel. Learn more: https://go.microsoft.com/fwlink/?linkid=870924
Comment:
	1/27 sent to juan
Reply:
	1/31/25 aprobado por juan
</t>
      </text>
    </comment>
    <comment authorId="527" xr:uid="{440f05c0-ac52-4bc5-bb9c-daa841c6fb28}" ref="A377">
      <text>
        <t xml:space="preserve">[Threaded comment]
 Your version of Excel allows you to read this threaded comment; however, any edits to it will get removed if the file is opened in a newer version of Excel. Learn more: https://go.microsoft.com/fwlink/?linkid=870924
Comment:
	Pedro
Reply:
	no recoverable dep
</t>
      </text>
    </comment>
    <comment authorId="528" xr:uid="{442f2488-8599-40ec-8bcf-956c8b024780}" ref="P221">
      <text>
        <t xml:space="preserve">[Threaded comment]
 Your version of Excel allows you to read this threaded comment; however, any edits to it will get removed if the file is opened in a newer version of Excel. Learn more: https://go.microsoft.com/fwlink/?linkid=870924
Comment:
	11/26
</t>
      </text>
    </comment>
    <comment authorId="529" xr:uid="{445422b3-7c5d-481a-8291-b2f599da0c57}" ref="P250">
      <text>
        <t xml:space="preserve">[Threaded comment]
 Your version of Excel allows you to read this threaded comment; however, any edits to it will get removed if the file is opened in a newer version of Excel. Learn more: https://go.microsoft.com/fwlink/?linkid=870924
Comment:
	Inspection been scheduled for 11/08 (CM)
</t>
      </text>
    </comment>
    <comment authorId="530" xr:uid="{44a83986-d15e-4399-a36e-b294edc92524}" ref="V246">
      <text>
        <t xml:space="preserve">[Threaded comment]
 Your version of Excel allows you to read this threaded comment; however, any edits to it will get removed if the file is opened in a newer version of Excel. Learn more: https://go.microsoft.com/fwlink/?linkid=870924
Comment:
	12/10 DA says she maintains her coverage decision after reviewing our estimate (CM)
</t>
      </text>
    </comment>
    <comment authorId="531" xr:uid="{44b75e94-7956-4acc-ae72-4d01eada2289}" ref="A284">
      <text>
        <t xml:space="preserve">[Threaded comment]
 Your version of Excel allows you to read this threaded comment; however, any edits to it will get removed if the file is opened in a newer version of Excel. Learn more: https://go.microsoft.com/fwlink/?linkid=870924
Comment:
	we don't have estimate, once ready request mediation
</t>
      </text>
    </comment>
    <comment authorId="532" xr:uid="{44bcd617-4ed7-400a-82eb-9b06bb36dbe0}" ref="V235">
      <text>
        <t xml:space="preserve">[Threaded comment]
 Your version of Excel allows you to read this threaded comment; however, any edits to it will get removed if the file is opened in a newer version of Excel. Learn more: https://go.microsoft.com/fwlink/?linkid=870924
Comment:
	11/08 received a call from DA he said that we are going to receive a payment for 21k, asked him to send us a copy of the IA, policy and the payment letter, he said that he mailed those with the check, asked him to send via email as well (CM)
</t>
      </text>
    </comment>
    <comment authorId="533" xr:uid="{450a00c8-a60a-444b-aa2d-947d62dc24a8}" ref="A283">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534" xr:uid="{45224c01-93c1-4572-abb5-8db086a4062d}" ref="N212">
      <text>
        <t xml:space="preserve">[Threaded comment]
 Your version of Excel allows you to read this threaded comment; however, any edits to it will get removed if the file is opened in a newer version of Excel. Learn more: https://go.microsoft.com/fwlink/?linkid=870924
Comment:
	10/23 aprobado por Ivan, corregido con H MIlton
Reply:
	12/12 se actualizo el estimado, se agrego rooms
</t>
      </text>
    </comment>
    <comment authorId="535" xr:uid="{4567dd0d-bcbf-4dd0-aecc-2336f74c103a}" ref="O229">
      <text>
        <t xml:space="preserve">[Threaded comment]
 Your version of Excel allows you to read this threaded comment; however, any edits to it will get removed if the file is opened in a newer version of Excel. Learn more: https://go.microsoft.com/fwlink/?linkid=870924
Comment:
	@admin@ipadjustinggroup.com enviado Carito
Assigned to admin@ipadjustinggroup.com
</t>
      </text>
    </comment>
    <comment authorId="536" xr:uid="{45c513d6-3072-4bd9-b271-6be31f1184e4}" ref="M225">
      <text>
        <t xml:space="preserve">[Threaded comment]
 Your version of Excel allows you to read this threaded comment; however, any edits to it will get removed if the file is opened in a newer version of Excel. Learn more: https://go.microsoft.com/fwlink/?linkid=870924
Comment:
	esperar IA report
Reply:
	mandar estimado 194
Reply:
	11/05 Sent the estimate to the DA
</t>
      </text>
    </comment>
    <comment authorId="537" xr:uid="{45d1ffa0-3d23-4350-b795-d26ca9642d87}" ref="V190">
      <text>
        <t xml:space="preserve">[Threaded comment]
 Your version of Excel allows you to read this threaded comment; however, any edits to it will get removed if the file is opened in a newer version of Excel. Learn more: https://go.microsoft.com/fwlink/?linkid=870924
Comment:
	mediation will be 12/13 (CM)
</t>
      </text>
    </comment>
    <comment authorId="538" xr:uid="{45f0d531-1730-402d-85e3-68553df45bd5}" ref="M314">
      <text>
        <t xml:space="preserve">[Threaded comment]
 Your version of Excel allows you to read this threaded comment; however, any edits to it will get removed if the file is opened in a newer version of Excel. Learn more: https://go.microsoft.com/fwlink/?linkid=870924
Comment:
	2/26 sent to DA and client
</t>
      </text>
    </comment>
    <comment authorId="539" xr:uid="{46136e2c-822b-4b62-88d4-9048e771e12a}" ref="V253">
      <text>
        <t xml:space="preserve">[Threaded comment]
 Your version of Excel allows you to read this threaded comment; however, any edits to it will get removed if the file is opened in a newer version of Excel. Learn more: https://go.microsoft.com/fwlink/?linkid=870924
Comment:
	12/26 the policy doesn't include DFS services,a sked PAs how to proceed (CM)
</t>
      </text>
    </comment>
    <comment authorId="540" xr:uid="{461693b6-7f2c-4f32-97c4-76e46bb08ebf}" ref="A163">
      <text>
        <t xml:space="preserve">[Threaded comment]
 Your version of Excel allows you to read this threaded comment; however, any edits to it will get removed if the file is opened in a newer version of Excel. Learn more: https://go.microsoft.com/fwlink/?linkid=870924
Comment:
	09/12 requested mediation @scheduling@ipadjustinggroup.com
Assigned to scheduling@ipadjustinggroup.com
</t>
      </text>
    </comment>
    <comment authorId="541" xr:uid="{4637cd7c-093c-4dd7-b7a7-66ad6e82e7b6}" ref="V229">
      <text>
        <t xml:space="preserve">[Threaded comment]
 Your version of Excel allows you to read this threaded comment; however, any edits to it will get removed if the file is opened in a newer version of Excel. Learn more: https://go.microsoft.com/fwlink/?linkid=870924
Comment:
	01/27 Day is asking to choose an umpire (CM)
</t>
      </text>
    </comment>
    <comment authorId="542" xr:uid="{466ad594-99db-45b6-8a64-f8a171af0f97}" ref="N281">
      <text>
        <t xml:space="preserve">[Threaded comment]
 Your version of Excel allows you to read this threaded comment; however, any edits to it will get removed if the file is opened in a newer version of Excel. Learn more: https://go.microsoft.com/fwlink/?linkid=870924
Comment:
	12/09 Sent to Joshua
Reply:
	12/09 Joshua approved
</t>
      </text>
    </comment>
    <comment authorId="543" xr:uid="{467f474c-9a7f-41ec-a137-b0eea4d1564c}" ref="N372">
      <text>
        <t xml:space="preserve">[Threaded comment]
 Your version of Excel allows you to read this threaded comment; however, any edits to it will get removed if the file is opened in a newer version of Excel. Learn more: https://go.microsoft.com/fwlink/?linkid=870924
Comment:
	6/3 aprobado
Reply:
	6/27 sent an update to josh
Reply:
	7/1 aprobado
</t>
      </text>
    </comment>
    <comment authorId="544" xr:uid="{46a0ec3b-5f63-4253-be0b-a754248279cf}" ref="Q347">
      <text>
        <t xml:space="preserve">[Threaded comment]
 Your version of Excel allows you to read this threaded comment; however, any edits to it will get removed if the file is opened in a newer version of Excel. Learn more: https://go.microsoft.com/fwlink/?linkid=870924
Comment:
	11/14
</t>
      </text>
    </comment>
    <comment authorId="545" xr:uid="{46a84c75-fdfc-41c4-a6c1-a31a8036c972}" ref="V337">
      <text>
        <t xml:space="preserve">[Threaded comment]
 Your version of Excel allows you to read this threaded comment; however, any edits to it will get removed if the file is opened in a newer version of Excel. Learn more: https://go.microsoft.com/fwlink/?linkid=870924
Comment:
	01/27 DA informs there won't be any supllemental payment, informed PAs (CM)
</t>
      </text>
    </comment>
    <comment authorId="546" xr:uid="{46c9998f-0285-4848-a06c-f3c4a08a91a7}" ref="A1">
      <text>
        <t xml:space="preserve">[Threaded comment]
 Your version of Excel allows you to read this threaded comment; however, any edits to it will get removed if the file is opened in a newer version of Excel. Learn more: https://go.microsoft.com/fwlink/?linkid=870924
Comment:
	12/26
</t>
      </text>
    </comment>
    <comment authorId="547" xr:uid="{46ea758b-9bee-4084-b485-c68d29a7974e}" ref="A1">
      <text>
        <t xml:space="preserve">[Threaded comment]
 Your version of Excel allows you to read this threaded comment; however, any edits to it will get removed if the file is opened in a newer version of Excel. Learn more: https://go.microsoft.com/fwlink/?linkid=870924
Comment:
	10/28
</t>
      </text>
    </comment>
    <comment authorId="548" xr:uid="{4712d6a2-ff3f-4dbe-8257-1770d09c4783}" ref="V238">
      <text>
        <t xml:space="preserve">[Threaded comment]
 Your version of Excel allows you to read this threaded comment; however, any edits to it will get removed if the file is opened in a newer version of Excel. Learn more: https://go.microsoft.com/fwlink/?linkid=870924
Comment:
	01/21 Peter is asking 17k (CM)
</t>
      </text>
    </comment>
    <comment authorId="549" xr:uid="{4726cfc0-7df5-48e6-9e7f-cc2255b45b19}" ref="O178">
      <text>
        <t xml:space="preserve">[Threaded comment]
 Your version of Excel allows you to read this threaded comment; however, any edits to it will get removed if the file is opened in a newer version of Excel. Learn more: https://go.microsoft.com/fwlink/?linkid=870924
Comment:
	9/24 enviado al cliente
</t>
      </text>
    </comment>
    <comment authorId="550" xr:uid="{4763b476-8fb9-40d2-957d-6aabb06fcaf9}" ref="N199">
      <text>
        <t xml:space="preserve">[Threaded comment]
 Your version of Excel allows you to read this threaded comment; however, any edits to it will get removed if the file is opened in a newer version of Excel. Learn more: https://go.microsoft.com/fwlink/?linkid=870924
Comment:
	8/21 enviado a Jakey
Reply:
	8/23 aprobado por jakey
</t>
      </text>
    </comment>
    <comment authorId="551" xr:uid="{47ab0e47-88c4-4c31-b148-94a259c2026d}" ref="P194">
      <text>
        <t xml:space="preserve">[Threaded comment]
 Your version of Excel allows you to read this threaded comment; however, any edits to it will get removed if the file is opened in a newer version of Excel. Learn more: https://go.microsoft.com/fwlink/?linkid=870924
Comment:
	10/01
</t>
      </text>
    </comment>
    <comment authorId="552" xr:uid="{47bdc8eb-9e0e-4c18-83cf-badc9d268bbb}" ref="N306">
      <text>
        <t xml:space="preserve">[Threaded comment]
 Your version of Excel allows you to read this threaded comment; however, any edits to it will get removed if the file is opened in a newer version of Excel. Learn more: https://go.microsoft.com/fwlink/?linkid=870924
Comment:
	1/20/25 sent to ivan
Reply:
	1/27 aprobado
</t>
      </text>
    </comment>
    <comment authorId="553" xr:uid="{47c4c961-44f4-4732-aeeb-dbcafac939a7}" ref="V125">
      <text>
        <t xml:space="preserve">[Threaded comment]
 Your version of Excel allows you to read this threaded comment; however, any edits to it will get removed if the file is opened in a newer version of Excel. Learn more: https://go.microsoft.com/fwlink/?linkid=870924
Comment:
	10/24 asked DA to reissue the check now that the client has fixed the problem with the bank, she asked me to follow up in 10 bussiness days(CM)
</t>
      </text>
    </comment>
    <comment authorId="554" xr:uid="{47d7f81b-5981-44a8-ad7e-41927adbab39}" ref="U310">
      <text>
        <t xml:space="preserve">[Threaded comment]
 Your version of Excel allows you to read this threaded comment; however, any edits to it will get removed if the file is opened in a newer version of Excel. Learn more: https://go.microsoft.com/fwlink/?linkid=870924
Comment:
	Prefered Method text
</t>
      </text>
    </comment>
    <comment authorId="555" xr:uid="{480b2de3-2c40-48c8-92d5-e0e0fca155f5}" ref="V160">
      <text>
        <t xml:space="preserve">[Threaded comment]
 Your version of Excel allows you to read this threaded comment; however, any edits to it will get removed if the file is opened in a newer version of Excel. Learn more: https://go.microsoft.com/fwlink/?linkid=870924
Comment:
	08/21 Peter says now they increseaded the offer to 14k, he is asking 25k (CM)
</t>
      </text>
    </comment>
    <comment authorId="556" xr:uid="{480d6fc0-5495-470d-a541-504e2b1f5a45}" ref="A201">
      <text>
        <t xml:space="preserve">[Threaded comment]
 Your version of Excel allows you to read this threaded comment; however, any edits to it will get removed if the file is opened in a newer version of Excel. Learn more: https://go.microsoft.com/fwlink/?linkid=870924
Comment:
	11/13 Wilber asked to speak with Iván, informed him via whatsapp (CM)
</t>
      </text>
    </comment>
    <comment authorId="557" xr:uid="{4835792c-c2bb-402b-afbb-ef97113103ae}" ref="V179">
      <text>
        <t xml:space="preserve">[Threaded comment]
 Your version of Excel allows you to read this threaded comment; however, any edits to it will get removed if the file is opened in a newer version of Excel. Learn more: https://go.microsoft.com/fwlink/?linkid=870924
Comment:
	11/08 Citizens informs that they have received the funds back so they are no reissuing the check, informed Rachel, asked Juan if she has sign the appraisal agreement (CM)
</t>
      </text>
    </comment>
    <comment authorId="558" xr:uid="{48403e61-19bb-4660-9f3e-a949fed33d39}" ref="V171">
      <text>
        <t xml:space="preserve">[Threaded comment]
 Your version of Excel allows you to read this threaded comment; however, any edits to it will get removed if the file is opened in a newer version of Excel. Learn more: https://go.microsoft.com/fwlink/?linkid=870924
Comment:
	08/28 Ivan is asking 60k for this claim (CM)
Reply:
	08/29 DA stands on the 25k offer (CM)
</t>
      </text>
    </comment>
    <comment authorId="559" xr:uid="{486d1ecc-0d81-41d1-8e47-c8eb744aafcd}" ref="M283">
      <text>
        <t xml:space="preserve">[Threaded comment]
 Your version of Excel allows you to read this threaded comment; however, any edits to it will get removed if the file is opened in a newer version of Excel. Learn more: https://go.microsoft.com/fwlink/?linkid=870924
Comment:
	ESPERAR IA REPORT
Reply:
	1/8/25 sent to DA
</t>
      </text>
    </comment>
    <comment authorId="560" xr:uid="{487362a4-2d48-49b7-8631-2a1c08a46408}" ref="A1">
      <text>
        <t xml:space="preserve">[Threaded comment]
 Your version of Excel allows you to read this threaded comment; however, any edits to it will get removed if the file is opened in a newer version of Excel. Learn more: https://go.microsoft.com/fwlink/?linkid=870924
Comment:
	Peter / Alex
</t>
      </text>
    </comment>
    <comment authorId="561" xr:uid="{489913dd-0fec-42fe-a356-39b40ea67a72}" ref="A1">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562" xr:uid="{48c47623-6a0a-4988-9f52-16cb0e26b7e9}" ref="V357">
      <text>
        <t xml:space="preserve">[Threaded comment]
 Your version of Excel allows you to read this threaded comment; however, any edits to it will get removed if the file is opened in a newer version of Excel. Learn more: https://go.microsoft.com/fwlink/?linkid=870924
Comment:
	04/28 received the determination, they stand on their decision, DA gave some additional info, sent to PAs (CM)
</t>
      </text>
    </comment>
    <comment authorId="563" xr:uid="{48cd417b-9cc9-4c3c-a8b0-e706b074c046}" ref="V180">
      <text>
        <t xml:space="preserve">[Threaded comment]
 Your version of Excel allows you to read this threaded comment; however, any edits to it will get removed if the file is opened in a newer version of Excel. Learn more: https://go.microsoft.com/fwlink/?linkid=870924
Comment:
	07/16 asked DA for a copy of the policy, and Juan to send the estimate (CM)
</t>
      </text>
    </comment>
    <comment authorId="564" xr:uid="{49640162-952f-4f19-8d98-c29b96797b93}" ref="N250">
      <text>
        <t xml:space="preserve">[Threaded comment]
 Your version of Excel allows you to read this threaded comment; however, any edits to it will get removed if the file is opened in a newer version of Excel. Learn more: https://go.microsoft.com/fwlink/?linkid=870924
Comment:
	11/05 Sent to Ivan/Angie
Reply:
	11/28 aprobado por Angie
</t>
      </text>
    </comment>
    <comment authorId="565" xr:uid="{4968e05d-3860-4576-acfd-6d6a586075f7}" ref="O394">
      <text>
        <t xml:space="preserve">[Threaded comment]
 Your version of Excel allows you to read this threaded comment; however, any edits to it will get removed if the file is opened in a newer version of Excel. Learn more: https://go.microsoft.com/fwlink/?linkid=870924
Comment:
	3/3/ sent to client to sign
</t>
      </text>
    </comment>
    <comment authorId="566" xr:uid="{497b4fff-0c91-45df-b13b-7a59837ffd69}" ref="V243">
      <text>
        <t xml:space="preserve">[Threaded comment]
 Your version of Excel allows you to read this threaded comment; however, any edits to it will get removed if the file is opened in a newer version of Excel. Learn more: https://go.microsoft.com/fwlink/?linkid=870924
Comment:
	11/26 DA stands on her denial decision, sent to PAs (CM)
</t>
      </text>
    </comment>
    <comment authorId="567" xr:uid="{49f88d67-7b96-4eff-bd37-5e96929e6e64}" ref="M404">
      <text>
        <t xml:space="preserve">[Threaded comment]
 Your version of Excel allows you to read this threaded comment; however, any edits to it will get removed if the file is opened in a newer version of Excel. Learn more: https://go.microsoft.com/fwlink/?linkid=870924
Comment:
	5/19 sent to DA
</t>
      </text>
    </comment>
    <comment authorId="568" xr:uid="{4a0618e3-3498-4603-a56c-060fab2d3c51}" ref="Q334">
      <text>
        <t xml:space="preserve">[Threaded comment]
 Your version of Excel allows you to read this threaded comment; however, any edits to it will get removed if the file is opened in a newer version of Excel. Learn more: https://go.microsoft.com/fwlink/?linkid=870924
Comment:
	03/06
</t>
      </text>
    </comment>
    <comment authorId="569" xr:uid="{4a28dac9-27ee-4122-82d3-daa1cca301f0}" ref="A1">
      <text>
        <t xml:space="preserve">[Threaded comment]
 Your version of Excel allows you to read this threaded comment; however, any edits to it will get removed if the file is opened in a newer version of Excel. Learn more: https://go.microsoft.com/fwlink/?linkid=870924
Comment:
	08/27
</t>
      </text>
    </comment>
    <comment authorId="570" xr:uid="{4a47d0bf-3545-49c2-952c-26a0f2180c2e}" ref="M333">
      <text>
        <t xml:space="preserve">[Threaded comment]
 Your version of Excel allows you to read this threaded comment; however, any edits to it will get removed if the file is opened in a newer version of Excel. Learn more: https://go.microsoft.com/fwlink/?linkid=870924
Comment:
	3/31 sent to carrier
</t>
      </text>
    </comment>
    <comment authorId="571" xr:uid="{4a5668e0-9758-4901-968b-f303c51ae43d}" ref="V237">
      <text>
        <t xml:space="preserve">[Threaded comment]
 Your version of Excel allows you to read this threaded comment; however, any edits to it will get removed if the file is opened in a newer version of Excel. Learn more: https://go.microsoft.com/fwlink/?linkid=870924
Comment:
	11/25 sent to PAs the partial denial letter, they are issuing a payment for 29k, asked JP to review the IA and send our estimate (CM)
</t>
      </text>
    </comment>
    <comment authorId="572" xr:uid="{4a5ddcac-55b1-46f9-bb12-da02eebd44e1}" ref="Q372">
      <text>
        <t xml:space="preserve">[Threaded comment]
 Your version of Excel allows you to read this threaded comment; however, any edits to it will get removed if the file is opened in a newer version of Excel. Learn more: https://go.microsoft.com/fwlink/?linkid=870924
Comment:
	05/20
</t>
      </text>
    </comment>
    <comment authorId="573" xr:uid="{4a6f95f2-8cf1-462a-9e91-65b594b1b5a4}" ref="V207">
      <text>
        <t xml:space="preserve">[Threaded comment]
 Your version of Excel allows you to read this threaded comment; however, any edits to it will get removed if the file is opened in a newer version of Excel. Learn more: https://go.microsoft.com/fwlink/?linkid=870924
Comment:
	01/24 OA sent his position on this claim, PAs are cc'd, asked Day to schedule a call next week if needed and requested by DA (CM)
</t>
      </text>
    </comment>
    <comment authorId="574" xr:uid="{4a7be0b2-4ac8-403b-b0b3-bf4f1db176d9}" ref="M204">
      <text>
        <t xml:space="preserve">[Threaded comment]
 Your version of Excel allows you to read this threaded comment; however, any edits to it will get removed if the file is opened in a newer version of Excel. Learn more: https://go.microsoft.com/fwlink/?linkid=870924
Comment:
	9/26 enviado al DA @admin@ipadjustinggroup.com
</t>
      </text>
    </comment>
    <comment authorId="575" xr:uid="{4a80ced4-7a1e-49a8-baa0-c907cf72edf6}" ref="P242">
      <text>
        <t xml:space="preserve">[Threaded comment]
 Your version of Excel allows you to read this threaded comment; however, any edits to it will get removed if the file is opened in a newer version of Excel. Learn more: https://go.microsoft.com/fwlink/?linkid=870924
Comment:
	11/11 under deductible asked for IA
</t>
      </text>
    </comment>
    <comment authorId="576" xr:uid="{4a941d24-331f-45ef-a69d-a686ca6fc87d}" ref="A204">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577" xr:uid="{4ac102e2-6f45-4c5d-9c76-30cd20244721}" ref="P260">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578" xr:uid="{4acd563a-e810-4650-ae1d-fa634ededb96}" ref="V132">
      <text>
        <t xml:space="preserve">[Threaded comment]
 Your version of Excel allows you to read this threaded comment; however, any edits to it will get removed if the file is opened in a newer version of Excel. Learn more: https://go.microsoft.com/fwlink/?linkid=870924
Comment:
	08/13 follow up on the IA and determination with DA, informed PAs about it before the mediation 08/14 (CM)
</t>
      </text>
    </comment>
    <comment authorId="579" xr:uid="{4ad5ab70-43b9-4cd5-b8d2-995f33328565}" ref="O347">
      <text>
        <t xml:space="preserve">[Threaded comment]
 Your version of Excel allows you to read this threaded comment; however, any edits to it will get removed if the file is opened in a newer version of Excel. Learn more: https://go.microsoft.com/fwlink/?linkid=870924
Comment:
	4/26 sent to client
</t>
      </text>
    </comment>
    <comment authorId="580" xr:uid="{4b1c8cad-50cd-4282-b1d2-de1f8a55e0e9}" ref="A237">
      <text>
        <t xml:space="preserve">[Threaded comment]
 Your version of Excel allows you to read this threaded comment; however, any edits to it will get removed if the file is opened in a newer version of Excel. Learn more: https://go.microsoft.com/fwlink/?linkid=870924
Comment:
	Peter
Reply:
	Ordinance or Law: $2,651.75
</t>
      </text>
    </comment>
    <comment authorId="581" xr:uid="{4b210857-9ebc-4f55-a272-13f8369b97ff}" ref="V194">
      <text>
        <t xml:space="preserve">[Threaded comment]
 Your version of Excel allows you to read this threaded comment; however, any edits to it will get removed if the file is opened in a newer version of Excel. Learn more: https://go.microsoft.com/fwlink/?linkid=870924
Comment:
	10/07 DA is offering $16,963.22 in exchange of a settlement release, offer expires on 10/09 (CM)
Reply:
	10/07 Peter sent a counteroffer for 85k to DA (CM)
Reply:
	10/30 they are offering 19k in a exchange of a settlement (CM)
</t>
      </text>
    </comment>
    <comment authorId="582" xr:uid="{4b502e6b-8d04-48b7-8522-5d442991fcf8}" ref="A1">
      <text>
        <t xml:space="preserve">[Threaded comment]
 Your version of Excel allows you to read this threaded comment; however, any edits to it will get removed if the file is opened in a newer version of Excel. Learn more: https://go.microsoft.com/fwlink/?linkid=870924
Comment:
	follow up ocn Day
</t>
      </text>
    </comment>
    <comment authorId="583" xr:uid="{4b5a3ce5-069f-4f99-a959-9d775ebee6c1}" ref="A359">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584" xr:uid="{4b89c7a9-e7e1-4db3-8db4-cb18f7e48c40}" ref="V212">
      <text>
        <t xml:space="preserve">[Threaded comment]
 Your version of Excel allows you to read this threaded comment; however, any edits to it will get removed if the file is opened in a newer version of Excel. Learn more: https://go.microsoft.com/fwlink/?linkid=870924
Comment:
	01/27 DA is requesting some info (CM)
</t>
      </text>
    </comment>
    <comment authorId="585" xr:uid="{4bb61734-eced-47cc-9d31-11acd20a0d90}" ref="N249">
      <text>
        <t xml:space="preserve">[Threaded comment]
 Your version of Excel allows you to read this threaded comment; however, any edits to it will get removed if the file is opened in a newer version of Excel. Learn more: https://go.microsoft.com/fwlink/?linkid=870924
Comment:
	11/05 Sent the estimate to Gregory for approval.
Reply:
	11/22 Peter approved
</t>
      </text>
    </comment>
    <comment authorId="586" xr:uid="{4c13bcea-8642-4e07-b95e-464abaf28496}"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587" xr:uid="{4c1aa8f9-9283-4b0a-801a-ef2b6516792f}" ref="M387">
      <text>
        <t xml:space="preserve">[Threaded comment]
 Your version of Excel allows you to read this threaded comment; however, any edits to it will get removed if the file is opened in a newer version of Excel. Learn more: https://go.microsoft.com/fwlink/?linkid=870924
Comment:
	8/18 sent to DA
</t>
      </text>
    </comment>
    <comment authorId="588" xr:uid="{4c53844b-d650-466e-a737-4cd72fbe0f62}" ref="N333">
      <text>
        <t xml:space="preserve">[Threaded comment]
 Your version of Excel allows you to read this threaded comment; however, any edits to it will get removed if the file is opened in a newer version of Excel. Learn more: https://go.microsoft.com/fwlink/?linkid=870924
Comment:
	3/4 sent to josh
Reply:
	3/26 aprobado
</t>
      </text>
    </comment>
    <comment authorId="589" xr:uid="{4c5f5538-6331-41f3-97f0-e9c4520dc498}" ref="P180">
      <text>
        <t xml:space="preserve">[Threaded comment]
 Your version of Excel allows you to read this threaded comment; however, any edits to it will get removed if the file is opened in a newer version of Excel. Learn more: https://go.microsoft.com/fwlink/?linkid=870924
Comment:
	08/12 asked for a copy of the IA report (CM)
</t>
      </text>
    </comment>
    <comment authorId="590" xr:uid="{4c7495cc-60a8-47e7-9a1a-8d1e43068c4f}" ref="M263">
      <text>
        <t xml:space="preserve">[Threaded comment]
 Your version of Excel allows you to read this threaded comment; however, any edits to it will get removed if the file is opened in a newer version of Excel. Learn more: https://go.microsoft.com/fwlink/?linkid=870924
Comment:
	2/14 sent to carrier
</t>
      </text>
    </comment>
    <comment authorId="591" xr:uid="{4ca87f49-907d-425d-b0b8-34ad57537c63}" ref="V261">
      <text>
        <t xml:space="preserve">[Threaded comment]
 Your version of Excel allows you to read this threaded comment; however, any edits to it will get removed if the file is opened in a newer version of Excel. Learn more: https://go.microsoft.com/fwlink/?linkid=870924
Comment:
	03/06 carrier informs that that Underwriters are not obligated to proceed with DFS mediation; however, they are willing to enter into a voluntary mediation outside of the DFS process, informed PAS (CM)
</t>
      </text>
    </comment>
    <comment authorId="592" xr:uid="{4cad76b8-d66d-483a-991d-db79b2088bdd}" ref="V158">
      <text>
        <t xml:space="preserve">[Threaded comment]
 Your version of Excel allows you to read this threaded comment; however, any edits to it will get removed if the file is opened in a newer version of Excel. Learn more: https://go.microsoft.com/fwlink/?linkid=870924
Comment:
	09/30 the FA is requiring some information before scheduling the insp., sent to PA's (CM)
</t>
      </text>
    </comment>
    <comment authorId="593" xr:uid="{4cb0ebd0-e035-4e69-a4c2-961e09cebb7c}" ref="V311">
      <text>
        <t xml:space="preserve">[Threaded comment]
 Your version of Excel allows you to read this threaded comment; however, any edits to it will get removed if the file is opened in a newer version of Excel. Learn more: https://go.microsoft.com/fwlink/?linkid=870924
Comment:
	04/09 DA is offering 5k new money, asked I&amp;P (CM)
</t>
      </text>
    </comment>
    <comment authorId="594" xr:uid="{4cd3dc1c-4057-4898-af08-18886391f2a9}" ref="P187">
      <text>
        <t xml:space="preserve">[Threaded comment]
 Your version of Excel allows you to read this threaded comment; however, any edits to it will get removed if the file is opened in a newer version of Excel. Learn more: https://go.microsoft.com/fwlink/?linkid=870924
Comment:
	07/22 insp
08/14 followed on the status of the IA report or determination on this claim with DA (CM)
</t>
      </text>
    </comment>
    <comment authorId="595" xr:uid="{4ce51016-27d8-4db1-b385-f8b9c87c2fe9}" ref="O191">
      <text>
        <t xml:space="preserve">[Threaded comment]
 Your version of Excel allows you to read this threaded comment; however, any edits to it will get removed if the file is opened in a newer version of Excel. Learn more: https://go.microsoft.com/fwlink/?linkid=870924
Comment:
	9/24 enviado al cliente
</t>
      </text>
    </comment>
    <comment authorId="596" xr:uid="{4d1530f2-e30a-4bd1-ac28-691de06eb509}"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597" xr:uid="{4d1614df-c234-4ffa-b8fe-1925ca90fa83}" ref="M235">
      <text>
        <t xml:space="preserve">[Threaded comment]
 Your version of Excel allows you to read this threaded comment; however, any edits to it will get removed if the file is opened in a newer version of Excel. Learn more: https://go.microsoft.com/fwlink/?linkid=870924
Comment:
	11/18 Sent the estimate to the carrier
</t>
      </text>
    </comment>
    <comment authorId="598" xr:uid="{4d1bac26-20a7-4099-98e4-f6b15f410ee6}" ref="P241">
      <text>
        <t xml:space="preserve">[Threaded comment]
 Your version of Excel allows you to read this threaded comment; however, any edits to it will get removed if the file is opened in a newer version of Excel. Learn more: https://go.microsoft.com/fwlink/?linkid=870924
Comment:
	inspection will be 11/18 (CM)
</t>
      </text>
    </comment>
    <comment authorId="599" xr:uid="{4d3336b1-0769-46e6-9dbb-fa12b88db6be}" ref="P140">
      <text>
        <t xml:space="preserve">[Threaded comment]
 Your version of Excel allows you to read this threaded comment; however, any edits to it will get removed if the file is opened in a newer version of Excel. Learn more: https://go.microsoft.com/fwlink/?linkid=870924
Comment:
	09/10
</t>
      </text>
    </comment>
    <comment authorId="600" xr:uid="{4d6ebdcc-ad6f-448b-97c5-97e36a9a0ef5}" ref="N337">
      <text>
        <t xml:space="preserve">[Threaded comment]
 Your version of Excel allows you to read this threaded comment; however, any edits to it will get removed if the file is opened in a newer version of Excel. Learn more: https://go.microsoft.com/fwlink/?linkid=870924
Comment:
	3/13 sent to juan
Reply:
	6/20 asked juan to review again
Reply:
	11/22 aprobado y enviado Carito para enviar al DA
</t>
      </text>
    </comment>
    <comment authorId="601" xr:uid="{4d74e7a3-f023-4e80-a1ce-f1a14ccad2fa}" ref="M357">
      <text>
        <t xml:space="preserve">[Threaded comment]
 Your version of Excel allows you to read this threaded comment; however, any edits to it will get removed if the file is opened in a newer version of Excel. Learn more: https://go.microsoft.com/fwlink/?linkid=870924
Comment:
	4/24 sent to DA
</t>
      </text>
    </comment>
    <comment authorId="602" xr:uid="{4d819f49-5e7d-46c4-b004-8217f2093083}" ref="V252">
      <text>
        <t xml:space="preserve">[Threaded comment]
 Your version of Excel allows you to read this threaded comment; however, any edits to it will get removed if the file is opened in a newer version of Excel. Learn more: https://go.microsoft.com/fwlink/?linkid=870924
Comment:
	12/13 asked Peter to signed the appraisal agreement, asked JP to do the SPOL (CM)
</t>
      </text>
    </comment>
    <comment authorId="603" xr:uid="{4d8b9b1e-a25a-435c-9dcc-2dbaab907621}" ref="N302">
      <text>
        <t xml:space="preserve">[Threaded comment]
 Your version of Excel allows you to read this threaded comment; however, any edits to it will get removed if the file is opened in a newer version of Excel. Learn more: https://go.microsoft.com/fwlink/?linkid=870924
Comment:
	1/15/25 sent to Jose for review
Reply:
	1/16/25 Jose approved
</t>
      </text>
    </comment>
    <comment authorId="604" xr:uid="{4da64028-6ab6-4099-806e-258b05d19069}" ref="V288">
      <text>
        <t xml:space="preserve">[Threaded comment]
 Your version of Excel allows you to read this threaded comment; however, any edits to it will get removed if the file is opened in a newer version of Excel. Learn more: https://go.microsoft.com/fwlink/?linkid=870924
Comment:
	04/28 DA stands on their decision after reviewing our estimate, asked I&amp;P how to proceed (CM)
</t>
      </text>
    </comment>
    <comment authorId="605" xr:uid="{4da834ba-0545-475b-9d1d-8619e1eccb04}"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606" xr:uid="{4dad5801-12f6-44cd-8f93-ef23bbb1411b}" ref="V350">
      <text>
        <t xml:space="preserve">[Threaded comment]
 Your version of Excel allows you to read this threaded comment; however, any edits to it will get removed if the file is opened in a newer version of Excel. Learn more: https://go.microsoft.com/fwlink/?linkid=870924
Comment:
	04/10 DA is requesting docs, asked Iván about it (CM)
</t>
      </text>
    </comment>
    <comment authorId="607" xr:uid="{4e14572d-457b-4f2c-bd41-af5c6d81fce2}" ref="Q299">
      <text>
        <t xml:space="preserve">[Threaded comment]
 Your version of Excel allows you to read this threaded comment; however, any edits to it will get removed if the file is opened in a newer version of Excel. Learn more: https://go.microsoft.com/fwlink/?linkid=870924
Comment:
	02/13
</t>
      </text>
    </comment>
    <comment authorId="608" xr:uid="{4e333c71-39ab-4519-afc2-c9a098dbaf15}" ref="A1">
      <text>
        <t xml:space="preserve">[Threaded comment]
 Your version of Excel allows you to read this threaded comment; however, any edits to it will get removed if the file is opened in a newer version of Excel. Learn more: https://go.microsoft.com/fwlink/?linkid=870924
Comment:
	6/19 sent to client
</t>
      </text>
    </comment>
    <comment authorId="609" xr:uid="{4e35574d-c421-4ba1-a51a-01d561d0e8c4}" ref="A1">
      <text>
        <t xml:space="preserve">[Threaded comment]
 Your version of Excel allows you to read this threaded comment; however, any edits to it will get removed if the file is opened in a newer version of Excel. Learn more: https://go.microsoft.com/fwlink/?linkid=870924
Comment:
	follow up con Wilber
</t>
      </text>
    </comment>
    <comment authorId="610" xr:uid="{4e55a7ec-55e2-42c2-9ec6-68ba4a0d677d}" ref="O208">
      <text>
        <t xml:space="preserve">[Threaded comment]
 Your version of Excel allows you to read this threaded comment; however, any edits to it will get removed if the file is opened in a newer version of Excel. Learn more: https://go.microsoft.com/fwlink/?linkid=870924
Comment:
	12/18 sent to client SG
</t>
      </text>
    </comment>
    <comment authorId="611" xr:uid="{4e6bf119-9a94-44f0-9117-a965da71d680}" ref="P302">
      <text>
        <t xml:space="preserve">[Threaded comment]
 Your version of Excel allows you to read this threaded comment; however, any edits to it will get removed if the file is opened in a newer version of Excel. Learn more: https://go.microsoft.com/fwlink/?linkid=870924
Comment:
	02/03
</t>
      </text>
    </comment>
    <comment authorId="612" xr:uid="{4e73a004-92af-49f7-8d58-f2edfbb1d611}" ref="N263">
      <text>
        <t xml:space="preserve">[Threaded comment]
 Your version of Excel allows you to read this threaded comment; however, any edits to it will get removed if the file is opened in a newer version of Excel. Learn more: https://go.microsoft.com/fwlink/?linkid=870924
Comment:
	2/14 sent to joshua
Reply:
	2/14 aprobado
</t>
      </text>
    </comment>
    <comment authorId="613" xr:uid="{4e86e3ec-75ca-47bb-be7c-14427708a98c}" ref="M308">
      <text>
        <t xml:space="preserve">[Threaded comment]
 Your version of Excel allows you to read this threaded comment; however, any edits to it will get removed if the file is opened in a newer version of Excel. Learn more: https://go.microsoft.com/fwlink/?linkid=870924
Comment:
	2/14 sent to carrier
</t>
      </text>
    </comment>
    <comment authorId="614" xr:uid="{4ea25421-ead2-409f-9e64-5f57fb3f991c}" ref="P263">
      <text>
        <t xml:space="preserve">[Threaded comment]
 Your version of Excel allows you to read this threaded comment; however, any edits to it will get removed if the file is opened in a newer version of Excel. Learn more: https://go.microsoft.com/fwlink/?linkid=870924
Comment:
	01/10
</t>
      </text>
    </comment>
    <comment authorId="615" xr:uid="{4ee34930-f0c8-4e8b-92b7-e735f8bdf0f9}" ref="V178">
      <text>
        <t xml:space="preserve">[Threaded comment]
 Your version of Excel allows you to read this threaded comment; however, any edits to it will get removed if the file is opened in a newer version of Excel. Learn more: https://go.microsoft.com/fwlink/?linkid=870924
Comment:
	09/09 received a partial denial letter, an undisputed payment, IA and engineer, asked PAs how to proceed and asked JP to send our estimate after reviewing the IA (CM)
</t>
      </text>
    </comment>
    <comment authorId="616" xr:uid="{4ee74212-31b7-447f-852b-ea22f80c07f4}" ref="P197">
      <text>
        <t xml:space="preserve">[Threaded comment]
 Your version of Excel allows you to read this threaded comment; however, any edits to it will get removed if the file is opened in a newer version of Excel. Learn more: https://go.microsoft.com/fwlink/?linkid=870924
Comment:
	no insp. scheduled
</t>
      </text>
    </comment>
    <comment authorId="617" xr:uid="{4f296229-29a5-4284-9f4f-8b6aa18a5ab0}" ref="V184">
      <text>
        <t xml:space="preserve">[Threaded comment]
 Your version of Excel allows you to read this threaded comment; however, any edits to it will get removed if the file is opened in a newer version of Excel. Learn more: https://go.microsoft.com/fwlink/?linkid=870924
Comment:
	08/14 DA is saying this claim has another claim#, asked him if he changed it, we have received a determination letter with an undisputted check asked PAs how to proceed, asked Juan for our estimate (CM)
09/20 followed up with Juan on the estimate as we have received a determination letter via Whatsapp and email(CM)
</t>
      </text>
    </comment>
    <comment authorId="618" xr:uid="{4f41f16d-2261-4c27-8d85-dfcbaf6970eb}" ref="A223">
      <text>
        <t xml:space="preserve">[Threaded comment]
 Your version of Excel allows you to read this threaded comment; however, any edits to it will get removed if the file is opened in a newer version of Excel. Learn more: https://go.microsoft.com/fwlink/?linkid=870924
Comment:
	Juan
Reply:
	(O&amp;L) $3,233.10,
</t>
      </text>
    </comment>
    <comment authorId="619" xr:uid="{4f53f5d2-7659-466f-af62-d41eab34ec85}" ref="A1">
      <text>
        <t xml:space="preserve">[Threaded comment]
 Your version of Excel allows you to read this threaded comment; however, any edits to it will get removed if the file is opened in a newer version of Excel. Learn more: https://go.microsoft.com/fwlink/?linkid=870924
Comment:
	follow up ocn Day
</t>
      </text>
    </comment>
    <comment authorId="620" xr:uid="{4f6b1d99-2b55-43dd-a572-312650f75c0a}" ref="A171">
      <text>
        <t xml:space="preserve">[Threaded comment]
 Your version of Excel allows you to read this threaded comment; however, any edits to it will get removed if the file is opened in a newer version of Excel. Learn more: https://go.microsoft.com/fwlink/?linkid=870924
Comment:
	08/19 requested mediation (CM) @scheduling@ipadjustinggroup.com
</t>
      </text>
    </comment>
    <comment authorId="621" xr:uid="{4f712d17-f0b1-47f7-bbe6-e9413421470a}" ref="V150">
      <text>
        <t xml:space="preserve">[Threaded comment]
 Your version of Excel allows you to read this threaded comment; however, any edits to it will get removed if the file is opened in a newer version of Excel. Learn more: https://go.microsoft.com/fwlink/?linkid=870924
Comment:
	08/27 DA is offering 3k as this claim was paid before, asked PAs how to proceed (CM)
Reply:
	09/23 called DA an asked for the IA report, sent it to PA's and asked to respond to the 3k offer that DA made (CM)
</t>
      </text>
    </comment>
    <comment authorId="622" xr:uid="{4f800b06-ef8e-41e5-9f94-cab62e70744e}" ref="M245">
      <text>
        <t xml:space="preserve">[Threaded comment]
 Your version of Excel allows you to read this threaded comment; however, any edits to it will get removed if the file is opened in a newer version of Excel. Learn more: https://go.microsoft.com/fwlink/?linkid=870924
Comment:
	11/23 sent to carrier
</t>
      </text>
    </comment>
    <comment authorId="623" xr:uid="{501a24e1-cfd5-4ac4-b4ce-f36cafd38a7f}" ref="P318">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624" xr:uid="{502c19f2-d3c7-4370-a236-ddfe4ca3085d}" ref="A1">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625" xr:uid="{502c606f-9754-4df7-8fd2-fcd9667157b0}" ref="V306">
      <text>
        <t xml:space="preserve">[Threaded comment]
 Your version of Excel allows you to read this threaded comment; however, any edits to it will get removed if the file is opened in a newer version of Excel. Learn more: https://go.microsoft.com/fwlink/?linkid=870924
Comment:
	01/30 received a draft estimate, set to PAs, pending determination, asked Iván if he wants us to send our estimate (CM)
</t>
      </text>
    </comment>
    <comment authorId="626" xr:uid="{5039d4c1-4179-44d4-961a-4691952a6887}" ref="A15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t>
      </text>
    </comment>
    <comment authorId="627" xr:uid="{508f4436-b7d9-4d44-adc2-ef9657a218e9}" ref="M338">
      <text>
        <t xml:space="preserve">[Threaded comment]
 Your version of Excel allows you to read this threaded comment; however, any edits to it will get removed if the file is opened in a newer version of Excel. Learn more: https://go.microsoft.com/fwlink/?linkid=870924
Comment:
	3/24 sent to carrier
Reply:
	7/28 sent update to peter
</t>
      </text>
    </comment>
    <comment authorId="628" xr:uid="{51308d04-766b-4505-9a58-69172fbc2acf}" ref="M335">
      <text>
        <t xml:space="preserve">[Threaded comment]
 Your version of Excel allows you to read this threaded comment; however, any edits to it will get removed if the file is opened in a newer version of Excel. Learn more: https://go.microsoft.com/fwlink/?linkid=870924
Comment:
	3/13 sent to DA
</t>
      </text>
    </comment>
    <comment authorId="629" xr:uid="{514eaf70-37d3-4929-8ac4-6d976106f001}" ref="A138">
      <text>
        <t xml:space="preserve">[Threaded comment]
 Your version of Excel allows you to read this threaded comment; however, any edits to it will get removed if the file is opened in a newer version of Excel. Learn more: https://go.microsoft.com/fwlink/?linkid=870924
Comment:
	Peter
Reply:
	Ordinance or Law: $3,282.04
Recoverable
Depreciation: $3,137.39,
</t>
      </text>
    </comment>
    <comment authorId="630" xr:uid="{5179dad8-321a-4bad-82ea-105804888763}" ref="A351">
      <text>
        <t xml:space="preserve">[Threaded comment]
 Your version of Excel allows you to read this threaded comment; however, any edits to it will get removed if the file is opened in a newer version of Excel. Learn more: https://go.microsoft.com/fwlink/?linkid=870924
Comment:
	Juan
Reply:
	No additional payments on this one
</t>
      </text>
    </comment>
    <comment authorId="631" xr:uid="{518050b0-9d42-4a6d-9c5d-df836bc1d338}" ref="A113">
      <text>
        <t xml:space="preserve">[Threaded comment]
 Your version of Excel allows you to read this threaded comment; however, any edits to it will get removed if the file is opened in a newer version of Excel. Learn more: https://go.microsoft.com/fwlink/?linkid=870924
Comment:
	07/16 Peter will file NOI (cm) @scheduling@ipadjustinggroup.com
</t>
      </text>
    </comment>
    <comment authorId="632" xr:uid="{5185d23d-b119-4d60-a1d2-735aa1ae907f}" ref="A1">
      <text>
        <t xml:space="preserve">[Threaded comment]
 Your version of Excel allows you to read this threaded comment; however, any edits to it will get removed if the file is opened in a newer version of Excel. Learn more: https://go.microsoft.com/fwlink/?linkid=870924
Comment:
	3/4 sent to juan
</t>
      </text>
    </comment>
    <comment authorId="633" xr:uid="{5188fd29-1e21-4e17-9fd3-c2f4ff1b8ac3}" ref="N377">
      <text>
        <t xml:space="preserve">[Threaded comment]
 Your version of Excel allows you to read this threaded comment; however, any edits to it will get removed if the file is opened in a newer version of Excel. Learn more: https://go.microsoft.com/fwlink/?linkid=870924
Comment:
	9/18 sent to peter
</t>
      </text>
    </comment>
    <comment authorId="634" xr:uid="{518a12c0-c2a0-46f1-891b-21c11a271e5f}" ref="A1">
      <text>
        <t xml:space="preserve">[Threaded comment]
 Your version of Excel allows you to read this threaded comment; however, any edits to it will get removed if the file is opened in a newer version of Excel. Learn more: https://go.microsoft.com/fwlink/?linkid=870924
Comment:
	12/18
</t>
      </text>
    </comment>
    <comment authorId="635" xr:uid="{5193c159-4d24-42a5-894b-b8b20212f791}" ref="A1">
      <text>
        <t xml:space="preserve">[Threaded comment]
 Your version of Excel allows you to read this threaded comment; however, any edits to it will get removed if the file is opened in a newer version of Excel. Learn more: https://go.microsoft.com/fwlink/?linkid=870924
Comment:
	ESPERAR IA REPORT
</t>
      </text>
    </comment>
    <comment authorId="636" xr:uid="{51b6b791-6ed9-4af0-9197-7fc563a096f7}" ref="A145">
      <text>
        <t xml:space="preserve">[Threaded comment]
 Your version of Excel allows you to read this threaded comment; however, any edits to it will get removed if the file is opened in a newer version of Excel. Learn more: https://go.microsoft.com/fwlink/?linkid=870924
Comment:
	07/17 requested mediation @scheduling@ipadjustinggroup.com
</t>
      </text>
    </comment>
    <comment authorId="637" xr:uid="{51f5dcad-6b53-4ecc-93ab-86a7e77f2f32}" ref="V369">
      <text>
        <t xml:space="preserve">[Threaded comment]
 Your version of Excel allows you to read this threaded comment; however, any edits to it will get removed if the file is opened in a newer version of Excel. Learn more: https://go.microsoft.com/fwlink/?linkid=870924
Comment:
	06/18 DA stands on her denial, asked I&amp;P if mediation is the next step (CM)
</t>
      </text>
    </comment>
    <comment authorId="638" xr:uid="{51fc16dc-5ff5-45e5-a8c1-51e23500748d}" ref="A165">
      <text>
        <t xml:space="preserve">[Threaded comment]
 Your version of Excel allows you to read this threaded comment; however, any edits to it will get removed if the file is opened in a newer version of Excel. Learn more: https://go.microsoft.com/fwlink/?linkid=870924
Comment:
	07/20 requested mediation (CM) @scheduling@ipadjustinggroup.com
</t>
      </text>
    </comment>
    <comment authorId="639" xr:uid="{52074df7-6718-463b-8fec-dc48a42b799c}" ref="M325">
      <text>
        <t xml:space="preserve">[Threaded comment]
 Your version of Excel allows you to read this threaded comment; however, any edits to it will get removed if the file is opened in a newer version of Excel. Learn more: https://go.microsoft.com/fwlink/?linkid=870924
Comment:
	5/19 sent to DA and client
</t>
      </text>
    </comment>
    <comment authorId="640" xr:uid="{523251e3-f1ff-4bd5-9560-58066450b94d}" ref="V305">
      <text>
        <t xml:space="preserve">[Threaded comment]
 Your version of Excel allows you to read this threaded comment; however, any edits to it will get removed if the file is opened in a newer version of Excel. Learn more: https://go.microsoft.com/fwlink/?linkid=870924
Comment:
	02/17 received a denial letter, as this loss was caused by an animal and the policy doesn't include those type of damages, sent to PAs and JP (CM)
Reply:
	03/19 received a denial letter after our estimate, asked PAs how to proceed (CM)
</t>
      </text>
    </comment>
    <comment authorId="641" xr:uid="{523d3731-038d-46b8-85c7-b8908a9073e5}"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642" xr:uid="{52658359-d0e9-4519-82b9-5e77f7f0b7b6}" ref="P192">
      <text>
        <t xml:space="preserve">[Threaded comment]
 Your version of Excel allows you to read this threaded comment; however, any edits to it will get removed if the file is opened in a newer version of Excel. Learn more: https://go.microsoft.com/fwlink/?linkid=870924
Comment:
	reinsp 09/12
</t>
      </text>
    </comment>
    <comment authorId="643" xr:uid="{5278b607-41dc-4aba-971c-42386d69dc95}" ref="O173">
      <text>
        <t xml:space="preserve">[Threaded comment]
 Your version of Excel allows you to read this threaded comment; however, any edits to it will get removed if the file is opened in a newer version of Excel. Learn more: https://go.microsoft.com/fwlink/?linkid=870924
Comment:
	08/02 sent to client the spol that the carrier sent to us to get it signed and notarized (CM)
Reply:
	08/13 Jakey sent the SPOL and drivers license to get this one notarized (CM)
</t>
      </text>
    </comment>
    <comment authorId="644" xr:uid="{529b1f36-8471-4d5c-bd13-9a0bd30ac255}" ref="A381">
      <text>
        <t xml:space="preserve">[Threaded comment]
 Your version of Excel allows you to read this threaded comment; however, any edits to it will get removed if the file is opened in a newer version of Excel. Learn more: https://go.microsoft.com/fwlink/?linkid=870924
Comment:
	Juan
Reply:
	Juan's fees $0, Joshua got to an agreement with Juan (CM)
</t>
      </text>
    </comment>
    <comment authorId="645" xr:uid="{52ac7286-3e15-4847-9ad6-f63ce42dafb1}" ref="V184">
      <text>
        <t xml:space="preserve">[Threaded comment]
 Your version of Excel allows you to read this threaded comment; however, any edits to it will get removed if the file is opened in a newer version of Excel. Learn more: https://go.microsoft.com/fwlink/?linkid=870924
Comment:
	02/05 they remain on their position after reviewing our estimate, asked PAs how to proceed (CM)
</t>
      </text>
    </comment>
    <comment authorId="646" xr:uid="{52e8b230-3d1a-4595-a865-b3e4c0981a17}" ref="V200">
      <text>
        <t xml:space="preserve">[Threaded comment]
 Your version of Excel allows you to read this threaded comment; however, any edits to it will get removed if the file is opened in a newer version of Excel. Learn more: https://go.microsoft.com/fwlink/?linkid=870924
Comment:
	11/21 received the DA info, she asked our offer, Peter asked me to ask 50k (CM)
Reply:
	12/04 Received an offer for 25k from the DA, asked I&amp;P to respond (AL)
Reply:
	12/10 Peter is asking 43.5k (CM)
Reply:
	12/11 Peter is asking 40k, DA is offering 35.5k (CM)
</t>
      </text>
    </comment>
    <comment authorId="647" xr:uid="{530104fb-c9d6-46b4-8580-71823296c0ca}" ref="V262">
      <text>
        <t xml:space="preserve">[Threaded comment]
 Your version of Excel allows you to read this threaded comment; however, any edits to it will get removed if the file is opened in a newer version of Excel. Learn more: https://go.microsoft.com/fwlink/?linkid=870924
Comment:
	11/27 received the denial letter, sent to PAs, asked Jp to send our estimate (CM)
</t>
      </text>
    </comment>
    <comment authorId="648" xr:uid="{5310c20b-3f21-4f22-a6b0-9f7f3f958799}" ref="A203">
      <text>
        <t xml:space="preserve">[Threaded comment]
 Your version of Excel allows you to read this threaded comment; however, any edits to it will get removed if the file is opened in a newer version of Excel. Learn more: https://go.microsoft.com/fwlink/?linkid=870924
Comment:
	08/27 ask Wilber for this appraisal (CM)
</t>
      </text>
    </comment>
    <comment authorId="649" xr:uid="{532167e2-da60-44f3-97b7-65b7b4199a91}" ref="N276">
      <text>
        <t xml:space="preserve">[Threaded comment]
 Your version of Excel allows you to read this threaded comment; however, any edits to it will get removed if the file is opened in a newer version of Excel. Learn more: https://go.microsoft.com/fwlink/?linkid=870924
Comment:
	I asked Juan to submit estimate @jp.ipestimates@gmail.com
Reply:
	1/27/25 sent to Juan for review
Reply:
	3/31 sent an update to juan
Reply:
	4/12 envie un update a juan
Reply:
	4/12 aprobado
</t>
      </text>
    </comment>
    <comment authorId="650" xr:uid="{5348e0f8-4e8b-41b0-b292-8168524e6cb7}" ref="A1">
      <text>
        <t xml:space="preserve">[Threaded comment]
 Your version of Excel allows you to read this threaded comment; however, any edits to it will get removed if the file is opened in a newer version of Excel. Learn more: https://go.microsoft.com/fwlink/?linkid=870924
Comment:
	10/18 Wilber is asking Ivan about this claim, informed Ivan to call him via WS (CM)
</t>
      </text>
    </comment>
    <comment authorId="651" xr:uid="{534a6106-9ee2-44f8-8082-985d8d477d95}" ref="M187">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revisar el IA report
Reply:
	8/26 enviado al carrier y cliente @admin@ipadjustinggroup.com
</t>
      </text>
    </comment>
    <comment authorId="652" xr:uid="{53cd4139-a671-45d1-b1a5-1fa166b049a8}"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653" xr:uid="{53eb28ed-875c-4d53-a454-cd8f6cb203fe}" ref="A1">
      <text>
        <t xml:space="preserve">[Threaded comment]
 Your version of Excel allows you to read this threaded comment; however, any edits to it will get removed if the file is opened in a newer version of Excel. Learn more: https://go.microsoft.com/fwlink/?linkid=870924
Comment:
	12/16
</t>
      </text>
    </comment>
    <comment authorId="654" xr:uid="{53f7cccc-2c33-4ba3-a83f-9941d6b14c9e}" ref="Q242">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655" xr:uid="{540f4e00-f38b-44d5-9867-f6adab510901}" ref="M141">
      <text>
        <t xml:space="preserve">[Threaded comment]
 Your version of Excel allows you to read this threaded comment; however, any edits to it will get removed if the file is opened in a newer version of Excel. Learn more: https://go.microsoft.com/fwlink/?linkid=870924
Comment:
	enviar a penas se tenga el estimado aprobado @jp.ipestimates@gmail.com y avisame porque tengo q pedir mediacion porfa
Reply:
	11/05 Sent estimate to DA and client. No picture file
</t>
      </text>
    </comment>
    <comment authorId="656" xr:uid="{54224e1d-b0bf-46e6-b9c4-c368e1fbd5df}" ref="A1">
      <text>
        <t xml:space="preserve">[Threaded comment]
 Your version of Excel allows you to read this threaded comment; however, any edits to it will get removed if the file is opened in a newer version of Excel. Learn more: https://go.microsoft.com/fwlink/?linkid=870924
Comment:
	tenemos policy @iandres.assistant@gmail.com
Assigned to iandres.assistant@gmail.com
</t>
      </text>
    </comment>
    <comment authorId="657" xr:uid="{542877f5-8872-4af3-a708-e0845eb6da53}" ref="Q343">
      <text>
        <t xml:space="preserve">[Threaded comment]
 Your version of Excel allows you to read this threaded comment; however, any edits to it will get removed if the file is opened in a newer version of Excel. Learn more: https://go.microsoft.com/fwlink/?linkid=870924
Comment:
	0404
</t>
      </text>
    </comment>
    <comment authorId="658" xr:uid="{547aee98-3ae6-447c-973f-c46b5bad0d1c}" ref="M237">
      <text>
        <t xml:space="preserve">[Threaded comment]
 Your version of Excel allows you to read this threaded comment; however, any edits to it will get removed if the file is opened in a newer version of Excel. Learn more: https://go.microsoft.com/fwlink/?linkid=870924
Comment:
	12/11 sent to carrier
</t>
      </text>
    </comment>
    <comment authorId="659" xr:uid="{54d5115d-4bcf-47a4-a154-9fd79f0f3b61}" ref="M328">
      <text>
        <t xml:space="preserve">[Threaded comment]
 Your version of Excel allows you to read this threaded comment; however, any edits to it will get removed if the file is opened in a newer version of Excel. Learn more: https://go.microsoft.com/fwlink/?linkid=870924
Comment:
	4/30 sent to carrier
</t>
      </text>
    </comment>
    <comment authorId="660" xr:uid="{54dcc02c-1752-4dfe-8eb3-9341af7f9b9b}" ref="Q213">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661" xr:uid="{550d29b3-f79e-4060-a459-67b36f2726f0}" ref="P190">
      <text>
        <t xml:space="preserve">[Threaded comment]
 Your version of Excel allows you to read this threaded comment; however, any edits to it will get removed if the file is opened in a newer version of Excel. Learn more: https://go.microsoft.com/fwlink/?linkid=870924
Comment:
	09/24
</t>
      </text>
    </comment>
    <comment authorId="662" xr:uid="{55334549-d88d-4ce3-9731-f40ab365ce34}"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663" xr:uid="{555d25a2-f893-4344-a8a6-9e0a8b51b028}" ref="A1">
      <text>
        <t xml:space="preserve">[Threaded comment]
 Your version of Excel allows you to read this threaded comment; however, any edits to it will get removed if the file is opened in a newer version of Excel. Learn more: https://go.microsoft.com/fwlink/?linkid=870924
Comment:
	10/01
</t>
      </text>
    </comment>
    <comment authorId="664" xr:uid="{556f6707-959b-4b7a-af8b-12e5c37b3707}" ref="A1">
      <text>
        <t xml:space="preserve">[Threaded comment]
 Your version of Excel allows you to read this threaded comment; however, any edits to it will get removed if the file is opened in a newer version of Excel. Learn more: https://go.microsoft.com/fwlink/?linkid=870924
Comment:
	12/10
</t>
      </text>
    </comment>
    <comment authorId="665" xr:uid="{557c8718-8abb-4a61-b421-8a50f4564432}" ref="N214">
      <text>
        <t xml:space="preserve">[Threaded comment]
 Your version of Excel allows you to read this threaded comment; however, any edits to it will get removed if the file is opened in a newer version of Excel. Learn more: https://go.microsoft.com/fwlink/?linkid=870924
Comment:
	12/04 pedi info a david de estimado
Reply:
	12/11 sent to David F
Reply:
	1/6/25 ivan approved
Reply:
	3/4/25 ivan pidio actualizar el estimado, subido a CW
</t>
      </text>
    </comment>
    <comment authorId="666" xr:uid="{557fec52-79f9-4725-93ed-ab4bc3f2659b}" ref="A1">
      <text>
        <t xml:space="preserve">[Threaded comment]
 Your version of Excel allows you to read this threaded comment; however, any edits to it will get removed if the file is opened in a newer version of Excel. Learn more: https://go.microsoft.com/fwlink/?linkid=870924
Comment:
	inspec will be on 05/14 (CM)
</t>
      </text>
    </comment>
    <comment authorId="667" xr:uid="{559f6dc5-a410-4ce5-9bc9-33bc21212795}" ref="O110">
      <text>
        <t xml:space="preserve">[Threaded comment]
 Your version of Excel allows you to read this threaded comment; however, any edits to it will get removed if the file is opened in a newer version of Excel. Learn more: https://go.microsoft.com/fwlink/?linkid=870924
Comment:
	hacer nuevo SPOL agregado la pool cuando juan revise
Reply:
	cliente pide que el SPOL este en una sola hoja @jp.ipestimates@gmail.com  cliente 69
</t>
      </text>
    </comment>
    <comment authorId="668" xr:uid="{55cf2b6c-8d2a-4dda-a40e-ca2fd3d99297}" ref="A1">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669" xr:uid="{56487ac1-c776-448c-977c-3ea05b054556}" ref="M222">
      <text>
        <t xml:space="preserve">[Threaded comment]
 Your version of Excel allows you to read this threaded comment; however, any edits to it will get removed if the file is opened in a newer version of Excel. Learn more: https://go.microsoft.com/fwlink/?linkid=870924
Comment:
	10/30 Sent estimate and picture file to DA (William Paul)
</t>
      </text>
    </comment>
    <comment authorId="670" xr:uid="{5659a4a5-6b18-42f5-a3bc-66df2af1a092}" ref="P269">
      <text>
        <t xml:space="preserve">[Threaded comment]
 Your version of Excel allows you to read this threaded comment; however, any edits to it will get removed if the file is opened in a newer version of Excel. Learn more: https://go.microsoft.com/fwlink/?linkid=870924
Comment:
	insp will be 11/15 (CM)
</t>
      </text>
    </comment>
    <comment authorId="671" xr:uid="{5665a9d5-ea55-4f62-bbed-5747b17d0c47}" ref="A270">
      <text>
        <t xml:space="preserve">[Threaded comment]
 Your version of Excel allows you to read this threaded comment; however, any edits to it will get removed if the file is opened in a newer version of Excel. Learn more: https://go.microsoft.com/fwlink/?linkid=870924
Comment:
	12/10 Peter wants to request appraisal, waiting the estimate (CM)
</t>
      </text>
    </comment>
    <comment authorId="672" xr:uid="{5698915d-b7f0-4f2c-94a2-ddb211952eb5}" ref="N220">
      <text>
        <t xml:space="preserve">[Threaded comment]
 Your version of Excel allows you to read this threaded comment; however, any edits to it will get removed if the file is opened in a newer version of Excel. Learn more: https://go.microsoft.com/fwlink/?linkid=870924
Comment:
	10/21 Sent estimate to David for approval.
Reply:
	10/21 aprobado
Reply:
	12/05 David pidio modificar el esimado, esperando nueva info
Reply:
	12/06 sent an update to David
Reply:
	12/06 Josh approved the estimate
</t>
      </text>
    </comment>
    <comment authorId="673" xr:uid="{576ca547-885c-4540-a8ff-7c1be540375a}" ref="V185">
      <text>
        <t xml:space="preserve">[Threaded comment]
 Your version of Excel allows you to read this threaded comment; however, any edits to it will get removed if the file is opened in a newer version of Excel. Learn more: https://go.microsoft.com/fwlink/?linkid=870924
Comment:
	07/30 received a determination letter, with an undisputted payment for 13k and IA report (CM)
09/10 followed up with DA, and asked to PAs to confirm how to proceed as we have a determination letter (CM)
</t>
      </text>
    </comment>
    <comment authorId="674" xr:uid="{578d965e-4f96-42a5-ac3c-80b20b1f89df}" ref="P244">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675" xr:uid="{57cf2fa1-04e0-4033-afc2-24e85575e856}" ref="N188">
      <text>
        <t xml:space="preserve">[Threaded comment]
 Your version of Excel allows you to read this threaded comment; however, any edits to it will get removed if the file is opened in a newer version of Excel. Learn more: https://go.microsoft.com/fwlink/?linkid=870924
Comment:
	7/29 sent to juan for approval
</t>
      </text>
    </comment>
    <comment authorId="676" xr:uid="{57e79fda-093e-4735-9321-94ab055a3617}" ref="M189">
      <text>
        <t xml:space="preserve">[Threaded comment]
 Your version of Excel allows you to read this threaded comment; however, any edits to it will get removed if the file is opened in a newer version of Excel. Learn more: https://go.microsoft.com/fwlink/?linkid=870924
Comment:
	7/15 en espera q ivan decida si enviarmos el estimado
7/16 ENVIADO
</t>
      </text>
    </comment>
    <comment authorId="677" xr:uid="{5817276a-7fff-44d7-9129-f82cab54e686}" ref="M348">
      <text>
        <t xml:space="preserve">[Threaded comment]
 Your version of Excel allows you to read this threaded comment; however, any edits to it will get removed if the file is opened in a newer version of Excel. Learn more: https://go.microsoft.com/fwlink/?linkid=870924
Comment:
	4/23 sent to carrier
</t>
      </text>
    </comment>
    <comment authorId="678" xr:uid="{5838cb9b-bdf2-4826-a9f2-6948767e26c2}" ref="M181">
      <text>
        <t xml:space="preserve">[Threaded comment]
 Your version of Excel allows you to read this threaded comment; however, any edits to it will get removed if the file is opened in a newer version of Excel. Learn more: https://go.microsoft.com/fwlink/?linkid=870924
Comment:
	8/13 enviado @admin@ipadjustinggroup.com
</t>
      </text>
    </comment>
    <comment authorId="679" xr:uid="{5843255a-239c-4a5e-98fa-370f442a7eda}"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680" xr:uid="{5843e911-84a7-47b2-9232-8df54679ffe7}" ref="N295">
      <text>
        <t xml:space="preserve">[Threaded comment]
 Your version of Excel allows you to read this threaded comment; however, any edits to it will get removed if the file is opened in a newer version of Excel. Learn more: https://go.microsoft.com/fwlink/?linkid=870924
Comment:
	1/13/25 Sent the estimate to Ivan for review
Reply:
	1/15 aprobado por ivan
</t>
      </text>
    </comment>
    <comment authorId="681" xr:uid="{589ce5f5-68fa-4561-8f12-c2a113d50613}" ref="M241">
      <text>
        <t xml:space="preserve">[Threaded comment]
 Your version of Excel allows you to read this threaded comment; however, any edits to it will get removed if the file is opened in a newer version of Excel. Learn more: https://go.microsoft.com/fwlink/?linkid=870924
Comment:
	1/9/25 subido a CP
</t>
      </text>
    </comment>
    <comment authorId="682" xr:uid="{58c2236d-2dc9-48dc-b29d-06a02ef6607e}" ref="M227">
      <text>
        <t xml:space="preserve">[Threaded comment]
 Your version of Excel allows you to read this threaded comment; however, any edits to it will get removed if the file is opened in a newer version of Excel. Learn more: https://go.microsoft.com/fwlink/?linkid=870924
Comment:
	12/3 Sent to carrier
</t>
      </text>
    </comment>
    <comment authorId="683" xr:uid="{58c5413f-c759-471f-914b-2b14ae8f4ae6}"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684" xr:uid="{58ea9d51-63d9-4705-8a1c-6010f6d2fede}" ref="A189">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685" xr:uid="{59321c6b-eed0-4fd1-a689-a67b9a94d754}" ref="P234">
      <text>
        <t xml:space="preserve">[Threaded comment]
 Your version of Excel allows you to read this threaded comment; however, any edits to it will get removed if the file is opened in a newer version of Excel. Learn more: https://go.microsoft.com/fwlink/?linkid=870924
Comment:
	11/04 insp
</t>
      </text>
    </comment>
    <comment authorId="686" xr:uid="{593a894c-9899-4b73-8b5b-d01f0c9e12b9}"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687" xr:uid="{595549b1-d50f-4876-9b7f-addfea8308a1}" ref="V329">
      <text>
        <t xml:space="preserve">[Threaded comment]
 Your version of Excel allows you to read this threaded comment; however, any edits to it will get removed if the file is opened in a newer version of Excel. Learn more: https://go.microsoft.com/fwlink/?linkid=870924
Comment:
	05/20 followed on this claim, received the Engineer report, sent to PAs for their review (CM)
</t>
      </text>
    </comment>
    <comment authorId="688" xr:uid="{5967da38-3b7f-4ed9-804a-da4732b83b04}" ref="V349">
      <text>
        <t xml:space="preserve">[Threaded comment]
 Your version of Excel allows you to read this threaded comment; however, any edits to it will get removed if the file is opened in a newer version of Excel. Learn more: https://go.microsoft.com/fwlink/?linkid=870924
Comment:
	05/06 received the determination based on our estimate, it has been denied, asked PAs how to proceed (CM)
</t>
      </text>
    </comment>
    <comment authorId="689" xr:uid="{599dce74-f43e-4cbf-a78a-79ca340b2471}" ref="V273">
      <text>
        <t xml:space="preserve">[Threaded comment]
 Your version of Excel allows you to read this threaded comment; however, any edits to it will get removed if the file is opened in a newer version of Excel. Learn more: https://go.microsoft.com/fwlink/?linkid=870924
Comment:
	11/14 DA is requesting our estiamte, asked if they have assigned to a FA so we can do the inspection (CM)
</t>
      </text>
    </comment>
    <comment authorId="690" xr:uid="{59bb8531-eb59-4728-804d-b3cf90eed424}" ref="A205">
      <text>
        <t xml:space="preserve">[Threaded comment]
 Your version of Excel allows you to read this threaded comment; however, any edits to it will get removed if the file is opened in a newer version of Excel. Learn more: https://go.microsoft.com/fwlink/?linkid=870924
Comment:
	Wilber
Reply:
	recoverable depreciation $3,503.10
</t>
      </text>
    </comment>
    <comment authorId="691" xr:uid="{59fab77b-4c69-452b-b664-bfb0fdab4414}" ref="P179">
      <text>
        <t xml:space="preserve">[Threaded comment]
 Your version of Excel allows you to read this threaded comment; however, any edits to it will get removed if the file is opened in a newer version of Excel. Learn more: https://go.microsoft.com/fwlink/?linkid=870924
Comment:
	10/01
</t>
      </text>
    </comment>
    <comment authorId="692" xr:uid="{5a41afc8-982c-433b-8869-d0e5256aaece}" ref="M260">
      <text>
        <t xml:space="preserve">[Threaded comment]
 Your version of Excel allows you to read this threaded comment; however, any edits to it will get removed if the file is opened in a newer version of Excel. Learn more: https://go.microsoft.com/fwlink/?linkid=870924
Comment:
	1/29/25 sent to carrier
</t>
      </text>
    </comment>
    <comment authorId="693" xr:uid="{5a480d29-526d-4e2c-a3e0-f01b5ee77496}" ref="M282">
      <text>
        <t xml:space="preserve">[Threaded comment]
 Your version of Excel allows you to read this threaded comment; however, any edits to it will get removed if the file is opened in a newer version of Excel. Learn more: https://go.microsoft.com/fwlink/?linkid=870924
Comment:
	enviar cuando este el IA report
Reply:
	1/7/25 sent to DA
</t>
      </text>
    </comment>
    <comment authorId="694" xr:uid="{5a6614cb-dadd-4bc8-910c-84e8062c1878}" ref="A327">
      <text>
        <t xml:space="preserve">[Threaded comment]
 Your version of Excel allows you to read this threaded comment; however, any edits to it will get removed if the file is opened in a newer version of Excel. Learn more: https://go.microsoft.com/fwlink/?linkid=870924
Comment:
	Peter
Reply:
	Recoverable depreciation $2193.55
Ordinance and law : $1506,70
</t>
      </text>
    </comment>
    <comment authorId="695" xr:uid="{5a73343e-4691-410a-a204-3a53ec2b0a39}" ref="A223">
      <text>
        <t xml:space="preserve">[Threaded comment]
 Your version of Excel allows you to read this threaded comment; however, any edits to it will get removed if the file is opened in a newer version of Excel. Learn more: https://go.microsoft.com/fwlink/?linkid=870924
Comment:
	12/09 Stephen accepted with Matt Sampson info
</t>
      </text>
    </comment>
    <comment authorId="696" xr:uid="{5a9922da-3a50-42f2-bb2d-844c65531e5f}" ref="P311">
      <text>
        <t xml:space="preserve">[Threaded comment]
 Your version of Excel allows you to read this threaded comment; however, any edits to it will get removed if the file is opened in a newer version of Excel. Learn more: https://go.microsoft.com/fwlink/?linkid=870924
Comment:
	02/06
</t>
      </text>
    </comment>
    <comment authorId="697" xr:uid="{5aec80e8-ef21-4f28-bccf-772b228015f7}" ref="M375">
      <text>
        <t xml:space="preserve">[Threaded comment]
 Your version of Excel allows you to read this threaded comment; however, any edits to it will get removed if the file is opened in a newer version of Excel. Learn more: https://go.microsoft.com/fwlink/?linkid=870924
Comment:
	preguntar a Ivan cuando enviar estimado
Reply:
	8/21 sent to DA
</t>
      </text>
    </comment>
    <comment authorId="698" xr:uid="{5b01c7fe-965c-49f4-9fb9-d908f792ef6d}" ref="A156">
      <text>
        <t xml:space="preserve">[Threaded comment]
 Your version of Excel allows you to read this threaded comment; however, any edits to it will get removed if the file is opened in a newer version of Excel. Learn more: https://go.microsoft.com/fwlink/?linkid=870924
Comment:
	07/17 asked Wilber if he want to take this claim for the appraisal (CM) @scheduling@ipadjustinggroup.com
Assigned to scheduling@ipadjustinggroup.com
</t>
      </text>
    </comment>
    <comment authorId="699" xr:uid="{5b2c7e3a-5f83-440f-bd64-d6c166448228}" ref="V255">
      <text>
        <t xml:space="preserve">[Threaded comment]
 Your version of Excel allows you to read this threaded comment; however, any edits to it will get removed if the file is opened in a newer version of Excel. Learn more: https://go.microsoft.com/fwlink/?linkid=870924
Comment:
	01/27 DA is asking the third parties invoices (CM)
</t>
      </text>
    </comment>
    <comment authorId="700" xr:uid="{5b539322-8ffb-45ef-b9d3-81858d71563a}" ref="O321">
      <text>
        <t xml:space="preserve">[Threaded comment]
 Your version of Excel allows you to read this threaded comment; however, any edits to it will get removed if the file is opened in a newer version of Excel. Learn more: https://go.microsoft.com/fwlink/?linkid=870924
Comment:
	5/19 sent to client to sign
</t>
      </text>
    </comment>
    <comment authorId="701" xr:uid="{5b640376-1e90-49d5-9870-e78f313119b6}" ref="A297">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702" xr:uid="{5b6817b8-c45d-4cfe-a2cf-a57ad49f55fb}" ref="A265">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703" xr:uid="{5b911a50-2e92-4ade-8a6c-731332fd5acc}" ref="A1">
      <text>
        <t xml:space="preserve">[Threaded comment]
 Your version of Excel allows you to read this threaded comment; however, any edits to it will get removed if the file is opened in a newer version of Excel. Learn more: https://go.microsoft.com/fwlink/?linkid=870924
Comment:
	08/29
</t>
      </text>
    </comment>
    <comment authorId="704" xr:uid="{5b94b1f0-0af1-48a1-af10-d2400407b3a5}" ref="A1">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705" xr:uid="{5bc84b91-ed8d-4361-a67f-f4432eefcee8}" ref="M371">
      <text>
        <t xml:space="preserve">[Threaded comment]
 Your version of Excel allows you to read this threaded comment; however, any edits to it will get removed if the file is opened in a newer version of Excel. Learn more: https://go.microsoft.com/fwlink/?linkid=870924
Comment:
	6/27 sent to DA
</t>
      </text>
    </comment>
    <comment authorId="706" xr:uid="{5be8d34a-b40f-4180-9bcd-954e27f06ceb}" ref="M274">
      <text>
        <t xml:space="preserve">[Threaded comment]
 Your version of Excel allows you to read this threaded comment; however, any edits to it will get removed if the file is opened in a newer version of Excel. Learn more: https://go.microsoft.com/fwlink/?linkid=870924
Comment:
	1/7/ approved
Reply:
	1/20 sent to DA
</t>
      </text>
    </comment>
    <comment authorId="707" xr:uid="{5c0b8d21-06a9-458b-b8f9-7c98e81163bf}" ref="V140">
      <text>
        <t xml:space="preserve">[Threaded comment]
 Your version of Excel allows you to read this threaded comment; however, any edits to it will get removed if the file is opened in a newer version of Excel. Learn more: https://go.microsoft.com/fwlink/?linkid=870924
Comment:
	01/10 DA says they don't accept the 25k counter offer that Peter did (CM)
</t>
      </text>
    </comment>
    <comment authorId="708" xr:uid="{5c29bb0d-2793-44ab-88a4-b304d087cc96}" ref="V188">
      <text>
        <t xml:space="preserve">[Threaded comment]
 Your version of Excel allows you to read this threaded comment; however, any edits to it will get removed if the file is opened in a newer version of Excel. Learn more: https://go.microsoft.com/fwlink/?linkid=870924
Comment:
	11/14 left a Vm to the SPV informing that we haven't been able to contact William and we need to move forward with this claim (CM)
</t>
      </text>
    </comment>
    <comment authorId="709" xr:uid="{5c7d61e9-85f7-4c47-a0c4-ed233ca47002}" ref="P279">
      <text>
        <t xml:space="preserve">[Threaded comment]
 Your version of Excel allows you to read this threaded comment; however, any edits to it will get removed if the file is opened in a newer version of Excel. Learn more: https://go.microsoft.com/fwlink/?linkid=870924
Comment:
	insp. on 11/26
</t>
      </text>
    </comment>
    <comment authorId="710" xr:uid="{5c8a9193-89a9-4a8a-ae40-5a2b13278baf}" ref="P288">
      <text>
        <t xml:space="preserve">[Threaded comment]
 Your version of Excel allows you to read this threaded comment; however, any edits to it will get removed if the file is opened in a newer version of Excel. Learn more: https://go.microsoft.com/fwlink/?linkid=870924
Comment:
	12/27
</t>
      </text>
    </comment>
    <comment authorId="711" xr:uid="{5ca230cb-4b0f-4b59-8c61-145669c4ee51}" ref="P226">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712" xr:uid="{5cbdad5e-da5a-4bde-b163-ba94e721a1cb}" ref="A1">
      <text>
        <t xml:space="preserve">[Threaded comment]
 Your version of Excel allows you to read this threaded comment; however, any edits to it will get removed if the file is opened in a newer version of Excel. Learn more: https://go.microsoft.com/fwlink/?linkid=870924
Comment:
	11/25 Sent to Ivan
</t>
      </text>
    </comment>
    <comment authorId="713" xr:uid="{5cc401f6-d683-405d-a834-98b2769418b1}" ref="V219">
      <text>
        <t xml:space="preserve">[Threaded comment]
 Your version of Excel allows you to read this threaded comment; however, any edits to it will get removed if the file is opened in a newer version of Excel. Learn more: https://go.microsoft.com/fwlink/?linkid=870924
Comment:
	12/16 DA is offering 3.5k, cc'd PA's (CM
12/20 Joshua is asking $42,481.47 (CM)
01/02 DA sent an offer for 5k, PAs are cc'd (CM)
</t>
      </text>
    </comment>
    <comment authorId="714" xr:uid="{5cdcff6e-7f1f-4589-9acc-778ab149e0a0}" ref="A317">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715" xr:uid="{5ce2bceb-c90d-4852-b718-9bd5545a5208}" ref="P158">
      <text>
        <t xml:space="preserve">[Threaded comment]
 Your version of Excel allows you to read this threaded comment; however, any edits to it will get removed if the file is opened in a newer version of Excel. Learn more: https://go.microsoft.com/fwlink/?linkid=870924
Comment:
	09/30 the FA is requiring some information before scheduling the insp., sent to PA's (CM)
</t>
      </text>
    </comment>
    <comment authorId="716" xr:uid="{5ce73669-17b2-46fd-9813-64e3c31e5686}" ref="M242">
      <text>
        <t xml:space="preserve">[Threaded comment]
 Your version of Excel allows you to read this threaded comment; however, any edits to it will get removed if the file is opened in a newer version of Excel. Learn more: https://go.microsoft.com/fwlink/?linkid=870924
Comment:
	11/25 sent to DA
</t>
      </text>
    </comment>
    <comment authorId="717" xr:uid="{5ce96ae2-48fa-4a89-9aa5-5fecc6150afa}" ref="M258">
      <text>
        <t xml:space="preserve">[Threaded comment]
 Your version of Excel allows you to read this threaded comment; however, any edits to it will get removed if the file is opened in a newer version of Excel. Learn more: https://go.microsoft.com/fwlink/?linkid=870924
Comment:
	11/21 Sent the estimate and picture file to DA
</t>
      </text>
    </comment>
    <comment authorId="718" xr:uid="{5d034103-27a4-4373-8012-894cf55ffd63}" ref="P331">
      <text>
        <t xml:space="preserve">[Threaded comment]
 Your version of Excel allows you to read this threaded comment; however, any edits to it will get removed if the file is opened in a newer version of Excel. Learn more: https://go.microsoft.com/fwlink/?linkid=870924
Comment:
	insp. will be 03/17
</t>
      </text>
    </comment>
    <comment authorId="719" xr:uid="{5d084d7a-c70f-44ce-aa1a-442d0aecf6a5}" ref="P344">
      <text>
        <t xml:space="preserve">[Threaded comment]
 Your version of Excel allows you to read this threaded comment; however, any edits to it will get removed if the file is opened in a newer version of Excel. Learn more: https://go.microsoft.com/fwlink/?linkid=870924
Comment:
	insp 04/17
</t>
      </text>
    </comment>
    <comment authorId="720" xr:uid="{5d6b8f28-5c27-4d72-adc0-4a06172e9320}"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721" xr:uid="{5dba16d0-5b4d-4683-be77-ba463f69a4f9}" ref="M140">
      <text>
        <t xml:space="preserve">[Threaded comment]
 Your version of Excel allows you to read this threaded comment; however, any edits to it will get removed if the file is opened in a newer version of Excel. Learn more: https://go.microsoft.com/fwlink/?linkid=870924
Comment:
	7/15 esperando IA report
Reply:
	8/13 enviado al DA con fotos @admin@ipadjustinggroup.com
</t>
      </text>
    </comment>
    <comment authorId="722" xr:uid="{5ddc0a52-9d44-4534-908f-7e6d893cf2b2}" ref="A1">
      <text>
        <t xml:space="preserve">[Threaded comment]
 Your version of Excel allows you to read this threaded comment; however, any edits to it will get removed if the file is opened in a newer version of Excel. Learn more: https://go.microsoft.com/fwlink/?linkid=870924
Comment:
	11/06 DA informed that this claim is closed, they have settled with lawyers, PAs are cc'd, all the documentation is uploaded (CM)
</t>
      </text>
    </comment>
    <comment authorId="723" xr:uid="{5df8bbf6-258e-4609-8127-2e5c36368502}" ref="B45">
      <text>
        <t xml:space="preserve">[Threaded comment]
 Your version of Excel allows you to read this threaded comment; however, any edits to it will get removed if the file is opened in a newer version of Excel. Learn more: https://go.microsoft.com/fwlink/?linkid=870924
Comment:
	Jose Picado
</t>
      </text>
    </comment>
    <comment authorId="724" xr:uid="{5e2d2246-5446-493e-b216-ab3a93c82060}" ref="P284">
      <text>
        <t xml:space="preserve">[Threaded comment]
 Your version of Excel allows you to read this threaded comment; however, any edits to it will get removed if the file is opened in a newer version of Excel. Learn more: https://go.microsoft.com/fwlink/?linkid=870924
Comment:
	12/16
</t>
      </text>
    </comment>
    <comment authorId="725" xr:uid="{5e69b179-491d-4e3f-9f15-79b2f4ca9cb4}" ref="P189">
      <text>
        <t xml:space="preserve">[Threaded comment]
 Your version of Excel allows you to read this threaded comment; however, any edits to it will get removed if the file is opened in a newer version of Excel. Learn more: https://go.microsoft.com/fwlink/?linkid=870924
Comment:
	09/13
</t>
      </text>
    </comment>
    <comment authorId="726" xr:uid="{5e8a6fec-1460-4883-9794-47a854452041}" ref="A238">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727" xr:uid="{5ea0755b-d926-45e2-aac7-c3c39ae26617}" ref="M391">
      <text>
        <t xml:space="preserve">[Threaded comment]
 Your version of Excel allows you to read this threaded comment; however, any edits to it will get removed if the file is opened in a newer version of Excel. Learn more: https://go.microsoft.com/fwlink/?linkid=870924
Comment:
	2/2 sent to DA
</t>
      </text>
    </comment>
    <comment authorId="728" xr:uid="{5ed983dc-2a9c-4727-acec-435ea2b41a27}" ref="O159">
      <text>
        <t xml:space="preserve">[Threaded comment]
 Your version of Excel allows you to read this threaded comment; however, any edits to it will get removed if the file is opened in a newer version of Excel. Learn more: https://go.microsoft.com/fwlink/?linkid=870924
Comment:
	7/30 FOLLOW UP
</t>
      </text>
    </comment>
    <comment authorId="729" xr:uid="{5f07b258-ce4e-444c-aaa5-942af8e85806}" ref="A192">
      <text>
        <t xml:space="preserve">[Threaded comment]
 Your version of Excel allows you to read this threaded comment; however, any edits to it will get removed if the file is opened in a newer version of Excel. Learn more: https://go.microsoft.com/fwlink/?linkid=870924
Comment:
	12/23 Peter / Stephen
Reply:
	Recoverable Depreciation: $6,624.14
</t>
      </text>
    </comment>
    <comment authorId="730" xr:uid="{5f1d2857-6ac0-4635-a01b-a5f73473c36f}" ref="A250">
      <text>
        <t xml:space="preserve">[Threaded comment]
 Your version of Excel allows you to read this threaded comment; however, any edits to it will get removed if the file is opened in a newer version of Excel. Learn more: https://go.microsoft.com/fwlink/?linkid=870924
Comment:
	Wilber
Reply:
	Recoverable Dep $5,007.89
Ordinance or Law: $3,744.14
Reply:
	recived a payment letter for the O&amp;L
Reply:
	$554.43 in recoverable depreciation
$5,007.89 in recoverable depreciation
</t>
      </text>
    </comment>
    <comment authorId="731" xr:uid="{5f6075f4-6bea-4c82-aab7-826c191f27f7}" ref="A262">
      <text>
        <t xml:space="preserve">[Threaded comment]
 Your version of Excel allows you to read this threaded comment; however, any edits to it will get removed if the file is opened in a newer version of Excel. Learn more: https://go.microsoft.com/fwlink/?linkid=870924
Comment:
	01/28 Joshua will send lor for debby to settle both claims
</t>
      </text>
    </comment>
    <comment authorId="732" xr:uid="{5f6a09b5-80c2-4ba4-8e70-e64891ecd21c}" ref="A228">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733" xr:uid="{5f6a1621-bcc3-4381-bbaf-5fb19591cf90}" ref="A1">
      <text>
        <t xml:space="preserve">[Threaded comment]
 Your version of Excel allows you to read this threaded comment; however, any edits to it will get removed if the file is opened in a newer version of Excel. Learn more: https://go.microsoft.com/fwlink/?linkid=870924
Comment:
	09/20 follow up with Juan the policy issue via Whatsapp (CM)
</t>
      </text>
    </comment>
    <comment authorId="734" xr:uid="{5f738f3c-96d7-4312-b59e-b620d3ad600e}" ref="A1">
      <text>
        <t xml:space="preserve">[Threaded comment]
 Your version of Excel allows you to read this threaded comment; however, any edits to it will get removed if the file is opened in a newer version of Excel. Learn more: https://go.microsoft.com/fwlink/?linkid=870924
Comment:
	11/25 Sent to Ivan
</t>
      </text>
    </comment>
    <comment authorId="735" xr:uid="{5f7c2826-e91d-4f0b-ab57-6e9e87ad8d91}"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736" xr:uid="{5f91f646-f257-434f-bc14-ea2e6c6b06dd}" ref="A161">
      <text>
        <t xml:space="preserve">[Threaded comment]
 Your version of Excel allows you to read this threaded comment; however, any edits to it will get removed if the file is opened in a newer version of Excel. Learn more: https://go.microsoft.com/fwlink/?linkid=870924
Comment:
	07/17 asked Wilber if he want to take this claim for the appraisal (CM) @scheduling@ipadjustinggroup.com
</t>
      </text>
    </comment>
    <comment authorId="737" xr:uid="{5fb640e9-f00b-46c6-bd6a-ded8b82f6683}" ref="M250">
      <text>
        <t xml:space="preserve">[Threaded comment]
 Your version of Excel allows you to read this threaded comment; however, any edits to it will get removed if the file is opened in a newer version of Excel. Learn more: https://go.microsoft.com/fwlink/?linkid=870924
Comment:
	12/04 sent to carrier
</t>
      </text>
    </comment>
    <comment authorId="738" xr:uid="{5fba7cd1-2c37-47a5-bde3-20dfbcf5e874}" ref="N209">
      <text>
        <t xml:space="preserve">[Threaded comment]
 Your version of Excel allows you to read this threaded comment; however, any edits to it will get removed if the file is opened in a newer version of Excel. Learn more: https://go.microsoft.com/fwlink/?linkid=870924
Comment:
	10/1 enviado a juan
Reply:
	10/30 Juan approved the estimate
</t>
      </text>
    </comment>
    <comment authorId="739" xr:uid="{5fc670be-00f7-446a-b973-a19183299398}" ref="O203">
      <text>
        <t xml:space="preserve">[Threaded comment]
 Your version of Excel allows you to read this threaded comment; however, any edits to it will get removed if the file is opened in a newer version of Excel. Learn more: https://go.microsoft.com/fwlink/?linkid=870924
Comment:
	9/24 enviado al cliente
</t>
      </text>
    </comment>
    <comment authorId="740" xr:uid="{5ffad071-4e37-4052-a722-5631b8065727}" ref="A1">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741" xr:uid="{605a80c5-44b1-47be-8983-c8d39773fa76}" ref="A142">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742" xr:uid="{605b62db-d310-465e-ab47-00ed5508c2e7}" ref="S100">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743" xr:uid="{605d0c9f-b4a9-4785-9d7a-b52465dce45d}" ref="A1">
      <text>
        <t xml:space="preserve">[Threaded comment]
 Your version of Excel allows you to read this threaded comment; however, any edits to it will get removed if the file is opened in a newer version of Excel. Learn more: https://go.microsoft.com/fwlink/?linkid=870924
Comment:
	08/30
</t>
      </text>
    </comment>
    <comment authorId="744" xr:uid="{60618df6-1130-4934-a946-bbcd91bea743}" ref="V255">
      <text>
        <t xml:space="preserve">[Threaded comment]
 Your version of Excel allows you to read this threaded comment; however, any edits to it will get removed if the file is opened in a newer version of Excel. Learn more: https://go.microsoft.com/fwlink/?linkid=870924
Comment:
	11/21 received the IA report and determination letter, they are issuing a payment for 20k, asked JP to review the IA and send our estimate (CM)
</t>
      </text>
    </comment>
    <comment authorId="745" xr:uid="{60791350-dd3c-4c06-a127-9acfdd6b1d13}" ref="Q232">
      <text>
        <t xml:space="preserve">[Threaded comment]
 Your version of Excel allows you to read this threaded comment; however, any edits to it will get removed if the file is opened in a newer version of Excel. Learn more: https://go.microsoft.com/fwlink/?linkid=870924
Comment:
	12/16
</t>
      </text>
    </comment>
    <comment authorId="746" xr:uid="{607bde54-c96e-4d7b-b7b9-be05c50ee4e9}" ref="N272">
      <text>
        <t xml:space="preserve">[Threaded comment]
 Your version of Excel allows you to read this threaded comment; however, any edits to it will get removed if the file is opened in a newer version of Excel. Learn more: https://go.microsoft.com/fwlink/?linkid=870924
Comment:
	11/20 Sent to Juan for review
Reply:
	11/25 Juan approved the estimate
</t>
      </text>
    </comment>
    <comment authorId="747" xr:uid="{6103b862-324e-443a-80e6-fb6f5a4747ca}" ref="A1">
      <text>
        <t xml:space="preserve">[Threaded comment]
 Your version of Excel allows you to read this threaded comment; however, any edits to it will get removed if the file is opened in a newer version of Excel. Learn more: https://go.microsoft.com/fwlink/?linkid=870924
Comment:
	preguntar
</t>
      </text>
    </comment>
    <comment authorId="748" xr:uid="{612a2c41-4fbd-442b-9535-ce4a9fe09abf}" ref="V161">
      <text>
        <t xml:space="preserve">[Threaded comment]
 Your version of Excel allows you to read this threaded comment; however, any edits to it will get removed if the file is opened in a newer version of Excel. Learn more: https://go.microsoft.com/fwlink/?linkid=870924
Comment:
	10/24 DA made an offer for 25k, he also sent an undisputted for 15k, sent to PA's (CM)
Reply:
	10/25 Peter made a counter offer of $60,000 in new money in exchange for a release. (AL)
</t>
      </text>
    </comment>
    <comment authorId="749" xr:uid="{612df5f3-59f7-47b4-a639-9ce2d37bb6a4}" ref="N206">
      <text>
        <t xml:space="preserve">[Threaded comment]
 Your version of Excel allows you to read this threaded comment; however, any edits to it will get removed if the file is opened in a newer version of Excel. Learn more: https://go.microsoft.com/fwlink/?linkid=870924
Comment:
	8/28 enviado a david
Reply:
	8/28 aprobado por Juan
Marked as resolved
</t>
      </text>
    </comment>
    <comment authorId="750" xr:uid="{614ae216-e22f-4a93-a55a-90194a22ca1b}" ref="P231">
      <text>
        <t xml:space="preserve">[Threaded comment]
 Your version of Excel allows you to read this threaded comment; however, any edits to it will get removed if the file is opened in a newer version of Excel. Learn more: https://go.microsoft.com/fwlink/?linkid=870924
Comment:
	inspection done on 10/25 (CM)
</t>
      </text>
    </comment>
    <comment authorId="751" xr:uid="{615576ff-860d-43b1-8e1f-c33ed54b35df}" ref="A1">
      <text>
        <t xml:space="preserve">[Threaded comment]
 Your version of Excel allows you to read this threaded comment; however, any edits to it will get removed if the file is opened in a newer version of Excel. Learn more: https://go.microsoft.com/fwlink/?linkid=870924
Comment:
	03/08 left VM and emailed DA requesting IA (CM)
</t>
      </text>
    </comment>
    <comment authorId="752" xr:uid="{617612e6-ef49-4181-b94e-15e5aa7da24d}" ref="N255">
      <text>
        <t xml:space="preserve">[Threaded comment]
 Your version of Excel allows you to read this threaded comment; however, any edits to it will get removed if the file is opened in a newer version of Excel. Learn more: https://go.microsoft.com/fwlink/?linkid=870924
Comment:
	11/21 Sent to Ivan for review
Reply:
	12/10 Ivan approved
</t>
      </text>
    </comment>
    <comment authorId="753" xr:uid="{618a915e-e2d7-4a54-8fc8-99d9d2a0f81a}" ref="V348">
      <text>
        <t xml:space="preserve">[Threaded comment]
 Your version of Excel allows you to read this threaded comment; however, any edits to it will get removed if the file is opened in a newer version of Excel. Learn more: https://go.microsoft.com/fwlink/?linkid=870924
Comment:
	04/25 DA stand on their decision, aked PAs how to proceed (CM)
</t>
      </text>
    </comment>
    <comment authorId="754" xr:uid="{618b8053-3570-4529-976f-5025b3ff813f}" ref="V368">
      <text>
        <t xml:space="preserve">[Threaded comment]
 Your version of Excel allows you to read this threaded comment; however, any edits to it will get removed if the file is opened in a newer version of Excel. Learn more: https://go.microsoft.com/fwlink/?linkid=870924
Comment:
	08/13 DA informs that there is no coverage on this claim, asked IP if they want to request mediation (CM)
</t>
      </text>
    </comment>
    <comment authorId="755" xr:uid="{618fdd96-855d-4ad5-ac39-12e3d3db8f04}" ref="A362">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756" xr:uid="{6190f8ba-9ad0-4bc7-83ec-6fbd27cf11c3}" ref="P206">
      <text>
        <t xml:space="preserve">[Threaded comment]
 Your version of Excel allows you to read this threaded comment; however, any edits to it will get removed if the file is opened in a newer version of Excel. Learn more: https://go.microsoft.com/fwlink/?linkid=870924
Comment:
	10/03
</t>
      </text>
    </comment>
    <comment authorId="757" xr:uid="{619138d8-ee3b-4f3b-83d8-e282ca90440d}" ref="V271">
      <text>
        <t xml:space="preserve">[Threaded comment]
 Your version of Excel allows you to read this threaded comment; however, any edits to it will get removed if the file is opened in a newer version of Excel. Learn more: https://go.microsoft.com/fwlink/?linkid=870924
Comment:
	11/12 Asked Juan to send the scope again, filed it with description of loss: hurricane cause damage to the roof resulting in leaks (AL)
</t>
      </text>
    </comment>
    <comment authorId="758" xr:uid="{619e1f58-0188-45e6-8784-d658aa748505}" ref="P239">
      <text>
        <t xml:space="preserve">[Threaded comment]
 Your version of Excel allows you to read this threaded comment; however, any edits to it will get removed if the file is opened in a newer version of Excel. Learn more: https://go.microsoft.com/fwlink/?linkid=870924
Comment:
	inspection done on 10/28 (CM)
</t>
      </text>
    </comment>
    <comment authorId="759" xr:uid="{61adc27d-9c72-44d8-b55d-f3dfa5c07fc6}" ref="N410">
      <text>
        <t xml:space="preserve">[Threaded comment]
 Your version of Excel allows you to read this threaded comment; however, any edits to it will get removed if the file is opened in a newer version of Excel. Learn more: https://go.microsoft.com/fwlink/?linkid=870924
Comment:
	4/17/26 sent to ivan
</t>
      </text>
    </comment>
    <comment authorId="760" xr:uid="{6211a46f-a1a4-4698-9d0d-bd295e6b8545}" ref="O288">
      <text>
        <t xml:space="preserve">[Threaded comment]
 Your version of Excel allows you to read this threaded comment; however, any edits to it will get removed if the file is opened in a newer version of Excel. Learn more: https://go.microsoft.com/fwlink/?linkid=870924
Comment:
	5/1 sent to client
</t>
      </text>
    </comment>
    <comment authorId="761" xr:uid="{624b2701-c899-4c3f-b93d-14841aff6287}" ref="A1">
      <text>
        <t xml:space="preserve">[Threaded comment]
 Your version of Excel allows you to read this threaded comment; however, any edits to it will get removed if the file is opened in a newer version of Excel. Learn more: https://go.microsoft.com/fwlink/?linkid=870924
Comment:
	02/21 received a resolution letter, asked PAs how to proceed (CM)
</t>
      </text>
    </comment>
    <comment authorId="762" xr:uid="{624d1742-0fcd-47b2-a36f-8b9c0c840f42}" ref="N246">
      <text>
        <t xml:space="preserve">[Threaded comment]
 Your version of Excel allows you to read this threaded comment; however, any edits to it will get removed if the file is opened in a newer version of Excel. Learn more: https://go.microsoft.com/fwlink/?linkid=870924
Comment:
	10/30 Sent the estimate to Jakey for approval.
Reply:
	11/07 sent an updated estimate to Jakey for review.
Reply:
	11/07 Jakey approved the estimate.
</t>
      </text>
    </comment>
    <comment authorId="763" xr:uid="{62627f66-8005-4042-8b90-251c94828564}" ref="V299">
      <text>
        <t xml:space="preserve">[Threaded comment]
 Your version of Excel allows you to read this threaded comment; however, any edits to it will get removed if the file is opened in a newer version of Excel. Learn more: https://go.microsoft.com/fwlink/?linkid=870924
Comment:
	01/27 Peter is asking 42.5k (CM)
</t>
      </text>
    </comment>
    <comment authorId="764" xr:uid="{626da0a6-8d5a-4ef3-a109-5992fbd2392d}" ref="P227">
      <text>
        <t xml:space="preserve">[Threaded comment]
 Your version of Excel allows you to read this threaded comment; however, any edits to it will get removed if the file is opened in a newer version of Excel. Learn more: https://go.microsoft.com/fwlink/?linkid=870924
Comment:
	10/30
</t>
      </text>
    </comment>
    <comment authorId="765" xr:uid="{6270741d-3179-404a-b47f-5c430bd4898d}" ref="N205">
      <text>
        <t xml:space="preserve">[Threaded comment]
 Your version of Excel allows you to read this threaded comment; however, any edits to it will get removed if the file is opened in a newer version of Excel. Learn more: https://go.microsoft.com/fwlink/?linkid=870924
Comment:
	8/28 enviado a Jakey
Reply:
	8/28 aprobado
</t>
      </text>
    </comment>
    <comment authorId="766" xr:uid="{629fad2b-f286-4fcb-b836-e5ea9cb493ac}" ref="A161">
      <text>
        <t xml:space="preserve">[Threaded comment]
 Your version of Excel allows you to read this threaded comment; however, any edits to it will get removed if the file is opened in a newer version of Excel. Learn more: https://go.microsoft.com/fwlink/?linkid=870924
Comment:
	Stephen
Reply:
	Recoverable depreciation:
Coverage A: $3,856.53
</t>
      </text>
    </comment>
    <comment authorId="767" xr:uid="{62a1ec50-857b-4f12-ab48-50b9e0210b8d}" ref="V145">
      <text>
        <t xml:space="preserve">[Threaded comment]
 Your version of Excel allows you to read this threaded comment; however, any edits to it will get removed if the file is opened in a newer version of Excel. Learn more: https://go.microsoft.com/fwlink/?linkid=870924
Comment:
	07/11 DA sent us the denial letter, asked PA's how to proceed (CM)
</t>
      </text>
    </comment>
    <comment authorId="768" xr:uid="{62adb8b0-b854-4930-b481-3d053c2ea651}"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769" xr:uid="{62b608af-e83e-4545-9427-e3f70b27acbb}" ref="A1">
      <text>
        <t xml:space="preserve">[Threaded comment]
 Your version of Excel allows you to read this threaded comment; however, any edits to it will get removed if the file is opened in a newer version of Excel. Learn more: https://go.microsoft.com/fwlink/?linkid=870924
Comment:
	06/13 ask Joshua about this claim and the other PA firm (CM)
</t>
      </text>
    </comment>
    <comment authorId="770" xr:uid="{62ba9102-8573-40b7-a2ed-3c7b95bdc771}" ref="A1">
      <text>
        <t xml:space="preserve">[Threaded comment]
 Your version of Excel allows you to read this threaded comment; however, any edits to it will get removed if the file is opened in a newer version of Excel. Learn more: https://go.microsoft.com/fwlink/?linkid=870924
Comment:
	11/22
</t>
      </text>
    </comment>
    <comment authorId="771" xr:uid="{62f179c5-2939-46bf-a697-d8cda0ccb7d0}" ref="V368">
      <text>
        <t xml:space="preserve">[Threaded comment]
 Your version of Excel allows you to read this threaded comment; however, any edits to it will get removed if the file is opened in a newer version of Excel. Learn more: https://go.microsoft.com/fwlink/?linkid=870924
Comment:
	06/03 cc'd Iván so he may reply to DA inquiries (CM)
</t>
      </text>
    </comment>
    <comment authorId="772" xr:uid="{633c004d-a72d-4df2-9703-9b658eecf39c}" ref="N317">
      <text>
        <t xml:space="preserve">[Threaded comment]
 Your version of Excel allows you to read this threaded comment; however, any edits to it will get removed if the file is opened in a newer version of Excel. Learn more: https://go.microsoft.com/fwlink/?linkid=870924
Comment:
	3/14 sent to josh
Reply:
	3/26 aprobado
</t>
      </text>
    </comment>
    <comment authorId="773" xr:uid="{63a76b97-8824-4d6c-99e3-ae1bcb415757}" ref="N376">
      <text>
        <t xml:space="preserve">[Threaded comment]
 Your version of Excel allows you to read this threaded comment; however, any edits to it will get removed if the file is opened in a newer version of Excel. Learn more: https://go.microsoft.com/fwlink/?linkid=870924
Comment:
	6/27 sent to ivan
Reply:
	7/1 aprobado
</t>
      </text>
    </comment>
    <comment authorId="774" xr:uid="{63bc878f-eff5-4c47-807e-b81d76503e73}" ref="A247">
      <text>
        <t xml:space="preserve">[Threaded comment]
 Your version of Excel allows you to read this threaded comment; however, any edits to it will get removed if the file is opened in a newer version of Excel. Learn more: https://go.microsoft.com/fwlink/?linkid=870924
Comment:
	mediation @scheduling@ipadjustinggroup.com
Assigned to scheduling@ipadjustinggroup.com
Reply:
	Marked as done
</t>
      </text>
    </comment>
    <comment authorId="775" xr:uid="{64557e36-917d-4858-9799-e9c670274a26}" ref="P211">
      <text>
        <t xml:space="preserve">[Threaded comment]
 Your version of Excel allows you to read this threaded comment; however, any edits to it will get removed if the file is opened in a newer version of Excel. Learn more: https://go.microsoft.com/fwlink/?linkid=870924
Comment:
	Inspection will be on 10/29 (CM)
</t>
      </text>
    </comment>
    <comment authorId="776" xr:uid="{6474b259-5101-41b5-bdfc-0e7fe3e1d220}"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777" xr:uid="{64831377-4c59-4d98-9715-74485d98ab11}"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policy tenemos
</t>
      </text>
    </comment>
    <comment authorId="778" xr:uid="{64945f4c-045b-4984-ae13-87d7e84ea02c}" ref="V282">
      <text>
        <t xml:space="preserve">[Threaded comment]
 Your version of Excel allows you to read this threaded comment; however, any edits to it will get removed if the file is opened in a newer version of Excel. Learn more: https://go.microsoft.com/fwlink/?linkid=870924
Comment:
	01/27 they don't accept Peter as he is a desinterested party (CM)
</t>
      </text>
    </comment>
    <comment authorId="779" xr:uid="{64af215e-ab52-4bd9-8777-f76b813c53bb}" ref="A1">
      <text>
        <t xml:space="preserve">[Threaded comment]
 Your version of Excel allows you to read this threaded comment; however, any edits to it will get removed if the file is opened in a newer version of Excel. Learn more: https://go.microsoft.com/fwlink/?linkid=870924
Comment:
	05/10 received a determination letter, asked PAs how to proceed (CM)
</t>
      </text>
    </comment>
    <comment authorId="780" xr:uid="{64c2519c-e94b-417f-91e8-2d03d9b36d9b}" ref="P286">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781" xr:uid="{64d14bb2-ecd0-410c-a428-d24e253e9661}" ref="R383">
      <text>
        <t xml:space="preserve">[Threaded comment]
 Your version of Excel allows you to read this threaded comment; however, any edits to it will get removed if the file is opened in a newer version of Excel. Learn more: https://go.microsoft.com/fwlink/?linkid=870924
Comment:
	@admin@ipadjustinggroup.com Hoy me llamo la DA para agendar una llamada con Pete. Ella me dijo que es quien esta a cargo del reclamo. Te dejo la info mi Caro Yolanda Hollenquest / 678-266-8928
Assigned to admin@ipadjustinggroup.com
</t>
      </text>
    </comment>
    <comment authorId="782" xr:uid="{64d99e51-702b-460d-9633-dcfd7f1f1ba5}" ref="V299">
      <text>
        <t xml:space="preserve">[Threaded comment]
 Your version of Excel allows you to read this threaded comment; however, any edits to it will get removed if the file is opened in a newer version of Excel. Learn more: https://go.microsoft.com/fwlink/?linkid=870924
Comment:
	01/23 DA is offering 10k sent to PAs (CM)
01/27 Peter is asking 42.5k (CM)
Reply:
	01/28 DA says they can not offer more that 10k, asked Peter how to proceed (CM)
</t>
      </text>
    </comment>
    <comment authorId="783" xr:uid="{64fd3fc2-5919-4a86-88d4-2b1bf33eba1d}" ref="A1">
      <text>
        <t xml:space="preserve">[Threaded comment]
 Your version of Excel allows you to read this threaded comment; however, any edits to it will get removed if the file is opened in a newer version of Excel. Learn more: https://go.microsoft.com/fwlink/?linkid=870924
Comment:
	01/31 Resent insp letter. Follow up policy -DE
</t>
      </text>
    </comment>
    <comment authorId="784" xr:uid="{652a23bf-5a40-4b99-8b48-d3f0b952d9da}" ref="M351">
      <text>
        <t xml:space="preserve">[Threaded comment]
 Your version of Excel allows you to read this threaded comment; however, any edits to it will get removed if the file is opened in a newer version of Excel. Learn more: https://go.microsoft.com/fwlink/?linkid=870924
Comment:
	4/3 sent to carrier
</t>
      </text>
    </comment>
    <comment authorId="785" xr:uid="{6547f112-6c14-41e8-aa68-98cebd685563}" ref="A1">
      <text>
        <t xml:space="preserve">[Threaded comment]
 Your version of Excel allows you to read this threaded comment; however, any edits to it will get removed if the file is opened in a newer version of Excel. Learn more: https://go.microsoft.com/fwlink/?linkid=870924
Comment:
	08/07
</t>
      </text>
    </comment>
    <comment authorId="786" xr:uid="{65563291-742c-4479-8973-03b68403104d}" ref="V190">
      <text>
        <t xml:space="preserve">[Threaded comment]
 Your version of Excel allows you to read this threaded comment; however, any edits to it will get removed if the file is opened in a newer version of Excel. Learn more: https://go.microsoft.com/fwlink/?linkid=870924
Comment:
	01/28 Iván is asking 65k (CM)
</t>
      </text>
    </comment>
    <comment authorId="787" xr:uid="{6587a109-4a0a-45ce-a6b8-2beb9fb1fb3e}" ref="M206">
      <text>
        <t xml:space="preserve">[Threaded comment]
 Your version of Excel allows you to read this threaded comment; however, any edits to it will get removed if the file is opened in a newer version of Excel. Learn more: https://go.microsoft.com/fwlink/?linkid=870924
Comment:
	ESPERAR IA REPORT
Reply:
	10/16 enviado @admin@ipadjustinggroup.com
</t>
      </text>
    </comment>
    <comment authorId="788" xr:uid="{658896aa-1172-4679-b0e4-bb8309f6b22a}" ref="M194">
      <text>
        <t xml:space="preserve">[Threaded comment]
 Your version of Excel allows you to read this threaded comment; however, any edits to it will get removed if the file is opened in a newer version of Excel. Learn more: https://go.microsoft.com/fwlink/?linkid=870924
Comment:
	Enviar cuando este aprobado-reopen
Reply:
	7/30 enviado
Reply:
	8/13 enviado updated estimate
</t>
      </text>
    </comment>
    <comment authorId="789" xr:uid="{6597da5e-caa8-490d-a6bb-1fd29c866824}" ref="A334">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790" xr:uid="{65a301a3-8f23-409a-bfc3-87bd6c180e29}" ref="V201">
      <text>
        <t xml:space="preserve">[Threaded comment]
 Your version of Excel allows you to read this threaded comment; however, any edits to it will get removed if the file is opened in a newer version of Excel. Learn more: https://go.microsoft.com/fwlink/?linkid=870924
Comment:
	08/30 received a letter from DA requesting estimate, photos and all the support documentation, informed that once completed the ionspection we will send our estimate (CM)
</t>
      </text>
    </comment>
    <comment authorId="791" xr:uid="{661dcac1-e712-486f-bca4-89faada7f73c}"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792" xr:uid="{662cd0ac-cc2c-435e-999b-da80e4008924}" ref="V232">
      <text>
        <t xml:space="preserve">[Threaded comment]
 Your version of Excel allows you to read this threaded comment; however, any edits to it will get removed if the file is opened in a newer version of Excel. Learn more: https://go.microsoft.com/fwlink/?linkid=870924
Comment:
	12/30 followed up on this claim with PAs, asked about the settlement release and the mortgage company (CM)
</t>
      </text>
    </comment>
    <comment authorId="793" xr:uid="{668bbb1d-c53f-4c0d-ac65-6324150e4f7b}" ref="O163">
      <text>
        <t xml:space="preserve">[Threaded comment]
 Your version of Excel allows you to read this threaded comment; however, any edits to it will get removed if the file is opened in a newer version of Excel. Learn more: https://go.microsoft.com/fwlink/?linkid=870924
Comment:
	7/30 follow up
</t>
      </text>
    </comment>
    <comment authorId="794" xr:uid="{66a5b7fd-9d1f-4c9a-a8b7-eda1fae3b46a}"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795" xr:uid="{66b909ec-9c16-4440-98a5-18ad21e808b3}" ref="V87">
      <text>
        <t xml:space="preserve">[Threaded comment]
 Your version of Excel allows you to read this threaded comment; however, any edits to it will get removed if the file is opened in a newer version of Excel. Learn more: https://go.microsoft.com/fwlink/?linkid=870924
Comment:
	06/12 asked Juan for the estimate and photos (CM)
07/16 Peter will talk with Juan (CM)
</t>
      </text>
    </comment>
    <comment authorId="796" xr:uid="{66ee59dd-94da-4686-bb93-751da2c777ad}" ref="V207">
      <text>
        <t xml:space="preserve">[Threaded comment]
 Your version of Excel allows you to read this threaded comment; however, any edits to it will get removed if the file is opened in a newer version of Excel. Learn more: https://go.microsoft.com/fwlink/?linkid=870924
Comment:
	11/08 received the determination letter and IA report, asked JP to review and send our estimate (CM)
</t>
      </text>
    </comment>
    <comment authorId="797" xr:uid="{673f076e-0323-4358-8220-1173f258776c}"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798" xr:uid="{6741398d-9883-482a-b0c6-07f1e9c73ae9}" ref="V282">
      <text>
        <t xml:space="preserve">[Threaded comment]
 Your version of Excel allows you to read this threaded comment; however, any edits to it will get removed if the file is opened in a newer version of Excel. Learn more: https://go.microsoft.com/fwlink/?linkid=870924
Comment:
	12/11 asked Iván to send the awd receipt (CM)
</t>
      </text>
    </comment>
    <comment authorId="799" xr:uid="{675cbb53-4fc8-437e-8c61-20f78e5bfe7d}" ref="P195">
      <text>
        <t xml:space="preserve">[Threaded comment]
 Your version of Excel allows you to read this threaded comment; however, any edits to it will get removed if the file is opened in a newer version of Excel. Learn more: https://go.microsoft.com/fwlink/?linkid=870924
Comment:
	09/27
</t>
      </text>
    </comment>
    <comment authorId="800" xr:uid="{6765498d-59db-4980-8384-79398102b416}" ref="N382">
      <text>
        <t xml:space="preserve">[Threaded comment]
 Your version of Excel allows you to read this threaded comment; however, any edits to it will get removed if the file is opened in a newer version of Excel. Learn more: https://go.microsoft.com/fwlink/?linkid=870924
Comment:
	7/10 sent to Ivan
Reply:
	7/14 aprobado
</t>
      </text>
    </comment>
    <comment authorId="801" xr:uid="{67738738-3c8f-4b10-928a-1d883e7dc36f}" ref="M201">
      <text>
        <t xml:space="preserve">[Threaded comment]
 Your version of Excel allows you to read this threaded comment; however, any edits to it will get removed if the file is opened in a newer version of Excel. Learn more: https://go.microsoft.com/fwlink/?linkid=870924
Comment:
	11/07 Sent estimate and picture file to the carrier.
</t>
      </text>
    </comment>
    <comment authorId="802" xr:uid="{67948640-6da1-4718-91d2-b67b913826b6}" ref="V110">
      <text>
        <t xml:space="preserve">[Threaded comment]
 Your version of Excel allows you to read this threaded comment; however, any edits to it will get removed if the file is opened in a newer version of Excel. Learn more: https://go.microsoft.com/fwlink/?linkid=870924
Comment:
	10/10 DA is sending an undisputted for $11,446.02, sent the partial denial, engineer reports to PAs (CM)
</t>
      </text>
    </comment>
    <comment authorId="803" xr:uid="{679bc04f-aba7-47a9-89ba-9585fca9cd56}" ref="V345">
      <text>
        <t xml:space="preserve">[Threaded comment]
 Your version of Excel allows you to read this threaded comment; however, any edits to it will get removed if the file is opened in a newer version of Excel. Learn more: https://go.microsoft.com/fwlink/?linkid=870924
Comment:
	06/24 DA is asking for the previous claims on the property, asked Iván (CM)
</t>
      </text>
    </comment>
    <comment authorId="804" xr:uid="{67e46d5b-1f77-489a-a5e3-6b0e957f2009}" ref="A1">
      <text>
        <t xml:space="preserve">[Threaded comment]
 Your version of Excel allows you to read this threaded comment; however, any edits to it will get removed if the file is opened in a newer version of Excel. Learn more: https://go.microsoft.com/fwlink/?linkid=870924
Comment:
	11/05
</t>
      </text>
    </comment>
    <comment authorId="805" xr:uid="{6821c3b2-8dc0-45f6-8649-b72d1f00f2cf}" ref="V204">
      <text>
        <t xml:space="preserve">[Threaded comment]
 Your version of Excel allows you to read this threaded comment; however, any edits to it will get removed if the file is opened in a newer version of Excel. Learn more: https://go.microsoft.com/fwlink/?linkid=870924
Comment:
	11/01 recieved the engineer report, the payment letter, DA is offering 1.9k in exchange of a settlement release, sent to PAs asked to call DA, we have requested mediation (CM)
</t>
      </text>
    </comment>
    <comment authorId="806" xr:uid="{686dd47b-6acc-47bc-b69c-85d9ab4e203b}" ref="A1">
      <text>
        <t xml:space="preserve">[Threaded comment]
 Your version of Excel allows you to read this threaded comment; however, any edits to it will get removed if the file is opened in a newer version of Excel. Learn more: https://go.microsoft.com/fwlink/?linkid=870924
Comment:
	11/26
</t>
      </text>
    </comment>
    <comment authorId="807" xr:uid="{689e40ba-6330-4740-9624-75fa75165d9e}"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808" xr:uid="{68b95d25-54cd-42cf-bc0e-15c1f8446a81}" ref="A1">
      <text>
        <t xml:space="preserve">[Threaded comment]
 Your version of Excel allows you to read this threaded comment; however, any edits to it will get removed if the file is opened in a newer version of Excel. Learn more: https://go.microsoft.com/fwlink/?linkid=870924
Comment:
	10/01
</t>
      </text>
    </comment>
    <comment authorId="809" xr:uid="{68c9d1a0-6e02-4a4e-b617-01a9fb592384}" ref="M217">
      <text>
        <t xml:space="preserve">[Threaded comment]
 Your version of Excel allows you to read this threaded comment; however, any edits to it will get removed if the file is opened in a newer version of Excel. Learn more: https://go.microsoft.com/fwlink/?linkid=870924
Comment:
	esperar IA report
Reply:
	12/06 sent to carrier
</t>
      </text>
    </comment>
    <comment authorId="810" xr:uid="{68d2dbde-817c-4efa-9ef2-ad9821f49392}" ref="V212">
      <text>
        <t xml:space="preserve">[Threaded comment]
 Your version of Excel allows you to read this threaded comment; however, any edits to it will get removed if the file is opened in a newer version of Excel. Learn more: https://go.microsoft.com/fwlink/?linkid=870924
Comment:
	11/08 received the denial letter, the IA report, sent to Pas asked how to proceed, asked JP to send our estimate (CM)
Reply:
	11/15 Iván will correct the estimate with JP then he will request mediation (CM)
</t>
      </text>
    </comment>
    <comment authorId="811" xr:uid="{68db4482-c688-4ce1-8608-b1dc5c3cbfbe}"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812" xr:uid="{68f879c2-94dc-41d3-9c23-ec81b4b7c47e}" ref="N211">
      <text>
        <t xml:space="preserve">[Threaded comment]
 Your version of Excel allows you to read this threaded comment; however, any edits to it will get removed if the file is opened in a newer version of Excel. Learn more: https://go.microsoft.com/fwlink/?linkid=870924
Comment:
	10/23 sent to ivan
Reply:
	12/10 David approved the estimate
</t>
      </text>
    </comment>
    <comment authorId="813" xr:uid="{69021ded-300d-4d9b-bd35-6bed1f73191d}"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814" xr:uid="{690f0fbb-acb6-4ac8-bf73-44f7ecc16abc}" ref="A179">
      <text>
        <t xml:space="preserve">[Threaded comment]
 Your version of Excel allows you to read this threaded comment; however, any edits to it will get removed if the file is opened in a newer version of Excel. Learn more: https://go.microsoft.com/fwlink/?linkid=870924
Comment:
	Joshua
Reply:
	Ordinance and Law: $616.65,
</t>
      </text>
    </comment>
    <comment authorId="815" xr:uid="{6925eee7-168e-4f86-bee6-c52beac9b1f1}" ref="P267">
      <text>
        <t xml:space="preserve">[Threaded comment]
 Your version of Excel allows you to read this threaded comment; however, any edits to it will get removed if the file is opened in a newer version of Excel. Learn more: https://go.microsoft.com/fwlink/?linkid=870924
Comment:
	insp will be 11/15 (CM)
</t>
      </text>
    </comment>
    <comment authorId="816" xr:uid="{6935ecf6-2b1d-4f55-8798-ee9ef8dafa68}" ref="O181">
      <text>
        <t xml:space="preserve">[Threaded comment]
 Your version of Excel allows you to read this threaded comment; however, any edits to it will get removed if the file is opened in a newer version of Excel. Learn more: https://go.microsoft.com/fwlink/?linkid=870924
Comment:
	paul porfa llena SPOL te mande mail hoy  @jp.ipestimates@gmail.com
Reply:
	este es de UNIVERSAL tiene q subirlo perry
Reply:
	pero vos hacerlo primero y hacerle firmar al cliente y notarizar...
Reply:
	8/13 enviado al cliente para firma @admin@ipadjustinggroup.com
</t>
      </text>
    </comment>
    <comment authorId="817" xr:uid="{69521f3a-3649-49a9-9ef2-a52229e24ab3}" ref="A121">
      <text>
        <t xml:space="preserve">[Threaded comment]
 Your version of Excel allows you to read this threaded comment; however, any edits to it will get removed if the file is opened in a newer version of Excel. Learn more: https://go.microsoft.com/fwlink/?linkid=870924
Comment:
	Stephen
</t>
      </text>
    </comment>
    <comment authorId="818" xr:uid="{69767a3f-4638-4912-8b1e-36c30012b072}" ref="V147">
      <text>
        <t xml:space="preserve">[Threaded comment]
 Your version of Excel allows you to read this threaded comment; however, any edits to it will get removed if the file is opened in a newer version of Excel. Learn more: https://go.microsoft.com/fwlink/?linkid=870924
Comment:
	08/12 Peter sent the flooring invoice and asked 12.5k to settle (CM)
Reply:
	09/06 carrier has make a counteroffer for 5k (CM)
</t>
      </text>
    </comment>
    <comment authorId="819" xr:uid="{698657ed-5f86-4013-b31b-ba3fa60479f2}" ref="V264">
      <text>
        <t xml:space="preserve">[Threaded comment]
 Your version of Excel allows you to read this threaded comment; however, any edits to it will get removed if the file is opened in a newer version of Excel. Learn more: https://go.microsoft.com/fwlink/?linkid=870924
Comment:
	01/24 DA is questioning some items on the estimate , sent to PAs (CM)
</t>
      </text>
    </comment>
    <comment authorId="820" xr:uid="{6998a0c7-1e45-43e2-91bd-5c00444f5030}" ref="N195">
      <text>
        <t xml:space="preserve">[Threaded comment]
 Your version of Excel allows you to read this threaded comment; however, any edits to it will get removed if the file is opened in a newer version of Excel. Learn more: https://go.microsoft.com/fwlink/?linkid=870924
Comment:
	7/26 enviado a Juan.
Este estimado ya tienes revisaras el mail, la semana pasada te mando me acuerdo @jp.ipestimates@gmail.com
Reply:
	8/28 aprobado por juan @admin@ipadjustinggroup.com
</t>
      </text>
    </comment>
    <comment authorId="821" xr:uid="{69aefe4e-dd92-41a0-af0e-a79c7dd0c8de}" ref="V168">
      <text>
        <t xml:space="preserve">[Threaded comment]
 Your version of Excel allows you to read this threaded comment; however, any edits to it will get removed if the file is opened in a newer version of Excel. Learn more: https://go.microsoft.com/fwlink/?linkid=870924
Comment:
	09/09 left a vm and emailed DA requesting for a copy of the policy, mediation will be on 09/11 (CM)
</t>
      </text>
    </comment>
    <comment authorId="822" xr:uid="{69bbd229-81e6-4dd0-9bce-7e67a27ab008}" ref="A1">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823" xr:uid="{69d1b661-cf22-424b-acbf-c5ce73adc20d}" ref="M205">
      <text>
        <t xml:space="preserve">[Threaded comment]
 Your version of Excel allows you to read this threaded comment; however, any edits to it will get removed if the file is opened in a newer version of Excel. Learn more: https://go.microsoft.com/fwlink/?linkid=870924
Comment:
	8/28 sent to carrier
</t>
      </text>
    </comment>
    <comment authorId="824" xr:uid="{69de662b-3abf-4899-9343-e382c11afd8f}" ref="A198">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825" xr:uid="{69e3df0f-4338-4f38-a908-86d888769dbe}" ref="M197">
      <text>
        <t xml:space="preserve">[Threaded comment]
 Your version of Excel allows you to read this threaded comment; however, any edits to it will get removed if the file is opened in a newer version of Excel. Learn more: https://go.microsoft.com/fwlink/?linkid=870924
Comment:
	esperar IA report
Reply:
	ENVIAR ESTIMADO
</t>
      </text>
    </comment>
    <comment authorId="826" xr:uid="{69e58ffa-0119-40d4-9c79-8aeecd07c8f8}" ref="V216">
      <text>
        <t xml:space="preserve">[Threaded comment]
 Your version of Excel allows you to read this threaded comment; however, any edits to it will get removed if the file is opened in a newer version of Excel. Learn more: https://go.microsoft.com/fwlink/?linkid=870924
Comment:
	01/31 DA sent an undisputted check for 5k and final IA, sent to PAs, asked them if they want to request mediation (CM)
</t>
      </text>
    </comment>
    <comment authorId="827" xr:uid="{6a08518c-9d20-4c39-a92e-3c22f08e2bb3}" ref="V244">
      <text>
        <t xml:space="preserve">[Threaded comment]
 Your version of Excel allows you to read this threaded comment; however, any edits to it will get removed if the file is opened in a newer version of Excel. Learn more: https://go.microsoft.com/fwlink/?linkid=870924
Comment:
	03/10 followed up on the 30K countefoffer Peter did (CM)
</t>
      </text>
    </comment>
    <comment authorId="828" xr:uid="{6a19ec44-4229-4f63-87d0-35f15699b568}" ref="A236">
      <text>
        <t xml:space="preserve">[Threaded comment]
 Your version of Excel allows you to read this threaded comment; however, any edits to it will get removed if the file is opened in a newer version of Excel. Learn more: https://go.microsoft.com/fwlink/?linkid=870924
Comment:
	Juan
Reply:
	recoverable depreciation: $7,646.56
</t>
      </text>
    </comment>
    <comment authorId="829" xr:uid="{6a1a274f-2a75-4e5e-9cdd-f2173e004578}" ref="N251">
      <text>
        <t xml:space="preserve">[Threaded comment]
 Your version of Excel allows you to read this threaded comment; however, any edits to it will get removed if the file is opened in a newer version of Excel. Learn more: https://go.microsoft.com/fwlink/?linkid=870924
Comment:
	11/05 Sent the estimate to Angie for approval.
Reply:
	11/19 aprobado por angie
</t>
      </text>
    </comment>
    <comment authorId="830" xr:uid="{6a7c1149-2b1f-4ad3-ad72-6cec2d23ec88}" ref="N304">
      <text>
        <t xml:space="preserve">[Threaded comment]
 Your version of Excel allows you to read this threaded comment; however, any edits to it will get removed if the file is opened in a newer version of Excel. Learn more: https://go.microsoft.com/fwlink/?linkid=870924
Comment:
	1/13/25 sent to josh
Reply:
	1/13/25 aprobado
</t>
      </text>
    </comment>
    <comment authorId="831" xr:uid="{6aa0fb2d-d643-4c72-8910-019924e12f3e}" ref="V107">
      <text>
        <t xml:space="preserve">[Threaded comment]
 Your version of Excel allows you to read this threaded comment; however, any edits to it will get removed if the file is opened in a newer version of Excel. Learn more: https://go.microsoft.com/fwlink/?linkid=870924
Comment:
	06/12 asked Juan to review the estimate and photos (CM)
</t>
      </text>
    </comment>
    <comment authorId="832" xr:uid="{6aa63305-cc1d-4c1a-80d6-e48dd3a4b258}" ref="A1">
      <text>
        <t xml:space="preserve">[Threaded comment]
 Your version of Excel allows you to read this threaded comment; however, any edits to it will get removed if the file is opened in a newer version of Excel. Learn more: https://go.microsoft.com/fwlink/?linkid=870924
Comment:
	09/26
</t>
      </text>
    </comment>
    <comment authorId="833" xr:uid="{6ac85794-80c2-4836-81fb-87590e9c90bf}" ref="A1">
      <text>
        <t xml:space="preserve">[Threaded comment]
 Your version of Excel allows you to read this threaded comment; however, any edits to it will get removed if the file is opened in a newer version of Excel. Learn more: https://go.microsoft.com/fwlink/?linkid=870924
Comment:
	client recently updated 5/28
</t>
      </text>
    </comment>
    <comment authorId="834" xr:uid="{6b76df43-31d9-4dcd-9b4f-ac7e7ae40947}" ref="P132">
      <text>
        <t xml:space="preserve">[Threaded comment]
 Your version of Excel allows you to read this threaded comment; however, any edits to it will get removed if the file is opened in a newer version of Excel. Learn more: https://go.microsoft.com/fwlink/?linkid=870924
Comment:
	08/09 left a VM to DA, asking for the IA report or determination letter, sent an email too (CM)
</t>
      </text>
    </comment>
    <comment authorId="835" xr:uid="{6bbf7978-3340-4dd1-96e3-ddeb1f440594}"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836" xr:uid="{6bc3a782-881e-4fe2-8447-b8dea3b0d7cb}" ref="M226">
      <text>
        <t xml:space="preserve">[Threaded comment]
 Your version of Excel allows you to read this threaded comment; however, any edits to it will get removed if the file is opened in a newer version of Excel. Learn more: https://go.microsoft.com/fwlink/?linkid=870924
Comment:
	1/7/25 sent to DA
Reply:
	2/26 sent an update to DA
Reply:
	5/30 Juan pide hacer un update, bajando medidas del techo, sent.
</t>
      </text>
    </comment>
    <comment authorId="837" xr:uid="{6be491b4-b083-4f81-989f-a8a120389c46}" ref="M292">
      <text>
        <t xml:space="preserve">[Threaded comment]
 Your version of Excel allows you to read this threaded comment; however, any edits to it will get removed if the file is opened in a newer version of Excel. Learn more: https://go.microsoft.com/fwlink/?linkid=870924
Comment:
	12/30 sent to DA
</t>
      </text>
    </comment>
    <comment authorId="838" xr:uid="{6c13a310-0db3-42fd-8903-aa325787e255}" ref="O184">
      <text>
        <t xml:space="preserve">[Threaded comment]
 Your version of Excel allows you to read this threaded comment; however, any edits to it will get removed if the file is opened in a newer version of Excel. Learn more: https://go.microsoft.com/fwlink/?linkid=870924
Comment:
	11/06 pedi a Juan enviar estimado.
</t>
      </text>
    </comment>
    <comment authorId="839" xr:uid="{6c1f4525-5714-4e4f-bd5e-696a7624188a}" ref="A1">
      <text>
        <t xml:space="preserve">[Threaded comment]
 Your version of Excel allows you to read this threaded comment; however, any edits to it will get removed if the file is opened in a newer version of Excel. Learn more: https://go.microsoft.com/fwlink/?linkid=870924
Comment:
	01/17
</t>
      </text>
    </comment>
    <comment authorId="840" xr:uid="{6c2a8f58-d907-4528-9d2a-4968fe5d2310}" ref="A367">
      <text>
        <t xml:space="preserve">[Threaded comment]
 Your version of Excel allows you to read this threaded comment; however, any edits to it will get removed if the file is opened in a newer version of Excel. Learn more: https://go.microsoft.com/fwlink/?linkid=870924
Comment:
	Juan (won't charge for this claim)
</t>
      </text>
    </comment>
    <comment authorId="841" xr:uid="{6c2b325f-5117-49c8-b2d0-698507bd702a}" ref="N217">
      <text>
        <t xml:space="preserve">[Threaded comment]
 Your version of Excel allows you to read this threaded comment; however, any edits to it will get removed if the file is opened in a newer version of Excel. Learn more: https://go.microsoft.com/fwlink/?linkid=870924
Comment:
	10/25 Sent the estimate to Myers for approval.
Reply:
	10/25 Myers approved the estimate.
</t>
      </text>
    </comment>
    <comment authorId="842" xr:uid="{6c385680-ce41-4db9-825a-9e8fcc64a8dd}" ref="P194">
      <text>
        <t xml:space="preserve">[Threaded comment]
 Your version of Excel allows you to read this threaded comment; however, any edits to it will get removed if the file is opened in a newer version of Excel. Learn more: https://go.microsoft.com/fwlink/?linkid=870924
Comment:
	09/23
</t>
      </text>
    </comment>
    <comment authorId="843" xr:uid="{6c6fcce6-180b-4694-9ae2-39d72cbb45f7}" ref="M361">
      <text>
        <t xml:space="preserve">[Threaded comment]
 Your version of Excel allows you to read this threaded comment; however, any edits to it will get removed if the file is opened in a newer version of Excel. Learn more: https://go.microsoft.com/fwlink/?linkid=870924
Comment:
	5/28 sent to DA and client
</t>
      </text>
    </comment>
    <comment authorId="844" xr:uid="{6c9a26e5-11c0-4af7-ba25-acf9c485cb06}" ref="N267">
      <text>
        <t xml:space="preserve">[Threaded comment]
 Your version of Excel allows you to read this threaded comment; however, any edits to it will get removed if the file is opened in a newer version of Excel. Learn more: https://go.microsoft.com/fwlink/?linkid=870924
Comment:
	11/17 Sent the estimate to David for review
Reply:
	4/17/25 sent an update to Ivan
Reply:
	4/28 aprobado
</t>
      </text>
    </comment>
    <comment authorId="845" xr:uid="{6cbeac30-7865-482a-a5cf-01ed82b2b7ea}"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846" xr:uid="{6ccbc4fe-0c43-4f39-855c-70f8c4befa12}" ref="O207">
      <text>
        <t xml:space="preserve">[Threaded comment]
 Your version of Excel allows you to read this threaded comment; however, any edits to it will get removed if the file is opened in a newer version of Excel. Learn more: https://go.microsoft.com/fwlink/?linkid=870924
Comment:
	12/17 sent. JP
</t>
      </text>
    </comment>
    <comment authorId="847" xr:uid="{6ced7124-c49c-48a5-a137-f081d4cdd0d2}" ref="M400">
      <text>
        <t xml:space="preserve">[Threaded comment]
 Your version of Excel allows you to read this threaded comment; however, any edits to it will get removed if the file is opened in a newer version of Excel. Learn more: https://go.microsoft.com/fwlink/?linkid=870924
Comment:
	ESPERAR EL IA REPORT
Reply:
	4/21 sent to DA
Reply:
	5/19 sent an update to ivancho
</t>
      </text>
    </comment>
    <comment authorId="848" xr:uid="{6d163049-b130-4037-abfd-5a5379720bca}" ref="P110">
      <text>
        <t xml:space="preserve">[Threaded comment]
 Your version of Excel allows you to read this threaded comment; however, any edits to it will get removed if the file is opened in a newer version of Excel. Learn more: https://go.microsoft.com/fwlink/?linkid=870924
Comment:
	09/23
</t>
      </text>
    </comment>
    <comment authorId="849" xr:uid="{6d2253cc-8846-477a-b4b8-e2f4ea96f367}" ref="O122">
      <text>
        <t xml:space="preserve">[Threaded comment]
 Your version of Excel allows you to read this threaded comment; however, any edits to it will get removed if the file is opened in a newer version of Excel. Learn more: https://go.microsoft.com/fwlink/?linkid=870924
Comment:
	9/11 enviado a cliente
</t>
      </text>
    </comment>
    <comment authorId="850" xr:uid="{6d6845da-0713-41a8-858e-88245818f9d9}" ref="U218">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851" xr:uid="{6d7b8302-e111-45bd-ad9a-9ba9b853c31d}" ref="O218">
      <text>
        <t xml:space="preserve">[Threaded comment]
 Your version of Excel allows you to read this threaded comment; however, any edits to it will get removed if the file is opened in a newer version of Excel. Learn more: https://go.microsoft.com/fwlink/?linkid=870924
Comment:
	12/17 sent to client. JP
</t>
      </text>
    </comment>
    <comment authorId="852" xr:uid="{6da253ea-d94c-446c-83da-dc86d58b1539}" ref="A223">
      <text>
        <t xml:space="preserve">[Threaded comment]
 Your version of Excel allows you to read this threaded comment; however, any edits to it will get removed if the file is opened in a newer version of Excel. Learn more: https://go.microsoft.com/fwlink/?linkid=870924
Comment:
	11/18 sent to Stephen (CM)
</t>
      </text>
    </comment>
    <comment authorId="853" xr:uid="{6da6cd29-e1aa-49d5-8d9f-5da960788cf6}" ref="A1">
      <text>
        <t xml:space="preserve">[Threaded comment]
 Your version of Excel allows you to read this threaded comment; however, any edits to it will get removed if the file is opened in a newer version of Excel. Learn more: https://go.microsoft.com/fwlink/?linkid=870924
Comment:
	09/25
</t>
      </text>
    </comment>
    <comment authorId="854" xr:uid="{6ddbcfd1-a4f0-46dd-9b4f-db7e57e9d65e}" ref="V273">
      <text>
        <t xml:space="preserve">[Threaded comment]
 Your version of Excel allows you to read this threaded comment; however, any edits to it will get removed if the file is opened in a newer version of Excel. Learn more: https://go.microsoft.com/fwlink/?linkid=870924
Comment:
	11/11 Asked Juan to sign the LOR and send the scope, and asked if this claim is already filed and if he did already the inspection as in the contract says the contract date 10/23 (CM)
</t>
      </text>
    </comment>
    <comment authorId="855" xr:uid="{6deef390-f533-48d8-932f-5af4dee11588}" ref="P306">
      <text>
        <t xml:space="preserve">[Threaded comment]
 Your version of Excel allows you to read this threaded comment; however, any edits to it will get removed if the file is opened in a newer version of Excel. Learn more: https://go.microsoft.com/fwlink/?linkid=870924
Comment:
	02/11 rs
02/18 eng
</t>
      </text>
    </comment>
    <comment authorId="856" xr:uid="{6df49e4a-6905-4fad-ada1-145ef9cb0b2b}" ref="A121">
      <text>
        <t xml:space="preserve">[Threaded comment]
 Your version of Excel allows you to read this threaded comment; however, any edits to it will get removed if the file is opened in a newer version of Excel. Learn more: https://go.microsoft.com/fwlink/?linkid=870924
Comment:
	Stephen
</t>
      </text>
    </comment>
    <comment authorId="857" xr:uid="{6df91eea-df46-4c8b-8ed1-3d9911994eff}" ref="M228">
      <text>
        <t xml:space="preserve">[Threaded comment]
 Your version of Excel allows you to read this threaded comment; however, any edits to it will get removed if the file is opened in a newer version of Excel. Learn more: https://go.microsoft.com/fwlink/?linkid=870924
Comment:
	esperar IA report
</t>
      </text>
    </comment>
    <comment authorId="858" xr:uid="{6e2391b9-77d8-48e8-8c41-4627e430822d}" ref="A162">
      <text>
        <t xml:space="preserve">[Threaded comment]
 Your version of Excel allows you to read this threaded comment; however, any edits to it will get removed if the file is opened in a newer version of Excel. Learn more: https://go.microsoft.com/fwlink/?linkid=870924
Comment:
	08/20 requested mediation (CM) @scheduling@ipadjustinggroup.com
</t>
      </text>
    </comment>
    <comment authorId="859" xr:uid="{6e2994b7-c34a-40fe-afea-b8ac164968bd}" ref="O239">
      <text>
        <t xml:space="preserve">[Threaded comment]
 Your version of Excel allows you to read this threaded comment; however, any edits to it will get removed if the file is opened in a newer version of Excel. Learn more: https://go.microsoft.com/fwlink/?linkid=870924
Comment:
	no policy on CW
</t>
      </text>
    </comment>
    <comment authorId="860" xr:uid="{6e4dbde8-07bc-4716-bcba-b0f001305b22}" ref="N253">
      <text>
        <t xml:space="preserve">[Threaded comment]
 Your version of Excel allows you to read this threaded comment; however, any edits to it will get removed if the file is opened in a newer version of Excel. Learn more: https://go.microsoft.com/fwlink/?linkid=870924
Comment:
	11/17 Sent the estimate to Ivan for review.
Reply:
	11/19 Ivan approved the estimate
</t>
      </text>
    </comment>
    <comment authorId="861" xr:uid="{6e53ec55-f967-4bd1-8488-25e9978dbba4}" ref="V187">
      <text>
        <t xml:space="preserve">[Threaded comment]
 Your version of Excel allows you to read this threaded comment; however, any edits to it will get removed if the file is opened in a newer version of Excel. Learn more: https://go.microsoft.com/fwlink/?linkid=870924
Comment:
	08/28 received a rejection letter for the appraisal, sent to I&amp;P (CM)
</t>
      </text>
    </comment>
    <comment authorId="862" xr:uid="{6e5645d0-0740-4974-a030-a646034319bf}" ref="V209">
      <text>
        <t xml:space="preserve">[Threaded comment]
 Your version of Excel allows you to read this threaded comment; however, any edits to it will get removed if the file is opened in a newer version of Excel. Learn more: https://go.microsoft.com/fwlink/?linkid=870924
Comment:
	10/24 Received the determination letter, the IA report (CM)
Reply:
	12/30 asked PAs how we can move forward on this claim as we have a determiantion already (CM)
</t>
      </text>
    </comment>
    <comment authorId="863" xr:uid="{6e6aab2b-9c42-4268-9709-5bca0a30d36a}" ref="V155">
      <text>
        <t xml:space="preserve">[Threaded comment]
 Your version of Excel allows you to read this threaded comment; however, any edits to it will get removed if the file is opened in a newer version of Excel. Learn more: https://go.microsoft.com/fwlink/?linkid=870924
Comment:
	09/23 left a VM to DA and emailed requesting for a copy of the IA report or his determination on this claim, EUO scheduled for 10/14 (CM)
</t>
      </text>
    </comment>
    <comment authorId="864" xr:uid="{6eb874ab-735a-406d-8862-8d9e686e622d}" ref="A134">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$1,763.44
Coverage B: $609.86
</t>
      </text>
    </comment>
    <comment authorId="865" xr:uid="{6f118116-487f-4c02-bb83-6096220f9cc3}" ref="N346">
      <text>
        <t xml:space="preserve">[Threaded comment]
 Your version of Excel allows you to read this threaded comment; however, any edits to it will get removed if the file is opened in a newer version of Excel. Learn more: https://go.microsoft.com/fwlink/?linkid=870924
Comment:
	4/3 sent to josh
Reply:
	4/3 aprobado
</t>
      </text>
    </comment>
    <comment authorId="866" xr:uid="{6f2c6351-395a-4f92-85f2-a7f4fd8292bf}" ref="A315">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867" xr:uid="{6f936b5e-8f7f-4bda-8ff2-bb2415dae4b5}" ref="A188">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868" xr:uid="{6f9e2913-d081-41b7-b83b-c53115ea72e3}"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869" xr:uid="{6fd052bf-9176-4eac-9017-d7e177264315}" ref="A132">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870" xr:uid="{6ffe7128-21aa-4a48-a7b4-7a34a043fa77}" ref="A169">
      <text>
        <t xml:space="preserve">[Threaded comment]
 Your version of Excel allows you to read this threaded comment; however, any edits to it will get removed if the file is opened in a newer version of Excel. Learn more: https://go.microsoft.com/fwlink/?linkid=870924
Comment:
	07/25 received the appraisal agreement to be signed, sent to Peter and Day to schedule (CM)
@scheduling@ipadjustinggroup.com
Reply:
	Marked as resolved
</t>
      </text>
    </comment>
    <comment authorId="871" xr:uid="{6fff67ce-c5ac-49a8-aff9-110b80400b25}" ref="M268">
      <text>
        <t xml:space="preserve">[Threaded comment]
 Your version of Excel allows you to read this threaded comment; however, any edits to it will get removed if the file is opened in a newer version of Excel. Learn more: https://go.microsoft.com/fwlink/?linkid=870924
Comment:
	1/14/25 sent to carrier
Reply:
	6/11 Sent to DA
</t>
      </text>
    </comment>
    <comment authorId="872" xr:uid="{701a8f03-50e0-4c20-8a86-755f0b9429c6}" ref="V273">
      <text>
        <t xml:space="preserve">[Threaded comment]
 Your version of Excel allows you to read this threaded comment; however, any edits to it will get removed if the file is opened in a newer version of Excel. Learn more: https://go.microsoft.com/fwlink/?linkid=870924
Comment:
	12/19 received the determination letter and IA report (CM)
</t>
      </text>
    </comment>
    <comment authorId="873" xr:uid="{701f2d04-086b-4008-924a-076e44bc889f}" ref="N160">
      <text>
        <t xml:space="preserve">[Threaded comment]
 Your version of Excel allows you to read this threaded comment; however, any edits to it will get removed if the file is opened in a newer version of Excel. Learn more: https://go.microsoft.com/fwlink/?linkid=870924
Comment:
	7/16 sent to Juan
7/29 sent to perry (Universal)
</t>
      </text>
    </comment>
    <comment authorId="874" xr:uid="{7046faeb-639c-4096-bd69-be95824aa25e}" ref="A272">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875" xr:uid="{704ecb3a-e314-486f-997c-d8b20fbb486a}" ref="V191">
      <text>
        <t xml:space="preserve">[Threaded comment]
 Your version of Excel allows you to read this threaded comment; however, any edits to it will get removed if the file is opened in a newer version of Excel. Learn more: https://go.microsoft.com/fwlink/?linkid=870924
Comment:
	09/20 receieved the engineer report and determination letter, sent to PA's and JP for their review, asked JP to send our estimate (CM)
</t>
      </text>
    </comment>
    <comment authorId="876" xr:uid="{70654c14-76c5-4a3e-b7b9-d3aadff284e6}" ref="V218">
      <text>
        <t xml:space="preserve">[Threaded comment]
 Your version of Excel allows you to read this threaded comment; however, any edits to it will get removed if the file is opened in a newer version of Excel. Learn more: https://go.microsoft.com/fwlink/?linkid=870924
Comment:
	11/25 Sent to JP the IA, asked him to send our estimate (CM)
</t>
      </text>
    </comment>
    <comment authorId="877" xr:uid="{7095db40-9d98-4f94-96bf-098ba8dcbace}" ref="N294">
      <text>
        <t xml:space="preserve">[Threaded comment]
 Your version of Excel allows you to read this threaded comment; however, any edits to it will get removed if the file is opened in a newer version of Excel. Learn more: https://go.microsoft.com/fwlink/?linkid=870924
Comment:
	1/9/25 sent to ivan
Reply:
	1/13/25 ivan approved
</t>
      </text>
    </comment>
    <comment authorId="878" xr:uid="{70b6fdda-aef1-46d3-8d7c-80dcffa4978d}" ref="V198">
      <text>
        <t xml:space="preserve">[Threaded comment]
 Your version of Excel allows you to read this threaded comment; however, any edits to it will get removed if the file is opened in a newer version of Excel. Learn more: https://go.microsoft.com/fwlink/?linkid=870924
Comment:
	01/08 received an email from DA saying that this claim was settled back in 2022, sent to PAs (CM)
</t>
      </text>
    </comment>
    <comment authorId="879" xr:uid="{70bc9fef-19f2-4326-a870-c1b5c37f55e0}" ref="A1">
      <text>
        <t xml:space="preserve">[Threaded comment]
 Your version of Excel allows you to read this threaded comment; however, any edits to it will get removed if the file is opened in a newer version of Excel. Learn more: https://go.microsoft.com/fwlink/?linkid=870924
Comment:
	09/24
</t>
      </text>
    </comment>
    <comment authorId="880" xr:uid="{70e8d1b2-20d0-4eb1-a988-28dda29de186}" ref="V263">
      <text>
        <t xml:space="preserve">[Threaded comment]
 Your version of Excel allows you to read this threaded comment; however, any edits to it will get removed if the file is opened in a newer version of Excel. Learn more: https://go.microsoft.com/fwlink/?linkid=870924
Comment:
	01/16 recieved the IA report and determination letter from before, sent to PAs, asked Jp to send our estimate (CM)
01/24 Joshua asked me to invoke appraisal, but we don't have the estimate (CM)
</t>
      </text>
    </comment>
    <comment authorId="881" xr:uid="{70ee78ec-abf8-430e-8e24-dc0b4fea7087}" ref="V218">
      <text>
        <t xml:space="preserve">[Threaded comment]
 Your version of Excel allows you to read this threaded comment; however, any edits to it will get removed if the file is opened in a newer version of Excel. Learn more: https://go.microsoft.com/fwlink/?linkid=870924
Comment:
	12/23 received the appraisal package, asked Peter to sign the appraisal agreement, sent Day the OA info (CM)
</t>
      </text>
    </comment>
    <comment authorId="882" xr:uid="{70f27f90-d454-4cbc-8977-a99da596c435}" ref="O377">
      <text>
        <t xml:space="preserve">[Threaded comment]
 Your version of Excel allows you to read this threaded comment; however, any edits to it will get removed if the file is opened in a newer version of Excel. Learn more: https://go.microsoft.com/fwlink/?linkid=870924
Comment:
	10/7 sent to client
</t>
      </text>
    </comment>
    <comment authorId="883" xr:uid="{70f4e24a-69a8-4259-96b4-890971a5df80}" ref="B94">
      <text>
        <t xml:space="preserve">[Threaded comment]
 Your version of Excel allows you to read this threaded comment; however, any edits to it will get removed if the file is opened in a newer version of Excel. Learn more: https://go.microsoft.com/fwlink/?linkid=870924
Comment:
	Ivan / Jose
</t>
      </text>
    </comment>
    <comment authorId="884" xr:uid="{71469344-840a-4a5c-b531-65bb2c458d1c}" ref="P190">
      <text>
        <t xml:space="preserve">[Threaded comment]
 Your version of Excel allows you to read this threaded comment; however, any edits to it will get removed if the file is opened in a newer version of Excel. Learn more: https://go.microsoft.com/fwlink/?linkid=870924
Comment:
	10/07
</t>
      </text>
    </comment>
    <comment authorId="885" xr:uid="{71736341-48f9-4d25-a75f-4bf008e11fe9}" ref="N371">
      <text>
        <t xml:space="preserve">[Threaded comment]
 Your version of Excel allows you to read this threaded comment; however, any edits to it will get removed if the file is opened in a newer version of Excel. Learn more: https://go.microsoft.com/fwlink/?linkid=870924
Comment:
	6/23 se envia a josh el estimado copiado del reclamo anterior de huracan milton
Reply:
	Paulillo manda estoporfa, ya aprobo joSHUA, VI EL OTRO DIA
Reply:
	6/24 aprobado
</t>
      </text>
    </comment>
    <comment authorId="886" xr:uid="{71768308-f3a1-4a71-82d1-841296862001}" ref="M364">
      <text>
        <t xml:space="preserve">[Threaded comment]
 Your version of Excel allows you to read this threaded comment; however, any edits to it will get removed if the file is opened in a newer version of Excel. Learn more: https://go.microsoft.com/fwlink/?linkid=870924
Comment:
	6/18 sent to carrier and client
</t>
      </text>
    </comment>
    <comment authorId="887" xr:uid="{71982460-8291-4a62-b34f-2e33640aad0c}" ref="A1">
      <text>
        <t xml:space="preserve">[Threaded comment]
 Your version of Excel allows you to read this threaded comment; however, any edits to it will get removed if the file is opened in a newer version of Excel. Learn more: https://go.microsoft.com/fwlink/?linkid=870924
Comment:
	follow up ocn day
</t>
      </text>
    </comment>
    <comment authorId="888" xr:uid="{7198fe67-9179-47e4-b88e-9c22565d1dfc}" ref="M330">
      <text>
        <t xml:space="preserve">[Threaded comment]
 Your version of Excel allows you to read this threaded comment; however, any edits to it will get removed if the file is opened in a newer version of Excel. Learn more: https://go.microsoft.com/fwlink/?linkid=870924
Comment:
	4/7 sent to DA
</t>
      </text>
    </comment>
    <comment authorId="889" xr:uid="{71bce92a-7cc0-453f-a3c3-83b5d762a1b2}" ref="N180">
      <text>
        <t xml:space="preserve">[Threaded comment]
 Your version of Excel allows you to read this threaded comment; however, any edits to it will get removed if the file is opened in a newer version of Excel. Learn more: https://go.microsoft.com/fwlink/?linkid=870924
Comment:
	7/26 ENVIADO A JUAN
Reply:
	8/15 8/15 pedi a juan q apruebe
Reply:
	8/29 aprobado por Juan (144) @admin@ipadjustinggroup.com
</t>
      </text>
    </comment>
    <comment authorId="890" xr:uid="{71bd0d42-98ca-4265-b0cd-76f0292d385f}" ref="A408">
      <text>
        <t xml:space="preserve">[Threaded comment]
 Your version of Excel allows you to read this threaded comment; however, any edits to it will get removed if the file is opened in a newer version of Excel. Learn more: https://go.microsoft.com/fwlink/?linkid=870924
Comment:
	after the repair they will pay $2531
</t>
      </text>
    </comment>
    <comment authorId="891" xr:uid="{71edf210-a0ea-4ff8-a2d6-c79eec500df3}" ref="A1">
      <text>
        <t xml:space="preserve">[Threaded comment]
 Your version of Excel allows you to read this threaded comment; however, any edits to it will get removed if the file is opened in a newer version of Excel. Learn more: https://go.microsoft.com/fwlink/?linkid=870924
Comment:
	Joshua needs to correct the policy
</t>
      </text>
    </comment>
    <comment authorId="892" xr:uid="{71fc5dd9-fe88-42c2-afe6-095e93ec1bb5}" ref="N242">
      <text>
        <t xml:space="preserve">[Threaded comment]
 Your version of Excel allows you to read this threaded comment; however, any edits to it will get removed if the file is opened in a newer version of Excel. Learn more: https://go.microsoft.com/fwlink/?linkid=870924
Comment:
	11/24 Ivan approved the estimate.
</t>
      </text>
    </comment>
    <comment authorId="893" xr:uid="{720d016d-fe78-4ff9-b015-024d03f192f5}"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894" xr:uid="{7215ed26-0224-44bd-89a3-eee0216def35}" ref="B59">
      <text>
        <t xml:space="preserve">[Threaded comment]
 Your version of Excel allows you to read this threaded comment; however, any edits to it will get removed if the file is opened in a newer version of Excel. Learn more: https://go.microsoft.com/fwlink/?linkid=870924
Comment:
	Jacob S.
</t>
      </text>
    </comment>
    <comment authorId="895" xr:uid="{725aa427-16f0-4c42-b3d4-5c93761c1b83}" ref="O217">
      <text>
        <t xml:space="preserve">[Threaded comment]
 Your version of Excel allows you to read this threaded comment; however, any edits to it will get removed if the file is opened in a newer version of Excel. Learn more: https://go.microsoft.com/fwlink/?linkid=870924
Comment:
	12/17 sent to client. JP
</t>
      </text>
    </comment>
    <comment authorId="896" xr:uid="{72a2298f-edfd-4b9a-a5d9-ba9284a8a98a}" ref="V237">
      <text>
        <t xml:space="preserve">[Threaded comment]
 Your version of Excel allows you to read this threaded comment; however, any edits to it will get removed if the file is opened in a newer version of Excel. Learn more: https://go.microsoft.com/fwlink/?linkid=870924
Comment:
	01/02 received the appraisal award, sent to Peter to sign it and Day the OA info (CM)
</t>
      </text>
    </comment>
    <comment authorId="897" xr:uid="{730154b8-e7ee-47d9-9015-02afe11ba653}"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898" xr:uid="{7313fe2f-2464-418b-9bd4-2010a4b9e94f}" ref="A378">
      <text>
        <t xml:space="preserve">[Threaded comment]
 Your version of Excel allows you to read this threaded comment; however, any edits to it will get removed if the file is opened in a newer version of Excel. Learn more: https://go.microsoft.com/fwlink/?linkid=870924
Comment:
	09/06 deadline for this one @scheduling@ipadjustinggroup.com
Assigned to scheduling@ipadjustinggroup.com
</t>
      </text>
    </comment>
    <comment authorId="899" xr:uid="{736777e2-4927-439b-9b6a-131009be1996}" ref="A1">
      <text>
        <t xml:space="preserve">[Threaded comment]
 Your version of Excel allows you to read this threaded comment; however, any edits to it will get removed if the file is opened in a newer version of Excel. Learn more: https://go.microsoft.com/fwlink/?linkid=870924
Comment:
	04/18 received a denial, sent to PAs (CM)
</t>
      </text>
    </comment>
    <comment authorId="900" xr:uid="{736f2311-7bf0-4f9f-987f-736ca2d1df7d}"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901" xr:uid="{737cd586-14cf-4a7d-8d6f-f0bd3cc6f8f3}" ref="U110">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902" xr:uid="{73d21061-7977-4f84-aa2b-a99b158e97e8}" ref="A291">
      <text>
        <t xml:space="preserve">[Threaded comment]
 Your version of Excel allows you to read this threaded comment; however, any edits to it will get removed if the file is opened in a newer version of Excel. Learn more: https://go.microsoft.com/fwlink/?linkid=870924
Comment:
	Peter
Reply:
	recoverable depreciation $5,934.53
ordinance or law $1,169.76
</t>
      </text>
    </comment>
    <comment authorId="903" xr:uid="{744dfa1a-7729-4c5b-a712-70fd5164b523}" ref="A309">
      <text>
        <t xml:space="preserve">[Threaded comment]
 Your version of Excel allows you to read this threaded comment; however, any edits to it will get removed if the file is opened in a newer version of Excel. Learn more: https://go.microsoft.com/fwlink/?linkid=870924
Comment:
	Juan
Reply:
	recoverable depreciation: $5,298.52
Ordinance or Law: $4,134.67
</t>
      </text>
    </comment>
    <comment authorId="904" xr:uid="{746fbc01-20cb-47fb-b944-0c60e4a76a58}" ref="O298">
      <text>
        <t xml:space="preserve">[Threaded comment]
 Your version of Excel allows you to read this threaded comment; however, any edits to it will get removed if the file is opened in a newer version of Excel. Learn more: https://go.microsoft.com/fwlink/?linkid=870924
Comment:
	2/25 sent to client to sign
</t>
      </text>
    </comment>
    <comment authorId="905" xr:uid="{7475044e-b2f4-4987-8ff8-27e441c1f442}" ref="N90">
      <text>
        <t xml:space="preserve">[Threaded comment]
 Your version of Excel allows you to read this threaded comment; however, any edits to it will get removed if the file is opened in a newer version of Excel. Learn more: https://go.microsoft.com/fwlink/?linkid=870924
Comment:
	7/17 enviado a peter
Reply:
	8/12 sent Peter an update for 25k
Reply:
	8/20 Peter aprobo y pide enviar al carrier
</t>
      </text>
    </comment>
    <comment authorId="906" xr:uid="{748345b4-2bdf-4883-9736-b52b271894ce}"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907" xr:uid="{74abed87-da19-46c2-883c-13359a90650b}" ref="P185">
      <text>
        <t xml:space="preserve">[Threaded comment]
 Your version of Excel allows you to read this threaded comment; however, any edits to it will get removed if the file is opened in a newer version of Excel. Learn more: https://go.microsoft.com/fwlink/?linkid=870924
Comment:
	08/27
</t>
      </text>
    </comment>
    <comment authorId="908" xr:uid="{75271415-b76f-4e60-8bbb-1436e838847c}"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909" xr:uid="{7538b006-68d4-4f25-85c7-a68e7ed2c1e4}" ref="M249">
      <text>
        <t xml:space="preserve">[Threaded comment]
 Your version of Excel allows you to read this threaded comment; however, any edits to it will get removed if the file is opened in a newer version of Excel. Learn more: https://go.microsoft.com/fwlink/?linkid=870924
Comment:
	12/06 sent to carrier
</t>
      </text>
    </comment>
    <comment authorId="910" xr:uid="{756c4af1-689d-4cca-915e-07e893486f9d}" ref="A194">
      <text>
        <t xml:space="preserve">[Threaded comment]
 Your version of Excel allows you to read this threaded comment; however, any edits to it will get removed if the file is opened in a newer version of Excel. Learn more: https://go.microsoft.com/fwlink/?linkid=870924
Comment:
	11/07 requested mediation (CM)
</t>
      </text>
    </comment>
    <comment authorId="911" xr:uid="{759a7ade-ec03-4cf2-8696-cb9cb518106c}" ref="O338">
      <text>
        <t xml:space="preserve">[Threaded comment]
 Your version of Excel allows you to read this threaded comment; however, any edits to it will get removed if the file is opened in a newer version of Excel. Learn more: https://go.microsoft.com/fwlink/?linkid=870924
Comment:
	5/15 sent to client
</t>
      </text>
    </comment>
    <comment authorId="912" xr:uid="{75bd4bf7-f5e1-4b31-9291-3155b22743d4}"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913" xr:uid="{75d1eaff-6e48-43a2-a831-2d3730cdd3a6}" ref="A1">
      <text>
        <t xml:space="preserve">[Threaded comment]
 Your version of Excel allows you to read this threaded comment; however, any edits to it will get removed if the file is opened in a newer version of Excel. Learn more: https://go.microsoft.com/fwlink/?linkid=870924
Comment:
	Peter dice q el cliente va a cambiar de carrier.
</t>
      </text>
    </comment>
    <comment authorId="914" xr:uid="{75e27d7b-8874-460a-a736-2bc20b54c120}" ref="V207">
      <text>
        <t xml:space="preserve">[Threaded comment]
 Your version of Excel allows you to read this threaded comment; however, any edits to it will get removed if the file is opened in a newer version of Excel. Learn more: https://go.microsoft.com/fwlink/?linkid=870924
Comment:
	01/27 Peter is asking 60k (CM)
</t>
      </text>
    </comment>
    <comment authorId="915" xr:uid="{760989c3-1347-4342-80f1-ea3e30740647}" ref="P250">
      <text>
        <t xml:space="preserve">[Threaded comment]
 Your version of Excel allows you to read this threaded comment; however, any edits to it will get removed if the file is opened in a newer version of Excel. Learn more: https://go.microsoft.com/fwlink/?linkid=870924
Comment:
	Inspection been scheduled for 11/08 (CM)
</t>
      </text>
    </comment>
    <comment authorId="916" xr:uid="{7622a423-19ec-4894-8155-0b5bc676aecf}" ref="N309">
      <text>
        <t xml:space="preserve">[Threaded comment]
 Your version of Excel allows you to read this threaded comment; however, any edits to it will get removed if the file is opened in a newer version of Excel. Learn more: https://go.microsoft.com/fwlink/?linkid=870924
Comment:
	1/20/25 sent to josh
Reply:
	1/21/25 aprobado por josh, JP
</t>
      </text>
    </comment>
    <comment authorId="917" xr:uid="{762c7d54-5f45-41fe-a839-9a2d71f161b8}" ref="V150">
      <text>
        <t xml:space="preserve">[Threaded comment]
 Your version of Excel allows you to read this threaded comment; however, any edits to it will get removed if the file is opened in a newer version of Excel. Learn more: https://go.microsoft.com/fwlink/?linkid=870924
Comment:
	10/29 Wiber denied claim, asked Ivan how to proceed (AL)
</t>
      </text>
    </comment>
    <comment authorId="918" xr:uid="{763c4bda-5a17-4218-8f84-0e24d916cb62}" ref="N243">
      <text>
        <t xml:space="preserve">[Threaded comment]
 Your version of Excel allows you to read this threaded comment; however, any edits to it will get removed if the file is opened in a newer version of Excel. Learn more: https://go.microsoft.com/fwlink/?linkid=870924
Comment:
	11/23 Sent to Jakey
Reply:
	11/23 Jakey approved
</t>
      </text>
    </comment>
    <comment authorId="919" xr:uid="{764bf579-8f1d-497c-9d7a-a8d5b1dd687b}" ref="M236">
      <text>
        <t xml:space="preserve">[Threaded comment]
 Your version of Excel allows you to read this threaded comment; however, any edits to it will get removed if the file is opened in a newer version of Excel. Learn more: https://go.microsoft.com/fwlink/?linkid=870924
Comment:
	revisar IA y mandar nuestro estimado
Reply:
	12/05 sent to the carrier
Reply:
	12/06 Sent the correct estimate to carrier, it was a mistake with date of loss and claim number.
</t>
      </text>
    </comment>
    <comment authorId="920" xr:uid="{764c23e4-4e9d-4815-8192-0a8a8ca313b3}" ref="A1">
      <text>
        <t xml:space="preserve">[Threaded comment]
 Your version of Excel allows you to read this threaded comment; however, any edits to it will get removed if the file is opened in a newer version of Excel. Learn more: https://go.microsoft.com/fwlink/?linkid=870924
Comment:
	02/09 left VM and email policy / insp will be on 02/19 (CM)
Reply:
	02/27 received a denial letter
</t>
      </text>
    </comment>
    <comment authorId="921" xr:uid="{76526311-04d7-446c-babc-56a7ca76c642}" ref="M267">
      <text>
        <t xml:space="preserve">[Threaded comment]
 Your version of Excel allows you to read this threaded comment; however, any edits to it will get removed if the file is opened in a newer version of Excel. Learn more: https://go.microsoft.com/fwlink/?linkid=870924
Comment:
	1/14/25 sent to carrier
Reply:
	4/17 Carito de este reclamo vamos a enviar un update, estoy haciendo el estimado @admin@ipadjustinggroup.com
Reply:
	chevere gracias paulillo estare atenta
Reply:
	4/30 sent to DA
</t>
      </text>
    </comment>
    <comment authorId="922" xr:uid="{7653829e-89c8-4a5f-b5b1-0324f3884061}" ref="A1">
      <text>
        <t xml:space="preserve">[Threaded comment]
 Your version of Excel allows you to read this threaded comment; however, any edits to it will get removed if the file is opened in a newer version of Excel. Learn more: https://go.microsoft.com/fwlink/?linkid=870924
Comment:
	01/27
</t>
      </text>
    </comment>
    <comment authorId="923" xr:uid="{76752936-9c6b-4dd8-90ea-ca9b19b117c0}"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924" xr:uid="{76b7893f-e367-4f12-aad7-b16cf9519772}" ref="Q381">
      <text>
        <t xml:space="preserve">[Threaded comment]
 Your version of Excel allows you to read this threaded comment; however, any edits to it will get removed if the file is opened in a newer version of Excel. Learn more: https://go.microsoft.com/fwlink/?linkid=870924
Comment:
	01/13
</t>
      </text>
    </comment>
    <comment authorId="925" xr:uid="{76bc1606-a975-484a-b388-ec46c0370eb3}" ref="M412">
      <text>
        <t xml:space="preserve">[Threaded comment]
 Your version of Excel allows you to read this threaded comment; however, any edits to it will get removed if the file is opened in a newer version of Excel. Learn more: https://go.microsoft.com/fwlink/?linkid=870924
Comment:
	5/13 sent to DA
</t>
      </text>
    </comment>
    <comment authorId="926" xr:uid="{76e03432-62b2-4d04-b67a-63b717c08fa3}" ref="N203">
      <text>
        <t xml:space="preserve">[Threaded comment]
 Your version of Excel allows you to read this threaded comment; however, any edits to it will get removed if the file is opened in a newer version of Excel. Learn more: https://go.microsoft.com/fwlink/?linkid=870924
Comment:
	8/16 enviado a david
</t>
      </text>
    </comment>
    <comment authorId="927" xr:uid="{76f15c56-b8ae-484a-badc-63d700660767}" ref="N362">
      <text>
        <t xml:space="preserve">[Threaded comment]
 Your version of Excel allows you to read this threaded comment; however, any edits to it will get removed if the file is opened in a newer version of Excel. Learn more: https://go.microsoft.com/fwlink/?linkid=870924
Comment:
	5/8 sent to josh
Reply:
	5/8 aprobado
</t>
      </text>
    </comment>
    <comment authorId="928" xr:uid="{76f9d47c-d222-4df1-9964-8264d2a905c6}" ref="M170">
      <text>
        <t xml:space="preserve">[Threaded comment]
 Your version of Excel allows you to read this threaded comment; however, any edits to it will get removed if the file is opened in a newer version of Excel. Learn more: https://go.microsoft.com/fwlink/?linkid=870924
Comment:
	waiting IA REPORT
enviar el spol al carrier cuando este el ia report
Reply:
	08/12 tenemos denial, porfa envie estimado y spol que ya esta notariza y subido en cw @jp.ipestimates@gmail.com
</t>
      </text>
    </comment>
    <comment authorId="929" xr:uid="{7705c8e6-3cc9-475e-b810-144bfdd686c9}" ref="V154">
      <text>
        <t xml:space="preserve">[Threaded comment]
 Your version of Excel allows you to read this threaded comment; however, any edits to it will get removed if the file is opened in a newer version of Excel. Learn more: https://go.microsoft.com/fwlink/?linkid=870924
Comment:
	10/04 received the notarized letter form Juan Baltazar asking to be removed from the policy, sent to the DA, asked to reissue the checks, called too an left a VM(CM)
</t>
      </text>
    </comment>
    <comment authorId="930" xr:uid="{7713a335-0fe2-4614-9793-706bf49218a1}" ref="O209">
      <text>
        <t xml:space="preserve">[Threaded comment]
 Your version of Excel allows you to read this threaded comment; however, any edits to it will get removed if the file is opened in a newer version of Excel. Learn more: https://go.microsoft.com/fwlink/?linkid=870924
Comment:
	12/18 sent SPOL to client SG
</t>
      </text>
    </comment>
    <comment authorId="931" xr:uid="{77326b35-c155-4e4b-b133-a31ebf7fa909}" ref="M379">
      <text>
        <t xml:space="preserve">[Threaded comment]
 Your version of Excel allows you to read this threaded comment; however, any edits to it will get removed if the file is opened in a newer version of Excel. Learn more: https://go.microsoft.com/fwlink/?linkid=870924
Comment:
	7/17 sent to DA
</t>
      </text>
    </comment>
    <comment authorId="932" xr:uid="{773a2e64-754a-4d42-8c95-b52e7382113d}" ref="N406">
      <text>
        <t xml:space="preserve">[Threaded comment]
 Your version of Excel allows you to read this threaded comment; however, any edits to it will get removed if the file is opened in a newer version of Excel. Learn more: https://go.microsoft.com/fwlink/?linkid=870924
Comment:
	5/18 sent to peter for rreview
</t>
      </text>
    </comment>
    <comment authorId="933" xr:uid="{7757e26c-e223-4613-afdd-73ac23184ab0}" ref="Q332">
      <text>
        <t xml:space="preserve">[Threaded comment]
 Your version of Excel allows you to read this threaded comment; however, any edits to it will get removed if the file is opened in a newer version of Excel. Learn more: https://go.microsoft.com/fwlink/?linkid=870924
Comment:
	03/06
</t>
      </text>
    </comment>
    <comment authorId="934" xr:uid="{77664ccb-d8af-4ae9-9af0-c3a2e3a92384}" ref="M232">
      <text>
        <t xml:space="preserve">[Threaded comment]
 Your version of Excel allows you to read this threaded comment; however, any edits to it will get removed if the file is opened in a newer version of Excel. Learn more: https://go.microsoft.com/fwlink/?linkid=870924
Comment:
	esperar IA report
Reply:
	11/18 Sent the estimate to DA
</t>
      </text>
    </comment>
    <comment authorId="935" xr:uid="{7768224c-eb81-4317-b142-137a588c05fd}" ref="A1">
      <text>
        <t xml:space="preserve">[Threaded comment]
 Your version of Excel allows you to read this threaded comment; however, any edits to it will get removed if the file is opened in a newer version of Excel. Learn more: https://go.microsoft.com/fwlink/?linkid=870924
Comment:
	07/02
</t>
      </text>
    </comment>
    <comment authorId="936" xr:uid="{77978415-8cdb-4c73-aa2c-78d8b896a02c}" ref="M212">
      <text>
        <t xml:space="preserve">[Threaded comment]
 Your version of Excel allows you to read this threaded comment; however, any edits to it will get removed if the file is opened in a newer version of Excel. Learn more: https://go.microsoft.com/fwlink/?linkid=870924
Comment:
	esperar IA report
Reply:
	11/08 received the denial letter, the IA report, sent to Pas asked how to proceed, asked JP to send our estimate (CM)
Reply:
	11/13 Sent estimate and picture file to the carrier and client. @admin@ipadjustinggroup.com
Reply:
	12/12 se envio un update al carrier
</t>
      </text>
    </comment>
    <comment authorId="937" xr:uid="{77d1cdea-90c5-4ed3-8aab-165b037fb04a}" ref="V223">
      <text>
        <t xml:space="preserve">[Threaded comment]
 Your version of Excel allows you to read this threaded comment; however, any edits to it will get removed if the file is opened in a newer version of Excel. Learn more: https://go.microsoft.com/fwlink/?linkid=870924
Comment:
	12/19 asked Juan to sign the appraisal agreement, sent to Day the OA info (CM)
</t>
      </text>
    </comment>
    <comment authorId="938" xr:uid="{77e3b1af-c946-4b1c-813c-214e7729b48c}" ref="A1">
      <text>
        <t xml:space="preserve">[Threaded comment]
 Your version of Excel allows you to read this threaded comment; however, any edits to it will get removed if the file is opened in a newer version of Excel. Learn more: https://go.microsoft.com/fwlink/?linkid=870924
Comment:
	Penny Johsnon / 7274763096 / pjohnson@agfgroup.org for 01/16/2022 claim (it's open)
</t>
      </text>
    </comment>
    <comment authorId="939" xr:uid="{77f5c298-f41c-4904-ac2a-ebd752500c51}" ref="M298">
      <text>
        <t xml:space="preserve">[Threaded comment]
 Your version of Excel allows you to read this threaded comment; however, any edits to it will get removed if the file is opened in a newer version of Excel. Learn more: https://go.microsoft.com/fwlink/?linkid=870924
Comment:
	enviar cuando este aprobado
Reply:
	1/28/25 subido a CP
</t>
      </text>
    </comment>
    <comment authorId="940" xr:uid="{77fc585d-ef0d-4641-970c-be5e7759dccb}" ref="P268">
      <text>
        <t xml:space="preserve">[Threaded comment]
 Your version of Excel allows you to read this threaded comment; however, any edits to it will get removed if the file is opened in a newer version of Excel. Learn more: https://go.microsoft.com/fwlink/?linkid=870924
Comment:
	insp will be 11/15 (CM)
</t>
      </text>
    </comment>
    <comment authorId="941" xr:uid="{78430f4a-5550-42da-9e0a-636e479294fa}" ref="P272">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942" xr:uid="{78448726-984f-423c-821f-d181efaa9f14}"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943" xr:uid="{78471c77-f8eb-4186-aeb0-1636b922c754}" ref="M191">
      <text>
        <t xml:space="preserve">[Threaded comment]
 Your version of Excel allows you to read this threaded comment; however, any edits to it will get removed if the file is opened in a newer version of Excel. Learn more: https://go.microsoft.com/fwlink/?linkid=870924
Comment:
	9/24 sent to DA
</t>
      </text>
    </comment>
    <comment authorId="944" xr:uid="{7868a545-39c5-4ad4-bffb-a6104c25391b}" ref="A382">
      <text>
        <t xml:space="preserve">[Threaded comment]
 Your version of Excel allows you to read this threaded comment; however, any edits to it will get removed if the file is opened in a newer version of Excel. Learn more: https://go.microsoft.com/fwlink/?linkid=870924
Comment:
	Peter
Reply:
	no recoverable withheld
O&amp;L: $2632.36
</t>
      </text>
    </comment>
    <comment authorId="945" xr:uid="{787a0562-aee5-4807-b53b-d157e4833d4c}" ref="N355">
      <text>
        <t xml:space="preserve">[Threaded comment]
 Your version of Excel allows you to read this threaded comment; however, any edits to it will get removed if the file is opened in a newer version of Excel. Learn more: https://go.microsoft.com/fwlink/?linkid=870924
Comment:
	4/19 sent to josh
Reply:
	4/23 aprobado
</t>
      </text>
    </comment>
    <comment authorId="946" xr:uid="{78a49b81-5a06-485c-8367-9ae824967799}" ref="A1">
      <text>
        <t xml:space="preserve">[Threaded comment]
 Your version of Excel allows you to read this threaded comment; however, any edits to it will get removed if the file is opened in a newer version of Excel. Learn more: https://go.microsoft.com/fwlink/?linkid=870924
Comment:
	@admin@ipadjustinggroup.com CHECA PLIS
</t>
      </text>
    </comment>
    <comment authorId="947" xr:uid="{78f0515b-499b-4365-9311-ba9eaf8fd835}" ref="O168">
      <text>
        <t xml:space="preserve">[Threaded comment]
 Your version of Excel allows you to read this threaded comment; however, any edits to it will get removed if the file is opened in a newer version of Excel. Learn more: https://go.microsoft.com/fwlink/?linkid=870924
Comment:
	enviar cuando este el IA report
</t>
      </text>
    </comment>
    <comment authorId="948" xr:uid="{78f726e9-f2ae-4693-9275-76daa241da44}" ref="M326">
      <text>
        <t xml:space="preserve">[Threaded comment]
 Your version of Excel allows you to read this threaded comment; however, any edits to it will get removed if the file is opened in a newer version of Excel. Learn more: https://go.microsoft.com/fwlink/?linkid=870924
Comment:
	3/13 sent to DA
</t>
      </text>
    </comment>
    <comment authorId="949" xr:uid="{7950ccf2-d171-423e-a000-90326f1c0a15}" ref="V179">
      <text>
        <t xml:space="preserve">[Threaded comment]
 Your version of Excel allows you to read this threaded comment; however, any edits to it will get removed if the file is opened in a newer version of Excel. Learn more: https://go.microsoft.com/fwlink/?linkid=870924
Comment:
	10/09 Received and uploaded IA report and determination to CW. Also they were sent to Juan and Peter for review (SG)
</t>
      </text>
    </comment>
    <comment authorId="950" xr:uid="{795c1d0d-0f98-47c0-bf65-794b8e6b0e98}" ref="A1">
      <text>
        <t xml:space="preserve">[Threaded comment]
 Your version of Excel allows you to read this threaded comment; however, any edits to it will get removed if the file is opened in a newer version of Excel. Learn more: https://go.microsoft.com/fwlink/?linkid=870924
Comment:
	07/16 Peter sent to closed claims (CM) @scheduling@ipadjustinggroup.com
</t>
      </text>
    </comment>
    <comment authorId="951" xr:uid="{796a461c-7f64-46e4-bba6-f6826ca8ad5a}" ref="N185">
      <text>
        <t xml:space="preserve">[Threaded comment]
 Your version of Excel allows you to read this threaded comment; however, any edits to it will get removed if the file is opened in a newer version of Excel. Learn more: https://go.microsoft.com/fwlink/?linkid=870924
Comment:
	2/7/25 juan pidio actualizar estimado y agregar items del IA report, se envio el update
</t>
      </text>
    </comment>
    <comment authorId="952" xr:uid="{79713a85-8e8b-425c-9739-83992282a7a7}" ref="A280">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NOTED
Marked as done
</t>
      </text>
    </comment>
    <comment authorId="953" xr:uid="{797b1046-cef2-4492-a74b-c7c38df05cb9}" ref="O327">
      <text>
        <t xml:space="preserve">[Threaded comment]
 Your version of Excel allows you to read this threaded comment; however, any edits to it will get removed if the file is opened in a newer version of Excel. Learn more: https://go.microsoft.com/fwlink/?linkid=870924
Comment:
	6/24 sent to client
</t>
      </text>
    </comment>
    <comment authorId="954" xr:uid="{79bb1b24-4988-444d-b1fc-148fdd19ef53}" ref="M345">
      <text>
        <t xml:space="preserve">[Threaded comment]
 Your version of Excel allows you to read this threaded comment; however, any edits to it will get removed if the file is opened in a newer version of Excel. Learn more: https://go.microsoft.com/fwlink/?linkid=870924
Comment:
	4/16 sent to DA
</t>
      </text>
    </comment>
    <comment authorId="955" xr:uid="{79c8a550-48a6-4a0f-939d-d3841bb8c3a1}" ref="A212">
      <text>
        <t xml:space="preserve">[Threaded comment]
 Your version of Excel allows you to read this threaded comment; however, any edits to it will get removed if the file is opened in a newer version of Excel. Learn more: https://go.microsoft.com/fwlink/?linkid=870924
Comment:
	11/15 Iván will correct the estimate with JP then he will request mediation (CM)
</t>
      </text>
    </comment>
    <comment authorId="956" xr:uid="{79d46d53-5dbf-43a1-a593-642eb85ef638}" ref="V280">
      <text>
        <t xml:space="preserve">[Threaded comment]
 Your version of Excel allows you to read this threaded comment; however, any edits to it will get removed if the file is opened in a newer version of Excel. Learn more: https://go.microsoft.com/fwlink/?linkid=870924
Comment:
	04/02 left a VM to the client informing about the 15k offer (CM
Reply:
	04/07 sent an offer for 22k to DA (CM)
</t>
      </text>
    </comment>
    <comment authorId="957" xr:uid="{79fff2fb-4190-480e-aa96-82397ff08c0c}" ref="A1">
      <text>
        <t xml:space="preserve">[Threaded comment]
 Your version of Excel allows you to read this threaded comment; however, any edits to it will get removed if the file is opened in a newer version of Excel. Learn more: https://go.microsoft.com/fwlink/?linkid=870924
Comment:
	04/26 received a denial letter (CM)
</t>
      </text>
    </comment>
    <comment authorId="958" xr:uid="{7a18089c-650e-4a46-9705-59e6f5f5d430}" ref="M173">
      <text>
        <t xml:space="preserve">[Threaded comment]
 Your version of Excel allows you to read this threaded comment; however, any edits to it will get removed if the file is opened in a newer version of Excel. Learn more: https://go.microsoft.com/fwlink/?linkid=870924
Comment:
	7/30 enviado al carrier
</t>
      </text>
    </comment>
    <comment authorId="959" xr:uid="{7a84dfae-f4e5-4b46-b866-36c404a761be}" ref="M256">
      <text>
        <t xml:space="preserve">[Threaded comment]
 Your version of Excel allows you to read this threaded comment; however, any edits to it will get removed if the file is opened in a newer version of Excel. Learn more: https://go.microsoft.com/fwlink/?linkid=870924
Comment:
	11/21 Sent to DA
</t>
      </text>
    </comment>
    <comment authorId="960" xr:uid="{7a8dbf47-7263-419c-a6b4-c52c32884e6e}" ref="O223">
      <text>
        <t xml:space="preserve">[Threaded comment]
 Your version of Excel allows you to read this threaded comment; however, any edits to it will get removed if the file is opened in a newer version of Excel. Learn more: https://go.microsoft.com/fwlink/?linkid=870924
Comment:
	12/17 sent to client
</t>
      </text>
    </comment>
    <comment authorId="961" xr:uid="{7ac62fc6-68bd-4551-b8c2-8435761e85a7}" ref="O189">
      <text>
        <t xml:space="preserve">[Threaded comment]
 Your version of Excel allows you to read this threaded comment; however, any edits to it will get removed if the file is opened in a newer version of Excel. Learn more: https://go.microsoft.com/fwlink/?linkid=870924
Comment:
	8/03 sent to client
Reply:
	08/07 sent to Sarah to get it notarize (CM)
08/07 sent to Insurance company (CM)
</t>
      </text>
    </comment>
    <comment authorId="962" xr:uid="{7af53901-6b30-4ea9-879b-268f56f541a1}" ref="V212">
      <text>
        <t xml:space="preserve">[Threaded comment]
 Your version of Excel allows you to read this threaded comment; however, any edits to it will get removed if the file is opened in a newer version of Excel. Learn more: https://go.microsoft.com/fwlink/?linkid=870924
Comment:
	12/20 need to respond to the DA some questions (CM)
</t>
      </text>
    </comment>
    <comment authorId="963" xr:uid="{7afe85c0-e3df-4421-982f-aef78706ea92}" ref="V194">
      <text>
        <t xml:space="preserve">[Threaded comment]
 Your version of Excel allows you to read this threaded comment; however, any edits to it will get removed if the file is opened in a newer version of Excel. Learn more: https://go.microsoft.com/fwlink/?linkid=870924
Comment:
	11/05 DA has declined the 19k offer she made on 10/30, asked I&amp;P how to proceed now as she says the claim is closed (CM)
</t>
      </text>
    </comment>
    <comment authorId="964" xr:uid="{7b08bc10-33f2-417e-8cbf-a72d10ea1347}" ref="A1">
      <text>
        <t xml:space="preserve">[Threaded comment]
 Your version of Excel allows you to read this threaded comment; however, any edits to it will get removed if the file is opened in a newer version of Excel. Learn more: https://go.microsoft.com/fwlink/?linkid=870924
Comment:
	inform sarah
</t>
      </text>
    </comment>
    <comment authorId="965" xr:uid="{7b142207-4d73-4b7d-b26b-8efe4be7ed72}"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966" xr:uid="{7b166fa3-8ebe-46dc-8c1f-f08e909f636d}" ref="O147">
      <text>
        <t xml:space="preserve">[Threaded comment]
 Your version of Excel allows you to read this threaded comment; however, any edits to it will get removed if the file is opened in a newer version of Excel. Learn more: https://go.microsoft.com/fwlink/?linkid=870924
Comment:
	7/30 follow
</t>
      </text>
    </comment>
    <comment authorId="967" xr:uid="{7b2dccfd-9f12-4df6-ac66-5df8315e6b6f}" ref="O162">
      <text>
        <t xml:space="preserve">[Threaded comment]
 Your version of Excel allows you to read this threaded comment; however, any edits to it will get removed if the file is opened in a newer version of Excel. Learn more: https://go.microsoft.com/fwlink/?linkid=870924
Comment:
	7/30 follow up
Reply:
	08/02 asked Perry via email to upload SPOL to claimspath, send the SPOL signed and notarized to the DA (cm)
</t>
      </text>
    </comment>
    <comment authorId="968" xr:uid="{7b6f1113-37b8-4339-b9b3-32b23c7eb2e5}" ref="O182">
      <text>
        <t xml:space="preserve">[Threaded comment]
 Your version of Excel allows you to read this threaded comment; however, any edits to it will get removed if the file is opened in a newer version of Excel. Learn more: https://go.microsoft.com/fwlink/?linkid=870924
Comment:
	8/03 resquest b. spol
</t>
      </text>
    </comment>
    <comment authorId="969" xr:uid="{7ba8f871-4113-4045-b619-fdea0cf8027f}" ref="A1">
      <text>
        <t xml:space="preserve">[Threaded comment]
 Your version of Excel allows you to read this threaded comment; however, any edits to it will get removed if the file is opened in a newer version of Excel. Learn more: https://go.microsoft.com/fwlink/?linkid=870924
Comment:
	01/27
</t>
      </text>
    </comment>
    <comment authorId="970" xr:uid="{7bacf1d1-2fc0-455e-b04d-6f7e4878e864}" ref="Q379">
      <text>
        <t xml:space="preserve">[Threaded comment]
 Your version of Excel allows you to read this threaded comment; however, any edits to it will get removed if the file is opened in a newer version of Excel. Learn more: https://go.microsoft.com/fwlink/?linkid=870924
Comment:
	08/12
</t>
      </text>
    </comment>
    <comment authorId="971" xr:uid="{7be3c7fd-042e-4747-8b8a-d5a4cdd5d143}" ref="O164">
      <text>
        <t xml:space="preserve">[Threaded comment]
 Your version of Excel allows you to read this threaded comment; however, any edits to it will get removed if the file is opened in a newer version of Excel. Learn more: https://go.microsoft.com/fwlink/?linkid=870924
Comment:
	08/13 sent SPOL to DA, asked Perry to upload ir to claimspath (CM)
</t>
      </text>
    </comment>
    <comment authorId="972" xr:uid="{7c0e0e9a-00a8-4fee-9205-1dd46336f4ad}" ref="P163">
      <text>
        <t xml:space="preserve">[Threaded comment]
 Your version of Excel allows you to read this threaded comment; however, any edits to it will get removed if the file is opened in a newer version of Excel. Learn more: https://go.microsoft.com/fwlink/?linkid=870924
Comment:
	no insp. yet
</t>
      </text>
    </comment>
    <comment authorId="973" xr:uid="{7c3d0503-9b9c-430b-af0b-4aaf3eda1369}" ref="A314">
      <text>
        <t xml:space="preserve">[Threaded comment]
 Your version of Excel allows you to read this threaded comment; however, any edits to it will get removed if the file is opened in a newer version of Excel. Learn more: https://go.microsoft.com/fwlink/?linkid=870924
Comment:
	Juan
Reply:
	Less holdback until incurred (O&amp;L): $4,983.27
</t>
      </text>
    </comment>
    <comment authorId="974" xr:uid="{7c548404-546d-44d6-8dc6-876ac777c235}" ref="M369">
      <text>
        <t xml:space="preserve">[Threaded comment]
 Your version of Excel allows you to read this threaded comment; however, any edits to it will get removed if the file is opened in a newer version of Excel. Learn more: https://go.microsoft.com/fwlink/?linkid=870924
Comment:
	6/11 sent to DA
</t>
      </text>
    </comment>
    <comment authorId="975" xr:uid="{7c8e3272-62cf-4ef5-b3d1-b966a4d37ab3}" ref="M230">
      <text>
        <t xml:space="preserve">[Threaded comment]
 Your version of Excel allows you to read this threaded comment; however, any edits to it will get removed if the file is opened in a newer version of Excel. Learn more: https://go.microsoft.com/fwlink/?linkid=870924
Comment:
	4/18 sent to DA
</t>
      </text>
    </comment>
    <comment authorId="976" xr:uid="{7c9dba17-a1c0-4b1f-9816-a576ec6bf048}" ref="N345">
      <text>
        <t xml:space="preserve">[Threaded comment]
 Your version of Excel allows you to read this threaded comment; however, any edits to it will get removed if the file is opened in a newer version of Excel. Learn more: https://go.microsoft.com/fwlink/?linkid=870924
Comment:
	4/14 aprobado
</t>
      </text>
    </comment>
    <comment authorId="977" xr:uid="{7cc561c5-16fc-4201-afc0-628707694f46}" ref="A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@sarah@ipadjustinggroup.com @jp.ipestimates@gmail.com closed claim
</t>
      </text>
    </comment>
    <comment authorId="978" xr:uid="{7cd11d31-3da5-4cf1-a8dc-597e5726062d}" ref="A366">
      <text>
        <t xml:space="preserve">[Threaded comment]
 Your version of Excel allows you to read this threaded comment; however, any edits to it will get removed if the file is opened in a newer version of Excel. Learn more: https://go.microsoft.com/fwlink/?linkid=870924
Comment:
	Juan
Reply:
	recoverable dep: $2,649.19
</t>
      </text>
    </comment>
    <comment authorId="979" xr:uid="{7d081896-6ea5-4881-a322-cb9e09dd23b6}" ref="N314">
      <text>
        <t xml:space="preserve">[Threaded comment]
 Your version of Excel allows you to read this threaded comment; however, any edits to it will get removed if the file is opened in a newer version of Excel. Learn more: https://go.microsoft.com/fwlink/?linkid=870924
Comment:
	2/1/25 sent to josh
Reply:
	2/3/25 approved
</t>
      </text>
    </comment>
    <comment authorId="980" xr:uid="{7d1755ff-85e6-4a15-9fe8-e13aad499077}" ref="N239">
      <text>
        <t xml:space="preserve">[Threaded comment]
 Your version of Excel allows you to read this threaded comment; however, any edits to it will get removed if the file is opened in a newer version of Excel. Learn more: https://go.microsoft.com/fwlink/?linkid=870924
Comment:
	10/24 Sent the estimate to Juan for approval.
Reply:
	11/05 Sent an updated estimate to Juan for review.
Reply:
	11/20 sent a new update to juan
Reply:
	11/25 Juan approved
</t>
      </text>
    </comment>
    <comment authorId="981" xr:uid="{7d912654-85fe-4bd1-bd56-a7086db91364}" ref="N311">
      <text>
        <t xml:space="preserve">[Threaded comment]
 Your version of Excel allows you to read this threaded comment; however, any edits to it will get removed if the file is opened in a newer version of Excel. Learn more: https://go.microsoft.com/fwlink/?linkid=870924
Comment:
	2/19/25 sent to ivan
Reply:
	2/26 Ivan approved
</t>
      </text>
    </comment>
    <comment authorId="982" xr:uid="{7da7c183-ef42-4106-868a-1dc2c31c16cf}" ref="V284">
      <text>
        <t xml:space="preserve">[Threaded comment]
 Your version of Excel allows you to read this threaded comment; however, any edits to it will get removed if the file is opened in a newer version of Excel. Learn more: https://go.microsoft.com/fwlink/?linkid=870924
Comment:
	12/16 received payment letter as this was already paid, informed PAs and JP (CM)
</t>
      </text>
    </comment>
    <comment authorId="983" xr:uid="{7dafb408-e717-4d71-b618-0920ba9ae275}"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984" xr:uid="{7dbc7c24-9b49-4661-a181-7207071ee446}" ref="V179">
      <text>
        <t xml:space="preserve">[Threaded comment]
 Your version of Excel allows you to read this threaded comment; however, any edits to it will get removed if the file is opened in a newer version of Excel. Learn more: https://go.microsoft.com/fwlink/?linkid=870924
Comment:
	06/25 asked Juan the estimate and photos as per DA request (CM)
</t>
      </text>
    </comment>
    <comment authorId="985" xr:uid="{7e153ac6-592c-4201-a683-8e5e38e3669d}" ref="A110">
      <text>
        <t xml:space="preserve">[Threaded comment]
 Your version of Excel allows you to read this threaded comment; however, any edits to it will get removed if the file is opened in a newer version of Excel. Learn more: https://go.microsoft.com/fwlink/?linkid=870924
Comment:
	10/10 requested mediation (CM) @scheduling@ipadjustinggroup.com
Assigned to scheduling@ipadjustinggroup.com
</t>
      </text>
    </comment>
    <comment authorId="986" xr:uid="{7e276de0-14b7-4a96-953a-3c6ad23c97dc}"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987" xr:uid="{7e5831d1-f2c5-446e-8ea6-560bb7f49820}" ref="M279">
      <text>
        <t xml:space="preserve">[Threaded comment]
 Your version of Excel allows you to read this threaded comment; however, any edits to it will get removed if the file is opened in a newer version of Excel. Learn more: https://go.microsoft.com/fwlink/?linkid=870924
Comment:
	4/12 sent to carrier
</t>
      </text>
    </comment>
    <comment authorId="988" xr:uid="{7e8e1260-574a-43fc-985d-72075779806d}" ref="N87">
      <text>
        <t xml:space="preserve">[Threaded comment]
 Your version of Excel allows you to read this threaded comment; however, any edits to it will get removed if the file is opened in a newer version of Excel. Learn more: https://go.microsoft.com/fwlink/?linkid=870924
Comment:
	8/28 enviado a juan para revision
</t>
      </text>
    </comment>
    <comment authorId="989" xr:uid="{7e901349-343a-4267-93c2-b14a371bb240}" ref="P190">
      <text>
        <t xml:space="preserve">[Threaded comment]
 Your version of Excel allows you to read this threaded comment; however, any edits to it will get removed if the file is opened in a newer version of Excel. Learn more: https://go.microsoft.com/fwlink/?linkid=870924
Comment:
	10/17
</t>
      </text>
    </comment>
    <comment authorId="990" xr:uid="{7eb2476e-3b21-4818-87ff-7541f1090771}" ref="O231">
      <text>
        <t xml:space="preserve">[Threaded comment]
 Your version of Excel allows you to read this threaded comment; however, any edits to it will get removed if the file is opened in a newer version of Excel. Learn more: https://go.microsoft.com/fwlink/?linkid=870924
Comment:
	12/19/24 sent SPOL to client SG
</t>
      </text>
    </comment>
    <comment authorId="991" xr:uid="{7ebdd82c-41ce-49ec-8188-11ae4dc1b748}" ref="O146">
      <text>
        <t xml:space="preserve">[Threaded comment]
 Your version of Excel allows you to read this threaded comment; however, any edits to it will get removed if the file is opened in a newer version of Excel. Learn more: https://go.microsoft.com/fwlink/?linkid=870924
Comment:
	7/30 sent to client
</t>
      </text>
    </comment>
    <comment authorId="992" xr:uid="{7ee807d0-bb01-4083-8e44-4706b73e467a}" ref="A1">
      <text>
        <t xml:space="preserve">[Threaded comment]
 Your version of Excel allows you to read this threaded comment; however, any edits to it will get removed if the file is opened in a newer version of Excel. Learn more: https://go.microsoft.com/fwlink/?linkid=870924
Comment:
	09/15
</t>
      </text>
    </comment>
    <comment authorId="993" xr:uid="{7f041c1f-33db-43ca-b3dc-57337db4699b}"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994" xr:uid="{7f6dcb74-b3f6-4653-a766-2c016c73db8f}" ref="V159">
      <text>
        <t xml:space="preserve">[Threaded comment]
 Your version of Excel allows you to read this threaded comment; however, any edits to it will get removed if the file is opened in a newer version of Excel. Learn more: https://go.microsoft.com/fwlink/?linkid=870924
Comment:
	08/07 asked her to sign the SPOL, she told me that she spoke with Juan about the estimate, she want a correct estimate before the mediation
</t>
      </text>
    </comment>
    <comment authorId="995" xr:uid="{7f9853fa-3481-4fe0-b431-2a48a1fb5ea6}" ref="N232">
      <text>
        <t xml:space="preserve">[Threaded comment]
 Your version of Excel allows you to read this threaded comment; however, any edits to it will get removed if the file is opened in a newer version of Excel. Learn more: https://go.microsoft.com/fwlink/?linkid=870924
Comment:
	10/24 Sent the estimate to Jakey for review
Reply:
	10/24 Aprobado
</t>
      </text>
    </comment>
    <comment authorId="996" xr:uid="{7fc994d8-8e7d-423f-8250-f32a8ea80453}" ref="M187">
      <text>
        <t xml:space="preserve">[Threaded comment]
 Your version of Excel allows you to read this threaded comment; however, any edits to it will get removed if the file is opened in a newer version of Excel. Learn more: https://go.microsoft.com/fwlink/?linkid=870924
Comment:
	WAITING IA REPORT
Reply:
	tenemos IA @jp.ipestimates@gmail.com
</t>
      </text>
    </comment>
    <comment authorId="997" xr:uid="{7fd94109-878d-4694-a5be-16aee33786a3}" ref="V163">
      <text>
        <t xml:space="preserve">[Threaded comment]
 Your version of Excel allows you to read this threaded comment; however, any edits to it will get removed if the file is opened in a newer version of Excel. Learn more: https://go.microsoft.com/fwlink/?linkid=870924
Comment:
	08/15 spoke with the DA, and he mentioned that during the 2022 inspection, no damages were found. He also said that a re-inspection is not covered by the policy, and we would need to file a new claim for the damages. asked PAs how to proceed (CM)
Reply:
	pending IA and policy
</t>
      </text>
    </comment>
    <comment authorId="998" xr:uid="{802735cd-30bd-4572-9b22-e24228026598}"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999" xr:uid="{8039fa04-c797-43eb-82e6-6b7ce0695e75}" ref="A235">
      <text>
        <t xml:space="preserve">[Threaded comment]
 Your version of Excel allows you to read this threaded comment; however, any edits to it will get removed if the file is opened in a newer version of Excel. Learn more: https://go.microsoft.com/fwlink/?linkid=870924
Comment:
	11/19 Wilber is asking if Iván accpet the flat fee for $1750, sent to PAs (CM)
</t>
      </text>
    </comment>
    <comment authorId="1000" xr:uid="{8074bc67-f46f-4aa1-a818-7448c262a3d7}" ref="N213">
      <text>
        <t xml:space="preserve">[Threaded comment]
 Your version of Excel allows you to read this threaded comment; however, any edits to it will get removed if the file is opened in a newer version of Excel. Learn more: https://go.microsoft.com/fwlink/?linkid=870924
Comment:
	Enviado a Ivan, mismo estimado con adicionales, nuevo carrier.
</t>
      </text>
    </comment>
    <comment authorId="1001" xr:uid="{807911b4-ceea-4f35-89ee-d2712d1c67aa}" ref="M280">
      <text>
        <t xml:space="preserve">[Threaded comment]
 Your version of Excel allows you to read this threaded comment; however, any edits to it will get removed if the file is opened in a newer version of Excel. Learn more: https://go.microsoft.com/fwlink/?linkid=870924
Comment:
	12/10 sent to DA
</t>
      </text>
    </comment>
    <comment authorId="1002" xr:uid="{807c617b-4cc3-4d19-8886-a59e73581d45}" ref="N202">
      <text>
        <t xml:space="preserve">[Threaded comment]
 Your version of Excel allows you to read this threaded comment; however, any edits to it will get removed if the file is opened in a newer version of Excel. Learn more: https://go.microsoft.com/fwlink/?linkid=870924
Comment:
	8/21 enviado a Ivan
</t>
      </text>
    </comment>
    <comment authorId="1003" xr:uid="{80bc30af-f603-4673-ab0d-b458b05b35f9}"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policy received
Assigned to iandres.assistant@gmail.com
</t>
      </text>
    </comment>
    <comment authorId="1004" xr:uid="{80d4a39a-10f3-4696-90bb-a61738b78d9f}" ref="A229">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1005" xr:uid="{80f1be5f-80bd-4d68-898f-ff1e951e6e84}" ref="V260">
      <text>
        <t xml:space="preserve">[Threaded comment]
 Your version of Excel allows you to read this threaded comment; however, any edits to it will get removed if the file is opened in a newer version of Excel. Learn more: https://go.microsoft.com/fwlink/?linkid=870924
Comment:
	01/07 sent the denial letter to PAs, asked them how to proceed (CM)
</t>
      </text>
    </comment>
    <comment authorId="1006" xr:uid="{80f9bc67-bbe7-4963-965c-0e4f858b25fc}" ref="A1">
      <text>
        <t xml:space="preserve">[Threaded comment]
 Your version of Excel allows you to read this threaded comment; however, any edits to it will get removed if the file is opened in a newer version of Excel. Learn more: https://go.microsoft.com/fwlink/?linkid=870924
Comment:
	10/16 enviado a jacob
Reply:
	10/17 aprobado
</t>
      </text>
    </comment>
    <comment authorId="1007" xr:uid="{81000dd4-44dc-4294-8d56-2d654a21a82d}" ref="A1">
      <text>
        <t xml:space="preserve">[Threaded comment]
 Your version of Excel allows you to read this threaded comment; however, any edits to it will get removed if the file is opened in a newer version of Excel. Learn more: https://go.microsoft.com/fwlink/?linkid=870924
Comment:
	09/24
</t>
      </text>
    </comment>
    <comment authorId="1008" xr:uid="{810eabb3-26a1-4b08-b2c9-16073005e954}" ref="A183">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009" xr:uid="{812323a4-09a3-4f0c-a43b-336b475ffabc}" ref="V154">
      <text>
        <t xml:space="preserve">[Threaded comment]
 Your version of Excel allows you to read this threaded comment; however, any edits to it will get removed if the file is opened in a newer version of Excel. Learn more: https://go.microsoft.com/fwlink/?linkid=870924
Comment:
	08/30 left a vm to DA, and sent an email asking to reissue the checks (CM)
</t>
      </text>
    </comment>
    <comment authorId="1010" xr:uid="{813bd15c-6f20-44a4-a54a-1223f9e88bbd}" ref="N312">
      <text>
        <t xml:space="preserve">[Threaded comment]
 Your version of Excel allows you to read this threaded comment; however, any edits to it will get removed if the file is opened in a newer version of Excel. Learn more: https://go.microsoft.com/fwlink/?linkid=870924
Comment:
	1/30/25 sent to josh
Reply:
	1/30 aprobado
Reply:
	11/22/25 sent update to peter
</t>
      </text>
    </comment>
    <comment authorId="1011" xr:uid="{814abd92-6000-4771-9e05-9938150e6d8e}" ref="M252">
      <text>
        <t xml:space="preserve">[Threaded comment]
 Your version of Excel allows you to read this threaded comment; however, any edits to it will get removed if the file is opened in a newer version of Excel. Learn more: https://go.microsoft.com/fwlink/?linkid=870924
Comment:
	11/22 sent to carrier
</t>
      </text>
    </comment>
    <comment authorId="1012" xr:uid="{814d67fe-da6a-4d4a-9313-ddd75d4d1302}" ref="N200">
      <text>
        <t xml:space="preserve">[Threaded comment]
 Your version of Excel allows you to read this threaded comment; however, any edits to it will get removed if the file is opened in a newer version of Excel. Learn more: https://go.microsoft.com/fwlink/?linkid=870924
Comment:
	8/14 aprobado por David
falta subir info a CW
</t>
      </text>
    </comment>
    <comment authorId="1013" xr:uid="{81512847-57a6-494a-9ebf-9918349fc23f}" ref="A1">
      <text>
        <t xml:space="preserve">[Threaded comment]
 Your version of Excel allows you to read this threaded comment; however, any edits to it will get removed if the file is opened in a newer version of Excel. Learn more: https://go.microsoft.com/fwlink/?linkid=870924
Comment:
	9/19 sent to carrier FIGA
</t>
      </text>
    </comment>
    <comment authorId="1014" xr:uid="{81552c24-ccb9-4eed-ae07-da3107239c38}" ref="N373">
      <text>
        <t xml:space="preserve">[Threaded comment]
 Your version of Excel allows you to read this threaded comment; however, any edits to it will get removed if the file is opened in a newer version of Excel. Learn more: https://go.microsoft.com/fwlink/?linkid=870924
Comment:
	5/30 sent to josh
Reply:
	6/3 aprobado
</t>
      </text>
    </comment>
    <comment authorId="1015" xr:uid="{815adf17-d3c0-40a8-8a27-567c9172a2cd}" ref="V138">
      <text>
        <t xml:space="preserve">[Threaded comment]
 Your version of Excel allows you to read this threaded comment; however, any edits to it will get removed if the file is opened in a newer version of Excel. Learn more: https://go.microsoft.com/fwlink/?linkid=870924
Comment:
	07/09 received the settlement packet, informed PAs (CM)
</t>
      </text>
    </comment>
    <comment authorId="1016" xr:uid="{81b1545e-e72e-4980-9b74-2ab15f568034}" ref="V297">
      <text>
        <t xml:space="preserve">[Threaded comment]
 Your version of Excel allows you to read this threaded comment; however, any edits to it will get removed if the file is opened in a newer version of Excel. Learn more: https://go.microsoft.com/fwlink/?linkid=870924
Comment:
	02/05 DA says that it does not confirm the cause of failure to the appliance, he is requesting A list of damaged personal property, Repair estimate, Mitigation documents, including dry log and moisture readings (CM)
</t>
      </text>
    </comment>
    <comment authorId="1017" xr:uid="{81b957ff-afd6-457c-857c-16f1f9fc6353}"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018" xr:uid="{81f93fc5-3ed0-41d4-a826-53a7a785dddf}" ref="P171">
      <text>
        <t xml:space="preserve">[Threaded comment]
 Your version of Excel allows you to read this threaded comment; however, any edits to it will get removed if the file is opened in a newer version of Excel. Learn more: https://go.microsoft.com/fwlink/?linkid=870924
Comment:
	07/09 insp
</t>
      </text>
    </comment>
    <comment authorId="1019" xr:uid="{824da676-7340-4710-9a73-ea5d75309687}" ref="P312">
      <text>
        <t xml:space="preserve">[Threaded comment]
 Your version of Excel allows you to read this threaded comment; however, any edits to it will get removed if the file is opened in a newer version of Excel. Learn more: https://go.microsoft.com/fwlink/?linkid=870924
Comment:
	02/11
</t>
      </text>
    </comment>
    <comment authorId="1020" xr:uid="{82631492-464a-4415-858a-451530f9e3ff}" ref="O158">
      <text>
        <t xml:space="preserve">[Threaded comment]
 Your version of Excel allows you to read this threaded comment; however, any edits to it will get removed if the file is opened in a newer version of Excel. Learn more: https://go.microsoft.com/fwlink/?linkid=870924
Comment:
	8/03 sent to client
Reply:
	08/27 Sent the spol to tower hill (CM)
</t>
      </text>
    </comment>
    <comment authorId="1021" xr:uid="{828be83d-8592-4680-9d84-feac55a6f6cd}" ref="N397">
      <text>
        <t xml:space="preserve">[Threaded comment]
 Your version of Excel allows you to read this threaded comment; however, any edits to it will get removed if the file is opened in a newer version of Excel. Learn more: https://go.microsoft.com/fwlink/?linkid=870924
Comment:
	1/17 sent to josh
Reply:
	1/23 aprobado
</t>
      </text>
    </comment>
    <comment authorId="1022" xr:uid="{8290d267-f5f0-4439-91b5-9aeb7d643e1b}" ref="P258">
      <text>
        <t xml:space="preserve">[Threaded comment]
 Your version of Excel allows you to read this threaded comment; however, any edits to it will get removed if the file is opened in a newer version of Excel. Learn more: https://go.microsoft.com/fwlink/?linkid=870924
Comment:
	insp done on 10/25
</t>
      </text>
    </comment>
    <comment authorId="1023" xr:uid="{82bf4098-56cf-4131-9370-47fc76cfb24e}" ref="P264">
      <text>
        <t xml:space="preserve">[Threaded comment]
 Your version of Excel allows you to read this threaded comment; however, any edits to it will get removed if the file is opened in a newer version of Excel. Learn more: https://go.microsoft.com/fwlink/?linkid=870924
Comment:
	Insp. don on 10/25
</t>
      </text>
    </comment>
    <comment authorId="1024" xr:uid="{82def7d6-6c70-404b-8864-2ba184f2ef39}"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1025" xr:uid="{831fefcc-1a57-49cb-b32d-20f349cf120b}" ref="V149">
      <text>
        <t xml:space="preserve">[Threaded comment]
 Your version of Excel allows you to read this threaded comment; however, any edits to it will get removed if the file is opened in a newer version of Excel. Learn more: https://go.microsoft.com/fwlink/?linkid=870924
Comment:
	12/23 Peter says we have a settlement release, need to confim with the lawyers (CM)
</t>
      </text>
    </comment>
    <comment authorId="1026" xr:uid="{83263a2e-cc12-4dea-9529-97cd8303987f}"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027" xr:uid="{833a3b69-088e-4bec-805e-1eefe8ee4d27}" ref="V208">
      <text>
        <t xml:space="preserve">[Threaded comment]
 Your version of Excel allows you to read this threaded comment; however, any edits to it will get removed if the file is opened in a newer version of Excel. Learn more: https://go.microsoft.com/fwlink/?linkid=870924
Comment:
	10/18 Received the IA report and denial (CM)
Reply:
	11/14 DA called and informed that the roof replacement with premium grade laminate shingles is not warranted. Based on inspection, roof repair is feasible with 3 tab shingles. (CM)
</t>
      </text>
    </comment>
    <comment authorId="1028" xr:uid="{835a2af8-b76e-4e64-b42c-84e6843245f5}" ref="U214">
      <text>
        <t xml:space="preserve">[Threaded comment]
 Your version of Excel allows you to read this threaded comment; however, any edits to it will get removed if the file is opened in a newer version of Excel. Learn more: https://go.microsoft.com/fwlink/?linkid=870924
Comment:
	Prefered Method text
</t>
      </text>
    </comment>
    <comment authorId="1029" xr:uid="{839cb8ab-9640-43a4-a4e5-7f984f7e175c}" ref="V270">
      <text>
        <t xml:space="preserve">[Threaded comment]
 Your version of Excel allows you to read this threaded comment; however, any edits to it will get removed if the file is opened in a newer version of Excel. Learn more: https://go.microsoft.com/fwlink/?linkid=870924
Comment:
	11/12 Asked Juan to send the scope again, filed it with description of loss: hurricane cause damage to the roof resulting in leaks (AL)
</t>
      </text>
    </comment>
    <comment authorId="1030" xr:uid="{83c76c8d-eb94-46a0-87cf-d27c9cfabc39}" ref="P283">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031" xr:uid="{83d26a59-8587-4b17-87af-10a520a3a8f5}" ref="V243">
      <text>
        <t xml:space="preserve">[Threaded comment]
 Your version of Excel allows you to read this threaded comment; however, any edits to it will get removed if the file is opened in a newer version of Excel. Learn more: https://go.microsoft.com/fwlink/?linkid=870924
Comment:
	10/24 DA is requesting a copy of a mortgage satisfaction letter from CALIBER HOME LOANS, INC Loan ID: 9779529297 or a loan transfer document as New Rez being the new lienholder sent to PAs (CM)
</t>
      </text>
    </comment>
    <comment authorId="1032" xr:uid="{83e3e055-70be-42bc-bdbd-3bb3de10a154}" ref="A1">
      <text>
        <t xml:space="preserve">[Threaded comment]
 Your version of Excel allows you to read this threaded comment; however, any edits to it will get removed if the file is opened in a newer version of Excel. Learn more: https://go.microsoft.com/fwlink/?linkid=870924
Comment:
	06/10 received a denial letter, sent to PAs, asked if they want to request mediation (CM)
</t>
      </text>
    </comment>
    <comment authorId="1033" xr:uid="{841d67c1-da06-46cf-9271-7191198ff679}" ref="N203">
      <text>
        <t xml:space="preserve">[Threaded comment]
 Your version of Excel allows you to read this threaded comment; however, any edits to it will get removed if the file is opened in a newer version of Excel. Learn more: https://go.microsoft.com/fwlink/?linkid=870924
Comment:
	8/16 aprobado por david
</t>
      </text>
    </comment>
    <comment authorId="1034" xr:uid="{841e6599-bcd1-43bf-96b4-6f064104c6ef}" ref="N340">
      <text>
        <t xml:space="preserve">[Threaded comment]
 Your version of Excel allows you to read this threaded comment; however, any edits to it will get removed if the file is opened in a newer version of Excel. Learn more: https://go.microsoft.com/fwlink/?linkid=870924
Comment:
	4/10 aprobado por juan
</t>
      </text>
    </comment>
    <comment authorId="1035" xr:uid="{8426a33d-ae0a-448d-a9b1-4184343f29e3}" ref="A1">
      <text>
        <t xml:space="preserve">[Threaded comment]
 Your version of Excel allows you to read this threaded comment; however, any edits to it will get removed if the file is opened in a newer version of Excel. Learn more: https://go.microsoft.com/fwlink/?linkid=870924
Comment:
	wrong number, asked Juan
</t>
      </text>
    </comment>
    <comment authorId="1036" xr:uid="{842ac207-6f68-45f3-b450-ccdcc8fb0357}" ref="Q356">
      <text>
        <t xml:space="preserve">[Threaded comment]
 Your version of Excel allows you to read this threaded comment; however, any edits to it will get removed if the file is opened in a newer version of Excel. Learn more: https://go.microsoft.com/fwlink/?linkid=870924
Comment:
	05/20
</t>
      </text>
    </comment>
    <comment authorId="1037" xr:uid="{84626a8d-4a25-4ee6-b741-8c2931e5080e}" ref="V30">
      <text>
        <t xml:space="preserve">[Threaded comment]
 Your version of Excel allows you to read this threaded comment; however, any edits to it will get removed if the file is opened in a newer version of Excel. Learn more: https://go.microsoft.com/fwlink/?linkid=870924
Comment:
	11/04 recieved an email from the client saying she wants to cancel the claim, sent to PAs (CM)
</t>
      </text>
    </comment>
    <comment authorId="1038" xr:uid="{84668ffe-f59e-49a4-91dc-c499466b8721}" ref="N307">
      <text>
        <t xml:space="preserve">[Threaded comment]
 Your version of Excel allows you to read this threaded comment; however, any edits to it will get removed if the file is opened in a newer version of Excel. Learn more: https://go.microsoft.com/fwlink/?linkid=870924
Comment:
	1/21/25 sent to ivan
Reply:
	1/21/25 aprobado por ivan
Reply:
	5/12 sent an update to IVan
</t>
      </text>
    </comment>
    <comment authorId="1039" xr:uid="{849321f4-5bc7-4e10-a4dd-bafb0aa850d9}" ref="N216">
      <text>
        <t xml:space="preserve">[Threaded comment]
 Your version of Excel allows you to read this threaded comment; however, any edits to it will get removed if the file is opened in a newer version of Excel. Learn more: https://go.microsoft.com/fwlink/?linkid=870924
Comment:
	12/17 sent to jakey
Reply:
	12/17 aprobado por jakey
</t>
      </text>
    </comment>
    <comment authorId="1040" xr:uid="{84c67695-e180-41c7-826a-2697fd157fa5}"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041" xr:uid="{84d189f4-1464-4775-b4bf-9e6e6089dd13}" ref="V264">
      <text>
        <t xml:space="preserve">[Threaded comment]
 Your version of Excel allows you to read this threaded comment; however, any edits to it will get removed if the file is opened in a newer version of Excel. Learn more: https://go.microsoft.com/fwlink/?linkid=870924
Comment:
	11/18 received the IA report, sent to PAs and JP, asked him to send ours (CM)
</t>
      </text>
    </comment>
    <comment authorId="1042" xr:uid="{84d2759e-e24e-4287-80aa-a9d189ff1856}" ref="V156">
      <text>
        <t xml:space="preserve">[Threaded comment]
 Your version of Excel allows you to read this threaded comment; however, any edits to it will get removed if the file is opened in a newer version of Excel. Learn more: https://go.microsoft.com/fwlink/?linkid=870924
Comment:
	07/25 Ivan is asking 30k, he is going to talk with DA on 07/26 (CM)
</t>
      </text>
    </comment>
    <comment authorId="1043" xr:uid="{84e79a64-f659-4f98-a9e0-e91b41eaa6c3}" ref="O199">
      <text>
        <t xml:space="preserve">[Threaded comment]
 Your version of Excel allows you to read this threaded comment; however, any edits to it will get removed if the file is opened in a newer version of Excel. Learn more: https://go.microsoft.com/fwlink/?linkid=870924
Comment:
	@jp.ipestimates@gmail.com 08/21 te mande el spol vacio para completar por pedido de la DA
</t>
      </text>
    </comment>
    <comment authorId="1044" xr:uid="{84ed731f-9db2-48d2-b614-c6e96e24bfd9}" ref="V114">
      <text>
        <t xml:space="preserve">[Threaded comment]
 Your version of Excel allows you to read this threaded comment; however, any edits to it will get removed if the file is opened in a newer version of Excel. Learn more: https://go.microsoft.com/fwlink/?linkid=870924
Comment:
	09/20 Joshua is asking if IP's will make a counteroffer for the 10k that carrier is offering (CM)
</t>
      </text>
    </comment>
    <comment authorId="1045" xr:uid="{8514627e-fd30-488a-a85c-10375d33199e}" ref="P257">
      <text>
        <t xml:space="preserve">[Threaded comment]
 Your version of Excel allows you to read this threaded comment; however, any edits to it will get removed if the file is opened in a newer version of Excel. Learn more: https://go.microsoft.com/fwlink/?linkid=870924
Comment:
	11/14
</t>
      </text>
    </comment>
    <comment authorId="1046" xr:uid="{854bfb6a-eb7f-4c86-a9b4-0e46001d6cce}" ref="P140">
      <text>
        <t xml:space="preserve">[Threaded comment]
 Your version of Excel allows you to read this threaded comment; however, any edits to it will get removed if the file is opened in a newer version of Excel. Learn more: https://go.microsoft.com/fwlink/?linkid=870924
Comment:
	08/30
</t>
      </text>
    </comment>
    <comment authorId="1047" xr:uid="{8597af9b-2c98-458d-a66b-ceb1ffd3ec61}" ref="N298">
      <text>
        <t xml:space="preserve">[Threaded comment]
 Your version of Excel allows you to read this threaded comment; however, any edits to it will get removed if the file is opened in a newer version of Excel. Learn more: https://go.microsoft.com/fwlink/?linkid=870924
Comment:
	1/13/25 sent to ivan
</t>
      </text>
    </comment>
    <comment authorId="1048" xr:uid="{8621c7a6-c044-4865-983c-d6c9afcf479e}" ref="V180">
      <text>
        <t xml:space="preserve">[Threaded comment]
 Your version of Excel allows you to read this threaded comment; however, any edits to it will get removed if the file is opened in a newer version of Excel. Learn more: https://go.microsoft.com/fwlink/?linkid=870924
Comment:
	08/26received the previous IA report, and coverage letter, asked PAs to review it (CM)
</t>
      </text>
    </comment>
    <comment authorId="1049" xr:uid="{862fe01b-52a2-4d62-b1b4-4cd37233c483}" ref="A1">
      <text>
        <t xml:space="preserve">[Threaded comment]
 Your version of Excel allows you to read this threaded comment; however, any edits to it will get removed if the file is opened in a newer version of Excel. Learn more: https://go.microsoft.com/fwlink/?linkid=870924
Comment:
	07/16 FA will be reassigned. Conrad will be out of town.
</t>
      </text>
    </comment>
    <comment authorId="1050" xr:uid="{8639c8d2-8e1a-4838-8293-9ac79436b9de}" ref="M377">
      <text>
        <t xml:space="preserve">[Threaded comment]
 Your version of Excel allows you to read this threaded comment; however, any edits to it will get removed if the file is opened in a newer version of Excel. Learn more: https://go.microsoft.com/fwlink/?linkid=870924
Comment:
	9/18 sent to carrier
</t>
      </text>
    </comment>
    <comment authorId="1051" xr:uid="{866c51ef-18b2-4d9f-a957-141e98840c91}" ref="O211">
      <text>
        <t xml:space="preserve">[Threaded comment]
 Your version of Excel allows you to read this threaded comment; however, any edits to it will get removed if the file is opened in a newer version of Excel. Learn more: https://go.microsoft.com/fwlink/?linkid=870924
Comment:
	12/17 sent to client
</t>
      </text>
    </comment>
    <comment authorId="1052" xr:uid="{867c050d-a255-49ef-9e10-c02563aa90ef}" ref="V276">
      <text>
        <t xml:space="preserve">[Threaded comment]
 Your version of Excel allows you to read this threaded comment; however, any edits to it will get removed if the file is opened in a newer version of Excel. Learn more: https://go.microsoft.com/fwlink/?linkid=870924
Comment:
	11/26 received a determination letter, they are issuing a payment for 4.7k, asked JP to send our estimate (CM)
</t>
      </text>
    </comment>
    <comment authorId="1053" xr:uid="{86ce9d47-c473-49de-a4bd-85c3e7c1254e}" ref="M275">
      <text>
        <t xml:space="preserve">[Threaded comment]
 Your version of Excel allows you to read this threaded comment; however, any edits to it will get removed if the file is opened in a newer version of Excel. Learn more: https://go.microsoft.com/fwlink/?linkid=870924
Comment:
	1/15/25 sent to carrier
</t>
      </text>
    </comment>
    <comment authorId="1054" xr:uid="{86dee9fc-d553-4071-b324-9b854f9a72c8}"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055" xr:uid="{86f48cf9-fa82-48bd-9e63-e498b6093d64}" ref="M318">
      <text>
        <t xml:space="preserve">[Threaded comment]
 Your version of Excel allows you to read this threaded comment; however, any edits to it will get removed if the file is opened in a newer version of Excel. Learn more: https://go.microsoft.com/fwlink/?linkid=870924
Comment:
	2/14 sent to DA
</t>
      </text>
    </comment>
    <comment authorId="1056" xr:uid="{87036704-4e4e-4e63-94a8-89a4de6022ac}" ref="N248">
      <text>
        <t xml:space="preserve">[Threaded comment]
 Your version of Excel allows you to read this threaded comment; however, any edits to it will get removed if the file is opened in a newer version of Excel. Learn more: https://go.microsoft.com/fwlink/?linkid=870924
Comment:
	11/25 sent to Jose
Reply:
	11/26 Jose approved the estimate
</t>
      </text>
    </comment>
    <comment authorId="1057" xr:uid="{87210313-f59b-473b-97cf-4c1ed42033cb}" ref="V280">
      <text>
        <t xml:space="preserve">[Threaded comment]
 Your version of Excel allows you to read this threaded comment; however, any edits to it will get removed if the file is opened in a newer version of Excel. Learn more: https://go.microsoft.com/fwlink/?linkid=870924
Comment:
	03/07 the mediation resulted in an impasse as per mediator (CM)
Reply:
	03/11 DA is asking if a contractor has been obtained for the repairs, sent to PAs (CM)
</t>
      </text>
    </comment>
    <comment authorId="1058" xr:uid="{8731016c-19d4-4e6c-8b27-6f59b45b01c8}" ref="A1">
      <text>
        <t xml:space="preserve">[Threaded comment]
 Your version of Excel allows you to read this threaded comment; however, any edits to it will get removed if the file is opened in a newer version of Excel. Learn more: https://go.microsoft.com/fwlink/?linkid=870924
Comment:
	10/30 received a determination and a IA, sent to PAs (CM)
</t>
      </text>
    </comment>
    <comment authorId="1059" xr:uid="{87465af7-f9a3-4c40-bc60-85e2823b5b50}"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1060" xr:uid="{8753bccb-3e80-49e2-b13b-3f17a38673d4}" ref="N174">
      <text>
        <t xml:space="preserve">[Threaded comment]
 Your version of Excel allows you to read this threaded comment; however, any edits to it will get removed if the file is opened in a newer version of Excel. Learn more: https://go.microsoft.com/fwlink/?linkid=870924
Comment:
	8/20 Sent estimate to Peter for approval
Reply:
	8/26 peter approved
</t>
      </text>
    </comment>
    <comment authorId="1061" xr:uid="{876a18c8-d14b-401e-a360-44dbda9665ca}"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062" xr:uid="{87c35645-82a0-4b0e-bd7c-481c991e990f}" ref="N326">
      <text>
        <t xml:space="preserve">[Threaded comment]
 Your version of Excel allows you to read this threaded comment; however, any edits to it will get removed if the file is opened in a newer version of Excel. Learn more: https://go.microsoft.com/fwlink/?linkid=870924
Comment:
	3/12 sent to Chris
Reply:
	3/13 aprobado por cris
</t>
      </text>
    </comment>
    <comment authorId="1063" xr:uid="{880c7d59-ff6d-4339-9c19-5015217df129}" ref="V185">
      <text>
        <t xml:space="preserve">[Threaded comment]
 Your version of Excel allows you to read this threaded comment; however, any edits to it will get removed if the file is opened in a newer version of Excel. Learn more: https://go.microsoft.com/fwlink/?linkid=870924
Comment:
	Mediation was on 10/15 (CM)
</t>
      </text>
    </comment>
    <comment authorId="1064" xr:uid="{881f0f00-59ea-4086-a1bc-f3746db81c24}" ref="M214">
      <text>
        <t xml:space="preserve">[Threaded comment]
 Your version of Excel allows you to read this threaded comment; however, any edits to it will get removed if the file is opened in a newer version of Excel. Learn more: https://go.microsoft.com/fwlink/?linkid=870924
Comment:
	1/7/25 uploaded
</t>
      </text>
    </comment>
    <comment authorId="1065" xr:uid="{8826038f-deea-4b0f-9f0d-091905d864e6}" ref="M385">
      <text>
        <t xml:space="preserve">[Threaded comment]
 Your version of Excel allows you to read this threaded comment; however, any edits to it will get removed if the file is opened in a newer version of Excel. Learn more: https://go.microsoft.com/fwlink/?linkid=870924
Comment:
	9/19 sent to carrier
</t>
      </text>
    </comment>
    <comment authorId="1066" xr:uid="{886746c0-a457-4fb5-93fb-5b93a00d5244}" ref="N367">
      <text>
        <t xml:space="preserve">[Threaded comment]
 Your version of Excel allows you to read this threaded comment; however, any edits to it will get removed if the file is opened in a newer version of Excel. Learn more: https://go.microsoft.com/fwlink/?linkid=870924
Comment:
	5/6 Sent to josh
</t>
      </text>
    </comment>
    <comment authorId="1067" xr:uid="{8873bb47-cc89-4f8b-bd83-6920251208ce}" ref="V279">
      <text>
        <t xml:space="preserve">[Threaded comment]
 Your version of Excel allows you to read this threaded comment; however, any edits to it will get removed if the file is opened in a newer version of Excel. Learn more: https://go.microsoft.com/fwlink/?linkid=870924
Comment:
	01/21 Iván is following up on the estimate with Peter (CM)
</t>
      </text>
    </comment>
    <comment authorId="1068" xr:uid="{88981f0f-7633-47f6-8465-c8d717470c11}" ref="V18">
      <text>
        <t xml:space="preserve">[Threaded comment]
 Your version of Excel allows you to read this threaded comment; however, any edits to it will get removed if the file is opened in a newer version of Excel. Learn more: https://go.microsoft.com/fwlink/?linkid=870924
Comment:
	06/21 DA inform that this claim is paid and settled (CM)
</t>
      </text>
    </comment>
    <comment authorId="1069" xr:uid="{889cf164-3b93-4c48-a8d6-42f54b4baf67}" ref="V206">
      <text>
        <t xml:space="preserve">[Threaded comment]
 Your version of Excel allows you to read this threaded comment; however, any edits to it will get removed if the file is opened in a newer version of Excel. Learn more: https://go.microsoft.com/fwlink/?linkid=870924
Comment:
	12/16 DA is requesting the SPOL, sent it to client (CM)
</t>
      </text>
    </comment>
    <comment authorId="1070" xr:uid="{88ffab5f-e980-4a70-b91b-5d6147c83935}" ref="V296">
      <text>
        <t xml:space="preserve">[Threaded comment]
 Your version of Excel allows you to read this threaded comment; however, any edits to it will get removed if the file is opened in a newer version of Excel. Learn more: https://go.microsoft.com/fwlink/?linkid=870924
Comment:
	02/05 Peter asked 50k on this claim (CM)
Reply:
	02/06 DA is offering $39,765.55 new money (CM)
Reply:
	02/11 asked 45k as per Iván request (CM)
</t>
      </text>
    </comment>
    <comment authorId="1071" xr:uid="{892e685d-5c70-4cda-a4aa-24d477c42572}" ref="A1">
      <text>
        <t xml:space="preserve">[Threaded comment]
 Your version of Excel allows you to read this threaded comment; however, any edits to it will get removed if the file is opened in a newer version of Excel. Learn more: https://go.microsoft.com/fwlink/?linkid=870924
Comment:
	11/04
</t>
      </text>
    </comment>
    <comment authorId="1072" xr:uid="{89300c10-107e-4def-ac2d-3c8b8c669448}"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073" xr:uid="{89549eb5-437a-4cde-99ff-3298af0cddeb}" ref="P305">
      <text>
        <t xml:space="preserve">[Threaded comment]
 Your version of Excel allows you to read this threaded comment; however, any edits to it will get removed if the file is opened in a newer version of Excel. Learn more: https://go.microsoft.com/fwlink/?linkid=870924
Comment:
	01/22 insp
</t>
      </text>
    </comment>
    <comment authorId="1074" xr:uid="{897f33f4-c08f-44bd-80f7-22c992108c94}" ref="A191">
      <text>
        <t xml:space="preserve">[Threaded comment]
 Your version of Excel allows you to read this threaded comment; however, any edits to it will get removed if the file is opened in a newer version of Excel. Learn more: https://go.microsoft.com/fwlink/?linkid=870924
Comment:
	01/08 carrier canceled the mediation said via email that they got to an agreement asked I&amp;P (CM)
</t>
      </text>
    </comment>
    <comment authorId="1075" xr:uid="{89a89be2-56c5-4a53-a224-ad37eba93296}" ref="V202">
      <text>
        <t xml:space="preserve">[Threaded comment]
 Your version of Excel allows you to read this threaded comment; however, any edits to it will get removed if the file is opened in a newer version of Excel. Learn more: https://go.microsoft.com/fwlink/?linkid=870924
Comment:
	08/29 received a determination letter, they are going to pay 8k asked PAs how to proceed (CM)
</t>
      </text>
    </comment>
    <comment authorId="1076" xr:uid="{89c02937-5bfa-4357-a712-3178b9d8c1b9}" ref="N259">
      <text>
        <t xml:space="preserve">[Threaded comment]
 Your version of Excel allows you to read this threaded comment; however, any edits to it will get removed if the file is opened in a newer version of Excel. Learn more: https://go.microsoft.com/fwlink/?linkid=870924
Comment:
	11/17 Sent the estimate to Ivan for review
Reply:
	11/24 David approved
Reply:
	5/28/25 sent an update to Peter
Reply:
	5/28 aprobado el update
</t>
      </text>
    </comment>
    <comment authorId="1077" xr:uid="{89d22889-1b9a-463f-be92-4de3a3c2eab6}" ref="V73">
      <text>
        <t xml:space="preserve">[Threaded comment]
 Your version of Excel allows you to read this threaded comment; however, any edits to it will get removed if the file is opened in a newer version of Excel. Learn more: https://go.microsoft.com/fwlink/?linkid=870924
Comment:
	08/12 Peter followed up on the 22.5k offer (CM)
</t>
      </text>
    </comment>
    <comment authorId="1078" xr:uid="{89f436ba-6609-4727-9f41-5743e4cbc317}" ref="P16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079" xr:uid="{8a0e464f-b514-40f6-9614-50002828479d}"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080" xr:uid="{8a1eae02-0c9f-4b5b-9755-bc02827f2e1d}" ref="N107">
      <text>
        <t xml:space="preserve">[Threaded comment]
 Your version of Excel allows you to read this threaded comment; however, any edits to it will get removed if the file is opened in a newer version of Excel. Learn more: https://go.microsoft.com/fwlink/?linkid=870924
Comment:
	5/26 sent to juan
Reply:
	1/17/25 Juan approved
</t>
      </text>
    </comment>
    <comment authorId="1081" xr:uid="{8a6f1f3e-d3f2-44f8-9e2a-71592db04796}" ref="M347">
      <text>
        <t xml:space="preserve">[Threaded comment]
 Your version of Excel allows you to read this threaded comment; however, any edits to it will get removed if the file is opened in a newer version of Excel. Learn more: https://go.microsoft.com/fwlink/?linkid=870924
Comment:
	4/24 sent to DA
</t>
      </text>
    </comment>
    <comment authorId="1082" xr:uid="{8a9a85cc-1141-4ba5-ba79-18fca5efbe39}" ref="A167">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1083" xr:uid="{8b295135-18fe-415e-a9b7-d7da23dd992e}" ref="A167">
      <text>
        <t xml:space="preserve">[Threaded comment]
 Your version of Excel allows you to read this threaded comment; however, any edits to it will get removed if the file is opened in a newer version of Excel. Learn more: https://go.microsoft.com/fwlink/?linkid=870924
Comment:
	08/28 sent docs to Wilber to see if he wants to accpet this appraisal (CM)
</t>
      </text>
    </comment>
    <comment authorId="1084" xr:uid="{8b655ca2-2641-4097-8d56-132af28ee093}" ref="A270">
      <text>
        <t xml:space="preserve">[Threaded comment]
 Your version of Excel allows you to read this threaded comment; however, any edits to it will get removed if the file is opened in a newer version of Excel. Learn more: https://go.microsoft.com/fwlink/?linkid=870924
Comment:
	Joshua
Reply:
	No additional payments on this claim
</t>
      </text>
    </comment>
    <comment authorId="1085" xr:uid="{8b834d6c-7610-42d2-b5ce-187b01a5262c}" ref="M295">
      <text>
        <t xml:space="preserve">[Threaded comment]
 Your version of Excel allows you to read this threaded comment; however, any edits to it will get removed if the file is opened in a newer version of Excel. Learn more: https://go.microsoft.com/fwlink/?linkid=870924
Comment:
	1/15/25 sent to DA
</t>
      </text>
    </comment>
    <comment authorId="1086" xr:uid="{8b8bbe5e-d2da-442b-97c9-2723c0766f5f}" ref="P229">
      <text>
        <t xml:space="preserve">[Threaded comment]
 Your version of Excel allows you to read this threaded comment; however, any edits to it will get removed if the file is opened in a newer version of Excel. Learn more: https://go.microsoft.com/fwlink/?linkid=870924
Comment:
	insp 11/06
</t>
      </text>
    </comment>
    <comment authorId="1087" xr:uid="{8c0748d6-22ce-439d-be49-7867beee3ba5}" ref="P178">
      <text>
        <t xml:space="preserve">[Threaded comment]
 Your version of Excel allows you to read this threaded comment; however, any edits to it will get removed if the file is opened in a newer version of Excel. Learn more: https://go.microsoft.com/fwlink/?linkid=870924
Comment:
	06/26 insp, 08/01 engineer
08/13 followed up on the engineer, IA report or determination on this claim (CM)
</t>
      </text>
    </comment>
    <comment authorId="1088" xr:uid="{8c078e2e-d39c-443c-a590-68228f78de72}" ref="V255">
      <text>
        <t xml:space="preserve">[Threaded comment]
 Your version of Excel allows you to read this threaded comment; however, any edits to it will get removed if the file is opened in a newer version of Excel. Learn more: https://go.microsoft.com/fwlink/?linkid=870924
Comment:
	02/04 DA is asking the third parties invoices (CM)
</t>
      </text>
    </comment>
    <comment authorId="1089" xr:uid="{8c10c6e5-8ffb-4764-bb74-53a149637341}" ref="Q341">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1090" xr:uid="{8c3dc36c-4a29-4c69-93b4-c9def74d38b2}" ref="O235">
      <text>
        <t xml:space="preserve">[Threaded comment]
 Your version of Excel allows you to read this threaded comment; however, any edits to it will get removed if the file is opened in a newer version of Excel. Learn more: https://go.microsoft.com/fwlink/?linkid=870924
Comment:
	12/17 sent to client. JP
</t>
      </text>
    </comment>
    <comment authorId="1091" xr:uid="{8c630b16-0a6e-43bf-8480-b843086be8f1}" ref="N282">
      <text>
        <t xml:space="preserve">[Threaded comment]
 Your version of Excel allows you to read this threaded comment; however, any edits to it will get removed if the file is opened in a newer version of Excel. Learn more: https://go.microsoft.com/fwlink/?linkid=870924
Comment:
	12/27 sent to Ivan
Reply:
	12/31 aprobado por ivan
</t>
      </text>
    </comment>
    <comment authorId="1092" xr:uid="{8c7e69e3-859a-46be-be9c-dcb92ccad401}" ref="N207">
      <text>
        <t xml:space="preserve">[Threaded comment]
 Your version of Excel allows you to read this threaded comment; however, any edits to it will get removed if the file is opened in a newer version of Excel. Learn more: https://go.microsoft.com/fwlink/?linkid=870924
Comment:
	10/06 enviado a joshua
Reply:
	10/06 aprobado por joshua
Reply:
	10/30 David asked to modify the estimate, sent an update. Waiting for approval
Reply:
	10/30 aprobado
</t>
      </text>
    </comment>
    <comment authorId="1093" xr:uid="{8c824e4d-f441-490b-8d23-1004ceb5df21}" ref="A1">
      <text>
        <t xml:space="preserve">[Threaded comment]
 Your version of Excel allows you to read this threaded comment; however, any edits to it will get removed if the file is opened in a newer version of Excel. Learn more: https://go.microsoft.com/fwlink/?linkid=870924
Comment:
	07/03
</t>
      </text>
    </comment>
    <comment authorId="1094" xr:uid="{8ca6c012-fd8e-4dcc-84e6-40cb4b5450db}"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policy
Assigned to iandres.assistant@gmail.com
</t>
      </text>
    </comment>
    <comment authorId="1095" xr:uid="{8cd633ab-68af-4e56-90c4-38e5a137033f}" ref="O201">
      <text>
        <t xml:space="preserve">[Threaded comment]
 Your version of Excel allows you to read this threaded comment; however, any edits to it will get removed if the file is opened in a newer version of Excel. Learn more: https://go.microsoft.com/fwlink/?linkid=870924
Comment:
	12/17 sent. JP
</t>
      </text>
    </comment>
    <comment authorId="1096" xr:uid="{8cf8aee0-52f6-4126-b54f-72ff931b4666}" ref="O190">
      <text>
        <t xml:space="preserve">[Threaded comment]
 Your version of Excel allows you to read this threaded comment; however, any edits to it will get removed if the file is opened in a newer version of Excel. Learn more: https://go.microsoft.com/fwlink/?linkid=870924
Comment:
	estan pidiendo el SPOL (CM)
7/26 enviado al cliente (JP) @admin@ipadjustinggroup.com
08/13 sent spol to carrier (CM)
</t>
      </text>
    </comment>
    <comment authorId="1097" xr:uid="{8d04cc9c-4e78-4dda-94f2-16c5bbd6b7fd}" ref="A1">
      <text>
        <t xml:space="preserve">[Threaded comment]
 Your version of Excel allows you to read this threaded comment; however, any edits to it will get removed if the file is opened in a newer version of Excel. Learn more: https://go.microsoft.com/fwlink/?linkid=870924
Comment:
	09/10
</t>
      </text>
    </comment>
    <comment authorId="1098" xr:uid="{8d19288e-d958-4829-8859-77afea974f73}" ref="N383">
      <text>
        <t xml:space="preserve">[Threaded comment]
 Your version of Excel allows you to read this threaded comment; however, any edits to it will get removed if the file is opened in a newer version of Excel. Learn more: https://go.microsoft.com/fwlink/?linkid=870924
Comment:
	7/10 Sent to ivan
Reply:
	7/14 aprobado
</t>
      </text>
    </comment>
    <comment authorId="1099" xr:uid="{8d518edb-9a92-4128-85e5-77240910404d}"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100" xr:uid="{8d67806e-10df-4f72-b174-3abc3de5f086}" ref="A1">
      <text>
        <t xml:space="preserve">[Threaded comment]
 Your version of Excel allows you to read this threaded comment; however, any edits to it will get removed if the file is opened in a newer version of Excel. Learn more: https://go.microsoft.com/fwlink/?linkid=870924
Comment:
	9/01 pedi a juan info de cuartos que no tenia
</t>
      </text>
    </comment>
    <comment authorId="1101" xr:uid="{8d944a91-9b37-4e5e-8105-1d940c7214af}" ref="N219">
      <text>
        <t xml:space="preserve">[Threaded comment]
 Your version of Excel allows you to read this threaded comment; however, any edits to it will get removed if the file is opened in a newer version of Excel. Learn more: https://go.microsoft.com/fwlink/?linkid=870924
Comment:
	10/21 Sent estimate to David for approval.
Reply:
	10/21 aprobado
Reply:
	11/09 Sent an update estimate to David, waiting for approval
Reply:
	11/09 aprobado el update
</t>
      </text>
    </comment>
    <comment authorId="1102" xr:uid="{8d9faf76-373a-455b-aa32-fefb7660ebeb}" ref="A1">
      <text>
        <t xml:space="preserve">[Threaded comment]
 Your version of Excel allows you to read this threaded comment; however, any edits to it will get removed if the file is opened in a newer version of Excel. Learn more: https://go.microsoft.com/fwlink/?linkid=870924
Comment:
	08/07 Joshua said that the client informed that she is still waiting for approval for her new loan. Once that's done Joshua will send the correct information. (CM)
</t>
      </text>
    </comment>
    <comment authorId="1103" xr:uid="{8da2b544-f9a5-461d-a05a-d599e1b2f561}" ref="V312">
      <text>
        <t xml:space="preserve">[Threaded comment]
 Your version of Excel allows you to read this threaded comment; however, any edits to it will get removed if the file is opened in a newer version of Excel. Learn more: https://go.microsoft.com/fwlink/?linkid=870924
Comment:
	08/12 asked Joshua via ws to send the roof invoice as per DA request (CM)
</t>
      </text>
    </comment>
    <comment authorId="1104" xr:uid="{8dbe41ec-4f1e-4d02-b466-a163daaff166}" ref="U170">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1105" xr:uid="{8de70139-ccf4-4ed7-bf66-9ecc232b7ae8}" ref="M299">
      <text>
        <t xml:space="preserve">[Threaded comment]
 Your version of Excel allows you to read this threaded comment; however, any edits to it will get removed if the file is opened in a newer version of Excel. Learn more: https://go.microsoft.com/fwlink/?linkid=870924
Comment:
	ESPERAR IA REPORT
Reply:
	1/14 sent to DA
Reply:
	1/20 enviado con C# corregido
</t>
      </text>
    </comment>
    <comment authorId="1106" xr:uid="{8e09c9b2-ac7a-4651-9642-5ddce043ec70}"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107" xr:uid="{8e1b3af3-7d51-47ad-a744-bbafae3f7c69}" ref="N266">
      <text>
        <t xml:space="preserve">[Threaded comment]
 Your version of Excel allows you to read this threaded comment; however, any edits to it will get removed if the file is opened in a newer version of Excel. Learn more: https://go.microsoft.com/fwlink/?linkid=870924
Comment:
	11/17 Sent the estimate to Greg for review
Reply:
	11/22 Peter approved
</t>
      </text>
    </comment>
    <comment authorId="1108" xr:uid="{8e20c09a-7a5e-4d61-af58-2a930568cfb0}" ref="N361">
      <text>
        <t xml:space="preserve">[Threaded comment]
 Your version of Excel allows you to read this threaded comment; however, any edits to it will get removed if the file is opened in a newer version of Excel. Learn more: https://go.microsoft.com/fwlink/?linkid=870924
Comment:
	5/6 sent to josh
Reply:
	5/21 aprobado
</t>
      </text>
    </comment>
    <comment authorId="1109" xr:uid="{8e25bf77-b1df-4441-91a0-d679cb6bc837}" ref="M349">
      <text>
        <t xml:space="preserve">[Threaded comment]
 Your version of Excel allows you to read this threaded comment; however, any edits to it will get removed if the file is opened in a newer version of Excel. Learn more: https://go.microsoft.com/fwlink/?linkid=870924
Comment:
	@jp.ipestimates@gmail.com paulillo manda Maria herrera porfa
Assigned to jp.ipestimates@gmail.com
Reply:
	4/17 enviado carito @admin@ipadjustinggroup.com
</t>
      </text>
    </comment>
    <comment authorId="1110" xr:uid="{8e3671d9-ed14-48f6-a242-30f47e4b3b3a}" ref="M200">
      <text>
        <t xml:space="preserve">[Threaded comment]
 Your version of Excel allows you to read this threaded comment; however, any edits to it will get removed if the file is opened in a newer version of Excel. Learn more: https://go.microsoft.com/fwlink/?linkid=870924
Comment:
	8/15 enviado - no se envio al cliente
</t>
      </text>
    </comment>
    <comment authorId="1111" xr:uid="{8e3eefd8-74b2-4db6-9756-f15096af0e3c}" ref="A1">
      <text>
        <t xml:space="preserve">[Threaded comment]
 Your version of Excel allows you to read this threaded comment; however, any edits to it will get removed if the file is opened in a newer version of Excel. Learn more: https://go.microsoft.com/fwlink/?linkid=870924
Comment:
	Inform Sarah
</t>
      </text>
    </comment>
    <comment authorId="1112" xr:uid="{8e77d18b-a6b1-4b35-86ad-4e8997c0fa0d}"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113" xr:uid="{8f13fb7f-ea24-4882-a352-ccb2751a3b4c}"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114" xr:uid="{8f1d27af-52ff-4b8a-86c3-b9d47cc69f15}" ref="P238">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115" xr:uid="{8f5c7bf4-9058-4fbf-ac26-64e5fecaf540}" ref="P180">
      <text>
        <t xml:space="preserve">[Threaded comment]
 Your version of Excel allows you to read this threaded comment; however, any edits to it will get removed if the file is opened in a newer version of Excel. Learn more: https://go.microsoft.com/fwlink/?linkid=870924
Comment:
	08/28 no reinspection scheduled
</t>
      </text>
    </comment>
    <comment authorId="1116" xr:uid="{8f8ba054-94ec-4ffd-9d03-869aff867ef0}" ref="A395">
      <text>
        <t xml:space="preserve">[Threaded comment]
 Your version of Excel allows you to read this threaded comment; however, any edits to it will get removed if the file is opened in a newer version of Excel. Learn more: https://go.microsoft.com/fwlink/?linkid=870924
Comment:
	Pedro
Reply:
	no recoverables
</t>
      </text>
    </comment>
    <comment authorId="1117" xr:uid="{8fb3cde6-f433-4672-be44-d599fa630b25}" ref="O196">
      <text>
        <t xml:space="preserve">[Threaded comment]
 Your version of Excel allows you to read this threaded comment; however, any edits to it will get removed if the file is opened in a newer version of Excel. Learn more: https://go.microsoft.com/fwlink/?linkid=870924
Comment:
	8/03 sent SPOL to the client to sign.
8/08 sent updated to client added husband name
Reply:
	08/08 received the spol notarized, asked Joshua if he wants to send this claim anyways as this is a new claim (CM)
Reply:
	enaviado al cliente para que firme @admin@ipadjustinggroup.com
</t>
      </text>
    </comment>
    <comment authorId="1118" xr:uid="{8fe4c5d2-e0ad-4ef1-ba4c-a33a5f2cabd9}" ref="A1">
      <text>
        <t xml:space="preserve">[Threaded comment]
 Your version of Excel allows you to read this threaded comment; however, any edits to it will get removed if the file is opened in a newer version of Excel. Learn more: https://go.microsoft.com/fwlink/?linkid=870924
Comment:
	04/05 received a denial letter, forwarded to PAs, asked is they want to request mediation (CM)
</t>
      </text>
    </comment>
    <comment authorId="1119" xr:uid="{8fef4d78-2a39-4c8a-90e5-7d6266e1ed3b}" ref="A1">
      <text>
        <t xml:space="preserve">[Threaded comment]
 Your version of Excel allows you to read this threaded comment; however, any edits to it will get removed if the file is opened in a newer version of Excel. Learn more: https://go.microsoft.com/fwlink/?linkid=870924
Comment:
	07/16 Joshua needs to call the client to find out about the settlement with the other PA firm (CM) @scheduling@ipadjustinggroup.com
</t>
      </text>
    </comment>
    <comment authorId="1120" xr:uid="{90107935-16cc-4705-909a-bfc5c3b973ef}"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121" xr:uid="{902d37f1-b15d-410c-8bad-cb99d9e8bc47}" ref="M266">
      <text>
        <t xml:space="preserve">[Threaded comment]
 Your version of Excel allows you to read this threaded comment; however, any edits to it will get removed if the file is opened in a newer version of Excel. Learn more: https://go.microsoft.com/fwlink/?linkid=870924
Comment:
	11/23 Sent to DA
</t>
      </text>
    </comment>
    <comment authorId="1122" xr:uid="{903d8ea4-8571-4457-b2e6-33c7ea7f2796}" ref="A275">
      <text>
        <t xml:space="preserve">[Threaded comment]
 Your version of Excel allows you to read this threaded comment; however, any edits to it will get removed if the file is opened in a newer version of Excel. Learn more: https://go.microsoft.com/fwlink/?linkid=870924
Comment:
	Peter
Reply:
	Ordinance and law: $3,212.83
</t>
      </text>
    </comment>
    <comment authorId="1123" xr:uid="{90566287-111a-465e-af17-1bef97a687ff}" ref="A230">
      <text>
        <t xml:space="preserve">[Threaded comment]
 Your version of Excel allows you to read this threaded comment; however, any edits to it will get removed if the file is opened in a newer version of Excel. Learn more: https://go.microsoft.com/fwlink/?linkid=870924
Comment:
	haven't sent yet, David hasn't approve the estimate
</t>
      </text>
    </comment>
    <comment authorId="1124" xr:uid="{906580cd-578c-45fa-b490-c35bd97e0cb7}" ref="A1">
      <text>
        <t xml:space="preserve">[Threaded comment]
 Your version of Excel allows you to read this threaded comment; however, any edits to it will get removed if the file is opened in a newer version of Excel. Learn more: https://go.microsoft.com/fwlink/?linkid=870924
Comment:
	esperar IA report
Reply:
	11/05 Sent estimate and picture file to DA and client
</t>
      </text>
    </comment>
    <comment authorId="1125" xr:uid="{90734001-dde0-4d54-919f-e6c6cc1a338e}"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1126" xr:uid="{9089d752-fad1-4725-850d-6e88f2d3843d}" ref="A208">
      <text>
        <t xml:space="preserve">[Threaded comment]
 Your version of Excel allows you to read this threaded comment; however, any edits to it will get removed if the file is opened in a newer version of Excel. Learn more: https://go.microsoft.com/fwlink/?linkid=870924
Comment:
	Wilber
</t>
      </text>
    </comment>
    <comment authorId="1127" xr:uid="{90cc6873-8e92-40d9-83ee-52dc2dfecc6d}" ref="A327">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128" xr:uid="{90dc3bcd-c55d-4fab-bd2b-77bf5f1eff8e}"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129" xr:uid="{90ee2428-73b8-4557-87b6-4bb2831581df}" ref="A1">
      <text>
        <t xml:space="preserve">[Threaded comment]
 Your version of Excel allows you to read this threaded comment; however, any edits to it will get removed if the file is opened in a newer version of Excel. Learn more: https://go.microsoft.com/fwlink/?linkid=870924
Comment:
	01/08
</t>
      </text>
    </comment>
    <comment authorId="1130" xr:uid="{90f5d8d6-98e7-41ff-8850-5eadccab1099}" ref="P208">
      <text>
        <t xml:space="preserve">[Threaded comment]
 Your version of Excel allows you to read this threaded comment; however, any edits to it will get removed if the file is opened in a newer version of Excel. Learn more: https://go.microsoft.com/fwlink/?linkid=870924
Comment:
	insp was 10/04
</t>
      </text>
    </comment>
    <comment authorId="1131" xr:uid="{90ff7ca6-28ab-4209-8d2d-112680cc83cb}" ref="O210">
      <text>
        <t xml:space="preserve">[Threaded comment]
 Your version of Excel allows you to read this threaded comment; however, any edits to it will get removed if the file is opened in a newer version of Excel. Learn more: https://go.microsoft.com/fwlink/?linkid=870924
Comment:
	sent you the blank spol client 177
</t>
      </text>
    </comment>
    <comment authorId="1132" xr:uid="{9120ff0e-572f-4925-91c0-215d7fb35132}" ref="P243">
      <text>
        <t xml:space="preserve">[Threaded comment]
 Your version of Excel allows you to read this threaded comment; however, any edits to it will get removed if the file is opened in a newer version of Excel. Learn more: https://go.microsoft.com/fwlink/?linkid=870924
Comment:
	Engineer inspection done on 11/05 (CM)
</t>
      </text>
    </comment>
    <comment authorId="1133" xr:uid="{912ccb26-54b4-4c75-917d-abed043a77a3}" ref="O187">
      <text>
        <t xml:space="preserve">[Threaded comment]
 Your version of Excel allows you to read this threaded comment; however, any edits to it will get removed if the file is opened in a newer version of Excel. Learn more: https://go.microsoft.com/fwlink/?linkid=870924
Comment:
	9/24 enviado al cliente
</t>
      </text>
    </comment>
    <comment authorId="1134" xr:uid="{91564119-d845-4c11-b88a-b42cbff0e0ec}" ref="N278">
      <text>
        <t xml:space="preserve">[Threaded comment]
 Your version of Excel allows you to read this threaded comment; however, any edits to it will get removed if the file is opened in a newer version of Excel. Learn more: https://go.microsoft.com/fwlink/?linkid=870924
Comment:
	5/30 sent to Peter
Reply:
	5/30 aprobado
</t>
      </text>
    </comment>
    <comment authorId="1135" xr:uid="{915aede0-cd9f-4cf0-8e79-a217a30de764}"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136" xr:uid="{9176a5f7-89a7-47d3-861f-f18825e893a0}" ref="N25">
      <text>
        <t xml:space="preserve">[Threaded comment]
 Your version of Excel allows you to read this threaded comment; however, any edits to it will get removed if the file is opened in a newer version of Excel. Learn more: https://go.microsoft.com/fwlink/?linkid=870924
Comment:
	juan no contesta la info para este estimado
</t>
      </text>
    </comment>
    <comment authorId="1137" xr:uid="{918650e3-7ddf-49c0-82f3-ea6d742e716b}" ref="V198">
      <text>
        <t xml:space="preserve">[Threaded comment]
 Your version of Excel allows you to read this threaded comment; however, any edits to it will get removed if the file is opened in a newer version of Excel. Learn more: https://go.microsoft.com/fwlink/?linkid=870924
Comment:
	11/20 Jakey sent a copy of the check proving that the invoice was paid, asked Peter if he want me to send them as he told me yesterday to wait, she is waiting a call from DA (CM)
</t>
      </text>
    </comment>
    <comment authorId="1138" xr:uid="{91874ea5-797b-426a-88f0-4bf29e8c3e26}" ref="A1">
      <text>
        <t xml:space="preserve">[Threaded comment]
 Your version of Excel allows you to read this threaded comment; however, any edits to it will get removed if the file is opened in a newer version of Excel. Learn more: https://go.microsoft.com/fwlink/?linkid=870924
Comment:
	11/27 DA informs he will close the claim as per the policy restrictions (CM)
</t>
      </text>
    </comment>
    <comment authorId="1139" xr:uid="{920c4065-1046-4a3e-aa8b-dccb84754c99}"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140" xr:uid="{9219696f-7dc8-4eff-b182-652f4d3f2448}" ref="M301">
      <text>
        <t xml:space="preserve">[Threaded comment]
 Your version of Excel allows you to read this threaded comment; however, any edits to it will get removed if the file is opened in a newer version of Excel. Learn more: https://go.microsoft.com/fwlink/?linkid=870924
Comment:
	3/12 sent to DA
</t>
      </text>
    </comment>
    <comment authorId="1141" xr:uid="{92272d86-80da-4735-a60b-cc3fdcdff458}"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1142" xr:uid="{924a0355-56d2-48a4-87ec-e6b2de4e9ef0}" ref="A1">
      <text>
        <t xml:space="preserve">[Threaded comment]
 Your version of Excel allows you to read this threaded comment; however, any edits to it will get removed if the file is opened in a newer version of Excel. Learn more: https://go.microsoft.com/fwlink/?linkid=870924
Comment:
	11/25
</t>
      </text>
    </comment>
    <comment authorId="1143" xr:uid="{926f472c-b5a5-43e7-8ea2-840708cd12ea}" ref="V195">
      <text>
        <t xml:space="preserve">[Threaded comment]
 Your version of Excel allows you to read this threaded comment; however, any edits to it will get removed if the file is opened in a newer version of Excel. Learn more: https://go.microsoft.com/fwlink/?linkid=870924
Comment:
	11/05 DA is offering 30k in a exchange for a release, asked I&amp;P to respond to the oofer, informed that the mediation is been scheduled (CM)
Reply:
	11/15 Peter says Juan is trying to settle in 75k (CM)
</t>
      </text>
    </comment>
    <comment authorId="1144" xr:uid="{927802c7-0880-49c5-87ea-85d7ef4f6d1d}" ref="V221">
      <text>
        <t xml:space="preserve">[Threaded comment]
 Your version of Excel allows you to read this threaded comment; however, any edits to it will get removed if the file is opened in a newer version of Excel. Learn more: https://go.microsoft.com/fwlink/?linkid=870924
Comment:
	01/22 DA did an offer for 6k, sent to PAs (CM)
Reply:
	02/04 Peter asked 30k to the DA (CM)
</t>
      </text>
    </comment>
    <comment authorId="1145" xr:uid="{9284b4e9-7142-4670-a882-04fe809965ce}" ref="V231">
      <text>
        <t xml:space="preserve">[Threaded comment]
 Your version of Excel allows you to read this threaded comment; however, any edits to it will get removed if the file is opened in a newer version of Excel. Learn more: https://go.microsoft.com/fwlink/?linkid=870924
Comment:
	01/21 DA rejects the appraisal demand (CM)
</t>
      </text>
    </comment>
    <comment authorId="1146" xr:uid="{92b92a95-b504-4164-98d6-5dc16190af6d}" ref="M373">
      <text>
        <t xml:space="preserve">[Threaded comment]
 Your version of Excel allows you to read this threaded comment; however, any edits to it will get removed if the file is opened in a newer version of Excel. Learn more: https://go.microsoft.com/fwlink/?linkid=870924
Comment:
	6/19 sent to carrier
</t>
      </text>
    </comment>
    <comment authorId="1147" xr:uid="{92df73fc-04c2-4a25-9a7e-f73cad294226}" ref="O132">
      <text>
        <t xml:space="preserve">[Threaded comment]
 Your version of Excel allows you to read this threaded comment; however, any edits to it will get removed if the file is opened in a newer version of Excel. Learn more: https://go.microsoft.com/fwlink/?linkid=870924
Comment:
	7/29 caro hizo follow
07/31 send the notarized SPOL to DA, asked Perry to upload it on claimspath (CM)
</t>
      </text>
    </comment>
    <comment authorId="1148" xr:uid="{93098a26-8aca-4d3d-bbd4-0a8cb7ebda39}" ref="V166">
      <text>
        <t xml:space="preserve">[Threaded comment]
 Your version of Excel allows you to read this threaded comment; however, any edits to it will get removed if the file is opened in a newer version of Excel. Learn more: https://go.microsoft.com/fwlink/?linkid=870924
Comment:
	review the second rfi letter
</t>
      </text>
    </comment>
    <comment authorId="1149" xr:uid="{93293df8-43fc-4591-92ad-8174db9d35f3}" ref="O317">
      <text>
        <t xml:space="preserve">[Threaded comment]
 Your version of Excel allows you to read this threaded comment; however, any edits to it will get removed if the file is opened in a newer version of Excel. Learn more: https://go.microsoft.com/fwlink/?linkid=870924
Comment:
	4/2 sent to client
</t>
      </text>
    </comment>
    <comment authorId="1150" xr:uid="{9341e5c0-9333-445f-a7f2-d9f89e619408}"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151" xr:uid="{937dd9f9-0048-4ed2-85ed-05887660fffe}" ref="N338">
      <text>
        <t xml:space="preserve">[Threaded comment]
 Your version of Excel allows you to read this threaded comment; however, any edits to it will get removed if the file is opened in a newer version of Excel. Learn more: https://go.microsoft.com/fwlink/?linkid=870924
Comment:
	3/13 sent to juan
Reply:
	3/14 aprobado por juan
</t>
      </text>
    </comment>
    <comment authorId="1152" xr:uid="{93c0fb48-4bfb-44b0-8684-2fdfd72d58e3}" ref="A1">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1153" xr:uid="{9409f17a-0176-4e0e-ac23-7447f8e0d0ec}" ref="A1">
      <text>
        <t xml:space="preserve">[Threaded comment]
 Your version of Excel allows you to read this threaded comment; however, any edits to it will get removed if the file is opened in a newer version of Excel. Learn more: https://go.microsoft.com/fwlink/?linkid=870924
Comment:
	01/06
</t>
      </text>
    </comment>
    <comment authorId="1154" xr:uid="{945d4934-3f59-42ad-ba5d-1ab1c27a34da}" ref="N269">
      <text>
        <t xml:space="preserve">[Threaded comment]
 Your version of Excel allows you to read this threaded comment; however, any edits to it will get removed if the file is opened in a newer version of Excel. Learn more: https://go.microsoft.com/fwlink/?linkid=870924
Comment:
	11/18 Sent the estimate to David F. for review. The estimate has two rooms with the same name. NO picture file.
Reply:
	5/30 sent an update to Peter
Reply:
	6/6 aprobado por peter
</t>
      </text>
    </comment>
    <comment authorId="1155" xr:uid="{947048b2-9785-449a-a3fb-4671c5263aba}" ref="P259">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1156" xr:uid="{94aaeed6-bfc3-41a7-a55c-ca2bae767610}" ref="A1">
      <text>
        <t xml:space="preserve">[Threaded comment]
 Your version of Excel allows you to read this threaded comment; however, any edits to it will get removed if the file is opened in a newer version of Excel. Learn more: https://go.microsoft.com/fwlink/?linkid=870924
Comment:
	12/02
</t>
      </text>
    </comment>
    <comment authorId="1157" xr:uid="{94dbeae3-5c84-449b-a9c5-c6015e2dcc0f}" ref="V359">
      <text>
        <t xml:space="preserve">[Threaded comment]
 Your version of Excel allows you to read this threaded comment; however, any edits to it will get removed if the file is opened in a newer version of Excel. Learn more: https://go.microsoft.com/fwlink/?linkid=870924
Comment:
	05/09 DA is requesting suporting documents, sent to Iván (CM)
</t>
      </text>
    </comment>
    <comment authorId="1158" xr:uid="{94ff1aa1-776c-42fb-82de-0ca4e36b90e0}" ref="V354">
      <text>
        <t xml:space="preserve">[Threaded comment]
 Your version of Excel allows you to read this threaded comment; however, any edits to it will get removed if the file is opened in a newer version of Excel. Learn more: https://go.microsoft.com/fwlink/?linkid=870924
Comment:
	07/02 recieved a partial denial, asked PAs how to proceed (CM)
</t>
      </text>
    </comment>
    <comment authorId="1159" xr:uid="{94ff6dd1-ed78-4c9d-baf9-0a8371648d5a}" ref="N387">
      <text>
        <t xml:space="preserve">[Threaded comment]
 Your version of Excel allows you to read this threaded comment; however, any edits to it will get removed if the file is opened in a newer version of Excel. Learn more: https://go.microsoft.com/fwlink/?linkid=870924
Comment:
	8/14 sent to josh
Reply:
	8/15 aprobado
</t>
      </text>
    </comment>
    <comment authorId="1160" xr:uid="{950bdd1f-3901-4806-84d7-ba21d9a81df0}" ref="N196">
      <text>
        <t xml:space="preserve">[Threaded comment]
 Your version of Excel allows you to read this threaded comment; however, any edits to it will get removed if the file is opened in a newer version of Excel. Learn more: https://go.microsoft.com/fwlink/?linkid=870924
Comment:
	8/01 aprobado por Joshua
</t>
      </text>
    </comment>
    <comment authorId="1161" xr:uid="{9510ad84-3079-48ac-8fdc-d6305c92f251}" ref="A1">
      <text>
        <t xml:space="preserve">[Threaded comment]
 Your version of Excel allows you to read this threaded comment; however, any edits to it will get removed if the file is opened in a newer version of Excel. Learn more: https://go.microsoft.com/fwlink/?linkid=870924
Comment:
	11/04 se envio un update a Ivan, subido a CW
</t>
      </text>
    </comment>
    <comment authorId="1162" xr:uid="{953c8556-94e9-4f98-b733-ae9cdb207f95}" ref="V162">
      <text>
        <t xml:space="preserve">[Threaded comment]
 Your version of Excel allows you to read this threaded comment; however, any edits to it will get removed if the file is opened in a newer version of Excel. Learn more: https://go.microsoft.com/fwlink/?linkid=870924
Comment:
	08/09 David is asking 55k (CM)
</t>
      </text>
    </comment>
    <comment authorId="1163" xr:uid="{9563d407-a1f1-487e-a4cd-4ddba6d0f8c8}" ref="V158">
      <text>
        <t xml:space="preserve">[Threaded comment]
 Your version of Excel allows you to read this threaded comment; however, any edits to it will get removed if the file is opened in a newer version of Excel. Learn more: https://go.microsoft.com/fwlink/?linkid=870924
Comment:
	11/13 recieved a settlement release after the mediation for 18k, asked Iván if it is ok to send to the client, he confirmed send it to the client (CM)
</t>
      </text>
    </comment>
    <comment authorId="1164" xr:uid="{957c7da8-47f0-4ce2-8619-98e6f16ed1f7}" ref="N283">
      <text>
        <t xml:space="preserve">[Threaded comment]
 Your version of Excel allows you to read this threaded comment; however, any edits to it will get removed if the file is opened in a newer version of Excel. Learn more: https://go.microsoft.com/fwlink/?linkid=870924
Comment:
	1/3/25 sent to ivan
Reply:
	1/6/25 aprobado por ivan
</t>
      </text>
    </comment>
    <comment authorId="1165" xr:uid="{95b0580d-5b62-4b1f-990c-d8224335751f}" ref="Q344">
      <text>
        <t xml:space="preserve">[Threaded comment]
 Your version of Excel allows you to read this threaded comment; however, any edits to it will get removed if the file is opened in a newer version of Excel. Learn more: https://go.microsoft.com/fwlink/?linkid=870924
Comment:
	04/04
</t>
      </text>
    </comment>
    <comment authorId="1166" xr:uid="{95b1d843-f1d2-41ef-833c-390348022293}" ref="N215">
      <text>
        <t xml:space="preserve">[Threaded comment]
 Your version of Excel allows you to read this threaded comment; however, any edits to it will get removed if the file is opened in a newer version of Excel. Learn more: https://go.microsoft.com/fwlink/?linkid=870924
Comment:
	11/13 Sent the estimate to David F. for review.
Reply:
	1/6/25 approved
</t>
      </text>
    </comment>
    <comment authorId="1167" xr:uid="{95ceef75-f37b-42e5-b4d2-dbad0ca507a6}" ref="R255">
      <text>
        <t xml:space="preserve">[Threaded comment]
 Your version of Excel allows you to read this threaded comment; however, any edits to it will get removed if the file is opened in a newer version of Excel. Learn more: https://go.microsoft.com/fwlink/?linkid=870924
Comment:
	10/29 @admin@ipadjustinggroup.com subir a cw
Assigned to admin@ipadjustinggroup.com
</t>
      </text>
    </comment>
    <comment authorId="1168" xr:uid="{95e745bf-b897-4a6c-b640-945136d2f9d5}" ref="N193">
      <text>
        <t xml:space="preserve">[Threaded comment]
 Your version of Excel allows you to read this threaded comment; however, any edits to it will get removed if the file is opened in a newer version of Excel. Learn more: https://go.microsoft.com/fwlink/?linkid=870924
Comment:
	7/29 sent to David
Reply:
	7/30 aprobado por david
</t>
      </text>
    </comment>
    <comment authorId="1169" xr:uid="{965ab28c-4bfc-454e-aacc-ae4748ceabef}" ref="N231">
      <text>
        <t xml:space="preserve">[Threaded comment]
 Your version of Excel allows you to read this threaded comment; however, any edits to it will get removed if the file is opened in a newer version of Excel. Learn more: https://go.microsoft.com/fwlink/?linkid=870924
Comment:
	11/05 Sent the estimate to Joshua for approval. No picture file
Reply:
	11/05 Joshua approved the estimate
</t>
      </text>
    </comment>
    <comment authorId="1170" xr:uid="{96b53b0b-04a3-47cd-8dc1-1b51f8b7d8cb}" ref="V183">
      <text>
        <t xml:space="preserve">[Threaded comment]
 Your version of Excel allows you to read this threaded comment; however, any edits to it will get removed if the file is opened in a newer version of Excel. Learn more: https://go.microsoft.com/fwlink/?linkid=870924
Comment:
	08/27 received a settlement letter and IA report. sent to PAs and asked how to proceed (CM)
Reply:
	09/06 DA wants to discuss about this claim, asked Day to schedule that call (CM)
</t>
      </text>
    </comment>
    <comment authorId="1171" xr:uid="{96c121f5-e319-46a7-b1a4-c06fe81dc7c3}" ref="O212">
      <text>
        <t xml:space="preserve">[Threaded comment]
 Your version of Excel allows you to read this threaded comment; however, any edits to it will get removed if the file is opened in a newer version of Excel. Learn more: https://go.microsoft.com/fwlink/?linkid=870924
Comment:
	12/17 sent to client. JP
</t>
      </text>
    </comment>
    <comment authorId="1172" xr:uid="{96c1ee3a-3127-4596-bd12-8152ac431a9f}" ref="M269">
      <text>
        <t xml:space="preserve">[Threaded comment]
 Your version of Excel allows you to read this threaded comment; however, any edits to it will get removed if the file is opened in a newer version of Excel. Learn more: https://go.microsoft.com/fwlink/?linkid=870924
Comment:
	1/14/25 sent to carrier
Reply:
	6/11 sent to DA
</t>
      </text>
    </comment>
    <comment authorId="1173" xr:uid="{96c97c58-6c9b-44d6-bb91-91928f4a2df6}" ref="P257">
      <text>
        <t xml:space="preserve">[Threaded comment]
 Your version of Excel allows you to read this threaded comment; however, any edits to it will get removed if the file is opened in a newer version of Excel. Learn more: https://go.microsoft.com/fwlink/?linkid=870924
Comment:
	11/22
</t>
      </text>
    </comment>
    <comment authorId="1174" xr:uid="{96ca1c3d-1ea1-467e-964e-497d605471fa}" ref="P155">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175" xr:uid="{96cfed26-370a-4fe6-acff-92a2ad7fb6d3}" ref="V99">
      <text>
        <t xml:space="preserve">[Threaded comment]
 Your version of Excel allows you to read this threaded comment; however, any edits to it will get removed if the file is opened in a newer version of Excel. Learn more: https://go.microsoft.com/fwlink/?linkid=870924
Comment:
	07/22 DA is offering 14k for Jose Hernandez (CM)
@ivan@ipadjustinggroup.com @peter@ipadjustinggroup.com
</t>
      </text>
    </comment>
    <comment authorId="1176" xr:uid="{96e681d4-5a63-469b-a9fe-41da1ae249b2}" ref="A172">
      <text>
        <t xml:space="preserve">[Threaded comment]
 Your version of Excel allows you to read this threaded comment; however, any edits to it will get removed if the file is opened in a newer version of Excel. Learn more: https://go.microsoft.com/fwlink/?linkid=870924
Comment:
	08/22 requested mediation (CM)
@scheduling@ipadjustinggroup.com
</t>
      </text>
    </comment>
    <comment authorId="1177" xr:uid="{9722775e-2b8b-41fa-b600-b226602fd0ec}" ref="S289">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Noted
</t>
      </text>
    </comment>
    <comment authorId="1178" xr:uid="{97529423-591c-4b3d-83d2-a898436a76bd}" ref="A1">
      <text>
        <t xml:space="preserve">[Threaded comment]
 Your version of Excel allows you to read this threaded comment; however, any edits to it will get removed if the file is opened in a newer version of Excel. Learn more: https://go.microsoft.com/fwlink/?linkid=870924
Comment:
	09/11
</t>
      </text>
    </comment>
    <comment authorId="1179" xr:uid="{977df2e9-d48c-4820-9122-c9cc405f6d51}"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180" xr:uid="{978da125-65c6-411c-baa0-3db6bb340043}" ref="A279">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181" xr:uid="{97ada80b-300d-430d-aebb-3e53b220a08e}" ref="V158">
      <text>
        <t xml:space="preserve">[Threaded comment]
 Your version of Excel allows you to read this threaded comment; however, any edits to it will get removed if the file is opened in a newer version of Excel. Learn more: https://go.microsoft.com/fwlink/?linkid=870924
Comment:
	07/31 DA is requesting the supporting photos, asked Juan via email and JP vis ws (CM)
</t>
      </text>
    </comment>
    <comment authorId="1182" xr:uid="{97dd5198-a430-4fa9-8670-88bba56dacf7}" ref="N258">
      <text>
        <t xml:space="preserve">[Threaded comment]
 Your version of Excel allows you to read this threaded comment; however, any edits to it will get removed if the file is opened in a newer version of Excel. Learn more: https://go.microsoft.com/fwlink/?linkid=870924
Comment:
	11/05 Sent the estimate to Jose/Ivan for approval.
Reply:
	11/13 Jose approved the estimate
</t>
      </text>
    </comment>
    <comment authorId="1183" xr:uid="{97e95ff4-6086-4b48-8c15-0bf6b871e2d9}" ref="A178">
      <text>
        <t xml:space="preserve">[Threaded comment]
 Your version of Excel allows you to read this threaded comment; however, any edits to it will get removed if the file is opened in a newer version of Excel. Learn more: https://go.microsoft.com/fwlink/?linkid=870924
Comment:
	09/12 requested mediation @scheduling@ipadjustinggroup.com
Reply:
	Marked as resolved
</t>
      </text>
    </comment>
    <comment authorId="1184" xr:uid="{9896b727-8a83-42f3-a6e8-d61a4d230be2}" ref="A364">
      <text>
        <t xml:space="preserve">[Threaded comment]
 Your version of Excel allows you to read this threaded comment; however, any edits to it will get removed if the file is opened in a newer version of Excel. Learn more: https://go.microsoft.com/fwlink/?linkid=870924
Comment:
	Joshua
Reply:
	O&amp;L: $1,270.90
</t>
      </text>
    </comment>
    <comment authorId="1185" xr:uid="{98a404d4-8f27-4d28-9425-0e7a587fcf47}" ref="V182">
      <text>
        <t xml:space="preserve">[Threaded comment]
 Your version of Excel allows you to read this threaded comment; however, any edits to it will get removed if the file is opened in a newer version of Excel. Learn more: https://go.microsoft.com/fwlink/?linkid=870924
Comment:
	10/30 Iván asked Jakey to call the client, waiting for clients confirmation for the appraisal (CM)
</t>
      </text>
    </comment>
    <comment authorId="1186" xr:uid="{98c31597-efeb-40b9-b771-09d8840b5422}" ref="V166">
      <text>
        <t xml:space="preserve">[Threaded comment]
 Your version of Excel allows you to read this threaded comment; however, any edits to it will get removed if the file is opened in a newer version of Excel. Learn more: https://go.microsoft.com/fwlink/?linkid=870924
Comment:
	01/22 Peter did an offer for 17.5k (CM)
</t>
      </text>
    </comment>
    <comment authorId="1187" xr:uid="{98d9d190-d583-4ba5-91eb-dccdb345ec98}" ref="O198">
      <text>
        <t xml:space="preserve">[Threaded comment]
 Your version of Excel allows you to read this threaded comment; however, any edits to it will get removed if the file is opened in a newer version of Excel. Learn more: https://go.microsoft.com/fwlink/?linkid=870924
Comment:
	10/10 enviado al cliente @admin@ipadjustinggroup.com
</t>
      </text>
    </comment>
    <comment authorId="1188" xr:uid="{9902ada4-5f52-4ae8-8ff7-4aef5182bb7f}" ref="V194">
      <text>
        <t xml:space="preserve">[Threaded comment]
 Your version of Excel allows you to read this threaded comment; however, any edits to it will get removed if the file is opened in a newer version of Excel. Learn more: https://go.microsoft.com/fwlink/?linkid=870924
Comment:
	11/05 DA has declined the 19k offer she made on 10/30, asked I&amp;P how to proceed now as she says the claim is closed (CM)
11/13 Peter did a counteroffer for 45k (CM)
</t>
      </text>
    </comment>
    <comment authorId="1189" xr:uid="{990cf9a5-f49e-42c0-9cde-837ca3f7d603}" ref="P300">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1190" xr:uid="{991f94d8-46a0-48e3-8220-1c3f2461ed1e}" ref="V307">
      <text>
        <t xml:space="preserve">[Threaded comment]
 Your version of Excel allows you to read this threaded comment; however, any edits to it will get removed if the file is opened in a newer version of Excel. Learn more: https://go.microsoft.com/fwlink/?linkid=870924
Comment:
	01/24 Day informs that the client passed away (CM)
</t>
      </text>
    </comment>
    <comment authorId="1191" xr:uid="{9938ab9b-4369-4781-995f-0617960f51e9}" ref="A217">
      <text>
        <t xml:space="preserve">[Threaded comment]
 Your version of Excel allows you to read this threaded comment; however, any edits to it will get removed if the file is opened in a newer version of Excel. Learn more: https://go.microsoft.com/fwlink/?linkid=870924
Comment:
	pETER
Reply:
	Ordinance or Law $4,517.15
Recoverable Dep $3,202.65
</t>
      </text>
    </comment>
    <comment authorId="1192" xr:uid="{993f7531-ca1b-40b4-b345-711a75e4c022}" ref="M303">
      <text>
        <t xml:space="preserve">[Threaded comment]
 Your version of Excel allows you to read this threaded comment; however, any edits to it will get removed if the file is opened in a newer version of Excel. Learn more: https://go.microsoft.com/fwlink/?linkid=870924
Comment:
	1/22/25 sent to carrier
</t>
      </text>
    </comment>
    <comment authorId="1193" xr:uid="{9953af39-0afe-4da1-a811-95822d708020}" ref="S183">
      <text>
        <t xml:space="preserve">[Threaded comment]
 Your version of Excel allows you to read this threaded comment; however, any edits to it will get removed if the file is opened in a newer version of Excel. Learn more: https://go.microsoft.com/fwlink/?linkid=870924
Comment:
	08/08 asked Juan to approve the estimate that JP sent as per DA request, asked via ws (CM)
</t>
      </text>
    </comment>
    <comment authorId="1194" xr:uid="{9960ad7a-b93d-407d-820c-622e643ef4cb}" ref="M190">
      <text>
        <t xml:space="preserve">[Threaded comment]
 Your version of Excel allows you to read this threaded comment; however, any edits to it will get removed if the file is opened in a newer version of Excel. Learn more: https://go.microsoft.com/fwlink/?linkid=870924
Comment:
	7/17 enviado
</t>
      </text>
    </comment>
    <comment authorId="1195" xr:uid="{9997ac9f-5135-42bc-b0b6-ab17341f85f9}" ref="P201">
      <text>
        <t xml:space="preserve">[Threaded comment]
 Your version of Excel allows you to read this threaded comment; however, any edits to it will get removed if the file is opened in a newer version of Excel. Learn more: https://go.microsoft.com/fwlink/?linkid=870924
Comment:
	10/07
</t>
      </text>
    </comment>
    <comment authorId="1196" xr:uid="{99f4791b-161c-4e13-81af-5befac3d09e4}" ref="N284">
      <text>
        <t xml:space="preserve">[Threaded comment]
 Your version of Excel allows you to read this threaded comment; however, any edits to it will get removed if the file is opened in a newer version of Excel. Learn more: https://go.microsoft.com/fwlink/?linkid=870924
Comment:
	1/27/25 sent to Juan
Reply:
	1/31 send an update to juan
Reply:
	2/1/25 juan approved
</t>
      </text>
    </comment>
    <comment authorId="1197" xr:uid="{9a0c2892-1ce4-4020-8a77-0a9524cf980a}" ref="V214">
      <text>
        <t xml:space="preserve">[Threaded comment]
 Your version of Excel allows you to read this threaded comment; however, any edits to it will get removed if the file is opened in a newer version of Excel. Learn more: https://go.microsoft.com/fwlink/?linkid=870924
Comment:
	03/10 Followed up with PAs via ws on this claim as we were supposed to received a settlement release but JP sent an updated estimate on 03/04 (CM)
</t>
      </text>
    </comment>
    <comment authorId="1198" xr:uid="{9a17e711-88c1-49fc-8435-1c832404e21e}" ref="A1">
      <text>
        <t xml:space="preserve">[Threaded comment]
 Your version of Excel allows you to read this threaded comment; however, any edits to it will get removed if the file is opened in a newer version of Excel. Learn more: https://go.microsoft.com/fwlink/?linkid=870924
Comment:
	01/31 Followup on Mortage issue- DE
</t>
      </text>
    </comment>
    <comment authorId="1199" xr:uid="{9a226e09-759d-4fd5-8488-3d7b5f3814d9}" ref="P226">
      <text>
        <t xml:space="preserve">[Threaded comment]
 Your version of Excel allows you to read this threaded comment; however, any edits to it will get removed if the file is opened in a newer version of Excel. Learn more: https://go.microsoft.com/fwlink/?linkid=870924
Comment:
	10/26 insp done
</t>
      </text>
    </comment>
    <comment authorId="1200" xr:uid="{9a3de050-b7f1-455a-ad0e-7ef061a6a751}" ref="V258">
      <text>
        <t xml:space="preserve">[Threaded comment]
 Your version of Excel allows you to read this threaded comment; however, any edits to it will get removed if the file is opened in a newer version of Excel. Learn more: https://go.microsoft.com/fwlink/?linkid=870924
Comment:
	11/21 received the IA report, and determination letter, they are issuing a payment for 34k, asked JP to review it and send our estimate (CM)
</t>
      </text>
    </comment>
    <comment authorId="1201" xr:uid="{9a6666d6-ecce-4d7d-9ee8-59bed9114906}" ref="M284">
      <text>
        <t xml:space="preserve">[Threaded comment]
 Your version of Excel allows you to read this threaded comment; however, any edits to it will get removed if the file is opened in a newer version of Excel. Learn more: https://go.microsoft.com/fwlink/?linkid=870924
Comment:
	2/1/25 upload to CP
</t>
      </text>
    </comment>
    <comment authorId="1202" xr:uid="{9a6e7e51-b145-4f40-a6a3-de20dc6e5c32}" ref="V198">
      <text>
        <t xml:space="preserve">[Threaded comment]
 Your version of Excel allows you to read this threaded comment; however, any edits to it will get removed if the file is opened in a newer version of Excel. Learn more: https://go.microsoft.com/fwlink/?linkid=870924
Comment:
	01/31 followed up on the settlement release we wee supposed to receive, DA says he retracted his offer, informed Peter (CM)
</t>
      </text>
    </comment>
    <comment authorId="1203" xr:uid="{9a73ce4e-d46d-41b6-a062-46998f3b3b74}" ref="V176">
      <text>
        <t xml:space="preserve">[Threaded comment]
 Your version of Excel allows you to read this threaded comment; however, any edits to it will get removed if the file is opened in a newer version of Excel. Learn more: https://go.microsoft.com/fwlink/?linkid=870924
Comment:
	07/03 Received a denial letter, asked how to proceed next (CM)
</t>
      </text>
    </comment>
    <comment authorId="1204" xr:uid="{9a88054d-b568-4836-8f75-53bb327f871b}" ref="P166">
      <text>
        <t xml:space="preserve">[Threaded comment]
 Your version of Excel allows you to read this threaded comment; however, any edits to it will get removed if the file is opened in a newer version of Excel. Learn more: https://go.microsoft.com/fwlink/?linkid=870924
Comment:
	07/30 rs
09/20 eng insp
</t>
      </text>
    </comment>
    <comment authorId="1205" xr:uid="{9a92d4ab-eb7f-456f-96ea-1db4c57d01d2}" ref="A1">
      <text>
        <t xml:space="preserve">[Threaded comment]
 Your version of Excel allows you to read this threaded comment; however, any edits to it will get removed if the file is opened in a newer version of Excel. Learn more: https://go.microsoft.com/fwlink/?linkid=870924
Comment:
	01/10
</t>
      </text>
    </comment>
    <comment authorId="1206" xr:uid="{9a991c24-23ff-4294-bd37-c2410988f10f}" ref="N227">
      <text>
        <t xml:space="preserve">[Threaded comment]
 Your version of Excel allows you to read this threaded comment; however, any edits to it will get removed if the file is opened in a newer version of Excel. Learn more: https://go.microsoft.com/fwlink/?linkid=870924
Comment:
	11/20 Sent estimate to Juan, No picture file
Reply:
	11/25 aprobado por Juan
</t>
      </text>
    </comment>
    <comment authorId="1207" xr:uid="{9aba4510-e42f-4999-8c88-459acd6e00ab}" ref="P247">
      <text>
        <t xml:space="preserve">[Threaded comment]
 Your version of Excel allows you to read this threaded comment; however, any edits to it will get removed if the file is opened in a newer version of Excel. Learn more: https://go.microsoft.com/fwlink/?linkid=870924
Comment:
	inspection done on 10/24 (CM)
</t>
      </text>
    </comment>
    <comment authorId="1208" xr:uid="{9acb44bb-3f11-4a08-8211-8c5ded0e2651}" ref="N218">
      <text>
        <t xml:space="preserve">[Threaded comment]
 Your version of Excel allows you to read this threaded comment; however, any edits to it will get removed if the file is opened in a newer version of Excel. Learn more: https://go.microsoft.com/fwlink/?linkid=870924
Comment:
	10/28 Sent estimate to Myers for approval.
Reply:
	10/28 Myers approved the estimate
</t>
      </text>
    </comment>
    <comment authorId="1209" xr:uid="{9ae11e92-2589-4af1-8607-f18174a14437}"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210" xr:uid="{9af0bbd1-c648-405a-8e15-c65bcc0893cd}" ref="M218">
      <text>
        <t xml:space="preserve">[Threaded comment]
 Your version of Excel allows you to read this threaded comment; however, any edits to it will get removed if the file is opened in a newer version of Excel. Learn more: https://go.microsoft.com/fwlink/?linkid=870924
Comment:
	11/25 sent to carrier
</t>
      </text>
    </comment>
    <comment authorId="1211" xr:uid="{9b204298-bd92-4e85-85d2-a84771c59a68}" ref="P239">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212" xr:uid="{9b351722-dbf5-49cf-b084-ecc741b30987}" ref="U112">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1213" xr:uid="{9b482d6a-5102-4bfc-8c30-24b4e7d2a8f6}" ref="A1">
      <text>
        <t xml:space="preserve">[Threaded comment]
 Your version of Excel allows you to read this threaded comment; however, any edits to it will get removed if the file is opened in a newer version of Excel. Learn more: https://go.microsoft.com/fwlink/?linkid=870924
Comment:
	12/20
</t>
      </text>
    </comment>
    <comment authorId="1214" xr:uid="{9b5039ac-a072-46c8-b245-dbaac4f826b3}" ref="V278">
      <text>
        <t xml:space="preserve">[Threaded comment]
 Your version of Excel allows you to read this threaded comment; however, any edits to it will get removed if the file is opened in a newer version of Excel. Learn more: https://go.microsoft.com/fwlink/?linkid=870924
Comment:
	01/07 sent the denial letter to PAs, asked them how to proceed (CM)
</t>
      </text>
    </comment>
    <comment authorId="1215" xr:uid="{9b576243-6a35-4c75-8c22-1143acc91f1d}" ref="A378">
      <text>
        <t xml:space="preserve">[Threaded comment]
 Your version of Excel allows you to read this threaded comment; however, any edits to it will get removed if the file is opened in a newer version of Excel. Learn more: https://go.microsoft.com/fwlink/?linkid=870924
Comment:
	deadline 09/06
</t>
      </text>
    </comment>
    <comment authorId="1216" xr:uid="{9b5a1a78-8000-4d92-aad3-f65e60a834b3}" ref="V235">
      <text>
        <t xml:space="preserve">[Threaded comment]
 Your version of Excel allows you to read this threaded comment; however, any edits to it will get removed if the file is opened in a newer version of Excel. Learn more: https://go.microsoft.com/fwlink/?linkid=870924
Comment:
	11/19 Wilber is asking if Iván accpet the flat fee for $1750, sent to PAs (CM)
</t>
      </text>
    </comment>
    <comment authorId="1217" xr:uid="{9b6ff849-b358-4620-947e-dc0a04d70b0a}" ref="O192">
      <text>
        <t xml:space="preserve">[Threaded comment]
 Your version of Excel allows you to read this threaded comment; however, any edits to it will get removed if the file is opened in a newer version of Excel. Learn more: https://go.microsoft.com/fwlink/?linkid=870924
Comment:
	12/18 sent to client SG
</t>
      </text>
    </comment>
    <comment authorId="1218" xr:uid="{9bdacae6-6c52-42f6-ae6d-047971113c3a}" ref="A1">
      <text>
        <t xml:space="preserve">[Threaded comment]
 Your version of Excel allows you to read this threaded comment; however, any edits to it will get removed if the file is opened in a newer version of Excel. Learn more: https://go.microsoft.com/fwlink/?linkid=870924
Comment:
	05/02 received a determination letter, sen to I&amp;P (JP)
</t>
      </text>
    </comment>
    <comment authorId="1219" xr:uid="{9bffac01-3c1e-4b7e-b487-a8aa5c8ff5c7}" ref="U207">
      <text>
        <t xml:space="preserve">[Threaded comment]
 Your version of Excel allows you to read this threaded comment; however, any edits to it will get removed if the file is opened in a newer version of Excel. Learn more: https://go.microsoft.com/fwlink/?linkid=870924
Comment:
	Prefered Method email
</t>
      </text>
    </comment>
    <comment authorId="1220" xr:uid="{9c12541c-7b34-4104-a66b-e229870eca91}" ref="N366">
      <text>
        <t xml:space="preserve">[Threaded comment]
 Your version of Excel allows you to read this threaded comment; however, any edits to it will get removed if the file is opened in a newer version of Excel. Learn more: https://go.microsoft.com/fwlink/?linkid=870924
Comment:
	5/6 Sent the estimate to Josh
Reply:
	6/20 asked josh to review
Reply:
	6/25 aprobado
</t>
      </text>
    </comment>
    <comment authorId="1221" xr:uid="{9c18559c-1c4b-490d-92b3-e00b64c86f9e}" ref="N380">
      <text>
        <t xml:space="preserve">[Threaded comment]
 Your version of Excel allows you to read this threaded comment; however, any edits to it will get removed if the file is opened in a newer version of Excel. Learn more: https://go.microsoft.com/fwlink/?linkid=870924
Comment:
	7/1 sent to josh
Reply:
	7/1 aprobado
</t>
      </text>
    </comment>
    <comment authorId="1222" xr:uid="{9c3b3981-6bae-4251-b167-7ea6251e5634}" ref="V227">
      <text>
        <t xml:space="preserve">[Threaded comment]
 Your version of Excel allows you to read this threaded comment; however, any edits to it will get removed if the file is opened in a newer version of Excel. Learn more: https://go.microsoft.com/fwlink/?linkid=870924
Comment:
	11/11 received a unidsputted payment for 15k, the IA report, asked Juan to send our estimate and JP to review the IA report before sending it (CM)
</t>
      </text>
    </comment>
    <comment authorId="1223" xr:uid="{9c6f6384-02bb-4ede-8373-0c187f50189b}" ref="P196">
      <text>
        <t xml:space="preserve">[Threaded comment]
 Your version of Excel allows you to read this threaded comment; however, any edits to it will get removed if the file is opened in a newer version of Excel. Learn more: https://go.microsoft.com/fwlink/?linkid=870924
Comment:
	09/10
</t>
      </text>
    </comment>
    <comment authorId="1224" xr:uid="{9cb051b9-f0d2-480c-a651-5da5d107c18e}" ref="O181">
      <text>
        <t xml:space="preserve">[Threaded comment]
 Your version of Excel allows you to read this threaded comment; however, any edits to it will get removed if the file is opened in a newer version of Excel. Learn more: https://go.microsoft.com/fwlink/?linkid=870924
Comment:
	07/31 in cw there is a SPOL to be completed, this was sent by the DA (cm)
</t>
      </text>
    </comment>
    <comment authorId="1225" xr:uid="{9cdbc9b3-57f7-426c-9229-3b91518b4e0f}" ref="V132">
      <text>
        <t xml:space="preserve">[Threaded comment]
 Your version of Excel allows you to read this threaded comment; however, any edits to it will get removed if the file is opened in a newer version of Excel. Learn more: https://go.microsoft.com/fwlink/?linkid=870924
Comment:
	08/19 received the settlement release for 26.5k, sent to PAs, and informed I&amp;P via WS (CM)
</t>
      </text>
    </comment>
    <comment authorId="1226" xr:uid="{9cf8ce34-5a86-442e-bec7-de51b4e5a9ba}" ref="V220">
      <text>
        <t xml:space="preserve">[Threaded comment]
 Your version of Excel allows you to read this threaded comment; however, any edits to it will get removed if the file is opened in a newer version of Excel. Learn more: https://go.microsoft.com/fwlink/?linkid=870924
Comment:
	12/09 received the IA and determination they are issuing a payment for 6,9k, asked jp to send our estimate (CM)
Reply:
	12/11 DA is offering $21,136.72 to settle this claim, sent to PAs (CM)
</t>
      </text>
    </comment>
    <comment authorId="1227" xr:uid="{9d21a534-3afa-481f-b27e-9d52dc723506}" ref="V140">
      <text>
        <t xml:space="preserve">[Threaded comment]
 Your version of Excel allows you to read this threaded comment; however, any edits to it will get removed if the file is opened in a newer version of Excel. Learn more: https://go.microsoft.com/fwlink/?linkid=870924
Comment:
	12/23 Peter followed up on this claim, he did a counteroffer for 25k (CM)
</t>
      </text>
    </comment>
    <comment authorId="1228" xr:uid="{9d31e3b1-1ee4-4e77-82d1-529b1b3e9747}"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29" xr:uid="{9d404bf0-9382-4f4e-91c2-ff1851a2a76f}" ref="A1">
      <text>
        <t xml:space="preserve">[Threaded comment]
 Your version of Excel allows you to read this threaded comment; however, any edits to it will get removed if the file is opened in a newer version of Excel. Learn more: https://go.microsoft.com/fwlink/?linkid=870924
Comment:
	10/30 informed that ia was done
</t>
      </text>
    </comment>
    <comment authorId="1230" xr:uid="{9d5fc167-af40-4c36-8b71-a3d7dabdec61}" ref="M185">
      <text>
        <t xml:space="preserve">[Threaded comment]
 Your version of Excel allows you to read this threaded comment; however, any edits to it will get removed if the file is opened in a newer version of Excel. Learn more: https://go.microsoft.com/fwlink/?linkid=870924
Comment:
	enviar estimado una vez aprobado JP
7/29 sento to carrier, no picture file
</t>
      </text>
    </comment>
    <comment authorId="1231" xr:uid="{9d9b1559-5509-43ad-b876-0f53feeb465d}" ref="O200">
      <text>
        <t xml:space="preserve">[Threaded comment]
 Your version of Excel allows you to read this threaded comment; however, any edits to it will get removed if the file is opened in a newer version of Excel. Learn more: https://go.microsoft.com/fwlink/?linkid=870924
Comment:
	hcaer en la pag de FIGA
</t>
      </text>
    </comment>
    <comment authorId="1232" xr:uid="{9e1d3642-57ba-4886-9114-0c0a52cf3531}"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233" xr:uid="{9e23f70e-51a4-45da-9281-34da98156658}" ref="P188">
      <text>
        <t xml:space="preserve">[Threaded comment]
 Your version of Excel allows you to read this threaded comment; however, any edits to it will get removed if the file is opened in a newer version of Excel. Learn more: https://go.microsoft.com/fwlink/?linkid=870924
Comment:
	09/24 insp
</t>
      </text>
    </comment>
    <comment authorId="1234" xr:uid="{9e4ea9c0-f2d3-4770-ada4-21d07674f59d}" ref="N322">
      <text>
        <t xml:space="preserve">[Threaded comment]
 Your version of Excel allows you to read this threaded comment; however, any edits to it will get removed if the file is opened in a newer version of Excel. Learn more: https://go.microsoft.com/fwlink/?linkid=870924
Comment:
	4/9 sent to juan
Reply:
	4/11 aprobado
</t>
      </text>
    </comment>
    <comment authorId="1235" xr:uid="{9e615e2e-c7a1-47d0-b558-c69222b3e7a8}" ref="A1">
      <text>
        <t xml:space="preserve">[Threaded comment]
 Your version of Excel allows you to read this threaded comment; however, any edits to it will get removed if the file is opened in a newer version of Excel. Learn more: https://go.microsoft.com/fwlink/?linkid=870924
Comment:
	05/21 RECEIVED A DETERMINATION LETTER (CM)
</t>
      </text>
    </comment>
    <comment authorId="1236" xr:uid="{9e706f39-8af6-4a83-93bc-5aceae474980}" ref="N341">
      <text>
        <t xml:space="preserve">[Threaded comment]
 Your version of Excel allows you to read this threaded comment; however, any edits to it will get removed if the file is opened in a newer version of Excel. Learn more: https://go.microsoft.com/fwlink/?linkid=870924
Comment:
	3/18 sent to josh
Reply:
	3/20 aprobado
</t>
      </text>
    </comment>
    <comment authorId="1237" xr:uid="{9eb718a5-f564-40f0-a6c7-d81bb1dcaedb}" ref="N370">
      <text>
        <t xml:space="preserve">[Threaded comment]
 Your version of Excel allows you to read this threaded comment; however, any edits to it will get removed if the file is opened in a newer version of Excel. Learn more: https://go.microsoft.com/fwlink/?linkid=870924
Comment:
	5/29 sent to josh
Reply:
	5/29 aprobado
Reply:
	6/3 aprobado
</t>
      </text>
    </comment>
    <comment authorId="1238" xr:uid="{9eec5892-b692-4a2a-a882-ce04d06b0c7b}" ref="N50">
      <text>
        <t xml:space="preserve">[Threaded comment]
 Your version of Excel allows you to read this threaded comment; however, any edits to it will get removed if the file is opened in a newer version of Excel. Learn more: https://go.microsoft.com/fwlink/?linkid=870924
Comment:
	7/29 envie a ivan un update.
</t>
      </text>
    </comment>
    <comment authorId="1239" xr:uid="{9efa1eec-5afa-474f-ae63-b3b097797f48}"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240" xr:uid="{9efb3076-4d60-432f-a1f0-98fb178870fa}" ref="N30">
      <text>
        <t xml:space="preserve">[Threaded comment]
 Your version of Excel allows you to read this threaded comment; however, any edits to it will get removed if the file is opened in a newer version of Excel. Learn more: https://go.microsoft.com/fwlink/?linkid=870924
Comment:
	10/23 Sent to Jakey
Reply:
	10/23 aprobado
</t>
      </text>
    </comment>
    <comment authorId="1241" xr:uid="{9f0abca7-30fc-4896-be5c-54dab83ab30f}" ref="V289">
      <text>
        <t xml:space="preserve">[Threaded comment]
 Your version of Excel allows you to read this threaded comment; however, any edits to it will get removed if the file is opened in a newer version of Excel. Learn more: https://go.microsoft.com/fwlink/?linkid=870924
Comment:
	03/20 we offered 25k (CM)
</t>
      </text>
    </comment>
    <comment authorId="1242" xr:uid="{9f43ddfb-131c-4a49-86ce-ffedfff1d18e}" ref="A1">
      <text>
        <t xml:space="preserve">[Threaded comment]
 Your version of Excel allows you to read this threaded comment; however, any edits to it will get removed if the file is opened in a newer version of Excel. Learn more: https://go.microsoft.com/fwlink/?linkid=870924
Comment:
	01/20
</t>
      </text>
    </comment>
    <comment authorId="1243" xr:uid="{9f4859cc-20b9-4657-a880-2158d4b2e8f3}" ref="A1">
      <text>
        <t xml:space="preserve">[Threaded comment]
 Your version of Excel allows you to read this threaded comment; however, any edits to it will get removed if the file is opened in a newer version of Excel. Learn more: https://go.microsoft.com/fwlink/?linkid=870924
Comment:
	09/12
</t>
      </text>
    </comment>
    <comment authorId="1244" xr:uid="{9f4fd8b8-9fd0-4cfd-8c2c-3ec17a03641b}" ref="A1">
      <text>
        <t xml:space="preserve">[Threaded comment]
 Your version of Excel allows you to read this threaded comment; however, any edits to it will get removed if the file is opened in a newer version of Excel. Learn more: https://go.microsoft.com/fwlink/?linkid=870924
Comment:
	09/11
</t>
      </text>
    </comment>
    <comment authorId="1245" xr:uid="{9f7606f9-6ffe-40e3-8371-18d00331e2b4}"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Mayol's policy
</t>
      </text>
    </comment>
    <comment authorId="1246" xr:uid="{9f9c8130-f1fe-44ea-b939-1cb40c4f5079}"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247" xr:uid="{9fbf2099-5dbd-484e-9d94-511ac31c04fc}" ref="M229">
      <text>
        <t xml:space="preserve">[Threaded comment]
 Your version of Excel allows you to read this threaded comment; however, any edits to it will get removed if the file is opened in a newer version of Excel. Learn more: https://go.microsoft.com/fwlink/?linkid=870924
Comment:
	esperar IA report
Reply:
	12/11 sent to DA
</t>
      </text>
    </comment>
    <comment authorId="1248" xr:uid="{9fd8ada3-13cf-4bf8-b7a9-7f99a32ecfa8}"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249" xr:uid="{9fd9d721-332c-4664-8f18-a7649d617dd2}" ref="N350">
      <text>
        <t xml:space="preserve">[Threaded comment]
 Your version of Excel allows you to read this threaded comment; however, any edits to it will get removed if the file is opened in a newer version of Excel. Learn more: https://go.microsoft.com/fwlink/?linkid=870924
Comment:
	4/8 sent to ivan
Reply:
	4/9 aprobado
</t>
      </text>
    </comment>
    <comment authorId="1250" xr:uid="{9feb3239-b35e-4475-9ea7-8be7749ac9e5}" ref="A1">
      <text>
        <t xml:space="preserve">[Threaded comment]
 Your version of Excel allows you to read this threaded comment; however, any edits to it will get removed if the file is opened in a newer version of Excel. Learn more: https://go.microsoft.com/fwlink/?linkid=870924
Comment:
	08/02
</t>
      </text>
    </comment>
    <comment authorId="1251" xr:uid="{9ff4a62b-3e4c-4c16-8392-eefae227935e}" ref="M396">
      <text>
        <t xml:space="preserve">[Threaded comment]
 Your version of Excel allows you to read this threaded comment; however, any edits to it will get removed if the file is opened in a newer version of Excel. Learn more: https://go.microsoft.com/fwlink/?linkid=870924
Comment:
	1/27 sent to DA
</t>
      </text>
    </comment>
    <comment authorId="1252" xr:uid="{9ff93520-bdca-4000-8ac3-8913916753d3}"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53" xr:uid="{a00e640d-f9db-4c71-bc22-db7bc3aa80a0}" ref="Q288">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254" xr:uid="{a0382c42-6b69-4ab9-952f-91f515a05a1b}" ref="A1">
      <text>
        <t xml:space="preserve">[Threaded comment]
 Your version of Excel allows you to read this threaded comment; however, any edits to it will get removed if the file is opened in a newer version of Excel. Learn more: https://go.microsoft.com/fwlink/?linkid=870924
Comment:
	sarah
</t>
      </text>
    </comment>
    <comment authorId="1255" xr:uid="{a079f978-d7ff-48d2-bf4d-cfe10d704282}" ref="V217">
      <text>
        <t xml:space="preserve">[Threaded comment]
 Your version of Excel allows you to read this threaded comment; however, any edits to it will get removed if the file is opened in a newer version of Excel. Learn more: https://go.microsoft.com/fwlink/?linkid=870924
Comment:
	12/16 received the OA info, sent to Day, asked Peter to sign the appraisal agreement (CM)
</t>
      </text>
    </comment>
    <comment authorId="1256" xr:uid="{a0950308-5c92-4433-a215-3aa0a61b9f40}" ref="M289">
      <text>
        <t xml:space="preserve">[Threaded comment]
 Your version of Excel allows you to read this threaded comment; however, any edits to it will get removed if the file is opened in a newer version of Excel. Learn more: https://go.microsoft.com/fwlink/?linkid=870924
Comment:
	1/6/25 sent to DA
</t>
      </text>
    </comment>
    <comment authorId="1257" xr:uid="{a0cfadcd-f92a-460e-9c55-645b4f371782}" ref="P204">
      <text>
        <t xml:space="preserve">[Threaded comment]
 Your version of Excel allows you to read this threaded comment; however, any edits to it will get removed if the file is opened in a newer version of Excel. Learn more: https://go.microsoft.com/fwlink/?linkid=870924
Comment:
	09/20
</t>
      </text>
    </comment>
    <comment authorId="1258" xr:uid="{a0dd8c03-6452-44ec-8637-517da8b16cf0}" ref="M90">
      <text>
        <t xml:space="preserve">[Threaded comment]
 Your version of Excel allows you to read this threaded comment; however, any edits to it will get removed if the file is opened in a newer version of Excel. Learn more: https://go.microsoft.com/fwlink/?linkid=870924
Comment:
	pregunta a Peter si mandas estimado una vez aprobado, es nuevo reclamo (estoy segura que te va a decir que si) igual me dejas saber porfa @jp.ipestimates@gmail.com
Assigned to jp.ipestimates@gmail.com
Reply:
	ok te aviso a penas me apruebe
Reply:
	simon jeje asi podemos trabajar si te parece Caito
Reply:
	hola Carito :)
Reply:
	8/21 enviado al carrier y cliente @admin@ipadjustinggroup.com
</t>
      </text>
    </comment>
    <comment authorId="1259" xr:uid="{a10483f7-b3dc-4804-868b-af36ebb01fcb}" ref="P281">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1260" xr:uid="{a10a32e7-2480-443b-a33c-2947ba350212}" ref="M376">
      <text>
        <t xml:space="preserve">[Threaded comment]
 Your version of Excel allows you to read this threaded comment; however, any edits to it will get removed if the file is opened in a newer version of Excel. Learn more: https://go.microsoft.com/fwlink/?linkid=870924
Comment:
	7/31 sent to DA
</t>
      </text>
    </comment>
    <comment authorId="1261" xr:uid="{a13ea31f-83f8-493b-ae50-0308ef070ed5}" ref="V110">
      <text>
        <t xml:space="preserve">[Threaded comment]
 Your version of Excel allows you to read this threaded comment; however, any edits to it will get removed if the file is opened in a newer version of Excel. Learn more: https://go.microsoft.com/fwlink/?linkid=870924
Comment:
	07/03 the client informed that on the estimate is not the pool, asked Juan to review the estimate (CM)
Reply:
	08/28 followed up with Juan (CM)
</t>
      </text>
    </comment>
    <comment authorId="1262" xr:uid="{a15dfa76-a04f-41ea-b66c-1eaa69a738ef}" ref="V246">
      <text>
        <t xml:space="preserve">[Threaded comment]
 Your version of Excel allows you to read this threaded comment; however, any edits to it will get removed if the file is opened in a newer version of Excel. Learn more: https://go.microsoft.com/fwlink/?linkid=870924
Comment:
	12/13 DA say that the can consider additional damage, asked PAs to respond to DA (CM)
</t>
      </text>
    </comment>
    <comment authorId="1263" xr:uid="{a1ce01a3-4a5c-49af-82ed-ad694edf04ce}" ref="N343">
      <text>
        <t xml:space="preserve">[Threaded comment]
 Your version of Excel allows you to read this threaded comment; however, any edits to it will get removed if the file is opened in a newer version of Excel. Learn more: https://go.microsoft.com/fwlink/?linkid=870924
Comment:
	3/31 sent to juan
Reply:
	4/10 aprobado por juan
Reply:
	8/20 se envio un update a Peter
</t>
      </text>
    </comment>
    <comment authorId="1264" xr:uid="{a22d48a7-5fe9-4efb-954d-65ddd52eb26b}" ref="N389">
      <text>
        <t xml:space="preserve">[Threaded comment]
 Your version of Excel allows you to read this threaded comment; however, any edits to it will get removed if the file is opened in a newer version of Excel. Learn more: https://go.microsoft.com/fwlink/?linkid=870924
Comment:
	9/17 sent to ivan
Reply:
	9/17 approved
</t>
      </text>
    </comment>
    <comment authorId="1265" xr:uid="{a25ce7c4-3ce4-41a0-a7db-4a2fb1141dbb}" ref="V280">
      <text>
        <t xml:space="preserve">[Threaded comment]
 Your version of Excel allows you to read this threaded comment; however, any edits to it will get removed if the file is opened in a newer version of Excel. Learn more: https://go.microsoft.com/fwlink/?linkid=870924
Comment:
	11/26 recieved the IA report and the determination letter, asked JP to send our estimate, sent to PAs (CM)
Reply:
	12/18 DA is requesting the completion of work for the Huricane Ian claim (CM)
Reply:
	01/10 Joshua did a couterfoffer for 75k (CM)
</t>
      </text>
    </comment>
    <comment authorId="1266" xr:uid="{a260495b-3b1f-48c9-91f1-c54dfa67030e}" ref="A1">
      <text>
        <t xml:space="preserve">[Threaded comment]
 Your version of Excel allows you to read this threaded comment; however, any edits to it will get removed if the file is opened in a newer version of Excel. Learn more: https://go.microsoft.com/fwlink/?linkid=870924
Comment:
	04/29
</t>
      </text>
    </comment>
    <comment authorId="1267" xr:uid="{a272a70d-a1ce-48f6-b7b4-5939286e5fd4}" ref="V140">
      <text>
        <t xml:space="preserve">[Threaded comment]
 Your version of Excel allows you to read this threaded comment; however, any edits to it will get removed if the file is opened in a newer version of Excel. Learn more: https://go.microsoft.com/fwlink/?linkid=870924
Comment:
	09/11 recieved a determination letter, IA report, asked PAs how to proceed (CM)
</t>
      </text>
    </comment>
    <comment authorId="1268" xr:uid="{a279cceb-b3a7-4bb6-8dd1-1e6bd41d1caf}" ref="A1">
      <text>
        <t xml:space="preserve">[Threaded comment]
 Your version of Excel allows you to read this threaded comment; however, any edits to it will get removed if the file is opened in a newer version of Excel. Learn more: https://go.microsoft.com/fwlink/?linkid=870924
Comment:
	08/27 they won't assgin DA until they receive the estimate, informed Joshua (CM)
</t>
      </text>
    </comment>
    <comment authorId="1269" xr:uid="{a27fc542-7125-4f35-aea6-576c4da96189}" ref="V150">
      <text>
        <t xml:space="preserve">[Threaded comment]
 Your version of Excel allows you to read this threaded comment; however, any edits to it will get removed if the file is opened in a newer version of Excel. Learn more: https://go.microsoft.com/fwlink/?linkid=870924
Comment:
	11/04 Sent to Juan, Stephen's contract to get it signed by the insured (CM)
Reply:
	11/08 asked Juan if the client has signed the appraisal agreement (CM)
</t>
      </text>
    </comment>
    <comment authorId="1270" xr:uid="{a2818c29-e2bf-45c3-aadd-beb14ce086fd}"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71" xr:uid="{a28b6fa0-dce7-4bcd-8cdc-373369b29aaf}" ref="M192">
      <text>
        <t xml:space="preserve">[Threaded comment]
 Your version of Excel allows you to read this threaded comment; however, any edits to it will get removed if the file is opened in a newer version of Excel. Learn more: https://go.microsoft.com/fwlink/?linkid=870924
Comment:
	WAITING IA REPORT
</t>
      </text>
    </comment>
    <comment authorId="1272" xr:uid="{a2af9120-6229-40b6-b517-ac5767c7fa99}" ref="A108">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requested mediation (CM)
Assigned to scheduling@ipadjustinggroup.com
</t>
      </text>
    </comment>
    <comment authorId="1273" xr:uid="{a2d46653-5205-428d-90a8-f81d6a56be24}" ref="A1">
      <text>
        <t xml:space="preserve">[Threaded comment]
 Your version of Excel allows you to read this threaded comment; however, any edits to it will get removed if the file is opened in a newer version of Excel. Learn more: https://go.microsoft.com/fwlink/?linkid=870924
Comment:
	01/24 policy
</t>
      </text>
    </comment>
    <comment authorId="1274" xr:uid="{a317fc65-cbfb-40fe-962a-6936098dcef1}" ref="M202">
      <text>
        <t xml:space="preserve">[Threaded comment]
 Your version of Excel allows you to read this threaded comment; however, any edits to it will get removed if the file is opened in a newer version of Excel. Learn more: https://go.microsoft.com/fwlink/?linkid=870924
Comment:
	8/26 enviado al DA y cliente
</t>
      </text>
    </comment>
    <comment authorId="1275" xr:uid="{a3427b1c-c93d-424c-aa40-c5ebad13331b}" ref="V226">
      <text>
        <t xml:space="preserve">[Threaded comment]
 Your version of Excel allows you to read this threaded comment; however, any edits to it will get removed if the file is opened in a newer version of Excel. Learn more: https://go.microsoft.com/fwlink/?linkid=870924
Comment:
	01/03 spoke with the DA assistant asked for the IA report and determination on this claim, received the IA asked JP to send our estimate(CM)
</t>
      </text>
    </comment>
    <comment authorId="1276" xr:uid="{a347cd5a-a038-40d7-af49-a409483ae7e8}" ref="N179">
      <text>
        <t xml:space="preserve">[Threaded comment]
 Your version of Excel allows you to read this threaded comment; however, any edits to it will get removed if the file is opened in a newer version of Excel. Learn more: https://go.microsoft.com/fwlink/?linkid=870924
Comment:
	7/29 sent to Juan for approval
Reply:
	8/15 pedi a juan q apruebe
Reply:
	08/16 sent estimate and pictures to carrier (CM)
</t>
      </text>
    </comment>
    <comment authorId="1277" xr:uid="{a3503810-7748-4dbe-bcc1-842f5829d8f6}" ref="A1">
      <text>
        <t xml:space="preserve">[Threaded comment]
 Your version of Excel allows you to read this threaded comment; however, any edits to it will get removed if the file is opened in a newer version of Excel. Learn more: https://go.microsoft.com/fwlink/?linkid=870924
Comment:
	7/30 sent to joshua
7/30 david approved
</t>
      </text>
    </comment>
    <comment authorId="1278" xr:uid="{a3650349-e85c-4b58-9063-08ad9a049fd6}" ref="P291">
      <text>
        <t xml:space="preserve">[Threaded comment]
 Your version of Excel allows you to read this threaded comment; however, any edits to it will get removed if the file is opened in a newer version of Excel. Learn more: https://go.microsoft.com/fwlink/?linkid=870924
Comment:
	01/10
</t>
      </text>
    </comment>
    <comment authorId="1279" xr:uid="{a387246e-bc97-4f7b-b46e-a7cfd000f7fd}" ref="A73">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280" xr:uid="{a3a83132-daf4-4519-8376-53c01dc4f33b}" ref="A348">
      <text>
        <t xml:space="preserve">[Threaded comment]
 Your version of Excel allows you to read this threaded comment; however, any edits to it will get removed if the file is opened in a newer version of Excel. Learn more: https://go.microsoft.com/fwlink/?linkid=870924
Comment:
	Joshua
Reply:
	ordinance and law: $1,177.83
recoverable depreciation: 2,549.00
</t>
      </text>
    </comment>
    <comment authorId="1281" xr:uid="{a3dea2fa-5f26-4501-9778-83eb24ed4b43}" ref="A112">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282" xr:uid="{a40bc7e5-c137-4975-974d-672aa1d5830e}" ref="O202">
      <text>
        <t xml:space="preserve">[Threaded comment]
 Your version of Excel allows you to read this threaded comment; however, any edits to it will get removed if the file is opened in a newer version of Excel. Learn more: https://go.microsoft.com/fwlink/?linkid=870924
Comment:
	Ivan dice no enviar y que esperemos
</t>
      </text>
    </comment>
    <comment authorId="1283" xr:uid="{a43f4508-1460-4122-846c-3a7e45a49388}" ref="W390">
      <text>
        <t xml:space="preserve">[Threaded comment]
 Your version of Excel allows you to read this threaded comment; however, any edits to it will get removed if the file is opened in a newer version of Excel. Learn more: https://go.microsoft.com/fwlink/?linkid=870924
Comment:
	$6,563.16 / Sarah undisputted
</t>
      </text>
    </comment>
    <comment authorId="1284" xr:uid="{a443e57d-f3be-4ec2-89bc-d4b953d78d80}"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85" xr:uid="{a456e805-371f-41ea-8829-ab16cfe311f4}" ref="M288">
      <text>
        <t xml:space="preserve">[Threaded comment]
 Your version of Excel allows you to read this threaded comment; however, any edits to it will get removed if the file is opened in a newer version of Excel. Learn more: https://go.microsoft.com/fwlink/?linkid=870924
Comment:
	4/2 esperando picture file de juan
Reply:
	4/17 sent to carrier
</t>
      </text>
    </comment>
    <comment authorId="1286" xr:uid="{a4782d46-a115-4bfe-8815-3337c9721c86}" ref="P249">
      <text>
        <t xml:space="preserve">[Threaded comment]
 Your version of Excel allows you to read this threaded comment; however, any edits to it will get removed if the file is opened in a newer version of Excel. Learn more: https://go.microsoft.com/fwlink/?linkid=870924
Comment:
	11/05
</t>
      </text>
    </comment>
    <comment authorId="1287" xr:uid="{a4829138-389f-4ca0-9aca-02776a3b852b}" ref="V182">
      <text>
        <t xml:space="preserve">[Threaded comment]
 Your version of Excel allows you to read this threaded comment; however, any edits to it will get removed if the file is opened in a newer version of Excel. Learn more: https://go.microsoft.com/fwlink/?linkid=870924
Comment:
	08/30 received the denial letter, asked PAs how to proceed next (CM)
</t>
      </text>
    </comment>
    <comment authorId="1288" xr:uid="{a4a32c23-36dd-4cd1-a393-ab5e59024ff5}" ref="A179">
      <text>
        <t xml:space="preserve">[Threaded comment]
 Your version of Excel allows you to read this threaded comment; however, any edits to it will get removed if the file is opened in a newer version of Excel. Learn more: https://go.microsoft.com/fwlink/?linkid=870924
Comment:
	10/09 Stephen informs that the appraiser should be Shane Brown if accepted
Reply:
	11/08 asked Juan if the client has signed the appraisal agreement (CM)
</t>
      </text>
    </comment>
    <comment authorId="1289" xr:uid="{a4acdbf9-88c2-4ec2-bf62-04070faa1610}" ref="M239">
      <text>
        <t xml:space="preserve">[Threaded comment]
 Your version of Excel allows you to read this threaded comment; however, any edits to it will get removed if the file is opened in a newer version of Excel. Learn more: https://go.microsoft.com/fwlink/?linkid=870924
Comment:
	1/7/25 sent to carrier
</t>
      </text>
    </comment>
    <comment authorId="1290" xr:uid="{a4bfe073-aaa1-4f02-8a21-faff996cd292}" ref="V201">
      <text>
        <t xml:space="preserve">[Threaded comment]
 Your version of Excel allows you to read this threaded comment; however, any edits to it will get removed if the file is opened in a newer version of Excel. Learn more: https://go.microsoft.com/fwlink/?linkid=870924
Comment:
	12/17 received the OA info, sent to Day, asked Peter to sign the appraisal agreement (CM)
</t>
      </text>
    </comment>
    <comment authorId="1291" xr:uid="{a4c9d85c-ddd2-416c-b3ac-404306f7b9b0}" ref="N292">
      <text>
        <t xml:space="preserve">[Threaded comment]
 Your version of Excel allows you to read this threaded comment; however, any edits to it will get removed if the file is opened in a newer version of Excel. Learn more: https://go.microsoft.com/fwlink/?linkid=870924
Comment:
	12/12 sent to josh for review
Reply:
	12/12 approved
</t>
      </text>
    </comment>
    <comment authorId="1292" xr:uid="{a4c9dfd6-47c6-4230-a8a9-8cee347c0a82}"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293" xr:uid="{a4d40398-241a-493f-ae2f-a5de6da962cb}" ref="Q333">
      <text>
        <t xml:space="preserve">[Threaded comment]
 Your version of Excel allows you to read this threaded comment; however, any edits to it will get removed if the file is opened in a newer version of Excel. Learn more: https://go.microsoft.com/fwlink/?linkid=870924
Comment:
	03/06
</t>
      </text>
    </comment>
    <comment authorId="1294" xr:uid="{a4f76f5b-774b-4775-8482-799c3a43a626}" ref="M278">
      <text>
        <t xml:space="preserve">[Threaded comment]
 Your version of Excel allows you to read this threaded comment; however, any edits to it will get removed if the file is opened in a newer version of Excel. Learn more: https://go.microsoft.com/fwlink/?linkid=870924
Comment:
	6/11 sent the update to DA
</t>
      </text>
    </comment>
    <comment authorId="1295" xr:uid="{a4ff0bab-fbbf-4e60-bb8f-839f2e066873}" ref="D78">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296" xr:uid="{a5426f61-9824-47d4-920b-3a20a5cc91be}" ref="V399">
      <text>
        <t xml:space="preserve">[Threaded comment]
 Your version of Excel allows you to read this threaded comment; however, any edits to it will get removed if the file is opened in a newer version of Excel. Learn more: https://go.microsoft.com/fwlink/?linkid=870924
Comment:
	01/26 DA sent a denial letter for Mold Remediation and Water Restoration Pros and the denial reiteration for the claim (CM)
</t>
      </text>
    </comment>
    <comment authorId="1297" xr:uid="{a5534516-4774-400f-b7a5-48561a974aa9}" ref="A338">
      <text>
        <t xml:space="preserve">[Threaded comment]
 Your version of Excel allows you to read this threaded comment; however, any edits to it will get removed if the file is opened in a newer version of Excel. Learn more: https://go.microsoft.com/fwlink/?linkid=870924
Comment:
	Joshua
Reply:
	nothing to be recovered
</t>
      </text>
    </comment>
    <comment authorId="1298" xr:uid="{a561bc7f-5405-48d0-b988-a8cb6f0d8072}" ref="A313">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299" xr:uid="{a56428bf-147a-4cf0-b6e8-4e251792e6d2}" ref="A254">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300" xr:uid="{a5abef4c-82ea-4b92-8e9d-ade9b7d8f3f9}" ref="M179">
      <text>
        <t xml:space="preserve">[Threaded comment]
 Your version of Excel allows you to read this threaded comment; however, any edits to it will get removed if the file is opened in a newer version of Excel. Learn more: https://go.microsoft.com/fwlink/?linkid=870924
Comment:
	enviar cuando apruebe juan
08/16 sent estimate and pictures to carrier (CM)
</t>
      </text>
    </comment>
    <comment authorId="1301" xr:uid="{a5b69665-f152-4358-977f-a7184045479c}" ref="O234">
      <text>
        <t xml:space="preserve">[Threaded comment]
 Your version of Excel allows you to read this threaded comment; however, any edits to it will get removed if the file is opened in a newer version of Excel. Learn more: https://go.microsoft.com/fwlink/?linkid=870924
Comment:
	1/21 envie a josh q haga firmar al cliente, no tenemos email
</t>
      </text>
    </comment>
    <comment authorId="1302" xr:uid="{a5bacd3b-2038-4954-88e6-6822639d5586}" ref="M389">
      <text>
        <t xml:space="preserve">[Threaded comment]
 Your version of Excel allows you to read this threaded comment; however, any edits to it will get removed if the file is opened in a newer version of Excel. Learn more: https://go.microsoft.com/fwlink/?linkid=870924
Comment:
	9/22 sent to carrier
</t>
      </text>
    </comment>
    <comment authorId="1303" xr:uid="{a5cfe6b1-abcd-407b-8d0e-2fad6ab8e63a}" ref="O216">
      <text>
        <t xml:space="preserve">[Threaded comment]
 Your version of Excel allows you to read this threaded comment; however, any edits to it will get removed if the file is opened in a newer version of Excel. Learn more: https://go.microsoft.com/fwlink/?linkid=870924
Comment:
	12/18 sent SPOL to client
</t>
      </text>
    </comment>
    <comment authorId="1304" xr:uid="{a5d0c535-f6c7-4dde-9b3d-bceec867b593}" ref="U208">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1305" xr:uid="{a5d6b016-f1c4-4183-9631-92866d41b6a5}" ref="V241">
      <text>
        <t xml:space="preserve">[Threaded comment]
 Your version of Excel allows you to read this threaded comment; however, any edits to it will get removed if the file is opened in a newer version of Excel. Learn more: https://go.microsoft.com/fwlink/?linkid=870924
Comment:
	03/10 followed up on the breakdown that Iván sent, and asked if they agreed on it (CM)
</t>
      </text>
    </comment>
    <comment authorId="1306" xr:uid="{a6183463-80b0-49ee-8c6f-abf32d7582ae}" ref="N364">
      <text>
        <t xml:space="preserve">[Threaded comment]
 Your version of Excel allows you to read this threaded comment; however, any edits to it will get removed if the file is opened in a newer version of Excel. Learn more: https://go.microsoft.com/fwlink/?linkid=870924
Comment:
	4/30 sent to Juan. no photos
Reply:
	4/30 APROBADO
</t>
      </text>
    </comment>
    <comment authorId="1307" xr:uid="{a6231693-1838-4196-9c5f-446cd6cfe1f0}" ref="V169">
      <text>
        <t xml:space="preserve">[Threaded comment]
 Your version of Excel allows you to read this threaded comment; however, any edits to it will get removed if the file is opened in a newer version of Excel. Learn more: https://go.microsoft.com/fwlink/?linkid=870924
Comment:
	09/09 received the appraisal award, sent to Peter to be signed if he agrees (CM)
</t>
      </text>
    </comment>
    <comment authorId="1308" xr:uid="{a623eb4e-5bda-4395-bfde-15bbec80950f}"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309" xr:uid="{a68f5ea8-7de5-48d8-87d1-4a7079ec0004}" ref="O313">
      <text>
        <t xml:space="preserve">[Threaded comment]
 Your version of Excel allows you to read this threaded comment; however, any edits to it will get removed if the file is opened in a newer version of Excel. Learn more: https://go.microsoft.com/fwlink/?linkid=870924
Comment:
	4/8 sent to client
</t>
      </text>
    </comment>
    <comment authorId="1310" xr:uid="{a6992199-bbaa-4dd0-9c1c-928abda64cc9}" ref="P223">
      <text>
        <t xml:space="preserve">[Threaded comment]
 Your version of Excel allows you to read this threaded comment; however, any edits to it will get removed if the file is opened in a newer version of Excel. Learn more: https://go.microsoft.com/fwlink/?linkid=870924
Comment:
	11/08 DA informs that he has received the estimate, that is under review (CM)
</t>
      </text>
    </comment>
    <comment authorId="1311" xr:uid="{a6b8d0d2-ba56-4e4c-a7d9-9a702cc1e3b0}" ref="V253">
      <text>
        <t xml:space="preserve">[Threaded comment]
 Your version of Excel allows you to read this threaded comment; however, any edits to it will get removed if the file is opened in a newer version of Excel. Learn more: https://go.microsoft.com/fwlink/?linkid=870924
Comment:
	11/20 received the determination letter and IA report, this claim is underdeductible asked JP to send our estimate after reviewing it, PA's cc'd (CM)
</t>
      </text>
    </comment>
    <comment authorId="1312" xr:uid="{a6c6b191-f814-4a5a-9ccf-6845e43753c6}"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1313" xr:uid="{a6e42ea6-0c20-41fa-8b97-ea1ee4cd1500}" ref="V164">
      <text>
        <t xml:space="preserve">[Threaded comment]
 Your version of Excel allows you to read this threaded comment; however, any edits to it will get removed if the file is opened in a newer version of Excel. Learn more: https://go.microsoft.com/fwlink/?linkid=870924
Comment:
	09/04 Peter is asking 45k (CM)
</t>
      </text>
    </comment>
    <comment authorId="1314" xr:uid="{a6eada46-4058-4cad-878b-552c74751a26}" ref="V241">
      <text>
        <t xml:space="preserve">[Threaded comment]
 Your version of Excel allows you to read this threaded comment; however, any edits to it will get removed if the file is opened in a newer version of Excel. Learn more: https://go.microsoft.com/fwlink/?linkid=870924
Comment:
	12/16 they are issuing a payment for 12.8k asked JP to send our estimate (CM)
</t>
      </text>
    </comment>
    <comment authorId="1315" xr:uid="{a708630c-a760-4fbf-92eb-45beeddf8ec0}" ref="A130">
      <text>
        <t xml:space="preserve">[Threaded comment]
 Your version of Excel allows you to read this threaded comment; however, any edits to it will get removed if the file is opened in a newer version of Excel. Learn more: https://go.microsoft.com/fwlink/?linkid=870924
Comment:
	07/16 Peter will file NOI (cm) @scheduling@ipadjustinggroup.com
</t>
      </text>
    </comment>
    <comment authorId="1316" xr:uid="{a718e7ce-8c50-4764-9dd7-a966cce9d475}" ref="N349">
      <text>
        <t xml:space="preserve">[Threaded comment]
 Your version of Excel allows you to read this threaded comment; however, any edits to it will get removed if the file is opened in a newer version of Excel. Learn more: https://go.microsoft.com/fwlink/?linkid=870924
Comment:
	4/1 sent to josh
Reply:
	4/14 aprobado
</t>
      </text>
    </comment>
    <comment authorId="1317" xr:uid="{a72f81da-1126-47af-bd6a-930b49ba67a5}" ref="N187">
      <text>
        <t xml:space="preserve">[Threaded comment]
 Your version of Excel allows you to read this threaded comment; however, any edits to it will get removed if the file is opened in a newer version of Excel. Learn more: https://go.microsoft.com/fwlink/?linkid=870924
Comment:
	8/19 Sent to ivan
8/20 ivan pide aumentar el estimado a 25k, enviado el update
Reply:
	8/23 aprobado por ivan
</t>
      </text>
    </comment>
    <comment authorId="1318" xr:uid="{a737b835-e9c1-4aef-83f4-cb4f88fa0de0}" ref="A133">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319" xr:uid="{a738a15b-4639-45c9-a191-6adc154af058}" ref="N271">
      <text>
        <t xml:space="preserve">[Threaded comment]
 Your version of Excel allows you to read this threaded comment; however, any edits to it will get removed if the file is opened in a newer version of Excel. Learn more: https://go.microsoft.com/fwlink/?linkid=870924
Comment:
	12/10 sent to juan
Reply:
	12/10 Juan approved
</t>
      </text>
    </comment>
    <comment authorId="1320" xr:uid="{a74b4016-08ba-47ab-ad87-26ee1227824a}" ref="O254">
      <text>
        <t xml:space="preserve">[Threaded comment]
 Your version of Excel allows you to read this threaded comment; however, any edits to it will get removed if the file is opened in a newer version of Excel. Learn more: https://go.microsoft.com/fwlink/?linkid=870924
Comment:
	3/6 sent to client
</t>
      </text>
    </comment>
    <comment authorId="1321" xr:uid="{a76b784d-9c38-46ff-a41b-4769f3938205}" ref="V154">
      <text>
        <t xml:space="preserve">[Threaded comment]
 Your version of Excel allows you to read this threaded comment; however, any edits to it will get removed if the file is opened in a newer version of Excel. Learn more: https://go.microsoft.com/fwlink/?linkid=870924
Comment:
	10/07 called Henry Whimp to confirm that he has received the letter from Juan Baltazar, he said that he has requested to the underwritters to remove Juan, we should have a confirmation at the end of the week (CM)
</t>
      </text>
    </comment>
    <comment authorId="1322" xr:uid="{a7895ebd-842f-4935-aeea-be64c6c10c08}" ref="V190">
      <text>
        <t xml:space="preserve">[Threaded comment]
 Your version of Excel allows you to read this threaded comment; however, any edits to it will get removed if the file is opened in a newer version of Excel. Learn more: https://go.microsoft.com/fwlink/?linkid=870924
Comment:
	10/24 received the payment letter for 19k and IA report, sent to PAs asked how to proceed (CM)
</t>
      </text>
    </comment>
    <comment authorId="1323" xr:uid="{a7a881af-df24-42d9-8a9b-703b64990a9f}" ref="N379">
      <text>
        <t xml:space="preserve">[Threaded comment]
 Your version of Excel allows you to read this threaded comment; however, any edits to it will get removed if the file is opened in a newer version of Excel. Learn more: https://go.microsoft.com/fwlink/?linkid=870924
Comment:
	6/30 sent to josh
Reply:
	7/1 aprobado
</t>
      </text>
    </comment>
    <comment authorId="1324" xr:uid="{a7ad0f80-58c8-4626-9876-4f65265eec2f}" ref="V172">
      <text>
        <t xml:space="preserve">[Threaded comment]
 Your version of Excel allows you to read this threaded comment; however, any edits to it will get removed if the file is opened in a newer version of Excel. Learn more: https://go.microsoft.com/fwlink/?linkid=870924
Comment:
	11/04 carrier rejected the mediation with mediator, and is asking to do a EUO (CM)
</t>
      </text>
    </comment>
    <comment authorId="1325" xr:uid="{a7e2f81b-6a92-489b-bddf-288f05d3f687}" ref="P30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don't follow up on the estimate, I already asked her and she stands on her decision
Assigned to scheduling@ipadjustinggroup.com
Reply:
	copy that, ty
</t>
      </text>
    </comment>
    <comment authorId="1326" xr:uid="{a7e6bdfa-4baa-488d-ac74-70f0b6bbcbc8}" ref="A1">
      <text>
        <t xml:space="preserve">[Threaded comment]
 Your version of Excel allows you to read this threaded comment; however, any edits to it will get removed if the file is opened in a newer version of Excel. Learn more: https://go.microsoft.com/fwlink/?linkid=870924
Comment:
	12/23
</t>
      </text>
    </comment>
    <comment authorId="1327" xr:uid="{a7f09aef-65a9-4062-818c-0f346e168e75}" ref="A150">
      <text>
        <t xml:space="preserve">[Threaded comment]
 Your version of Excel allows you to read this threaded comment; however, any edits to it will get removed if the file is opened in a newer version of Excel. Learn more: https://go.microsoft.com/fwlink/?linkid=870924
Comment:
	Joshua
Reply:
	01/21 Day informs that the DA doesn't accept the appraisal (CM)
</t>
      </text>
    </comment>
    <comment authorId="1328" xr:uid="{a7f9063a-1449-4105-9131-7bcc12c98c7f}" ref="N146">
      <text>
        <t xml:space="preserve">[Threaded comment]
 Your version of Excel allows you to read this threaded comment; however, any edits to it will get removed if the file is opened in a newer version of Excel. Learn more: https://go.microsoft.com/fwlink/?linkid=870924
Comment:
	7/11 Peter approved estimate
</t>
      </text>
    </comment>
    <comment authorId="1329" xr:uid="{a826bbc7-e0a9-4810-8cd0-d4c5b9e0ba87}" ref="V192">
      <text>
        <t xml:space="preserve">[Threaded comment]
 Your version of Excel allows you to read this threaded comment; however, any edits to it will get removed if the file is opened in a newer version of Excel. Learn more: https://go.microsoft.com/fwlink/?linkid=870924
Comment:
	informar que: Day informs that she has the OA info, y ya se mando la info de stepehn
</t>
      </text>
    </comment>
    <comment authorId="1330" xr:uid="{a8981fe8-81e2-42b4-b0c6-b60d8ab7796e}" ref="V311">
      <text>
        <t xml:space="preserve">[Threaded comment]
 Your version of Excel allows you to read this threaded comment; however, any edits to it will get removed if the file is opened in a newer version of Excel. Learn more: https://go.microsoft.com/fwlink/?linkid=870924
Comment:
	01/28 asked Iván via email to send the plumber's report (CM)
Reply:
	02/13 recieved the IA report, determination, they are issuing a payment for $9,766.62, asked Iván to send his estimate to JP (CM)
</t>
      </text>
    </comment>
    <comment authorId="1331" xr:uid="{a8c05bc5-0168-4c9d-af28-421c4aefc344}" ref="M199">
      <text>
        <t xml:space="preserve">[Threaded comment]
 Your version of Excel allows you to read this threaded comment; however, any edits to it will get removed if the file is opened in a newer version of Excel. Learn more: https://go.microsoft.com/fwlink/?linkid=870924
Comment:
	8/23 sent
</t>
      </text>
    </comment>
    <comment authorId="1332" xr:uid="{a923bde4-6bf9-4dc0-a9b2-1242573fa4da}"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333" xr:uid="{a93664c6-0892-48f9-8191-f2519ebafc80}" ref="R174">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They will assign DA after the IA is received
Assigned to scheduling@ipadjustinggroup.com
Reply:
	Marked as done
Reply:
	Re-opened
</t>
      </text>
    </comment>
    <comment authorId="1334" xr:uid="{a9426ce3-58af-492d-a741-df3ebfa77984}" ref="P194">
      <text>
        <t xml:space="preserve">[Threaded comment]
 Your version of Excel allows you to read this threaded comment; however, any edits to it will get removed if the file is opened in a newer version of Excel. Learn more: https://go.microsoft.com/fwlink/?linkid=870924
Comment:
	09/13
</t>
      </text>
    </comment>
    <comment authorId="1335" xr:uid="{a978ec76-4039-41b6-96fb-6fbfddcebb80}" ref="A1">
      <text>
        <t xml:space="preserve">[Threaded comment]
 Your version of Excel allows you to read this threaded comment; however, any edits to it will get removed if the file is opened in a newer version of Excel. Learn more: https://go.microsoft.com/fwlink/?linkid=870924
Comment:
	follow up ocn day
</t>
      </text>
    </comment>
    <comment authorId="1336" xr:uid="{a9b6696b-71b5-4941-b222-9f80526f5b7d}"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337" xr:uid="{a9c8ea2b-aee9-42b4-986a-a7e8f9db5a14}" ref="R160">
      <text>
        <t xml:space="preserve">[Threaded comment]
 Your version of Excel allows you to read this threaded comment; however, any edits to it will get removed if the file is opened in a newer version of Excel. Learn more: https://go.microsoft.com/fwlink/?linkid=870924
Comment:
	07/29 uploaded estimate
</t>
      </text>
    </comment>
    <comment authorId="1338" xr:uid="{a9fa9b7f-39c4-490a-af47-f2420a8fbe7b}" ref="V252">
      <text>
        <t xml:space="preserve">[Threaded comment]
 Your version of Excel allows you to read this threaded comment; however, any edits to it will get removed if the file is opened in a newer version of Excel. Learn more: https://go.microsoft.com/fwlink/?linkid=870924
Comment:
	11/21 received the IA report and determination letter, they are issuing a payment for 6.8k, asked JP to review the IA and send our estimate (CM)
</t>
      </text>
    </comment>
    <comment authorId="1339" xr:uid="{aa026a69-8dc6-424f-a0cb-056300a819c5}" ref="Q364">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1340" xr:uid="{aa7a50d8-2cdf-4424-987f-346dd62bb4c9}" ref="P194">
      <text>
        <t xml:space="preserve">[Threaded comment]
 Your version of Excel allows you to read this threaded comment; however, any edits to it will get removed if the file is opened in a newer version of Excel. Learn more: https://go.microsoft.com/fwlink/?linkid=870924
Comment:
	09/03
</t>
      </text>
    </comment>
    <comment authorId="1341" xr:uid="{aad9cb30-6c3a-41a5-b31f-ac4bdb116fc9}" ref="V220">
      <text>
        <t xml:space="preserve">[Threaded comment]
 Your version of Excel allows you to read this threaded comment; however, any edits to it will get removed if the file is opened in a newer version of Excel. Learn more: https://go.microsoft.com/fwlink/?linkid=870924
Comment:
	01/31 DFS is askig if there is a power of attorney for the insured, asked Peter about it (CM)
</t>
      </text>
    </comment>
    <comment authorId="1342" xr:uid="{aaf314c6-4b55-411d-8a80-b6d9180df4c1}"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343" xr:uid="{ab051ef8-968f-463f-909a-2c83658a6969}"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344" xr:uid="{ab47d58c-2208-42c3-b1bb-19edfa44e5c1}" ref="P178">
      <text>
        <t xml:space="preserve">[Threaded comment]
 Your version of Excel allows you to read this threaded comment; however, any edits to it will get removed if the file is opened in a newer version of Excel. Learn more: https://go.microsoft.com/fwlink/?linkid=870924
Comment:
	08/27
</t>
      </text>
    </comment>
    <comment authorId="1345" xr:uid="{ab5198ed-b93e-482d-a1a6-a044e0377f43}" ref="V197">
      <text>
        <t xml:space="preserve">[Threaded comment]
 Your version of Excel allows you to read this threaded comment; however, any edits to it will get removed if the file is opened in a newer version of Excel. Learn more: https://go.microsoft.com/fwlink/?linkid=870924
Comment:
	08/08 received an email in which they are asking to schedule the examination under oath for 10/09/2024 at 10 am, sent to Pas (CM)
Reply:
	09/03 carrier is following up on the EUO requested before, asked her to give us until the end of the week, I&amp;P are cc'd (CM)
</t>
      </text>
    </comment>
    <comment authorId="1346" xr:uid="{ab5a7491-1ffe-4b27-b781-ba92deb0e172}" ref="A162">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347" xr:uid="{aba7cd76-2be7-43ed-98a6-f8bb97016fd6}" ref="P233">
      <text>
        <t xml:space="preserve">[Threaded comment]
 Your version of Excel allows you to read this threaded comment; however, any edits to it will get removed if the file is opened in a newer version of Excel. Learn more: https://go.microsoft.com/fwlink/?linkid=870924
Comment:
	01/27
</t>
      </text>
    </comment>
    <comment authorId="1348" xr:uid="{aba7ecaa-a0b4-4fb0-85f6-457e7aa47a66}" ref="V182">
      <text>
        <t xml:space="preserve">[Threaded comment]
 Your version of Excel allows you to read this threaded comment; however, any edits to it will get removed if the file is opened in a newer version of Excel. Learn more: https://go.microsoft.com/fwlink/?linkid=870924
Comment:
	10/28 Wilber talked to Ivan, says Ivan will call the insured in order to take a decision about the appraisal (AL)
</t>
      </text>
    </comment>
    <comment authorId="1349" xr:uid="{abe691bf-202f-4bed-bad7-69123bbe1aef}" ref="A1">
      <text>
        <t xml:space="preserve">[Threaded comment]
 Your version of Excel allows you to read this threaded comment; however, any edits to it will get removed if the file is opened in a newer version of Excel. Learn more: https://go.microsoft.com/fwlink/?linkid=870924
Comment:
	client recently updated 5/28
</t>
      </text>
    </comment>
    <comment authorId="1350" xr:uid="{abf37974-5812-4bd6-ace1-540b3724095a}" ref="A237">
      <text>
        <t xml:space="preserve">[Threaded comment]
 Your version of Excel allows you to read this threaded comment; however, any edits to it will get removed if the file is opened in a newer version of Excel. Learn more: https://go.microsoft.com/fwlink/?linkid=870924
Comment:
	12/10 Peter wants to invoke appraisal, asked him to review the estimate that JP sent (CM)
</t>
      </text>
    </comment>
    <comment authorId="1351" xr:uid="{ac070e02-1d3c-4dcd-8c8e-d5a77be13cef}"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1352" xr:uid="{ac0775d0-24d9-4aa3-b618-801ac3d43b2e}" ref="A1">
      <text>
        <t xml:space="preserve">[Threaded comment]
 Your version of Excel allows you to read this threaded comment; however, any edits to it will get removed if the file is opened in a newer version of Excel. Learn more: https://go.microsoft.com/fwlink/?linkid=870924
Comment:
	07/03
</t>
      </text>
    </comment>
    <comment authorId="1353" xr:uid="{acbaa134-c342-4346-ba8d-2fbeef05b9a6}" ref="N330">
      <text>
        <t xml:space="preserve">[Threaded comment]
 Your version of Excel allows you to read this threaded comment; however, any edits to it will get removed if the file is opened in a newer version of Excel. Learn more: https://go.microsoft.com/fwlink/?linkid=870924
Comment:
	3/6 sent to josh
Reply:
	3/14 aprobado por josh
</t>
      </text>
    </comment>
    <comment authorId="1354" xr:uid="{acd9ef3a-a35d-4713-bea2-f3ba17acf2b8}" ref="P190">
      <text>
        <t xml:space="preserve">[Threaded comment]
 Your version of Excel allows you to read this threaded comment; however, any edits to it will get removed if the file is opened in a newer version of Excel. Learn more: https://go.microsoft.com/fwlink/?linkid=870924
Comment:
	reinsp on 09/12
</t>
      </text>
    </comment>
    <comment authorId="1355" xr:uid="{ace9559b-0f69-4da8-b323-f0951389e980}" ref="A192">
      <text>
        <t xml:space="preserve">[Threaded comment]
 Your version of Excel allows you to read this threaded comment; however, any edits to it will get removed if the file is opened in a newer version of Excel. Learn more: https://go.microsoft.com/fwlink/?linkid=870924
Comment:
	Stephen
Reply:
	11/15 Day informs that she has the OA info (CM)
</t>
      </text>
    </comment>
    <comment authorId="1356" xr:uid="{ad60b3d3-bede-413a-a21e-b153a40ee4b8}" ref="V371">
      <text>
        <t xml:space="preserve">[Threaded comment]
 Your version of Excel allows you to read this threaded comment; however, any edits to it will get removed if the file is opened in a newer version of Excel. Learn more: https://go.microsoft.com/fwlink/?linkid=870924
Comment:
	08/14 asked PAs on the next move on this claim after the undisputted (CM)
</t>
      </text>
    </comment>
    <comment authorId="1357" xr:uid="{ada5d2d5-333c-4713-8f49-5ea648a19b7a}" ref="C180">
      <text>
        <t xml:space="preserve">[Threaded comment]
 Your version of Excel allows you to read this threaded comment; however, any edits to it will get removed if the file is opened in a newer version of Excel. Learn more: https://go.microsoft.com/fwlink/?linkid=870924
Comment:
	@admin@ipadjustinggroup.com Carito este numero de CW no corresponde a este cliente, porfa revisa. JP
</t>
      </text>
    </comment>
    <comment authorId="1358" xr:uid="{adb20f10-7ef6-49c7-83b6-643c2c635912}" ref="O250">
      <text>
        <t xml:space="preserve">[Threaded comment]
 Your version of Excel allows you to read this threaded comment; however, any edits to it will get removed if the file is opened in a newer version of Excel. Learn more: https://go.microsoft.com/fwlink/?linkid=870924
Comment:
	12/19 sent SPOL to client SG
</t>
      </text>
    </comment>
    <comment authorId="1359" xr:uid="{adc520a7-9791-4bf3-a30d-5c27bafaf1af}" ref="A1">
      <text>
        <t xml:space="preserve">[Threaded comment]
 Your version of Excel allows you to read this threaded comment; however, any edits to it will get removed if the file is opened in a newer version of Excel. Learn more: https://go.microsoft.com/fwlink/?linkid=870924
Comment:
	need to ask for the determination
</t>
      </text>
    </comment>
    <comment authorId="1360" xr:uid="{ae3e5eaa-1830-49b1-87d0-cc19bc7115ac}" ref="P289">
      <text>
        <t xml:space="preserve">[Threaded comment]
 Your version of Excel allows you to read this threaded comment; however, any edits to it will get removed if the file is opened in a newer version of Excel. Learn more: https://go.microsoft.com/fwlink/?linkid=870924
Comment:
	reinsp will be 03/05
</t>
      </text>
    </comment>
    <comment authorId="1361" xr:uid="{ae6ca2ce-339e-4348-8584-7954607f66cf}"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362" xr:uid="{aec47c20-f029-4ffb-bf13-749675e4c7a5}" ref="M316">
      <text>
        <t xml:space="preserve">[Threaded comment]
 Your version of Excel allows you to read this threaded comment; however, any edits to it will get removed if the file is opened in a newer version of Excel. Learn more: https://go.microsoft.com/fwlink/?linkid=870924
Comment:
	2/20 sent to DA and client
Reply:
	4/12 josh pidio actualizar el estimado, esperando q apruebe para enviar al DA. Robert robles @admin@ipadjustinggroup.com
Reply:
	4/17 Carito enviado el update a la DA @admin@ipadjustinggroup.com
</t>
      </text>
    </comment>
    <comment authorId="1363" xr:uid="{aee3b6f0-37d2-43af-b20a-2ea963f38a1c}" ref="V215">
      <text>
        <t xml:space="preserve">[Threaded comment]
 Your version of Excel allows you to read this threaded comment; however, any edits to it will get removed if the file is opened in a newer version of Excel. Learn more: https://go.microsoft.com/fwlink/?linkid=870924
Comment:
	01/24 DA is asking for the mortgage company, asked David (CM)
</t>
      </text>
    </comment>
    <comment authorId="1364" xr:uid="{af3433ae-959b-4a9e-aa1e-8a885a47c0a0}" ref="V100">
      <text>
        <t xml:space="preserve">[Threaded comment]
 Your version of Excel allows you to read this threaded comment; however, any edits to it will get removed if the file is opened in a newer version of Excel. Learn more: https://go.microsoft.com/fwlink/?linkid=870924
Comment:
	11/04 DA is offering 24k, she wants a reponse before 11/07 sent to PA's (CM)
Reply:
	11/13 Peter is asking $27.5, DA said no more than 27k (CM)
Reply:
	11/14 Peter accepted the 27k (CM)
</t>
      </text>
    </comment>
    <comment authorId="1365" xr:uid="{af60a781-c0ab-4e94-99e1-e4509f0dc7da}" ref="V182">
      <text>
        <t xml:space="preserve">[Threaded comment]
 Your version of Excel allows you to read this threaded comment; however, any edits to it will get removed if the file is opened in a newer version of Excel. Learn more: https://go.microsoft.com/fwlink/?linkid=870924
Comment:
	11/08 Sent to Jakey the appraisal agreement to be signed by the client (CM)
</t>
      </text>
    </comment>
    <comment authorId="1366" xr:uid="{af82df37-0eed-478a-a31a-3d965cc9579e}" ref="V259">
      <text>
        <t xml:space="preserve">[Threaded comment]
 Your version of Excel allows you to read this threaded comment; however, any edits to it will get removed if the file is opened in a newer version of Excel. Learn more: https://go.microsoft.com/fwlink/?linkid=870924
Comment:
	03/03 DA is requesting information about the property, Day sent to David F. (CM)
Reply:
	03/06 carrier informs that that Underwriters are not obligated to proceed with DFS mediation; however, they are willing to enter into a voluntary mediation outside of the DFS process, informed PAS (CM)
</t>
      </text>
    </comment>
    <comment authorId="1367" xr:uid="{afa94d3f-1978-42fe-91fe-e1bf1084b942}" ref="A360">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368" xr:uid="{afbdad98-b681-4605-8680-3959902efa65}" ref="A59">
      <text>
        <t xml:space="preserve">[Threaded comment]
 Your version of Excel allows you to read this threaded comment; however, any edits to it will get removed if the file is opened in a newer version of Excel. Learn more: https://go.microsoft.com/fwlink/?linkid=870924
Comment:
	07/16 we are going umpire (CM) @scheduling@ipadjustinggroup.com
</t>
      </text>
    </comment>
    <comment authorId="1369" xr:uid="{afe9af80-2324-445a-b1e4-d2fa51d440ee}" ref="P196">
      <text>
        <t xml:space="preserve">[Threaded comment]
 Your version of Excel allows you to read this threaded comment; however, any edits to it will get removed if the file is opened in a newer version of Excel. Learn more: https://go.microsoft.com/fwlink/?linkid=870924
Comment:
	09/25 DA says she can't send the IA report, for the coverage determination, she will sned after EUO is being completed (CM)
</t>
      </text>
    </comment>
    <comment authorId="1370" xr:uid="{b016833f-18d5-4653-bae0-0d9c8c8a2ea6}"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371" xr:uid="{b06a2c4a-18b3-497a-9c38-705c42d26645}" ref="O241">
      <text>
        <t xml:space="preserve">[Threaded comment]
 Your version of Excel allows you to read this threaded comment; however, any edits to it will get removed if the file is opened in a newer version of Excel. Learn more: https://go.microsoft.com/fwlink/?linkid=870924
Comment:
	1/9/25 sent to client
</t>
      </text>
    </comment>
    <comment authorId="1372" xr:uid="{b08c5b96-9fd6-4e20-8a57-8d5a403660db}" ref="P232">
      <text>
        <t xml:space="preserve">[Threaded comment]
 Your version of Excel allows you to read this threaded comment; however, any edits to it will get removed if the file is opened in a newer version of Excel. Learn more: https://go.microsoft.com/fwlink/?linkid=870924
Comment:
	inspection 11/07 (CM)
</t>
      </text>
    </comment>
    <comment authorId="1373" xr:uid="{b0bd3c38-cda5-4183-ab12-1e93383779e4}" ref="M324">
      <text>
        <t xml:space="preserve">[Threaded comment]
 Your version of Excel allows you to read this threaded comment; however, any edits to it will get removed if the file is opened in a newer version of Excel. Learn more: https://go.microsoft.com/fwlink/?linkid=870924
Comment:
	3/12 sent to DA
</t>
      </text>
    </comment>
    <comment authorId="1374" xr:uid="{b0c5a440-0f1a-4aa4-9cf6-0ed447f9de02}"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375" xr:uid="{b0e14ff0-8739-44fe-befb-ddd28157d348}"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376" xr:uid="{b0e750b6-1dd8-4a6c-ab86-02820796bdd1}" ref="A1">
      <text>
        <t xml:space="preserve">[Threaded comment]
 Your version of Excel allows you to read this threaded comment; however, any edits to it will get removed if the file is opened in a newer version of Excel. Learn more: https://go.microsoft.com/fwlink/?linkid=870924
Comment:
	11/13
</t>
      </text>
    </comment>
    <comment authorId="1377" xr:uid="{b0fd2422-fe6a-4860-8afb-3dd7bb552f2f}" ref="P249">
      <text>
        <t xml:space="preserve">[Threaded comment]
 Your version of Excel allows you to read this threaded comment; however, any edits to it will get removed if the file is opened in a newer version of Excel. Learn more: https://go.microsoft.com/fwlink/?linkid=870924
Comment:
	insp will be 11/13
</t>
      </text>
    </comment>
    <comment authorId="1378" xr:uid="{b10c6598-16d8-4473-85fe-0bf7ef2f03dd}" ref="V164">
      <text>
        <t xml:space="preserve">[Threaded comment]
 Your version of Excel allows you to read this threaded comment; however, any edits to it will get removed if the file is opened in a newer version of Excel. Learn more: https://go.microsoft.com/fwlink/?linkid=870924
Comment:
	08/14 DA is now offering 20k on this claim as per roof invoice sent by Jakey, he is asking why we have stated in our estimate 44k for the roof if the client has an invoice for 18k, sent to PAs (CM)
</t>
      </text>
    </comment>
    <comment authorId="1379" xr:uid="{b13a7bbf-e09f-4cee-9f6a-ebc14e1df3b5}" ref="A69">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$2,021.15
Coverage B: $681.26
</t>
      </text>
    </comment>
    <comment authorId="1380" xr:uid="{b14f3e49-25e1-45e3-bc8d-41be5a72691f}" ref="P178">
      <text>
        <t xml:space="preserve">[Threaded comment]
 Your version of Excel allows you to read this threaded comment; however, any edits to it will get removed if the file is opened in a newer version of Excel. Learn more: https://go.microsoft.com/fwlink/?linkid=870924
Comment:
	09/09
</t>
      </text>
    </comment>
    <comment authorId="1381" xr:uid="{b19844a8-6fb7-4d5c-b3c3-6f1c87f34813}" ref="N140">
      <text>
        <t xml:space="preserve">[Threaded comment]
 Your version of Excel allows you to read this threaded comment; however, any edits to it will get removed if the file is opened in a newer version of Excel. Learn more: https://go.microsoft.com/fwlink/?linkid=870924
Comment:
	7/15 Joshua aprobo el estimado
</t>
      </text>
    </comment>
    <comment authorId="1382" xr:uid="{b1efb86a-24c7-4bc1-948d-90fddbd9b64c}" ref="P216">
      <text>
        <t xml:space="preserve">[Threaded comment]
 Your version of Excel allows you to read this threaded comment; however, any edits to it will get removed if the file is opened in a newer version of Excel. Learn more: https://go.microsoft.com/fwlink/?linkid=870924
Comment:
	insp 11/08
</t>
      </text>
    </comment>
    <comment authorId="1383" xr:uid="{b2023f1e-4c18-43fd-9ca1-fbe91de1d43a}" ref="Q377">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1384" xr:uid="{b231d977-5268-454c-a4d6-aa636115b07e}" ref="A1">
      <text>
        <t xml:space="preserve">[Threaded comment]
 Your version of Excel allows you to read this threaded comment; however, any edits to it will get removed if the file is opened in a newer version of Excel. Learn more: https://go.microsoft.com/fwlink/?linkid=870924
Comment:
	05/20 received a 10k offer, sent to PAs (CM)
</t>
      </text>
    </comment>
    <comment authorId="1385" xr:uid="{b2546984-dc92-4641-aa90-1b8f2292e82e}" ref="M204">
      <text>
        <t xml:space="preserve">[Threaded comment]
 Your version of Excel allows you to read this threaded comment; however, any edits to it will get removed if the file is opened in a newer version of Excel. Learn more: https://go.microsoft.com/fwlink/?linkid=870924
Comment:
	ESPERAR IA REPORT
Reply:
	09/20 tenemos determination, preguntar a los chicos si mandamos nuestro estimado con el roof report que tenemos cliete 169
</t>
      </text>
    </comment>
    <comment authorId="1386" xr:uid="{b29178af-1738-40e7-9f05-3d45550e03f1}" ref="A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requested mediation
Reply:
	Marked as resolved
</t>
      </text>
    </comment>
    <comment authorId="1387" xr:uid="{b29a2742-3707-4944-b64d-364c0fa8beee}" ref="M108">
      <text>
        <t xml:space="preserve">[Threaded comment]
 Your version of Excel allows you to read this threaded comment; however, any edits to it will get removed if the file is opened in a newer version of Excel. Learn more: https://go.microsoft.com/fwlink/?linkid=870924
Comment:
	1/24/25 sent to carrier
</t>
      </text>
    </comment>
    <comment authorId="1388" xr:uid="{b2b4231e-5e9e-4da0-a619-ef186e10d931}" ref="O141">
      <text>
        <t xml:space="preserve">[Threaded comment]
 Your version of Excel allows you to read this threaded comment; however, any edits to it will get removed if the file is opened in a newer version of Excel. Learn more: https://go.microsoft.com/fwlink/?linkid=870924
Comment:
	ENVIAR SPOL A PENES ESTE APROBADO ESTIMADO
</t>
      </text>
    </comment>
    <comment authorId="1389" xr:uid="{b2c1207c-434e-4d69-80c8-c97f0510d528}" ref="V204">
      <text>
        <t xml:space="preserve">[Threaded comment]
 Your version of Excel allows you to read this threaded comment; however, any edits to it will get removed if the file is opened in a newer version of Excel. Learn more: https://go.microsoft.com/fwlink/?linkid=870924
Comment:
	09/20 receieved a determination letter, and the roof report, they will pay 15k, asked for a copy of the IA report, DA says they can't send it to us, asked PA's their approve to send our estimate and asked if the want to request mediation (CM)
</t>
      </text>
    </comment>
    <comment authorId="1390" xr:uid="{b2f6b850-8c62-4021-ae4a-1fab941536f2}"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391" xr:uid="{b31b9767-3109-4acc-9a33-784dc63ebd52}" ref="V195">
      <text>
        <t xml:space="preserve">[Threaded comment]
 Your version of Excel allows you to read this threaded comment; however, any edits to it will get removed if the file is opened in a newer version of Excel. Learn more: https://go.microsoft.com/fwlink/?linkid=870924
Comment:
	10/03 DA stands on the $ 701.17 offer, he is asking for our estimate, asked I&amp;P to confirm if they want me to send the estimate (CM)
</t>
      </text>
    </comment>
    <comment authorId="1392" xr:uid="{b3a5007c-d1fc-46b6-a2db-32eae8413a86}" ref="V140">
      <text>
        <t xml:space="preserve">[Threaded comment]
 Your version of Excel allows you to read this threaded comment; however, any edits to it will get removed if the file is opened in a newer version of Excel. Learn more: https://go.microsoft.com/fwlink/?linkid=870924
Comment:
	10/18 the client didn't attend to the mediation (CM)
</t>
      </text>
    </comment>
    <comment authorId="1393" xr:uid="{b3a86e7b-6884-411c-9599-0f730145a6c4}" ref="O376">
      <text>
        <t xml:space="preserve">[Threaded comment]
 Your version of Excel allows you to read this threaded comment; however, any edits to it will get removed if the file is opened in a newer version of Excel. Learn more: https://go.microsoft.com/fwlink/?linkid=870924
Comment:
	9/9 sent to client
</t>
      </text>
    </comment>
    <comment authorId="1394" xr:uid="{b3b5520c-60f1-4ab4-81e5-2ec0a9b16937}" ref="O202">
      <text>
        <t xml:space="preserve">[Threaded comment]
 Your version of Excel allows you to read this threaded comment; however, any edits to it will get removed if the file is opened in a newer version of Excel. Learn more: https://go.microsoft.com/fwlink/?linkid=870924
Comment:
	8/21 listo en el drive, ivan dice q se envie 8/29
</t>
      </text>
    </comment>
    <comment authorId="1395" xr:uid="{b3e2b56a-8d31-4787-89c0-ef060ef9f2c1}" ref="Q276">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1396" xr:uid="{b3ef3e0c-c913-407b-892f-a2fb59a453ef}" ref="V206">
      <text>
        <t xml:space="preserve">[Threaded comment]
 Your version of Excel allows you to read this threaded comment; however, any edits to it will get removed if the file is opened in a newer version of Excel. Learn more: https://go.microsoft.com/fwlink/?linkid=870924
Comment:
	01/20 DA stands on her denial, received an offer for 1k, sent to PAs (CM)
</t>
      </text>
    </comment>
    <comment authorId="1397" xr:uid="{b423c62c-0d5e-4da5-a639-38ecb3664681}"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398" xr:uid="{b433ef16-7e17-44fd-8da5-e97e2b5e47b5}" ref="N328">
      <text>
        <t xml:space="preserve">[Threaded comment]
 Your version of Excel allows you to read this threaded comment; however, any edits to it will get removed if the file is opened in a newer version of Excel. Learn more: https://go.microsoft.com/fwlink/?linkid=870924
Comment:
	2/28 sent to ivan
Reply:
	3/12 Ivan aprueba
Reply:
	4/13 envie un update a ivan
</t>
      </text>
    </comment>
    <comment authorId="1399" xr:uid="{b4948bad-07f3-4071-b546-4f2c8f7c3e77}" ref="M300">
      <text>
        <t xml:space="preserve">[Threaded comment]
 Your version of Excel allows you to read this threaded comment; however, any edits to it will get removed if the file is opened in a newer version of Excel. Learn more: https://go.microsoft.com/fwlink/?linkid=870924
Comment:
	2/7/25 sent to client and carrier (DA)
</t>
      </text>
    </comment>
    <comment authorId="1400" xr:uid="{b50b3d28-3bcb-4b7a-9a2d-d6f94b06837a}" ref="V154">
      <text>
        <t xml:space="preserve">[Threaded comment]
 Your version of Excel allows you to read this threaded comment; however, any edits to it will get removed if the file is opened in a newer version of Excel. Learn more: https://go.microsoft.com/fwlink/?linkid=870924
Comment:
	11/19 Peter has come to an agreement for 25k, he is asking the settlement release (CM)
</t>
      </text>
    </comment>
    <comment authorId="1401" xr:uid="{b552aa10-d19f-4b99-aff6-8c03d5241971}" ref="V184">
      <text>
        <t xml:space="preserve">[Threaded comment]
 Your version of Excel allows you to read this threaded comment; however, any edits to it will get removed if the file is opened in a newer version of Excel. Learn more: https://go.microsoft.com/fwlink/?linkid=870924
Comment:
	08/14 received a determination letter with an undisputted check asked PAs how to proceed (CM)
Reply:
	08/28 follow up with Juan this estimate (CM)
</t>
      </text>
    </comment>
    <comment authorId="1402" xr:uid="{b5619f61-4e61-4ead-9e90-b6df6c27f665}" ref="M285">
      <text>
        <t xml:space="preserve">[Threaded comment]
 Your version of Excel allows you to read this threaded comment; however, any edits to it will get removed if the file is opened in a newer version of Excel. Learn more: https://go.microsoft.com/fwlink/?linkid=870924
Comment:
	enviar cuando este el IA report
Reply:
	1/2/25 sent to DA
</t>
      </text>
    </comment>
    <comment authorId="1403" xr:uid="{b5c26f07-b10a-4c87-9b49-9f9a242d6126}" ref="A122">
      <text>
        <t xml:space="preserve">[Threaded comment]
 Your version of Excel allows you to read this threaded comment; however, any edits to it will get removed if the file is opened in a newer version of Excel. Learn more: https://go.microsoft.com/fwlink/?linkid=870924
Comment:
	08/14 Requested mediation (CM) @scheduling@ipadjustinggroup.com
Assigned to scheduling@ipadjustinggroup.com
</t>
      </text>
    </comment>
    <comment authorId="1404" xr:uid="{b5f3f6fa-9d09-4da9-8066-67cabe5ea53a}" ref="A1">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t>
      </text>
    </comment>
    <comment authorId="1405" xr:uid="{b60d9fc3-ee7a-4283-b12c-1abee3efb050}" ref="M358">
      <text>
        <t xml:space="preserve">[Threaded comment]
 Your version of Excel allows you to read this threaded comment; however, any edits to it will get removed if the file is opened in a newer version of Excel. Learn more: https://go.microsoft.com/fwlink/?linkid=870924
Comment:
	5/3 sent to carrier
</t>
      </text>
    </comment>
    <comment authorId="1406" xr:uid="{b61d979e-2c8f-4949-880e-c74655fe5a67}" ref="Q282">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407" xr:uid="{b633ea23-5bcc-4c5a-8f48-09287bbf5f59}" ref="U166">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1408" xr:uid="{b63a9489-1217-4f8e-bbbb-57e6cb6ed72e}" ref="V254">
      <text>
        <t xml:space="preserve">[Threaded comment]
 Your version of Excel allows you to read this threaded comment; however, any edits to it will get removed if the file is opened in a newer version of Excel. Learn more: https://go.microsoft.com/fwlink/?linkid=870924
Comment:
	01/07 asked PAs about their decision on this claim, to move forward they admited 18k(CM)
</t>
      </text>
    </comment>
    <comment authorId="1409" xr:uid="{b661dd17-ea21-47db-9e03-6e65f661dbd6}"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410" xr:uid="{b67e6ebc-876c-43bc-b841-528807868d0e}" ref="A1">
      <text>
        <t xml:space="preserve">[Threaded comment]
 Your version of Excel allows you to read this threaded comment; however, any edits to it will get removed if the file is opened in a newer version of Excel. Learn more: https://go.microsoft.com/fwlink/?linkid=870924
Comment:
	01/08
</t>
      </text>
    </comment>
    <comment authorId="1411" xr:uid="{b7101222-7a55-42f7-a4d2-209efa6795a3}" ref="P217">
      <text>
        <t xml:space="preserve">[Threaded comment]
 Your version of Excel allows you to read this threaded comment; however, any edits to it will get removed if the file is opened in a newer version of Excel. Learn more: https://go.microsoft.com/fwlink/?linkid=870924
Comment:
	Inspection will be on 11/11 (CM)
</t>
      </text>
    </comment>
    <comment authorId="1412" xr:uid="{b7238e91-9504-461e-a3c7-121331b5ecaa}" ref="S187">
      <text>
        <t xml:space="preserve">[Threaded comment]
 Your version of Excel allows you to read this threaded comment; however, any edits to it will get removed if the file is opened in a newer version of Excel. Learn more: https://go.microsoft.com/fwlink/?linkid=870924
Comment:
	01/10 DA says they don't accept the 25k counter offer that Peter did (CM)
</t>
      </text>
    </comment>
    <comment authorId="1413" xr:uid="{b76f2723-dc5f-46f1-83a7-276809797096}"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414" xr:uid="{b78665a1-d9d9-4a26-a174-414aac13e55a}" ref="N245">
      <text>
        <t xml:space="preserve">[Threaded comment]
 Your version of Excel allows you to read this threaded comment; however, any edits to it will get removed if the file is opened in a newer version of Excel. Learn more: https://go.microsoft.com/fwlink/?linkid=870924
Comment:
	11/04 Sent to Joshua
Reply:
	11/23 sent an update to josh for review
Reply:
	11/23 Josh approved
</t>
      </text>
    </comment>
    <comment authorId="1415" xr:uid="{b7b3bdb7-b281-4dea-91f8-4cac557672ef}" ref="V199">
      <text>
        <t xml:space="preserve">[Threaded comment]
 Your version of Excel allows you to read this threaded comment; however, any edits to it will get removed if the file is opened in a newer version of Excel. Learn more: https://go.microsoft.com/fwlink/?linkid=870924
Comment:
	08/21 DA is asking for the estimate, photos and SPOL, says this claim was settled (CM)
</t>
      </text>
    </comment>
    <comment authorId="1416" xr:uid="{b7c7618d-8449-43cc-8837-8a2f186c2bf6}" ref="V166">
      <text>
        <t xml:space="preserve">[Threaded comment]
 Your version of Excel allows you to read this threaded comment; however, any edits to it will get removed if the file is opened in a newer version of Excel. Learn more: https://go.microsoft.com/fwlink/?linkid=870924
Comment:
	08/12 DA have some inquiries, asked Juan to respond her (CM)
</t>
      </text>
    </comment>
    <comment authorId="1417" xr:uid="{b7d050bb-1de1-4fd7-8f71-6fe27e1ccfd6}" ref="P244">
      <text>
        <t xml:space="preserve">[Threaded comment]
 Your version of Excel allows you to read this threaded comment; however, any edits to it will get removed if the file is opened in a newer version of Excel. Learn more: https://go.microsoft.com/fwlink/?linkid=870924
Comment:
	11/05 insp
</t>
      </text>
    </comment>
    <comment authorId="1418" xr:uid="{b7e0fba7-d844-4cc9-8e2e-b57e4e946e46}" ref="V73">
      <text>
        <t xml:space="preserve">[Threaded comment]
 Your version of Excel allows you to read this threaded comment; however, any edits to it will get removed if the file is opened in a newer version of Excel. Learn more: https://go.microsoft.com/fwlink/?linkid=870924
Comment:
	06/27 Ivan is asking 25k to settled (CM)
</t>
      </text>
    </comment>
    <comment authorId="1419" xr:uid="{b8477bb2-c888-48ac-9355-c35fda64f937}" ref="A25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420" xr:uid="{b87381ae-50e9-4555-8bb8-e8f558701876}" ref="V289">
      <text>
        <t xml:space="preserve">[Threaded comment]
 Your version of Excel allows you to read this threaded comment; however, any edits to it will get removed if the file is opened in a newer version of Excel. Learn more: https://go.microsoft.com/fwlink/?linkid=870924
Comment:
	01/27 followed up on this claim, DA is asking if we have eagle photos for the roof or photos of the interior, sent to Juan (CM)
</t>
      </text>
    </comment>
    <comment authorId="1421" xr:uid="{b891e736-41b6-438f-9ae7-812271679934}" ref="A1">
      <text>
        <t xml:space="preserve">[Threaded comment]
 Your version of Excel allows you to read this threaded comment; however, any edits to it will get removed if the file is opened in a newer version of Excel. Learn more: https://go.microsoft.com/fwlink/?linkid=870924
Comment:
	11/14
</t>
      </text>
    </comment>
    <comment authorId="1422" xr:uid="{b895aaca-799a-40ec-9958-a95a8155c6ec}"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423" xr:uid="{b897620b-5ff6-427f-8338-ea07b60d0914}" ref="A289">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1424" xr:uid="{b8994ef4-8eda-4d22-b270-021ae6c907e0}"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425" xr:uid="{b8aa21ce-967d-42b2-b04c-e430c11493fd}" ref="A1">
      <text>
        <t xml:space="preserve">[Threaded comment]
 Your version of Excel allows you to read this threaded comment; however, any edits to it will get removed if the file is opened in a newer version of Excel. Learn more: https://go.microsoft.com/fwlink/?linkid=870924
Comment:
	05/08 received a denial letter (CM)
</t>
      </text>
    </comment>
    <comment authorId="1426" xr:uid="{b8b258e5-5783-4291-b2d3-ce3f2ebce0eb}" ref="N108">
      <text>
        <t xml:space="preserve">[Threaded comment]
 Your version of Excel allows you to read this threaded comment; however, any edits to it will get removed if the file is opened in a newer version of Excel. Learn more: https://go.microsoft.com/fwlink/?linkid=870924
Comment:
	1/20/25 sent to juan for review
Reply:
	1/21/25 aprobado por juan
</t>
      </text>
    </comment>
    <comment authorId="1427" xr:uid="{b8dd40cd-f518-409e-917f-19bb14450340}" ref="O176">
      <text>
        <t xml:space="preserve">[Threaded comment]
 Your version of Excel allows you to read this threaded comment; however, any edits to it will get removed if the file is opened in a newer version of Excel. Learn more: https://go.microsoft.com/fwlink/?linkid=870924
Comment:
	07/30 FOLLOWED UP
</t>
      </text>
    </comment>
    <comment authorId="1428" xr:uid="{b90113c3-ab35-4aa7-bc82-8c02dd751156}" ref="V166">
      <text>
        <t xml:space="preserve">[Threaded comment]
 Your version of Excel allows you to read this threaded comment; however, any edits to it will get removed if the file is opened in a newer version of Excel. Learn more: https://go.microsoft.com/fwlink/?linkid=870924
Comment:
	12/10 received a detemrination and IA report, PAs are cc'd, they are sending the check to the client (CM)
</t>
      </text>
    </comment>
    <comment authorId="1429" xr:uid="{b92b15a8-6814-42e7-8d9d-b735cd565e18}" ref="A100">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$5,462.76
</t>
      </text>
    </comment>
    <comment authorId="1430" xr:uid="{b9489be3-f6f1-4aea-a102-888f962aa4e6}" ref="N285">
      <text>
        <t xml:space="preserve">[Threaded comment]
 Your version of Excel allows you to read this threaded comment; however, any edits to it will get removed if the file is opened in a newer version of Excel. Learn more: https://go.microsoft.com/fwlink/?linkid=870924
Comment:
	12/28 sent to Ivan
Reply:
	12/31 aprobado por ivan
</t>
      </text>
    </comment>
    <comment authorId="1431" xr:uid="{b9931603-61fe-4b6b-bbfa-1bad609a7ed0}" ref="A1">
      <text>
        <t xml:space="preserve">[Threaded comment]
 Your version of Excel allows you to read this threaded comment; however, any edits to it will get removed if the file is opened in a newer version of Excel. Learn more: https://go.microsoft.com/fwlink/?linkid=870924
Comment:
	08/27
</t>
      </text>
    </comment>
    <comment authorId="1432" xr:uid="{b9990089-4ea0-401d-9c3e-f1710ec6b69d}" ref="M372">
      <text>
        <t xml:space="preserve">[Threaded comment]
 Your version of Excel allows you to read this threaded comment; however, any edits to it will get removed if the file is opened in a newer version of Excel. Learn more: https://go.microsoft.com/fwlink/?linkid=870924
Comment:
	7/8 sent to carrier
</t>
      </text>
    </comment>
    <comment authorId="1433" xr:uid="{b9a8a757-0097-4a1f-ab93-84b1013698c1}" ref="V174">
      <text>
        <t xml:space="preserve">[Threaded comment]
 Your version of Excel allows you to read this threaded comment; however, any edits to it will get removed if the file is opened in a newer version of Excel. Learn more: https://go.microsoft.com/fwlink/?linkid=870924
Comment:
	09/04 Peter says he will contact the DA, because hey admitted coverage to the interior but not the roof (CM)
</t>
      </text>
    </comment>
    <comment authorId="1434" xr:uid="{b9c7bca8-9955-4f5a-91fc-23fb94c47782}" ref="A117">
      <text>
        <t xml:space="preserve">[Threaded comment]
 Your version of Excel allows you to read this threaded comment; however, any edits to it will get removed if the file is opened in a newer version of Excel. Learn more: https://go.microsoft.com/fwlink/?linkid=870924
Comment:
	@peter review this file
Reply:
	@peter@ipadjustinggroup.com review
</t>
      </text>
    </comment>
    <comment authorId="1435" xr:uid="{b9e1380e-f6cb-4de7-a7a0-1bdb02144a3a}" ref="V57">
      <text>
        <t xml:space="preserve">[Threaded comment]
 Your version of Excel allows you to read this threaded comment; however, any edits to it will get removed if the file is opened in a newer version of Excel. Learn more: https://go.microsoft.com/fwlink/?linkid=870924
Comment:
	07/16 Peter is asking 275k
</t>
      </text>
    </comment>
    <comment authorId="1436" xr:uid="{ba0c504d-9675-4046-81e5-e263029b209b}" ref="N374">
      <text>
        <t xml:space="preserve">[Threaded comment]
 Your version of Excel allows you to read this threaded comment; however, any edits to it will get removed if the file is opened in a newer version of Excel. Learn more: https://go.microsoft.com/fwlink/?linkid=870924
Comment:
	6/11 Sent to Josh
Reply:
	6/17 sent update to josh
Reply:
	6/18 aprobado
</t>
      </text>
    </comment>
    <comment authorId="1437" xr:uid="{ba333e4e-fb5d-464a-8d5f-40d6821e349c}" ref="A1">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438" xr:uid="{ba582d7a-4b37-4573-af27-ce71d88b9b9e}"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439" xr:uid="{ba725b27-1d00-4bcc-a2c0-7d3d607efdfb}" ref="V189">
      <text>
        <t xml:space="preserve">[Threaded comment]
 Your version of Excel allows you to read this threaded comment; however, any edits to it will get removed if the file is opened in a newer version of Excel. Learn more: https://go.microsoft.com/fwlink/?linkid=870924
Comment:
	07/15 DA is asking for our estimate, asked Ivan if we send it because this is a new claim (CM)
</t>
      </text>
    </comment>
    <comment authorId="1440" xr:uid="{ba7e88fc-b3a5-4309-acd9-a9687661df79}" ref="A1">
      <text>
        <t xml:space="preserve">[Threaded comment]
 Your version of Excel allows you to read this threaded comment; however, any edits to it will get removed if the file is opened in a newer version of Excel. Learn more: https://go.microsoft.com/fwlink/?linkid=870924
Comment:
	09/11
</t>
      </text>
    </comment>
    <comment authorId="1441" xr:uid="{bad038cb-c599-4c8e-887e-ffd429cc9cf3}" ref="M346">
      <text>
        <t xml:space="preserve">[Threaded comment]
 Your version of Excel allows you to read this threaded comment; however, any edits to it will get removed if the file is opened in a newer version of Excel. Learn more: https://go.microsoft.com/fwlink/?linkid=870924
Comment:
	esperar IA report
Reply:
	5/13 sent to carrier and client
</t>
      </text>
    </comment>
    <comment authorId="1442" xr:uid="{bb36d3b6-e392-4078-a2cf-4e3b9b09b017}" ref="O237">
      <text>
        <t xml:space="preserve">[Threaded comment]
 Your version of Excel allows you to read this threaded comment; however, any edits to it will get removed if the file is opened in a newer version of Excel. Learn more: https://go.microsoft.com/fwlink/?linkid=870924
Comment:
	12/18 sent to client. JP
</t>
      </text>
    </comment>
    <comment authorId="1443" xr:uid="{bb7258d5-172c-47f3-b7d0-70577e675bb4}" ref="V145">
      <text>
        <t xml:space="preserve">[Threaded comment]
 Your version of Excel allows you to read this threaded comment; however, any edits to it will get removed if the file is opened in a newer version of Excel. Learn more: https://go.microsoft.com/fwlink/?linkid=870924
Comment:
	07/29 asked Peter to review JP's estimate and approved it if he agrees via ws (CM)
</t>
      </text>
    </comment>
    <comment authorId="1444" xr:uid="{bb74bacf-05e8-4d6b-bfce-799257e04db8}" ref="V392">
      <text>
        <t xml:space="preserve">[Threaded comment]
 Your version of Excel allows you to read this threaded comment; however, any edits to it will get removed if the file is opened in a newer version of Excel. Learn more: https://go.microsoft.com/fwlink/?linkid=870924
Comment:
	10/14 DA informs that a determination was done on 06/12/25, she doesn't have new info to change her determination, asked pETER to send the estimate to JP (CM)
</t>
      </text>
    </comment>
    <comment authorId="1445" xr:uid="{bb76634a-5f33-45ea-a62d-1b80a71160c8}" ref="M164">
      <text>
        <t xml:space="preserve">[Threaded comment]
 Your version of Excel allows you to read this threaded comment; however, any edits to it will get removed if the file is opened in a newer version of Excel. Learn more: https://go.microsoft.com/fwlink/?linkid=870924
Comment:
	8/27 Peter pidio reducir el precio del techo, se le envio un update del estimado @admin@ipadjustinggroup.com
</t>
      </text>
    </comment>
    <comment authorId="1446" xr:uid="{bc3e6291-2531-4fb3-948e-0f3fbbe0a08b}" ref="M381">
      <text>
        <t xml:space="preserve">[Threaded comment]
 Your version of Excel allows you to read this threaded comment; however, any edits to it will get removed if the file is opened in a newer version of Excel. Learn more: https://go.microsoft.com/fwlink/?linkid=870924
Comment:
	7/17 sent to DA and client
</t>
      </text>
    </comment>
    <comment authorId="1447" xr:uid="{bc6f87e5-01e6-4d32-84fa-ce091ae74d30}" ref="V253">
      <text>
        <t xml:space="preserve">[Threaded comment]
 Your version of Excel allows you to read this threaded comment; however, any edits to it will get removed if the file is opened in a newer version of Excel. Learn more: https://go.microsoft.com/fwlink/?linkid=870924
Comment:
	11/20 received the determination letter and IA report, this claim is underdeductible asked JP to send our estimate after reviewing it, PA's cc'd (CM)
</t>
      </text>
    </comment>
    <comment authorId="1448" xr:uid="{bc7190dc-5383-4ffd-abbf-830f7446181b}" ref="P204">
      <text>
        <t xml:space="preserve">[Threaded comment]
 Your version of Excel allows you to read this threaded comment; however, any edits to it will get removed if the file is opened in a newer version of Excel. Learn more: https://go.microsoft.com/fwlink/?linkid=870924
Comment:
	rs 08/27
insp not yet
</t>
      </text>
    </comment>
    <comment authorId="1449" xr:uid="{bcbb8cdc-9bbc-4908-b014-5fac86594865}" ref="M183">
      <text>
        <t xml:space="preserve">[Threaded comment]
 Your version of Excel allows you to read this threaded comment; however, any edits to it will get removed if the file is opened in a newer version of Excel. Learn more: https://go.microsoft.com/fwlink/?linkid=870924
Comment:
	enviar SPOL a penas tengamos estimado porfa @jp.ipestimates@gmail.com
Reply:
	OK
</t>
      </text>
    </comment>
    <comment authorId="1450" xr:uid="{bcc599f9-d1e2-4cf4-9f3d-be5f29f9d661}" ref="M210">
      <text>
        <t xml:space="preserve">[Threaded comment]
 Your version of Excel allows you to read this threaded comment; however, any edits to it will get removed if the file is opened in a newer version of Excel. Learn more: https://go.microsoft.com/fwlink/?linkid=870924
Comment:
	11/05 Sent the estimate and picture file to DA and client
</t>
      </text>
    </comment>
    <comment authorId="1451" xr:uid="{bce9420a-83a1-4046-ab20-c0e7e77662a0}"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452" xr:uid="{bceee833-b535-4c8a-bb01-80f9c178f920}" ref="O275">
      <text>
        <t xml:space="preserve">[Threaded comment]
 Your version of Excel allows you to read this threaded comment; however, any edits to it will get removed if the file is opened in a newer version of Excel. Learn more: https://go.microsoft.com/fwlink/?linkid=870924
Comment:
	1/21/25 sent to client
</t>
      </text>
    </comment>
    <comment authorId="1453" xr:uid="{bd155d94-6cc2-4f74-ae52-95b655cdfa93}" ref="A1">
      <text>
        <t xml:space="preserve">[Threaded comment]
 Your version of Excel allows you to read this threaded comment; however, any edits to it will get removed if the file is opened in a newer version of Excel. Learn more: https://go.microsoft.com/fwlink/?linkid=870924
Comment:
	Blue: denial or determination letter, waiting for further actions
Green: DA makes an offer need PA response
Yellow: undisputed payment
Red: DA says is settled, pending for PA confirmation
Purple: Need to answer DA
Orange: claim closed by DA
</t>
      </text>
    </comment>
    <comment authorId="1454" xr:uid="{bd23c948-0f71-411a-bd49-dffbdfac7f72}" ref="O246">
      <text>
        <t xml:space="preserve">[Threaded comment]
 Your version of Excel allows you to read this threaded comment; however, any edits to it will get removed if the file is opened in a newer version of Excel. Learn more: https://go.microsoft.com/fwlink/?linkid=870924
Comment:
	12/19 sent SPOL to client SG
</t>
      </text>
    </comment>
    <comment authorId="1455" xr:uid="{bd437fb3-9e58-4ad6-86e2-60def2448359}" ref="P237">
      <text>
        <t xml:space="preserve">[Threaded comment]
 Your version of Excel allows you to read this threaded comment; however, any edits to it will get removed if the file is opened in a newer version of Excel. Learn more: https://go.microsoft.com/fwlink/?linkid=870924
Comment:
	inspection will be 11/13 (CM)
</t>
      </text>
    </comment>
    <comment authorId="1456" xr:uid="{bd44514e-deca-42dd-b303-f13d66aefef0}"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457" xr:uid="{bd579ceb-22f3-497d-8eb9-5370b176c908}" ref="N274">
      <text>
        <t xml:space="preserve">[Threaded comment]
 Your version of Excel allows you to read this threaded comment; however, any edits to it will get removed if the file is opened in a newer version of Excel. Learn more: https://go.microsoft.com/fwlink/?linkid=870924
Comment:
	11/21 Sent the estimate to Angie for review
Reply:
	12/04 Asked Angie to review the estimate
</t>
      </text>
    </comment>
    <comment authorId="1458" xr:uid="{bd8a368f-d0fe-4d90-b09b-421c9c3c185e}" ref="A205">
      <text>
        <t xml:space="preserve">[Threaded comment]
 Your version of Excel allows you to read this threaded comment; however, any edits to it will get removed if the file is opened in a newer version of Excel. Learn more: https://go.microsoft.com/fwlink/?linkid=870924
Comment:
	09/25 asked Wilber if he wants to take this case (CM)
</t>
      </text>
    </comment>
    <comment authorId="1459" xr:uid="{bdf93815-6210-4255-ac18-f6cf4fefd75f}" ref="V293">
      <text>
        <t xml:space="preserve">[Threaded comment]
 Your version of Excel allows you to read this threaded comment; however, any edits to it will get removed if the file is opened in a newer version of Excel. Learn more: https://go.microsoft.com/fwlink/?linkid=870924
Comment:
	02/07 received and unsdisputted for 6k, asked JP to review the IA and send our estimate (CM)
</t>
      </text>
    </comment>
    <comment authorId="1460" xr:uid="{be082c35-06b2-47cc-8e3a-68757359d43f}" ref="V290">
      <text>
        <t xml:space="preserve">[Threaded comment]
 Your version of Excel allows you to read this threaded comment; however, any edits to it will get removed if the file is opened in a newer version of Excel. Learn more: https://go.microsoft.com/fwlink/?linkid=870924
Comment:
	01/10 DA is offering 5k to settle, Joshua is asking 31k (CM)
Reply:
	01/10 DA is offering 10k to settle, Joshua is asking 26k (CM)
Reply:
	01/13 DA is offering 15k to settle, Joshua asked 21k (CM)
</t>
      </text>
    </comment>
    <comment authorId="1461" xr:uid="{be41be9b-601f-4dca-9f98-bf24276c968b}" ref="P293">
      <text>
        <t xml:space="preserve">[Threaded comment]
 Your version of Excel allows you to read this threaded comment; however, any edits to it will get removed if the file is opened in a newer version of Excel. Learn more: https://go.microsoft.com/fwlink/?linkid=870924
Comment:
	02/07
</t>
      </text>
    </comment>
    <comment authorId="1462" xr:uid="{be42bc82-7588-4a8d-8607-271c9dd1ea04}"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463" xr:uid="{be561d30-09e4-429c-a495-ec156217dba3}" ref="V205">
      <text>
        <t xml:space="preserve">[Threaded comment]
 Your version of Excel allows you to read this threaded comment; however, any edits to it will get removed if the file is opened in a newer version of Excel. Learn more: https://go.microsoft.com/fwlink/?linkid=870924
Comment:
	10/04 DA is offering 10k to avoid the appraisal process, sent to PA's (CM)
Reply:
	10/07 Peter offered 30k to avoid appraisal (CM)
Reply:
	10/21 followed up on the counteroffer that Peter did, asked DA to confirm the OA name (CM)
</t>
      </text>
    </comment>
    <comment authorId="1464" xr:uid="{be640adf-30d8-4531-b167-521bc4ccb529}" ref="A140">
      <text>
        <t xml:space="preserve">[Threaded comment]
 Your version of Excel allows you to read this threaded comment; however, any edits to it will get removed if the file is opened in a newer version of Excel. Learn more: https://go.microsoft.com/fwlink/?linkid=870924
Comment:
	09/12 request mediation @scheduling@ipadjustinggroup.com
Assigned to scheduling@ipadjustinggroup.com
Reply:
	Marked as done
</t>
      </text>
    </comment>
    <comment authorId="1465" xr:uid="{be8140c7-89c0-4e45-8bf3-fdc6071453f9}" ref="A30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466" xr:uid="{be8b83be-4356-4ae8-86f7-e7b990a74870}" ref="V158">
      <text>
        <t xml:space="preserve">[Threaded comment]
 Your version of Excel allows you to read this threaded comment; however, any edits to it will get removed if the file is opened in a newer version of Excel. Learn more: https://go.microsoft.com/fwlink/?linkid=870924
Comment:
	11/13 recieved a settlement release after the mediation for 18k, asked Iván if it is ok to send to the client (CM)
</t>
      </text>
    </comment>
    <comment authorId="1467" xr:uid="{beaa93d5-e70c-4ef7-b6a9-ee76b18409cc}"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468" xr:uid="{bf018a46-eccf-4ee1-8ef8-40a196e7fb0e}" ref="A380">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469" xr:uid="{bf05dc1f-03cc-4b50-9dc5-d5cea13f968f}" ref="P110">
      <text>
        <t xml:space="preserve">[Threaded comment]
 Your version of Excel allows you to read this threaded comment; however, any edits to it will get removed if the file is opened in a newer version of Excel. Learn more: https://go.microsoft.com/fwlink/?linkid=870924
Comment:
	08/30
</t>
      </text>
    </comment>
    <comment authorId="1470" xr:uid="{bf096c88-bf48-49d8-ac98-a703e4e08698}" ref="Q304">
      <text>
        <t xml:space="preserve">[Threaded comment]
 Your version of Excel allows you to read this threaded comment; however, any edits to it will get removed if the file is opened in a newer version of Excel. Learn more: https://go.microsoft.com/fwlink/?linkid=870924
Comment:
	02/07
</t>
      </text>
    </comment>
    <comment authorId="1471" xr:uid="{bf0e8356-e07b-4c9a-bcd0-eb324ce7993e}" ref="V151">
      <text>
        <t xml:space="preserve">[Threaded comment]
 Your version of Excel allows you to read this threaded comment; however, any edits to it will get removed if the file is opened in a newer version of Excel. Learn more: https://go.microsoft.com/fwlink/?linkid=870924
Comment:
	06/21 DA offered 10k, informed PAs via email and WS, asked for a copy of the policy (CM)
</t>
      </text>
    </comment>
    <comment authorId="1472" xr:uid="{bf137753-6a16-46ed-af51-08b6babf8af8}" ref="A1">
      <text>
        <t xml:space="preserve">[Threaded comment]
 Your version of Excel allows you to read this threaded comment; however, any edits to it will get removed if the file is opened in a newer version of Excel. Learn more: https://go.microsoft.com/fwlink/?linkid=870924
Comment:
	01/27
</t>
      </text>
    </comment>
    <comment authorId="1473" xr:uid="{bf5284c4-ff01-4bfa-9d67-cb073f61dfec}" ref="O236">
      <text>
        <t xml:space="preserve">[Threaded comment]
 Your version of Excel allows you to read this threaded comment; however, any edits to it will get removed if the file is opened in a newer version of Excel. Learn more: https://go.microsoft.com/fwlink/?linkid=870924
Comment:
	12/18 sent to client. JP
</t>
      </text>
    </comment>
    <comment authorId="1474" xr:uid="{bf64037f-4e31-47d5-93b8-0304ece16727}" ref="A350">
      <text>
        <t xml:space="preserve">[Threaded comment]
 Your version of Excel allows you to read this threaded comment; however, any edits to it will get removed if the file is opened in a newer version of Excel. Learn more: https://go.microsoft.com/fwlink/?linkid=870924
Comment:
	Pedro
Reply:
	Recoverable depreciation:
Coverage A: $4,895.70
</t>
      </text>
    </comment>
    <comment authorId="1475" xr:uid="{bf6d9350-d656-4400-95ed-5e61194840a6}" ref="O155">
      <text>
        <t xml:space="preserve">[Threaded comment]
 Your version of Excel allows you to read this threaded comment; however, any edits to it will get removed if the file is opened in a newer version of Excel. Learn more: https://go.microsoft.com/fwlink/?linkid=870924
Comment:
	8/03 sent to client
</t>
      </text>
    </comment>
    <comment authorId="1476" xr:uid="{bfb714db-15ed-4311-9e52-1e54b9085c90}" ref="N290">
      <text>
        <t xml:space="preserve">[Threaded comment]
 Your version of Excel allows you to read this threaded comment; however, any edits to it will get removed if the file is opened in a newer version of Excel. Learn more: https://go.microsoft.com/fwlink/?linkid=870924
Comment:
	12/10 sent to josh
Reply:
	12/12 Josh approved
</t>
      </text>
    </comment>
    <comment authorId="1477" xr:uid="{bfba450e-e7d6-4c86-8311-0c231489e662}" ref="M156">
      <text>
        <t xml:space="preserve">[Threaded comment]
 Your version of Excel allows you to read this threaded comment; however, any edits to it will get removed if the file is opened in a newer version of Excel. Learn more: https://go.microsoft.com/fwlink/?linkid=870924
Comment:
	enviar, no tengo el picture file
Reply:
	manda estimado!! mira el IA report que te mande antes @jp.ipestimates@gmail.com
Reply:
	7/16 ENVIADO
</t>
      </text>
    </comment>
    <comment authorId="1478" xr:uid="{bfbb2c3e-8f42-49a2-9e40-26e6f59741c7}" ref="A329">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1479" xr:uid="{bfcd1d5f-2848-48d8-adfd-c00f24bf53f4}" ref="N293">
      <text>
        <t xml:space="preserve">[Threaded comment]
 Your version of Excel allows you to read this threaded comment; however, any edits to it will get removed if the file is opened in a newer version of Excel. Learn more: https://go.microsoft.com/fwlink/?linkid=870924
Comment:
	1/20 sent to JOse
Reply:
	2/10 aprobado
</t>
      </text>
    </comment>
    <comment authorId="1480" xr:uid="{bfd7b4ba-2204-4122-b2db-614c1adb6c2f}" ref="M169">
      <text>
        <t xml:space="preserve">[Threaded comment]
 Your version of Excel allows you to read this threaded comment; however, any edits to it will get removed if the file is opened in a newer version of Excel. Learn more: https://go.microsoft.com/fwlink/?linkid=870924
Comment:
	7/16 sent an updated estimate without roof (peter)
Reply:
	cuando apruebe el estimado el PA sin el roof, por fa manda a la compania con copia al cliente @jp.ipestimates@gmail.com
Reply:
	ya envie ayer
</t>
      </text>
    </comment>
    <comment authorId="1481" xr:uid="{bfe9530e-16b2-4e8f-9170-e4826fd891f0}" ref="M342">
      <text>
        <t xml:space="preserve">[Threaded comment]
 Your version of Excel allows you to read this threaded comment; however, any edits to it will get removed if the file is opened in a newer version of Excel. Learn more: https://go.microsoft.com/fwlink/?linkid=870924
Comment:
	4/2 sent to carrier
</t>
      </text>
    </comment>
    <comment authorId="1482" xr:uid="{bff1f813-5166-4697-bc6e-d51f5ed659c7}" ref="A341">
      <text>
        <t xml:space="preserve">[Threaded comment]
 Your version of Excel allows you to read this threaded comment; however, any edits to it will get removed if the file is opened in a newer version of Excel. Learn more: https://go.microsoft.com/fwlink/?linkid=870924
Comment:
	Peter
Reply:
	holdback until incurred (O&amp;L): $2,038.21
</t>
      </text>
    </comment>
    <comment authorId="1483" xr:uid="{bff42558-fee6-4b87-964c-2adf11ff381c}" ref="V165">
      <text>
        <t xml:space="preserve">[Threaded comment]
 Your version of Excel allows you to read this threaded comment; however, any edits to it will get removed if the file is opened in a newer version of Excel. Learn more: https://go.microsoft.com/fwlink/?linkid=870924
Comment:
	07/30 followed up on the SPOL with the client (CM)
</t>
      </text>
    </comment>
    <comment authorId="1484" xr:uid="{bffd91ce-397b-4489-8fbc-0ecae463297f}" ref="V232">
      <text>
        <t xml:space="preserve">[Threaded comment]
 Your version of Excel allows you to read this threaded comment; however, any edits to it will get removed if the file is opened in a newer version of Excel. Learn more: https://go.microsoft.com/fwlink/?linkid=870924
Comment:
	11/18 Claim is under deductible, sent to JP, asked him to send our estimate (CM)
</t>
      </text>
    </comment>
    <comment authorId="1485" xr:uid="{c00657f4-8676-4396-8f52-d3bc1f6aca3e}" ref="P278">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1486" xr:uid="{c09843eb-4518-4ee0-b4ed-89bc4a8624fc}" ref="M158">
      <text>
        <t xml:space="preserve">[Threaded comment]
 Your version of Excel allows you to read this threaded comment; however, any edits to it will get removed if the file is opened in a newer version of Excel. Learn more: https://go.microsoft.com/fwlink/?linkid=870924
Comment:
	7/29 enviado sin fotos
</t>
      </text>
    </comment>
    <comment authorId="1487" xr:uid="{c0ad1c1f-60f3-486a-83f4-76dc091d2fd5}" ref="N342">
      <text>
        <t xml:space="preserve">[Threaded comment]
 Your version of Excel allows you to read this threaded comment; however, any edits to it will get removed if the file is opened in a newer version of Excel. Learn more: https://go.microsoft.com/fwlink/?linkid=870924
Comment:
	4/2 sent to Josh
Reply:
	4/2 aprobado
</t>
      </text>
    </comment>
    <comment authorId="1488" xr:uid="{c11d1a66-ce9d-4e35-bd35-dc0596714159}" ref="M150">
      <text>
        <t xml:space="preserve">[Threaded comment]
 Your version of Excel allows you to read this threaded comment; however, any edits to it will get removed if the file is opened in a newer version of Excel. Learn more: https://go.microsoft.com/fwlink/?linkid=870924
Comment:
	7/29 sent to carrier and client
</t>
      </text>
    </comment>
    <comment authorId="1489" xr:uid="{c190d085-0a9e-447b-ba6f-6d8aa14c586d}" ref="A1">
      <text>
        <t xml:space="preserve">[Threaded comment]
 Your version of Excel allows you to read this threaded comment; however, any edits to it will get removed if the file is opened in a newer version of Excel. Learn more: https://go.microsoft.com/fwlink/?linkid=870924
Comment:
	8/28 sent to DA
</t>
      </text>
    </comment>
    <comment authorId="1490" xr:uid="{c1d5f42c-f8a9-40d9-9749-6ad632eb9f6f}" ref="Q369">
      <text>
        <t xml:space="preserve">[Threaded comment]
 Your version of Excel allows you to read this threaded comment; however, any edits to it will get removed if the file is opened in a newer version of Excel. Learn more: https://go.microsoft.com/fwlink/?linkid=870924
Comment:
	06/11
</t>
      </text>
    </comment>
    <comment authorId="1491" xr:uid="{c1d6c875-ee9c-4b04-9d8b-38b865883606}" ref="M110">
      <text>
        <t xml:space="preserve">[Threaded comment]
 Your version of Excel allows you to read this threaded comment; however, any edits to it will get removed if the file is opened in a newer version of Excel. Learn more: https://go.microsoft.com/fwlink/?linkid=870924
Comment:
	07/03 the client informed that on the estimate is not the pool, asked Juan to review the estimate (CM)
</t>
      </text>
    </comment>
    <comment authorId="1492" xr:uid="{c203f96d-adf5-4342-b4dd-d09b5a4f4e48}" ref="N300">
      <text>
        <t xml:space="preserve">[Threaded comment]
 Your version of Excel allows you to read this threaded comment; however, any edits to it will get removed if the file is opened in a newer version of Excel. Learn more: https://go.microsoft.com/fwlink/?linkid=870924
Comment:
	2/7/25 sent to josh
Reply:
	2/7 aprobado
</t>
      </text>
    </comment>
    <comment authorId="1493" xr:uid="{c206966e-10ae-4aff-8397-827509d9e6ac}"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494" xr:uid="{c2113ee9-d71f-4e70-afdc-86cd37bd838e}" ref="P266">
      <text>
        <t xml:space="preserve">[Threaded comment]
 Your version of Excel allows you to read this threaded comment; however, any edits to it will get removed if the file is opened in a newer version of Excel. Learn more: https://go.microsoft.com/fwlink/?linkid=870924
Comment:
	11/11 DA informs that an inspection was already done, he will send the estimate once ready (CM)
</t>
      </text>
    </comment>
    <comment authorId="1495" xr:uid="{c21cea9c-f733-4e58-8c34-eb83c6879e42}"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496" xr:uid="{c2336789-4f04-4d4c-812e-4f412709d261}" ref="O215">
      <text>
        <t xml:space="preserve">[Threaded comment]
 Your version of Excel allows you to read this threaded comment; however, any edits to it will get removed if the file is opened in a newer version of Excel. Learn more: https://go.microsoft.com/fwlink/?linkid=870924
Comment:
	1/21/25 sent to client
</t>
      </text>
    </comment>
    <comment authorId="1497" xr:uid="{c26712a5-22ec-47bb-9bef-25cf7ceff098}" ref="A1">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498" xr:uid="{c26ee43c-5f4f-4f78-96f9-f779e8674f63}" ref="P230">
      <text>
        <t xml:space="preserve">[Threaded comment]
 Your version of Excel allows you to read this threaded comment; however, any edits to it will get removed if the file is opened in a newer version of Excel. Learn more: https://go.microsoft.com/fwlink/?linkid=870924
Comment:
	insp. 11/20
</t>
      </text>
    </comment>
    <comment authorId="1499" xr:uid="{c29baf42-732d-4094-b707-7dab1c637bf0}" ref="N262">
      <text>
        <t xml:space="preserve">[Threaded comment]
 Your version of Excel allows you to read this threaded comment; however, any edits to it will get removed if the file is opened in a newer version of Excel. Learn more: https://go.microsoft.com/fwlink/?linkid=870924
Comment:
	11/10 Sent estimate to Joshua for review
Reply:
	11/11 Juan approved the estimate
</t>
      </text>
    </comment>
    <comment authorId="1500" xr:uid="{c2a5ac62-8016-4ecd-a688-88ac861d32b5}" ref="V161">
      <text>
        <t xml:space="preserve">[Threaded comment]
 Your version of Excel allows you to read this threaded comment; however, any edits to it will get removed if the file is opened in a newer version of Excel. Learn more: https://go.microsoft.com/fwlink/?linkid=870924
Comment:
	07/09 received a letter, an additional payment has been issued to JD restorations, forwarded to PAs (CM)
</t>
      </text>
    </comment>
    <comment authorId="1501" xr:uid="{c2d59b9d-35e7-401c-b9ee-5817da79a392}" ref="A354">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502" xr:uid="{c2de4ed6-fc3f-41cb-8e24-692fd79b04e3}" ref="V19">
      <text>
        <t xml:space="preserve">[Threaded comment]
 Your version of Excel allows you to read this threaded comment; however, any edits to it will get removed if the file is opened in a newer version of Excel. Learn more: https://go.microsoft.com/fwlink/?linkid=870924
Comment:
	01/09 determination letter received (CM)
</t>
      </text>
    </comment>
    <comment authorId="1503" xr:uid="{c2e0a62a-5e7c-46da-aa8a-c47483c8c500}" ref="A1">
      <text>
        <t xml:space="preserve">[Threaded comment]
 Your version of Excel allows you to read this threaded comment; however, any edits to it will get removed if the file is opened in a newer version of Excel. Learn more: https://go.microsoft.com/fwlink/?linkid=870924
Comment:
	07/30 assurant says the client didn't have an active policy with them on the DOL (CM)
Reply:
	09/30 JD is following up on this claim as there is pending payments, informed about the issue with the policy (CM)
</t>
      </text>
    </comment>
    <comment authorId="1504" xr:uid="{c2f06764-03a9-4db3-ba81-3148c007b111}" ref="V301">
      <text>
        <t xml:space="preserve">[Threaded comment]
 Your version of Excel allows you to read this threaded comment; however, any edits to it will get removed if the file is opened in a newer version of Excel. Learn more: https://go.microsoft.com/fwlink/?linkid=870924
Comment:
	01/08 new DA called, and asked for the plumbing invice, asked I&amp;P via emai (CM)
Reply:
	01/22 DA is asking for the plumber's invoice again and is informing that there will be a engineer insp. informed Day and PAs (CM)
</t>
      </text>
    </comment>
    <comment authorId="1505" xr:uid="{c302719f-b30d-4480-b386-81f962c2ba9a}" ref="A264">
      <text>
        <t xml:space="preserve">[Threaded comment]
 Your version of Excel allows you to read this threaded comment; however, any edits to it will get removed if the file is opened in a newer version of Excel. Learn more: https://go.microsoft.com/fwlink/?linkid=870924
Comment:
	Juan
Reply:
	Nothing to be recovered
</t>
      </text>
    </comment>
    <comment authorId="1506" xr:uid="{c309394c-9a09-47d9-b7f6-b89c3391501b}" ref="V164">
      <text>
        <t xml:space="preserve">[Threaded comment]
 Your version of Excel allows you to read this threaded comment; however, any edits to it will get removed if the file is opened in a newer version of Excel. Learn more: https://go.microsoft.com/fwlink/?linkid=870924
Comment:
	08/14 DA is now offering 20k on this claim as per roof invoice sent by Jakey, he is asking why we have stated in our estimate 44k for the roof if the client has an invoice for 18k, sent to PAs (CM)
</t>
      </text>
    </comment>
    <comment authorId="1507" xr:uid="{c318a005-5833-4bcf-b6bd-11079c499c25}" ref="Q375">
      <text>
        <t xml:space="preserve">[Threaded comment]
 Your version of Excel allows you to read this threaded comment; however, any edits to it will get removed if the file is opened in a newer version of Excel. Learn more: https://go.microsoft.com/fwlink/?linkid=870924
Comment:
	11/10
Reply:
	11/20 DA informed that this is a force placed insurance (CM)
</t>
      </text>
    </comment>
    <comment authorId="1508" xr:uid="{c3260ec6-04b3-4439-811c-492f9810d399}" ref="V242">
      <text>
        <t xml:space="preserve">[Threaded comment]
 Your version of Excel allows you to read this threaded comment; however, any edits to it will get removed if the file is opened in a newer version of Excel. Learn more: https://go.microsoft.com/fwlink/?linkid=870924
Comment:
	01/06 DA wants to settled prior mediation on 25k, Day sent to PAs the offer (CM)
Reply:
	01/21 Need to follow up with MSPG to close both claims together (CM)
</t>
      </text>
    </comment>
    <comment authorId="1509" xr:uid="{c36caed4-62db-4e1e-82b4-05fbe9a22f37}" ref="V271">
      <text>
        <t xml:space="preserve">[Threaded comment]
 Your version of Excel allows you to read this threaded comment; however, any edits to it will get removed if the file is opened in a newer version of Excel. Learn more: https://go.microsoft.com/fwlink/?linkid=870924
Comment:
	01/27 DA is offering 5k, Day cc'd PAs (CM)
</t>
      </text>
    </comment>
    <comment authorId="1510" xr:uid="{c3a90057-1b0d-45a6-8b3d-3c0a3ac56b86}" ref="J333">
      <text>
        <t xml:space="preserve">[Threaded comment]
 Your version of Excel allows you to read this threaded comment; however, any edits to it will get removed if the file is opened in a newer version of Excel. Learn more: https://go.microsoft.com/fwlink/?linkid=870924
Comment:
	001-00-540606
</t>
      </text>
    </comment>
    <comment authorId="1511" xr:uid="{c3abc17c-1a3f-47ac-8c03-14a4ed124d60}" ref="D363">
      <text>
        <t xml:space="preserve">[Threaded comment]
 Your version of Excel allows you to read this threaded comment; however, any edits to it will get removed if the file is opened in a newer version of Excel. Learn more: https://go.microsoft.com/fwlink/?linkid=870924
Comment:
	7/11 @admin@ipadjustinggroup.com Carito, Juan dice que no va a continuar con este reclamo.
Assigned to admin@ipadjustinggroup.com
Reply:
	que diciendooo chuzo, ya.... @scheduling@ipadjustinggroup.com pilas
Reassigned to scheduling@ipadjustinggroup.com
Reply:
	Yes mai frens, ya quepsf
</t>
      </text>
    </comment>
    <comment authorId="1512" xr:uid="{c3d9caff-5441-4054-887a-cbeb420f33d8}" ref="A1">
      <text>
        <t xml:space="preserve">[Threaded comment]
 Your version of Excel allows you to read this threaded comment; however, any edits to it will get removed if the file is opened in a newer version of Excel. Learn more: https://go.microsoft.com/fwlink/?linkid=870924
Comment:
	01/15
</t>
      </text>
    </comment>
    <comment authorId="1513" xr:uid="{c420b6a6-f571-49c9-a55f-00f8b1c237dd}" ref="P308">
      <text>
        <t xml:space="preserve">[Threaded comment]
 Your version of Excel allows you to read this threaded comment; however, any edits to it will get removed if the file is opened in a newer version of Excel. Learn more: https://go.microsoft.com/fwlink/?linkid=870924
Comment:
	01/24 insp
</t>
      </text>
    </comment>
    <comment authorId="1514" xr:uid="{c463c1a0-2d9b-4432-8d03-b71189e1ba49}" ref="M159">
      <text>
        <t xml:space="preserve">[Threaded comment]
 Your version of Excel allows you to read this threaded comment; however, any edits to it will get removed if the file is opened in a newer version of Excel. Learn more: https://go.microsoft.com/fwlink/?linkid=870924
Comment:
	6/13 sent to carrier.
</t>
      </text>
    </comment>
    <comment authorId="1515" xr:uid="{c475b815-e2bb-4330-9538-54f3f0a940b8}" ref="M180">
      <text>
        <t xml:space="preserve">[Threaded comment]
 Your version of Excel allows you to read this threaded comment; however, any edits to it will get removed if the file is opened in a newer version of Excel. Learn more: https://go.microsoft.com/fwlink/?linkid=870924
Comment:
	ENVIAR CUANDO EL ESTIMADO APROBADO
</t>
      </text>
    </comment>
    <comment authorId="1516" xr:uid="{c487e591-8cd6-4815-8fe8-1e92f346a70b}" ref="V184">
      <text>
        <t xml:space="preserve">[Threaded comment]
 Your version of Excel allows you to read this threaded comment; however, any edits to it will get removed if the file is opened in a newer version of Excel. Learn more: https://go.microsoft.com/fwlink/?linkid=870924
Comment:
	08/14 received a determination letter with an undisputted check for 1.3k asked PAs how to proceed (CM)
09/20 followed up with Juan on the estimate as we have received a determination letter via Whatsapp and email(CM)
</t>
      </text>
    </comment>
    <comment authorId="1517" xr:uid="{c4a6d84e-8835-4438-b53b-5205de24f128}" ref="M184">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1/20/25 sent to DA
</t>
      </text>
    </comment>
    <comment authorId="1518" xr:uid="{c4a8aed6-4eaa-42ce-8870-9fb7c2168a9e}" ref="V213">
      <text>
        <t xml:space="preserve">[Threaded comment]
 Your version of Excel allows you to read this threaded comment; however, any edits to it will get removed if the file is opened in a newer version of Excel. Learn more: https://go.microsoft.com/fwlink/?linkid=870924
Comment:
	11/13 Peter is asking 75k for this claim (CM)
Reply:
	11/20 DA is offering 37k new money, she sent a correction for our estimate, sent to PAs, informed Peter via ws (CM)
Reply:
	12/09 DA is following up on 37k offer (CM)
Reply:
	12/17 Peter did a counteroffer for 50k (CM)
Reply:
	01/15 Peter did a counteroffer for 43.5 k (CM)
</t>
      </text>
    </comment>
    <comment authorId="1519" xr:uid="{c4b091dd-fd1f-42cc-b417-86fb61101dc1}" ref="N201">
      <text>
        <t xml:space="preserve">[Threaded comment]
 Your version of Excel allows you to read this threaded comment; however, any edits to it will get removed if the file is opened in a newer version of Excel. Learn more: https://go.microsoft.com/fwlink/?linkid=870924
Comment:
	11/06 Sent the estimate to Peter for approval
Reply:
	11/07 Peter approved
</t>
      </text>
    </comment>
    <comment authorId="1520" xr:uid="{c4b8e247-0ec1-4b75-8c38-c5b02629cb56}" ref="V210">
      <text>
        <t xml:space="preserve">[Threaded comment]
 Your version of Excel allows you to read this threaded comment; however, any edits to it will get removed if the file is opened in a newer version of Excel. Learn more: https://go.microsoft.com/fwlink/?linkid=870924
Comment:
	11/07 DA says he reiterates his coverage decision, sent to PA's asked how to proceed (CM)
</t>
      </text>
    </comment>
    <comment authorId="1521" xr:uid="{c4c0d436-f995-45dd-8a1e-77407a780491}" ref="V294">
      <text>
        <t xml:space="preserve">[Threaded comment]
 Your version of Excel allows you to read this threaded comment; however, any edits to it will get removed if the file is opened in a newer version of Excel. Learn more: https://go.microsoft.com/fwlink/?linkid=870924
Comment:
	01/15 claim is under deductible, asked JP to send our estimate (CM)
</t>
      </text>
    </comment>
    <comment authorId="1522" xr:uid="{c4d1168a-a216-46ef-b033-2e1b93432838}" ref="M296">
      <text>
        <t xml:space="preserve">[Threaded comment]
 Your version of Excel allows you to read this threaded comment; however, any edits to it will get removed if the file is opened in a newer version of Excel. Learn more: https://go.microsoft.com/fwlink/?linkid=870924
Comment:
	1/13/25 sent to DA
</t>
      </text>
    </comment>
    <comment authorId="1523" xr:uid="{c50e1ce6-826d-46b8-8b28-f93c441ae4c1}" ref="A1">
      <text>
        <t xml:space="preserve">[Threaded comment]
 Your version of Excel allows you to read this threaded comment; however, any edits to it will get removed if the file is opened in a newer version of Excel. Learn more: https://go.microsoft.com/fwlink/?linkid=870924
Comment:
	01/10
</t>
      </text>
    </comment>
    <comment authorId="1524" xr:uid="{c5443996-386a-4a70-93fb-dac6abdf275e}" ref="S280">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Reply:
	Copiado Carito
Re-opened
</t>
      </text>
    </comment>
    <comment authorId="1525" xr:uid="{c5479ef7-e894-4f1a-9831-44ae51715b2a}" ref="A141">
      <text>
        <t xml:space="preserve">[Threaded comment]
 Your version of Excel allows you to read this threaded comment; however, any edits to it will get removed if the file is opened in a newer version of Excel. Learn more: https://go.microsoft.com/fwlink/?linkid=870924
Comment:
	07/16 Once received the estimate we request mediation (CM)
</t>
      </text>
    </comment>
    <comment authorId="1526" xr:uid="{c54f3058-df53-4cc7-a718-94b6b6187882}" ref="S234">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Reply:
	copy that, appraisal cancelled
Re-opened
</t>
      </text>
    </comment>
    <comment authorId="1527" xr:uid="{c575ecbe-91b9-44b9-ac63-f7141440624a}" ref="N405">
      <text>
        <t xml:space="preserve">[Threaded comment]
 Your version of Excel allows you to read this threaded comment; however, any edits to it will get removed if the file is opened in a newer version of Excel. Learn more: https://go.microsoft.com/fwlink/?linkid=870924
Comment:
	3/24 aprobado por josh
</t>
      </text>
    </comment>
    <comment authorId="1528" xr:uid="{c58837a7-0c57-4a70-9cff-529fb8a992d0}" ref="A235">
      <text>
        <t xml:space="preserve">[Threaded comment]
 Your version of Excel allows you to read this threaded comment; however, any edits to it will get removed if the file is opened in a newer version of Excel. Learn more: https://go.microsoft.com/fwlink/?linkid=870924
Comment:
	Juan
Reply:
	Ordinance or Law $3,250.78
</t>
      </text>
    </comment>
    <comment authorId="1529" xr:uid="{c58f9a18-1b48-404e-a315-587a3c25e4cf}" ref="P236">
      <text>
        <t xml:space="preserve">[Threaded comment]
 Your version of Excel allows you to read this threaded comment; however, any edits to it will get removed if the file is opened in a newer version of Excel. Learn more: https://go.microsoft.com/fwlink/?linkid=870924
Comment:
	inspection done on 10/26 (CM)
</t>
      </text>
    </comment>
    <comment authorId="1530" xr:uid="{c5c61b8a-8cf2-4554-bf23-72e07a995bfd}" ref="A1">
      <text>
        <t xml:space="preserve">[Threaded comment]
 Your version of Excel allows you to read this threaded comment; however, any edits to it will get removed if the file is opened in a newer version of Excel. Learn more: https://go.microsoft.com/fwlink/?linkid=870924
Comment:
	No inspection yet
</t>
      </text>
    </comment>
    <comment authorId="1531" xr:uid="{c5c867e3-e95a-43e4-a2be-ffea7eb15728}" ref="M181">
      <text>
        <t xml:space="preserve">[Threaded comment]
 Your version of Excel allows you to read this threaded comment; however, any edits to it will get removed if the file is opened in a newer version of Excel. Learn more: https://go.microsoft.com/fwlink/?linkid=870924
Comment:
	waiting IA report
Reply:
	08/08 received a denial letter send the estimate (CM) @jp.ipestimates@gmail.com
</t>
      </text>
    </comment>
    <comment authorId="1532" xr:uid="{c6285e88-3e14-4b76-b31a-17571b21593c}" ref="M341">
      <text>
        <t xml:space="preserve">[Threaded comment]
 Your version of Excel allows you to read this threaded comment; however, any edits to it will get removed if the file is opened in a newer version of Excel. Learn more: https://go.microsoft.com/fwlink/?linkid=870924
Comment:
	3/24 sent to carrier
</t>
      </text>
    </comment>
    <comment authorId="1533" xr:uid="{c6a6d173-6f3c-41f8-b00e-0031fca9409c}" ref="V134">
      <text>
        <t xml:space="preserve">[Threaded comment]
 Your version of Excel allows you to read this threaded comment; however, any edits to it will get removed if the file is opened in a newer version of Excel. Learn more: https://go.microsoft.com/fwlink/?linkid=870924
Comment:
	10/04 JD is asking for the payment (CM)
</t>
      </text>
    </comment>
    <comment authorId="1534" xr:uid="{c6c3c302-08a0-4ffe-bc9e-8afc37fa6eee}"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535" xr:uid="{c6e5ea00-b486-4801-bf5b-c31e9e6ac3dd}" ref="O204">
      <text>
        <t xml:space="preserve">[Threaded comment]
 Your version of Excel allows you to read this threaded comment; however, any edits to it will get removed if the file is opened in a newer version of Excel. Learn more: https://go.microsoft.com/fwlink/?linkid=870924
Comment:
	08/19 DA is requesting a RS and SPOL (CM)
Reply:
	8/19 sent to the client to sign @admin@ipadjustinggroup.com
</t>
      </text>
    </comment>
    <comment authorId="1536" xr:uid="{c7025a04-7123-485f-a522-005d02821a3c}" ref="N409">
      <text>
        <t xml:space="preserve">[Threaded comment]
 Your version of Excel allows you to read this threaded comment; however, any edits to it will get removed if the file is opened in a newer version of Excel. Learn more: https://go.microsoft.com/fwlink/?linkid=870924
Comment:
	4/23 enviado a ivan para revision
Reply:
	5/5 aprobado por ivan
</t>
      </text>
    </comment>
    <comment authorId="1537" xr:uid="{c705e6dc-3d26-4265-8dca-814eefaa7317}"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1538" xr:uid="{c707869c-b364-44ae-99d6-b38550a67319}" ref="A375">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1539" xr:uid="{c748fd61-d21b-4c56-a994-f50c765d26f7}" ref="A1">
      <text>
        <t xml:space="preserve">[Threaded comment]
 Your version of Excel allows you to read this threaded comment; however, any edits to it will get removed if the file is opened in a newer version of Excel. Learn more: https://go.microsoft.com/fwlink/?linkid=870924
Comment:
	10/01
</t>
      </text>
    </comment>
    <comment authorId="1540" xr:uid="{c7840b9f-0ead-42cb-80a9-551dae3b6500}" ref="V301">
      <text>
        <t xml:space="preserve">[Threaded comment]
 Your version of Excel allows you to read this threaded comment; however, any edits to it will get removed if the file is opened in a newer version of Excel. Learn more: https://go.microsoft.com/fwlink/?linkid=870924
Comment:
	02/26 DA sent a determination, claim is denied, sent to PAs and Jp, asked JP to send our estimate (CM)
</t>
      </text>
    </comment>
    <comment authorId="1541" xr:uid="{c799ac72-145c-4ebf-a2c0-ab65a2a467f9}" ref="A38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542" xr:uid="{c7a2bdf8-e347-4f44-9dad-b9e931b63297}" ref="A1">
      <text>
        <t xml:space="preserve">[Threaded comment]
 Your version of Excel allows you to read this threaded comment; however, any edits to it will get removed if the file is opened in a newer version of Excel. Learn more: https://go.microsoft.com/fwlink/?linkid=870924
Comment:
	08/12 asked DA a copy of the policy (CM)
</t>
      </text>
    </comment>
    <comment authorId="1543" xr:uid="{c7a9b855-3c53-407e-a7c1-3bd80570e167}" ref="M343">
      <text>
        <t xml:space="preserve">[Threaded comment]
 Your version of Excel allows you to read this threaded comment; however, any edits to it will get removed if the file is opened in a newer version of Excel. Learn more: https://go.microsoft.com/fwlink/?linkid=870924
Comment:
	4/12 esperando el picture file
Reply:
	4/15 sent to carrier
</t>
      </text>
    </comment>
    <comment authorId="1544" xr:uid="{c7cf9164-8d5c-461f-930b-aeedf2974182}" ref="B50">
      <text>
        <t xml:space="preserve">[Threaded comment]
 Your version of Excel allows you to read this threaded comment; however, any edits to it will get removed if the file is opened in a newer version of Excel. Learn more: https://go.microsoft.com/fwlink/?linkid=870924
Comment:
	Peter / Alex
</t>
      </text>
    </comment>
    <comment authorId="1545" xr:uid="{c7fbe95e-6ad6-493a-b8e4-c2081d3509a2}" ref="A1">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546" xr:uid="{c811f553-e26a-42f4-86c7-feccb1238233}" ref="V229">
      <text>
        <t xml:space="preserve">[Threaded comment]
 Your version of Excel allows you to read this threaded comment; however, any edits to it will get removed if the file is opened in a newer version of Excel. Learn more: https://go.microsoft.com/fwlink/?linkid=870924
Comment:
	11/14 DA sent 2 estimates sent to for Joshua's review, sent to JP and I&amp;P (CM)
Reply:
	11/18 someone sent an offer for 35k on this claim (CM)
Reply:
	11/25 DA didn't accept the 35k offer, review the info he said  (CM)
</t>
      </text>
    </comment>
    <comment authorId="1547" xr:uid="{c8264767-4bd1-4c99-93de-3d8c743f208a}" ref="Q286">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548" xr:uid="{c84a35c2-f5c9-497e-9afd-cbf2ac430e1c}"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549" xr:uid="{c8b2166a-608c-4f4b-bd76-d9d6e661b8eb}" ref="V140">
      <text>
        <t xml:space="preserve">[Threaded comment]
 Your version of Excel allows you to read this threaded comment; however, any edits to it will get removed if the file is opened in a newer version of Excel. Learn more: https://go.microsoft.com/fwlink/?linkid=870924
Comment:
	11/06 they are sending a 2.4k payment informed PAs (CM)
Reply:
	11/15 Peter is trying to negotiate with the DA (CM)
</t>
      </text>
    </comment>
    <comment authorId="1550" xr:uid="{c8bea39e-a761-49b0-8cef-f39339f3b255}" ref="O181">
      <text>
        <t xml:space="preserve">[Threaded comment]
 Your version of Excel allows you to read this threaded comment; however, any edits to it will get removed if the file is opened in a newer version of Excel. Learn more: https://go.microsoft.com/fwlink/?linkid=870924
Comment:
	8/13 enviado al cliente para q firme
</t>
      </text>
    </comment>
    <comment authorId="1551" xr:uid="{c8d6db2b-4c68-4a74-a030-b75470b40e1b}"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552" xr:uid="{c8dd9f0e-def5-4535-9832-4d8443c3b8e0}"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553" xr:uid="{c9264381-90ce-40c0-89c7-8f4804185f4b}" ref="V150">
      <text>
        <t xml:space="preserve">[Threaded comment]
 Your version of Excel allows you to read this threaded comment; however, any edits to it will get removed if the file is opened in a newer version of Excel. Learn more: https://go.microsoft.com/fwlink/?linkid=870924
Comment:
	10/30 sent to Stephen this claim (CM)
</t>
      </text>
    </comment>
    <comment authorId="1554" xr:uid="{c9338825-5e70-4130-8a13-474606a10064}" ref="O194">
      <text>
        <t xml:space="preserve">[Threaded comment]
 Your version of Excel allows you to read this threaded comment; however, any edits to it will get removed if the file is opened in a newer version of Excel. Learn more: https://go.microsoft.com/fwlink/?linkid=870924
Comment:
	9/24 ask blank form
</t>
      </text>
    </comment>
    <comment authorId="1555" xr:uid="{c95faffc-7c5c-4b00-86f1-3bbc7b6ad32b}" ref="M178">
      <text>
        <t xml:space="preserve">[Threaded comment]
 Your version of Excel allows you to read this threaded comment; however, any edits to it will get removed if the file is opened in a newer version of Excel. Learn more: https://go.microsoft.com/fwlink/?linkid=870924
Comment:
	waiting IA report
Reply:
	9/11 enviado
</t>
      </text>
    </comment>
    <comment authorId="1556" xr:uid="{c9824e80-b802-42b1-8ceb-b7d56de6b0ee}" ref="V196">
      <text>
        <t xml:space="preserve">[Threaded comment]
 Your version of Excel allows you to read this threaded comment; however, any edits to it will get removed if the file is opened in a newer version of Excel. Learn more: https://go.microsoft.com/fwlink/?linkid=870924
Comment:
	09/16 received an email requesting to do the EUO on 10/17 at 10am, sent to Day (CM)
</t>
      </text>
    </comment>
    <comment authorId="1557" xr:uid="{c9b50966-c152-4d34-b226-d9451c01170b}" ref="O233">
      <text>
        <t xml:space="preserve">[Threaded comment]
 Your version of Excel allows you to read this threaded comment; however, any edits to it will get removed if the file is opened in a newer version of Excel. Learn more: https://go.microsoft.com/fwlink/?linkid=870924
Comment:
	12/18 sent to josh
</t>
      </text>
    </comment>
    <comment authorId="1558" xr:uid="{c9e70aab-4a51-4bff-b884-235ea1f6ada8}" ref="A383">
      <text>
        <t xml:space="preserve">[Threaded comment]
 Your version of Excel allows you to read this threaded comment; however, any edits to it will get removed if the file is opened in a newer version of Excel. Learn more: https://go.microsoft.com/fwlink/?linkid=870924
Comment:
	Peter
Reply:
	rec dep: $4150,16
</t>
      </text>
    </comment>
    <comment authorId="1559" xr:uid="{c9f539b8-11f3-4b2d-a539-3ff491ad4883}" ref="A201">
      <text>
        <t xml:space="preserve">[Threaded comment]
 Your version of Excel allows you to read this threaded comment; however, any edits to it will get removed if the file is opened in a newer version of Excel. Learn more: https://go.microsoft.com/fwlink/?linkid=870924
Comment:
	10/29 asked Wilber if we wanted to take this case (CM)
</t>
      </text>
    </comment>
    <comment authorId="1560" xr:uid="{ca2cc07b-27dc-498e-b9e4-257bc5184a6f}" ref="A134">
      <text>
        <t xml:space="preserve">[Threaded comment]
 Your version of Excel allows you to read this threaded comment; however, any edits to it will get removed if the file is opened in a newer version of Excel. Learn more: https://go.microsoft.com/fwlink/?linkid=870924
Comment:
	David
</t>
      </text>
    </comment>
    <comment authorId="1561" xr:uid="{ca40a1cf-e7b2-4ebc-a853-ba2df1c6b550}" ref="V245">
      <text>
        <t xml:space="preserve">[Threaded comment]
 Your version of Excel allows you to read this threaded comment; however, any edits to it will get removed if the file is opened in a newer version of Excel. Learn more: https://go.microsoft.com/fwlink/?linkid=870924
Comment:
	11/22 sent the IA to JP, asked Joshua to approve JP's estimate (CM)
</t>
      </text>
    </comment>
    <comment authorId="1562" xr:uid="{ca4654aa-eaf3-45a2-b926-9b9ca9f0e2bb}" ref="M305">
      <text>
        <t xml:space="preserve">[Threaded comment]
 Your version of Excel allows you to read this threaded comment; however, any edits to it will get removed if the file is opened in a newer version of Excel. Learn more: https://go.microsoft.com/fwlink/?linkid=870924
Comment:
	3/4 sent to DA
</t>
      </text>
    </comment>
    <comment authorId="1563" xr:uid="{ca496e66-b8d6-413e-95d4-e94cd750a03a}" ref="Q240">
      <text>
        <t xml:space="preserve">[Threaded comment]
 Your version of Excel allows you to read this threaded comment; however, any edits to it will get removed if the file is opened in a newer version of Excel. Learn more: https://go.microsoft.com/fwlink/?linkid=870924
Comment:
	10/30
</t>
      </text>
    </comment>
    <comment authorId="1564" xr:uid="{ca80d571-b385-4f09-926e-a6ee2144dc94}" ref="A169">
      <text>
        <t xml:space="preserve">[Threaded comment]
 Your version of Excel allows you to read this threaded comment; however, any edits to it will get removed if the file is opened in a newer version of Excel. Learn more: https://go.microsoft.com/fwlink/?linkid=870924
Comment:
	Peter
Reply:
	No pending recoverable
</t>
      </text>
    </comment>
    <comment authorId="1565" xr:uid="{ca95a2c7-efec-418b-9dd5-d27beda4da8c}" ref="M281">
      <text>
        <t xml:space="preserve">[Threaded comment]
 Your version of Excel allows you to read this threaded comment; however, any edits to it will get removed if the file is opened in a newer version of Excel. Learn more: https://go.microsoft.com/fwlink/?linkid=870924
Comment:
	12/30 sent to DA
</t>
      </text>
    </comment>
    <comment authorId="1566" xr:uid="{ca9a1312-9853-40d3-a745-4b9d31c2dbf1}" ref="U107">
      <text>
        <t xml:space="preserve">[Threaded comment]
 Your version of Excel allows you to read this threaded comment; however, any edits to it will get removed if the file is opened in a newer version of Excel. Learn more: https://go.microsoft.com/fwlink/?linkid=870924
Comment:
	Prefered Method phone
</t>
      </text>
    </comment>
    <comment authorId="1567" xr:uid="{cae1153c-7186-452e-b7e5-8a294da49988}" ref="N351">
      <text>
        <t xml:space="preserve">[Threaded comment]
 Your version of Excel allows you to read this threaded comment; however, any edits to it will get removed if the file is opened in a newer version of Excel. Learn more: https://go.microsoft.com/fwlink/?linkid=870924
Comment:
	4/3 sent to josh
Reply:
	4/3 aprobado
</t>
      </text>
    </comment>
    <comment authorId="1568" xr:uid="{cb075d56-7ee6-44e3-9b1d-c0682975d798}" ref="A1">
      <text>
        <t xml:space="preserve">[Threaded comment]
 Your version of Excel allows you to read this threaded comment; however, any edits to it will get removed if the file is opened in a newer version of Excel. Learn more: https://go.microsoft.com/fwlink/?linkid=870924
Comment:
	05/22 appraiser is offering 38.2k (CM)
</t>
      </text>
    </comment>
    <comment authorId="1569" xr:uid="{cb220d4b-fcb8-40ad-bd9e-0a4f45995dfa}" ref="V236">
      <text>
        <t xml:space="preserve">[Threaded comment]
 Your version of Excel allows you to read this threaded comment; however, any edits to it will get removed if the file is opened in a newer version of Excel. Learn more: https://go.microsoft.com/fwlink/?linkid=870924
Comment:
	11/07 called DA asked for the payment letter and a copy of the IA report, he informed that the deductible is 8.8k, depreceitation 7.9 total check will be for 29.8k, informed PAs (CM)
</t>
      </text>
    </comment>
    <comment authorId="1570" xr:uid="{cb3c406f-8c9c-4534-8821-e375265a21ce}" ref="A1">
      <text>
        <t xml:space="preserve">[Threaded comment]
 Your version of Excel allows you to read this threaded comment; however, any edits to it will get removed if the file is opened in a newer version of Excel. Learn more: https://go.microsoft.com/fwlink/?linkid=870924
Comment:
	llamar por offer
</t>
      </text>
    </comment>
    <comment authorId="1571" xr:uid="{cb4a3626-8473-4f5b-8853-30107751bfcb}" ref="A118">
      <text>
        <t xml:space="preserve">[Threaded comment]
 Your version of Excel allows you to read this threaded comment; however, any edits to it will get removed if the file is opened in a newer version of Excel. Learn more: https://go.microsoft.com/fwlink/?linkid=870924
Comment:
	@peter@ipadjustinggroup.com this file
Assigned to peter@ipadjustinggroup.com
</t>
      </text>
    </comment>
    <comment authorId="1572" xr:uid="{cb4f0bf1-efec-4e03-807b-6d10d65328a9}" ref="A193">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on litigation
</t>
      </text>
    </comment>
    <comment authorId="1573" xr:uid="{cb786804-42f8-4c93-9e0b-f0213069c3cd}" ref="Q264">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574" xr:uid="{cb867bd4-fcc7-4d4d-89d7-e5d2f9d2eca8}"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policy
</t>
      </text>
    </comment>
    <comment authorId="1575" xr:uid="{cc1c179a-867f-4741-9cc8-95e32ad787df}" ref="O276">
      <text>
        <t xml:space="preserve">[Threaded comment]
 Your version of Excel allows you to read this threaded comment; however, any edits to it will get removed if the file is opened in a newer version of Excel. Learn more: https://go.microsoft.com/fwlink/?linkid=870924
Comment:
	7/11 sent to client
</t>
      </text>
    </comment>
    <comment authorId="1576" xr:uid="{cc23061a-cc72-44a6-beb9-27cde284be2e}" ref="A1">
      <text>
        <t xml:space="preserve">[Threaded comment]
 Your version of Excel allows you to read this threaded comment; however, any edits to it will get removed if the file is opened in a newer version of Excel. Learn more: https://go.microsoft.com/fwlink/?linkid=870924
Comment:
	10/23 asked PA's if they want to save the claim to call the client, if not i sent the withdrawal letter (CM)
</t>
      </text>
    </comment>
    <comment authorId="1577" xr:uid="{cc281bec-757f-4a28-9a8b-0e0e586ad5a6}" ref="M297">
      <text>
        <t xml:space="preserve">[Threaded comment]
 Your version of Excel allows you to read this threaded comment; however, any edits to it will get removed if the file is opened in a newer version of Excel. Learn more: https://go.microsoft.com/fwlink/?linkid=870924
Comment:
	enviar cuando este aprobado
Reply:
	1/22/25 sent to DA
</t>
      </text>
    </comment>
    <comment authorId="1578" xr:uid="{cc387b37-bc1f-4133-b522-cce82ff13690}" ref="Q324">
      <text>
        <t xml:space="preserve">[Threaded comment]
 Your version of Excel allows you to read this threaded comment; however, any edits to it will get removed if the file is opened in a newer version of Excel. Learn more: https://go.microsoft.com/fwlink/?linkid=870924
Comment:
	03/10
</t>
      </text>
    </comment>
    <comment authorId="1579" xr:uid="{cc44b7ba-8525-4e55-9809-6c6f8462d467}" ref="M246">
      <text>
        <t xml:space="preserve">[Threaded comment]
 Your version of Excel allows you to read this threaded comment; however, any edits to it will get removed if the file is opened in a newer version of Excel. Learn more: https://go.microsoft.com/fwlink/?linkid=870924
Comment:
	12/06 sent to carrier
</t>
      </text>
    </comment>
    <comment authorId="1580" xr:uid="{cc559fc4-12c9-4e71-96b1-465904474591}" ref="N334">
      <text>
        <t xml:space="preserve">[Threaded comment]
 Your version of Excel allows you to read this threaded comment; however, any edits to it will get removed if the file is opened in a newer version of Excel. Learn more: https://go.microsoft.com/fwlink/?linkid=870924
Comment:
	3/31 sent to josh
Reply:
	3/31 aprobado
</t>
      </text>
    </comment>
    <comment authorId="1581" xr:uid="{cc84a991-1355-4c3e-904f-927fc9f950d3}" ref="V201">
      <text>
        <t xml:space="preserve">[Threaded comment]
 Your version of Excel allows you to read this threaded comment; however, any edits to it will get removed if the file is opened in a newer version of Excel. Learn more: https://go.microsoft.com/fwlink/?linkid=870924
Comment:
	11/14 Sarah sent a settlement check to the client, asked I&amp;P if they settled this claim so I can inform to Wilber (CM)
</t>
      </text>
    </comment>
    <comment authorId="1582" xr:uid="{cc9ff124-a390-450a-a831-9c927ca2d128}" ref="P235">
      <text>
        <t xml:space="preserve">[Threaded comment]
 Your version of Excel allows you to read this threaded comment; however, any edits to it will get removed if the file is opened in a newer version of Excel. Learn more: https://go.microsoft.com/fwlink/?linkid=870924
Comment:
	11//12 followed up on the IA report and his determination on writing (CM)
</t>
      </text>
    </comment>
    <comment authorId="1583" xr:uid="{cca1f52e-98da-4efa-b37a-883a2370cbc8}" ref="P254">
      <text>
        <t xml:space="preserve">[Threaded comment]
 Your version of Excel allows you to read this threaded comment; however, any edits to it will get removed if the file is opened in a newer version of Excel. Learn more: https://go.microsoft.com/fwlink/?linkid=870924
Comment:
	11/20 insp
</t>
      </text>
    </comment>
    <comment authorId="1584" xr:uid="{ccc2424c-3319-4f2f-8a3b-3db2cbde0088}"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585" xr:uid="{cd21f3f2-01a3-4980-b120-4b39f6fa473e}" ref="M259">
      <text>
        <t xml:space="preserve">[Threaded comment]
 Your version of Excel allows you to read this threaded comment; however, any edits to it will get removed if the file is opened in a newer version of Excel. Learn more: https://go.microsoft.com/fwlink/?linkid=870924
Comment:
	1/9/25 sent to DA
</t>
      </text>
    </comment>
    <comment authorId="1586" xr:uid="{cd8f6098-dd3d-42c9-8eea-d9854b296a39}"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587" xr:uid="{cd94e0ca-844c-4bcd-866f-162d9d578d72}" ref="A148">
      <text>
        <t xml:space="preserve">[Threaded comment]
 Your version of Excel allows you to read this threaded comment; however, any edits to it will get removed if the file is opened in a newer version of Excel. Learn more: https://go.microsoft.com/fwlink/?linkid=870924
Comment:
	Wilber
Reply:
	Recoverable depreciation $ 1,206.31
</t>
      </text>
    </comment>
    <comment authorId="1588" xr:uid="{cdbed2c2-90a3-4f90-95ee-3b9fe10714bf}" ref="N357">
      <text>
        <t xml:space="preserve">[Threaded comment]
 Your version of Excel allows you to read this threaded comment; however, any edits to it will get removed if the file is opened in a newer version of Excel. Learn more: https://go.microsoft.com/fwlink/?linkid=870924
Comment:
	4/19 sent to Josh
Reply:
	4/23 APROBADO
</t>
      </text>
    </comment>
    <comment authorId="1589" xr:uid="{ce3065e0-da1d-4dfb-b235-e584b5958bb8}" ref="Q368">
      <text>
        <t xml:space="preserve">[Threaded comment]
 Your version of Excel allows you to read this threaded comment; however, any edits to it will get removed if the file is opened in a newer version of Excel. Learn more: https://go.microsoft.com/fwlink/?linkid=870924
Comment:
	05/27
</t>
      </text>
    </comment>
    <comment authorId="1590" xr:uid="{ce588d2d-03ea-4636-a0a2-001e11dcdc01}" ref="N171">
      <text>
        <t xml:space="preserve">[Threaded comment]
 Your version of Excel allows you to read this threaded comment; however, any edits to it will get removed if the file is opened in a newer version of Excel. Learn more: https://go.microsoft.com/fwlink/?linkid=870924
Comment:
	7/25 aprobado
</t>
      </text>
    </comment>
    <comment authorId="1591" xr:uid="{ce5b51c8-349d-4147-9bdc-dd2299e1f150}" ref="V189">
      <text>
        <t xml:space="preserve">[Threaded comment]
 Your version of Excel allows you to read this threaded comment; however, any edits to it will get removed if the file is opened in a newer version of Excel. Learn more: https://go.microsoft.com/fwlink/?linkid=870924
Comment:
	10/02 received an undisputted payment for $10.027.80 and the IA report, asked I&amp;P if they want to request mediaiton (CM)
</t>
      </text>
    </comment>
    <comment authorId="1592" xr:uid="{ce748508-e787-4d04-8f12-485b7313fde1}" ref="V158">
      <text>
        <t xml:space="preserve">[Threaded comment]
 Your version of Excel allows you to read this threaded comment; however, any edits to it will get removed if the file is opened in a newer version of Excel. Learn more: https://go.microsoft.com/fwlink/?linkid=870924
Comment:
	10/28 The panel is requesting two weeks from the inspection scheduled for 10/29 to schedule the mediation (CM)
</t>
      </text>
    </comment>
    <comment authorId="1593" xr:uid="{ceb1b18a-3cb5-4f96-80df-5ddd0b904916}" ref="A1">
      <text>
        <t xml:space="preserve">[Threaded comment]
 Your version of Excel allows you to read this threaded comment; however, any edits to it will get removed if the file is opened in a newer version of Excel. Learn more: https://go.microsoft.com/fwlink/?linkid=870924
Comment:
	02/06 waiting for IA to send (CM)
</t>
      </text>
    </comment>
    <comment authorId="1594" xr:uid="{cebb556d-3a6d-4f19-9ab8-e369efebecdf}" ref="B51">
      <text>
        <t xml:space="preserve">[Threaded comment]
 Your version of Excel allows you to read this threaded comment; however, any edits to it will get removed if the file is opened in a newer version of Excel. Learn more: https://go.microsoft.com/fwlink/?linkid=870924
Comment:
	Peter / Alex
</t>
      </text>
    </comment>
    <comment authorId="1595" xr:uid="{cf0e7b9d-d138-4021-b211-6d36f70048a5}" ref="O326">
      <text>
        <t xml:space="preserve">[Threaded comment]
 Your version of Excel allows you to read this threaded comment; however, any edits to it will get removed if the file is opened in a newer version of Excel. Learn more: https://go.microsoft.com/fwlink/?linkid=870924
Comment:
	3/13 sent to client
</t>
      </text>
    </comment>
    <comment authorId="1596" xr:uid="{cf2dd116-9847-449d-9478-6a9cf91ce05a}" ref="N325">
      <text>
        <t xml:space="preserve">[Threaded comment]
 Your version of Excel allows you to read this threaded comment; however, any edits to it will get removed if the file is opened in a newer version of Excel. Learn more: https://go.microsoft.com/fwlink/?linkid=870924
Comment:
	2/28 sent to ivan
Reply:
	3/12 aprobado por ivan
</t>
      </text>
    </comment>
    <comment authorId="1597" xr:uid="{cf502a93-4e11-4eb7-826a-6c10b5a5b1d3}" ref="A1">
      <text>
        <t xml:space="preserve">[Threaded comment]
 Your version of Excel allows you to read this threaded comment; however, any edits to it will get removed if the file is opened in a newer version of Excel. Learn more: https://go.microsoft.com/fwlink/?linkid=870924
Comment:
	08/07
</t>
      </text>
    </comment>
    <comment authorId="1598" xr:uid="{cf6279fb-aad6-428c-b885-a4773a77fa61}"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599" xr:uid="{cf82de31-cc05-43b2-ad4f-72ff0ddd6216}" ref="V183">
      <text>
        <t xml:space="preserve">[Threaded comment]
 Your version of Excel allows you to read this threaded comment; however, any edits to it will get removed if the file is opened in a newer version of Excel. Learn more: https://go.microsoft.com/fwlink/?linkid=870924
Comment:
	08/08 asked Juan to approve the estimate that JP sent as per DA request, asked via ws (CM)
</t>
      </text>
    </comment>
    <comment authorId="1600" xr:uid="{cf9ec8d3-76cb-4291-9a83-6943b7b25930}" ref="S191">
      <text>
        <t xml:space="preserve">[Threaded comment]
 Your version of Excel allows you to read this threaded comment; however, any edits to it will get removed if the file is opened in a newer version of Excel. Learn more: https://go.microsoft.com/fwlink/?linkid=870924
Comment:
	08/16 DA called and asked for Day's info to schedule a engineer inspection (CM) @scheduling@ipadjustinggroup.com
Assigned to scheduling@ipadjustinggroup.com
Reply:
	Marked as done
</t>
      </text>
    </comment>
    <comment authorId="1601" xr:uid="{cfa30e3b-a217-4fd7-8e2f-da94471bfcc1}" ref="A1">
      <text>
        <t xml:space="preserve">[Threaded comment]
 Your version of Excel allows you to read this threaded comment; however, any edits to it will get removed if the file is opened in a newer version of Excel. Learn more: https://go.microsoft.com/fwlink/?linkid=870924
Comment:
	02/14 takes 60 to 90 days for a response (CM)
Reply:
	03/04 asked for a copy of the policy (CM)
</t>
      </text>
    </comment>
    <comment authorId="1602" xr:uid="{cfde5336-b0e7-4011-b56f-5a6ec642dba3}" ref="A248">
      <text>
        <t xml:space="preserve">[Threaded comment]
 Your version of Excel allows you to read this threaded comment; however, any edits to it will get removed if the file is opened in a newer version of Excel. Learn more: https://go.microsoft.com/fwlink/?linkid=870924
Comment:
	Peter
Reply:
	O&amp;L  $2,862.59
</t>
      </text>
    </comment>
    <comment authorId="1603" xr:uid="{d00992f5-4d0f-47c2-adda-3f4f167cce35}" ref="A290">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604" xr:uid="{d07ef4d2-a499-4380-9303-c9bd92a4c119}" ref="V215">
      <text>
        <t xml:space="preserve">[Threaded comment]
 Your version of Excel allows you to read this threaded comment; however, any edits to it will get removed if the file is opened in a newer version of Excel. Learn more: https://go.microsoft.com/fwlink/?linkid=870924
Comment:
	11/21 recieved the determination letter, they are paying 13k, sent to PAs and asked JP to review the IA and send our estimate (CM)
</t>
      </text>
    </comment>
    <comment authorId="1605" xr:uid="{d08d61de-987a-4082-99c9-8c696596b9a6}" ref="O239">
      <text>
        <t xml:space="preserve">[Threaded comment]
 Your version of Excel allows you to read this threaded comment; however, any edits to it will get removed if the file is opened in a newer version of Excel. Learn more: https://go.microsoft.com/fwlink/?linkid=870924
Comment:
	1/21 sent to client. no policy
</t>
      </text>
    </comment>
    <comment authorId="1606" xr:uid="{d0b787b3-923a-46f1-b8a7-35f6e8601c5c}" ref="M247">
      <text>
        <t xml:space="preserve">[Threaded comment]
 Your version of Excel allows you to read this threaded comment; however, any edits to it will get removed if the file is opened in a newer version of Excel. Learn more: https://go.microsoft.com/fwlink/?linkid=870924
Comment:
	12/30 sent to carrier
</t>
      </text>
    </comment>
    <comment authorId="1607" xr:uid="{d0de19a6-4f6b-46fe-a8f4-ef1680471e27}" ref="V356">
      <text>
        <t xml:space="preserve">[Threaded comment]
 Your version of Excel allows you to read this threaded comment; however, any edits to it will get removed if the file is opened in a newer version of Excel. Learn more: https://go.microsoft.com/fwlink/?linkid=870924
Comment:
	06/11 received a denial letter, asked how to proceed (CM)
</t>
      </text>
    </comment>
    <comment authorId="1608" xr:uid="{d112e5a9-db52-43e9-82c6-eb4d42fb92e7}" ref="M322">
      <text>
        <t xml:space="preserve">[Threaded comment]
 Your version of Excel allows you to read this threaded comment; however, any edits to it will get removed if the file is opened in a newer version of Excel. Learn more: https://go.microsoft.com/fwlink/?linkid=870924
Comment:
	4/12 sent to carrier
</t>
      </text>
    </comment>
    <comment authorId="1609" xr:uid="{d119dd6f-8aba-4a50-b35f-d5aa186e6132}" ref="A411">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1610" xr:uid="{d15338bc-edf4-4251-9088-f1a36f202755}" ref="V146">
      <text>
        <t xml:space="preserve">[Threaded comment]
 Your version of Excel allows you to read this threaded comment; however, any edits to it will get removed if the file is opened in a newer version of Excel. Learn more: https://go.microsoft.com/fwlink/?linkid=870924
Comment:
	11/19 Peter is negotiating this claim for 10k (CM)
</t>
      </text>
    </comment>
    <comment authorId="1611" xr:uid="{d176ce97-ece7-4ce9-aa17-7cb6041ebed3}"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612" xr:uid="{d17dd593-c5a0-4732-8a78-929924dae085}"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613" xr:uid="{d18888f0-ee6d-45a8-aac6-09e0187743c8}" ref="A1">
      <text>
        <t xml:space="preserve">[Threaded comment]
 Your version of Excel allows you to read this threaded comment; however, any edits to it will get removed if the file is opened in a newer version of Excel. Learn more: https://go.microsoft.com/fwlink/?linkid=870924
Comment:
	ENVIAR
</t>
      </text>
    </comment>
    <comment authorId="1614" xr:uid="{d1a557db-c265-4112-8c35-2f083688e498}" ref="A271">
      <text>
        <t xml:space="preserve">[Threaded comment]
 Your version of Excel allows you to read this threaded comment; however, any edits to it will get removed if the file is opened in a newer version of Excel. Learn more: https://go.microsoft.com/fwlink/?linkid=870924
Comment:
	Joshua
Reply:
	No additional payments on this claim
</t>
      </text>
    </comment>
    <comment authorId="1615" xr:uid="{d1b234c5-fe46-4775-92ea-f65e84199168}" ref="P257">
      <text>
        <t xml:space="preserve">[Threaded comment]
 Your version of Excel allows you to read this threaded comment; however, any edits to it will get removed if the file is opened in a newer version of Excel. Learn more: https://go.microsoft.com/fwlink/?linkid=870924
Comment:
	11/14 FA informs that the inspection was done (CM)
</t>
      </text>
    </comment>
    <comment authorId="1616" xr:uid="{d1b2cde5-9938-4255-9afe-2cc29d77756f}" ref="A1">
      <text>
        <t xml:space="preserve">[Threaded comment]
 Your version of Excel allows you to read this threaded comment; however, any edits to it will get removed if the file is opened in a newer version of Excel. Learn more: https://go.microsoft.com/fwlink/?linkid=870924
Comment:
	8/28 enviado a david
Reply:
	8/28 APROBADO
</t>
      </text>
    </comment>
    <comment authorId="1617" xr:uid="{d1c4eae6-4646-4bc7-a7f4-e8943aed9edf}" ref="M339">
      <text>
        <t xml:space="preserve">[Threaded comment]
 Your version of Excel allows you to read this threaded comment; however, any edits to it will get removed if the file is opened in a newer version of Excel. Learn more: https://go.microsoft.com/fwlink/?linkid=870924
Comment:
	3/19 sent to DA
</t>
      </text>
    </comment>
    <comment authorId="1618" xr:uid="{d22d886c-3e91-49f2-bfb0-cbbdc65b3e0f}" ref="A100">
      <text>
        <t xml:space="preserve">[Threaded comment]
 Your version of Excel allows you to read this threaded comment; however, any edits to it will get removed if the file is opened in a newer version of Excel. Learn more: https://go.microsoft.com/fwlink/?linkid=870924
Comment:
	Peter
Reply:
	we were paid @admin@ipadjustinggroup.com
</t>
      </text>
    </comment>
    <comment authorId="1619" xr:uid="{d2749892-c058-4677-97bb-ed9c8c918d1f}" ref="N323">
      <text>
        <t xml:space="preserve">[Threaded comment]
 Your version of Excel allows you to read this threaded comment; however, any edits to it will get removed if the file is opened in a newer version of Excel. Learn more: https://go.microsoft.com/fwlink/?linkid=870924
Comment:
	2/25 sent to josh
</t>
      </text>
    </comment>
    <comment authorId="1620" xr:uid="{d28236e2-6bb5-461a-974a-023b17f03605}"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621" xr:uid="{d2b70ccd-9e7e-41ba-9796-e8242ed47163}"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622" xr:uid="{d2c0420e-59e5-4ba5-bfcb-e6e6aebb47fd}" ref="P301">
      <text>
        <t xml:space="preserve">[Threaded comment]
 Your version of Excel allows you to read this threaded comment; however, any edits to it will get removed if the file is opened in a newer version of Excel. Learn more: https://go.microsoft.com/fwlink/?linkid=870924
Comment:
	rs was 02/14
</t>
      </text>
    </comment>
    <comment authorId="1623" xr:uid="{d2d1ea29-bbad-4e85-adb4-a79c8b795dc4}" ref="A192">
      <text>
        <t xml:space="preserve">[Threaded comment]
 Your version of Excel allows you to read this threaded comment; however, any edits to it will get removed if the file is opened in a newer version of Excel. Learn more: https://go.microsoft.com/fwlink/?linkid=870924
Comment:
	08/16 sent appraisal letter with Stephen Forker info (CM) @scheduling@ipadjustinggroup.com
</t>
      </text>
    </comment>
    <comment authorId="1624" xr:uid="{d2d7473b-526a-4f63-ae68-a2c5edfb1f4e}" ref="M306">
      <text>
        <t xml:space="preserve">[Threaded comment]
 Your version of Excel allows you to read this threaded comment; however, any edits to it will get removed if the file is opened in a newer version of Excel. Learn more: https://go.microsoft.com/fwlink/?linkid=870924
Comment:
	3/24 sent to carrier
</t>
      </text>
    </comment>
    <comment authorId="1625" xr:uid="{d2e01c00-580f-4e43-a09e-8d618b2d7ac0}" ref="A1">
      <text>
        <t xml:space="preserve">[Threaded comment]
 Your version of Excel allows you to read this threaded comment; however, any edits to it will get removed if the file is opened in a newer version of Excel. Learn more: https://go.microsoft.com/fwlink/?linkid=870924
Comment:
	03/12 received denial letter (CM)
</t>
      </text>
    </comment>
    <comment authorId="1626" xr:uid="{d2f53a51-3727-4826-9961-49840767c7ae}" ref="V150">
      <text>
        <t xml:space="preserve">[Threaded comment]
 Your version of Excel allows you to read this threaded comment; however, any edits to it will get removed if the file is opened in a newer version of Excel. Learn more: https://go.microsoft.com/fwlink/?linkid=870924
Comment:
	01/10 DA is offering 5k new money, cc'd PAs (CM)
Reply:
	01/20 Peter did a counter offer for 35k (CM)
Reply:
	01/21 Day informs that the DA doesn't accept the appraisal (CM)
</t>
      </text>
    </comment>
    <comment authorId="1627" xr:uid="{d33d36e6-3de3-4c9e-a533-d870601bfd2c}" ref="V202">
      <text>
        <t xml:space="preserve">[Threaded comment]
 Your version of Excel allows you to read this threaded comment; however, any edits to it will get removed if the file is opened in a newer version of Excel. Learn more: https://go.microsoft.com/fwlink/?linkid=870924
Comment:
	09/12 DA says they disagree with the appraisal and asked us to confirm if she could send the settlement release with the 1.8k offer, sent to I&amp;P (CM)
Reply:
	09/20 Iván says that there is no need to do the appraisal, asked him if he got an agreement (CM)
</t>
      </text>
    </comment>
    <comment authorId="1628" xr:uid="{d38d5604-ca39-4dfe-aeac-6a5a3cd1fffa}" ref="A1">
      <text>
        <t xml:space="preserve">[Threaded comment]
 Your version of Excel allows you to read this threaded comment; however, any edits to it will get removed if the file is opened in a newer version of Excel. Learn more: https://go.microsoft.com/fwlink/?linkid=870924
Comment:
	07/02
</t>
      </text>
    </comment>
    <comment authorId="1629" xr:uid="{d3b68345-3ef7-4ba8-a71a-4e3eca36c87a}" ref="M393">
      <text>
        <t xml:space="preserve">[Threaded comment]
 Your version of Excel allows you to read this threaded comment; however, any edits to it will get removed if the file is opened in a newer version of Excel. Learn more: https://go.microsoft.com/fwlink/?linkid=870924
Comment:
	11/12 sent
</t>
      </text>
    </comment>
    <comment authorId="1630" xr:uid="{d3df4641-2f6e-4d74-bb7b-03f9e3d16170}" ref="N238">
      <text>
        <t xml:space="preserve">[Threaded comment]
 Your version of Excel allows you to read this threaded comment; however, any edits to it will get removed if the file is opened in a newer version of Excel. Learn more: https://go.microsoft.com/fwlink/?linkid=870924
Comment:
	10/22 sent to gregory/peter
Reply:
	11/05 pedi a peter que revise el estimado
Reply:
	11/05 Peter approved the estimate.
</t>
      </text>
    </comment>
    <comment authorId="1631" xr:uid="{d3dfe556-e4a8-4824-a19c-f29231501193}" ref="M170">
      <text>
        <t xml:space="preserve">[Threaded comment]
 Your version of Excel allows you to read this threaded comment; however, any edits to it will get removed if the file is opened in a newer version of Excel. Learn more: https://go.microsoft.com/fwlink/?linkid=870924
Comment:
	8/15 sent to DA Jorge @admin@ipadjustinggroup.com
</t>
      </text>
    </comment>
    <comment authorId="1632" xr:uid="{d3e1a144-19dd-49c8-bf76-e30cf69b2a4e}" ref="V22">
      <text>
        <t xml:space="preserve">[Threaded comment]
 Your version of Excel allows you to read this threaded comment; however, any edits to it will get removed if the file is opened in a newer version of Excel. Learn more: https://go.microsoft.com/fwlink/?linkid=870924
Comment:
	08/21 as per letter received by DA, this claim is closed (CM)
</t>
      </text>
    </comment>
    <comment authorId="1633" xr:uid="{d3e6e142-9557-438f-bf90-bf082628124e}"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634" xr:uid="{d3fd7ae5-4bfe-485f-9ea6-50e8ebf3b4fa}" ref="P246">
      <text>
        <t xml:space="preserve">[Threaded comment]
 Your version of Excel allows you to read this threaded comment; however, any edits to it will get removed if the file is opened in a newer version of Excel. Learn more: https://go.microsoft.com/fwlink/?linkid=870924
Comment:
	11/07 was the insp and RS
</t>
      </text>
    </comment>
    <comment authorId="1635" xr:uid="{d405038c-4205-4df5-840d-6047ead4eebf}" ref="A179">
      <text>
        <t xml:space="preserve">[Threaded comment]
 Your version of Excel allows you to read this threaded comment; however, any edits to it will get removed if the file is opened in a newer version of Excel. Learn more: https://go.microsoft.com/fwlink/?linkid=870924
Comment:
	10/07 asked wilber
</t>
      </text>
    </comment>
    <comment authorId="1636" xr:uid="{d46016a7-5cdb-4aed-9b7b-1505f9508243}"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637" xr:uid="{d477bbdb-3806-4006-85e6-a00ee2800efd}"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638" xr:uid="{d47eab40-866c-474b-a7c4-90f48eacf655}" ref="A1">
      <text>
        <t xml:space="preserve">[Threaded comment]
 Your version of Excel allows you to read this threaded comment; however, any edits to it will get removed if the file is opened in a newer version of Excel. Learn more: https://go.microsoft.com/fwlink/?linkid=870924
Comment:
	09/18
</t>
      </text>
    </comment>
    <comment authorId="1639" xr:uid="{d4b8e2d5-89ef-4639-bd15-89f6f549cd14}" ref="V90">
      <text>
        <t xml:space="preserve">[Threaded comment]
 Your version of Excel allows you to read this threaded comment; however, any edits to it will get removed if the file is opened in a newer version of Excel. Learn more: https://go.microsoft.com/fwlink/?linkid=870924
Comment:
	10/31 left a VM to the SPV asking for a determination, SPV called he said that as per his review everything is ok, he has message the DA asking to contact us, he mentioned that our estimate was kind of crazy because the floor was damaged but we want to change the wall and the ceiling (CM)
</t>
      </text>
    </comment>
    <comment authorId="1640" xr:uid="{d4bf9a40-e9c2-4f4d-a158-84e2b62e7f3d}" ref="M350">
      <text>
        <t xml:space="preserve">[Threaded comment]
 Your version of Excel allows you to read this threaded comment; however, any edits to it will get removed if the file is opened in a newer version of Excel. Learn more: https://go.microsoft.com/fwlink/?linkid=870924
Comment:
	4/9 sent to carrier
</t>
      </text>
    </comment>
    <comment authorId="1641" xr:uid="{d4e392a8-67af-4b95-ab11-50d5cddd4e72}" ref="A189">
      <text>
        <t xml:space="preserve">[Threaded comment]
 Your version of Excel allows you to read this threaded comment; however, any edits to it will get removed if the file is opened in a newer version of Excel. Learn more: https://go.microsoft.com/fwlink/?linkid=870924
Comment:
	10/07 asked Wilber if he wants to take this appraisal (CM)
</t>
      </text>
    </comment>
    <comment authorId="1642" xr:uid="{d4e673fc-85fe-4697-a5a6-a3ecaf7b5d32}" ref="V203">
      <text>
        <t xml:space="preserve">[Threaded comment]
 Your version of Excel allows you to read this threaded comment; however, any edits to it will get removed if the file is opened in a newer version of Excel. Learn more: https://go.microsoft.com/fwlink/?linkid=870924
Comment:
	09/05 Citizens says it could take up to 45 business days to receive the policy, asked PAs if they want me to send to Wilber all the documentation with out the policy (CM)
</t>
      </text>
    </comment>
    <comment authorId="1643" xr:uid="{d4e8b60d-29e9-4630-b0a0-07f55e71c774}" ref="A1">
      <text>
        <t xml:space="preserve">[Threaded comment]
 Your version of Excel allows you to read this threaded comment; however, any edits to it will get removed if the file is opened in a newer version of Excel. Learn more: https://go.microsoft.com/fwlink/?linkid=870924
Comment:
	05/30 left a VM and emailed to DA requesting the status of this claim and the IA report (CM)
</t>
      </text>
    </comment>
    <comment authorId="1644" xr:uid="{d5283a4e-8cfd-4586-a59c-ad75103bb588}" ref="M293">
      <text>
        <t xml:space="preserve">[Threaded comment]
 Your version of Excel allows you to read this threaded comment; however, any edits to it will get removed if the file is opened in a newer version of Excel. Learn more: https://go.microsoft.com/fwlink/?linkid=870924
Comment:
	2/14 subido a CP
</t>
      </text>
    </comment>
    <comment authorId="1645" xr:uid="{d529b9ed-5131-419e-a79b-b2c3913d710d}"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646" xr:uid="{d52b97ce-8f46-4cf9-bb11-01c0c4f726cf}"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647" xr:uid="{d551c810-a808-4e9f-afc6-f402a874b96e}" ref="N210">
      <text>
        <t xml:space="preserve">[Threaded comment]
 Your version of Excel allows you to read this threaded comment; however, any edits to it will get removed if the file is opened in a newer version of Excel. Learn more: https://go.microsoft.com/fwlink/?linkid=870924
Comment:
	10/23 sent to ivan
Reply:
	10/28 received a denial send our estimate 177
Reply:
	10/28 aprobado por ivan
</t>
      </text>
    </comment>
    <comment authorId="1648" xr:uid="{d5627899-e0b2-4bf4-81e7-d5c2c81722b5}" ref="P199">
      <text>
        <t xml:space="preserve">[Threaded comment]
 Your version of Excel allows you to read this threaded comment; however, any edits to it will get removed if the file is opened in a newer version of Excel. Learn more: https://go.microsoft.com/fwlink/?linkid=870924
Comment:
	Coverage and IA report from 2022
nothing scheduled til 09/24
</t>
      </text>
    </comment>
    <comment authorId="1649" xr:uid="{d5b0b859-304b-4c4f-a566-39c673849da1}" ref="N265">
      <text>
        <t xml:space="preserve">[Threaded comment]
 Your version of Excel allows you to read this threaded comment; however, any edits to it will get removed if the file is opened in a newer version of Excel. Learn more: https://go.microsoft.com/fwlink/?linkid=870924
Comment:
	11/09 Sent the estimate to Joshua for review.
Reply:
	Peter mando ya el estimado a la companua de seguros pilas
Reply:
	11/11 Joshua approved the estimate.
Reply:
	@admin@ipadjustinggroup.com Carito envio o no este estimado al carrier/DA.? 234
</t>
      </text>
    </comment>
    <comment authorId="1650" xr:uid="{d5b91945-3072-48c0-8064-a519a7acbbc5}" ref="A150">
      <text>
        <t xml:space="preserve">[Threaded comment]
 Your version of Excel allows you to read this threaded comment; however, any edits to it will get removed if the file is opened in a newer version of Excel. Learn more: https://go.microsoft.com/fwlink/?linkid=870924
Comment:
	Stephen
Reply:
	11/08 asked Juan if the client has signed the appraisal agreement (CM)
</t>
      </text>
    </comment>
    <comment authorId="1651" xr:uid="{d5d08049-1bf4-4500-a37f-60b26f806a15}" ref="P216">
      <text>
        <t xml:space="preserve">[Threaded comment]
 Your version of Excel allows you to read this threaded comment; however, any edits to it will get removed if the file is opened in a newer version of Excel. Learn more: https://go.microsoft.com/fwlink/?linkid=870924
Comment:
	Inspection been scheduled for 11/07 (CM)
</t>
      </text>
    </comment>
    <comment authorId="1652" xr:uid="{d5db29b2-2610-4f28-ab44-2ff5cec0b532}" ref="A1">
      <text>
        <t xml:space="preserve">[Threaded comment]
 Your version of Excel allows you to read this threaded comment; however, any edits to it will get removed if the file is opened in a newer version of Excel. Learn more: https://go.microsoft.com/fwlink/?linkid=870924
Comment:
	NEED TO CONFIRM ASAP FOR FRIDAY 07/19
</t>
      </text>
    </comment>
    <comment authorId="1653" xr:uid="{d6106f66-1a6e-45a5-8b87-2f4a0a565690}" ref="A129">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654" xr:uid="{d61f51e2-4820-49e1-9fd6-6ac571ebf8fa}" ref="M110">
      <text>
        <t xml:space="preserve">[Threaded comment]
 Your version of Excel allows you to read this threaded comment; however, any edits to it will get removed if the file is opened in a newer version of Excel. Learn more: https://go.microsoft.com/fwlink/?linkid=870924
Comment:
	9/3 pedi a Juan q revise el updated con la Pool.
</t>
      </text>
    </comment>
    <comment authorId="1655" xr:uid="{d66b5d42-99fa-468f-9f69-7ef791f48eb5}"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656" xr:uid="{d6742f34-02ac-4e6e-83d2-6a2ec3cf45c9}" ref="A346">
      <text>
        <t xml:space="preserve">[Threaded comment]
 Your version of Excel allows you to read this threaded comment; however, any edits to it will get removed if the file is opened in a newer version of Excel. Learn more: https://go.microsoft.com/fwlink/?linkid=870924
Comment:
	Juan
Reply:
	$8,601.68
</t>
      </text>
    </comment>
    <comment authorId="1657" xr:uid="{d680cdef-674a-44df-a455-2172867724b0}" ref="P90">
      <text>
        <t xml:space="preserve">[Threaded comment]
 Your version of Excel allows you to read this threaded comment; however, any edits to it will get removed if the file is opened in a newer version of Excel. Learn more: https://go.microsoft.com/fwlink/?linkid=870924
Comment:
	10/31
</t>
      </text>
    </comment>
    <comment authorId="1658" xr:uid="{d6898605-2b7c-46a6-9197-5ae01e90a91e}" ref="A1">
      <text>
        <t xml:space="preserve">[Threaded comment]
 Your version of Excel allows you to read this threaded comment; however, any edits to it will get removed if the file is opened in a newer version of Excel. Learn more: https://go.microsoft.com/fwlink/?linkid=870924
Comment:
	04/29
</t>
      </text>
    </comment>
    <comment authorId="1659" xr:uid="{d6aca98a-0a1b-43da-8c04-e605329b0d9d}" ref="M215">
      <text>
        <t xml:space="preserve">[Threaded comment]
 Your version of Excel allows you to read this threaded comment; however, any edits to it will get removed if the file is opened in a newer version of Excel. Learn more: https://go.microsoft.com/fwlink/?linkid=870924
Comment:
	1/7/25 sent to carrier
</t>
      </text>
    </comment>
    <comment authorId="1660" xr:uid="{d6b01d23-d233-4986-a147-45c02ea54688}" ref="P216">
      <text>
        <t xml:space="preserve">[Threaded comment]
 Your version of Excel allows you to read this threaded comment; however, any edits to it will get removed if the file is opened in a newer version of Excel. Learn more: https://go.microsoft.com/fwlink/?linkid=870924
Comment:
	12/12
</t>
      </text>
    </comment>
    <comment authorId="1661" xr:uid="{d6ed3116-fda0-4248-be98-fdf4ba5b9c1b}" ref="V108">
      <text>
        <t xml:space="preserve">[Threaded comment]
 Your version of Excel allows you to read this threaded comment; however, any edits to it will get removed if the file is opened in a newer version of Excel. Learn more: https://go.microsoft.com/fwlink/?linkid=870924
Comment:
	01/27 DA says he stands on his denial, sent to PAs (CM)
</t>
      </text>
    </comment>
    <comment authorId="1662" xr:uid="{d7670179-c5e1-4f71-ba9e-f2138f06265e}" ref="A1">
      <text>
        <t xml:space="preserve">[Threaded comment]
 Your version of Excel allows you to read this threaded comment; however, any edits to it will get removed if the file is opened in a newer version of Excel. Learn more: https://go.microsoft.com/fwlink/?linkid=870924
Comment:
	02/26 received a loss than deductible letter (CM)
Reply:
	04/09 received a partial denial (CM)
</t>
      </text>
    </comment>
    <comment authorId="1663" xr:uid="{d779a218-cbde-463f-974b-b9bcd3ba10cc}" ref="A324">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1664" xr:uid="{d7900a02-5c51-47b7-abd1-95109bf054b8}" ref="N287">
      <text>
        <t xml:space="preserve">[Threaded comment]
 Your version of Excel allows you to read this threaded comment; however, any edits to it will get removed if the file is opened in a newer version of Excel. Learn more: https://go.microsoft.com/fwlink/?linkid=870924
Comment:
	1/9/25 sent to ivan
Reply:
	1/13/25 aprobado
</t>
      </text>
    </comment>
    <comment authorId="1665" xr:uid="{d7902e88-44e0-4bca-a2d6-2fe18569dc4a}"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666" xr:uid="{d792fb87-867d-436d-9df1-0b09607b00ae}" ref="A45">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$2,667.97
Coverage B: $2,861.55
</t>
      </text>
    </comment>
    <comment authorId="1667" xr:uid="{d7bbe356-4372-4ed7-ab89-b1e9fa3cefcc}" ref="R341">
      <text>
        <t xml:space="preserve">[Threaded comment]
 Your version of Excel allows you to read this threaded comment; however, any edits to it will get removed if the file is opened in a newer version of Excel. Learn more: https://go.microsoft.com/fwlink/?linkid=870924
Comment:
	@admin@ipadjustinggroup.com  NEW DA INFO
</t>
      </text>
    </comment>
    <comment authorId="1668" xr:uid="{d800fc91-7289-455b-bfc1-f80634cf47b8}" ref="M208">
      <text>
        <t xml:space="preserve">[Threaded comment]
 Your version of Excel allows you to read this threaded comment; however, any edits to it will get removed if the file is opened in a newer version of Excel. Learn more: https://go.microsoft.com/fwlink/?linkid=870924
Comment:
	esperar IA report
Reply:
	Ya tenemos denial 175
</t>
      </text>
    </comment>
    <comment authorId="1669" xr:uid="{d803457f-d9f4-4f97-be96-82fd82adbd7e}" ref="N356">
      <text>
        <t xml:space="preserve">[Threaded comment]
 Your version of Excel allows you to read this threaded comment; however, any edits to it will get removed if the file is opened in a newer version of Excel. Learn more: https://go.microsoft.com/fwlink/?linkid=870924
Comment:
	5/15 sent to josh
Reply:
	5/16 aprobado
</t>
      </text>
    </comment>
    <comment authorId="1670" xr:uid="{d83a3d9a-c634-4249-b9d4-e5c886e9ddd4}" ref="A182">
      <text>
        <t xml:space="preserve">[Threaded comment]
 Your version of Excel allows you to read this threaded comment; however, any edits to it will get removed if the file is opened in a newer version of Excel. Learn more: https://go.microsoft.com/fwlink/?linkid=870924
Comment:
	11/11 we have the appraisal agreement sign by the client (CM)
</t>
      </text>
    </comment>
    <comment authorId="1671" xr:uid="{d843cc51-3783-4f3d-82cd-d7443ef15899}" ref="A371">
      <text>
        <t xml:space="preserve">[Threaded comment]
 Your version of Excel allows you to read this threaded comment; however, any edits to it will get removed if the file is opened in a newer version of Excel. Learn more: https://go.microsoft.com/fwlink/?linkid=870924
Comment:
	Juan
Reply:
	Don't have the signed appraisal agreement, Joshua will pay Juan if necessary
</t>
      </text>
    </comment>
    <comment authorId="1672" xr:uid="{d84bd03c-22d8-4d81-ad29-6679a7647550}" ref="A143">
      <text>
        <t xml:space="preserve">[Threaded comment]
 Your version of Excel allows you to read this threaded comment; however, any edits to it will get removed if the file is opened in a newer version of Excel. Learn more: https://go.microsoft.com/fwlink/?linkid=870924
Comment:
	07/16 Peter will file NOI (cm) @scheduling@ipadjustinggroup.com
</t>
      </text>
    </comment>
    <comment authorId="1673" xr:uid="{d8511690-c30d-4204-9785-05d0304c1146}" ref="M329">
      <text>
        <t xml:space="preserve">[Threaded comment]
 Your version of Excel allows you to read this threaded comment; however, any edits to it will get removed if the file is opened in a newer version of Excel. Learn more: https://go.microsoft.com/fwlink/?linkid=870924
Comment:
	4/17 sent to DA @admin@ipadjustinggroup.com
</t>
      </text>
    </comment>
    <comment authorId="1674" xr:uid="{d870b729-e051-4469-a8c0-51f22ff0a7bf}" ref="M145">
      <text>
        <t xml:space="preserve">[Threaded comment]
 Your version of Excel allows you to read this threaded comment; however, any edits to it will get removed if the file is opened in a newer version of Excel. Learn more: https://go.microsoft.com/fwlink/?linkid=870924
Comment:
	7/15 enviar con el estimado aprobado,tenemos una denial @jp.ipestimates@gmail.com y asvisame porfa tenq pedir mediacion
Reply:
	Hoy envie el estimado, estoy esperando q apruebe Peter
Reply:
	7/30 enviado al carrier
</t>
      </text>
    </comment>
    <comment authorId="1675" xr:uid="{d8ae2c7e-2b5a-4e2e-abf7-70c30d9e77f4}" ref="A1">
      <text>
        <t xml:space="preserve">[Threaded comment]
 Your version of Excel allows you to read this threaded comment; however, any edits to it will get removed if the file is opened in a newer version of Excel. Learn more: https://go.microsoft.com/fwlink/?linkid=870924
Comment:
	01/22
</t>
      </text>
    </comment>
    <comment authorId="1676" xr:uid="{d8d9c66c-be63-4ccb-9eca-114063b938d6}" ref="P314">
      <text>
        <t xml:space="preserve">[Threaded comment]
 Your version of Excel allows you to read this threaded comment; however, any edits to it will get removed if the file is opened in a newer version of Excel. Learn more: https://go.microsoft.com/fwlink/?linkid=870924
Comment:
	02/17
</t>
      </text>
    </comment>
    <comment authorId="1677" xr:uid="{d8e7e082-8529-438d-a957-0252b632d068}" ref="M188">
      <text>
        <t xml:space="preserve">[Threaded comment]
 Your version of Excel allows you to read this threaded comment; however, any edits to it will get removed if the file is opened in a newer version of Excel. Learn more: https://go.microsoft.com/fwlink/?linkid=870924
Comment:
	WAITING IA REPORT
Reply:
	5/27 uploaded to CP
Reply:
	6/11 sent the offer and estimate to DA
offer $27,615.84
</t>
      </text>
    </comment>
    <comment authorId="1678" xr:uid="{d97edff3-11dd-4dde-8f6a-fbee5242d6f5}" ref="N358">
      <text>
        <t xml:space="preserve">[Threaded comment]
 Your version of Excel allows you to read this threaded comment; however, any edits to it will get removed if the file is opened in a newer version of Excel. Learn more: https://go.microsoft.com/fwlink/?linkid=870924
Comment:
	josh envio incompleto, esperando q envie todo
Reply:
	5/3 sent to josh
Reply:
	5/3 aprobado
</t>
      </text>
    </comment>
    <comment authorId="1679" xr:uid="{d9973d10-f9f1-4aef-9d6c-f81c6d66dedb}" ref="N206">
      <text>
        <t xml:space="preserve">[Threaded comment]
 Your version of Excel allows you to read this threaded comment; however, any edits to it will get removed if the file is opened in a newer version of Excel. Learn more: https://go.microsoft.com/fwlink/?linkid=870924
Comment:
	8/28 aprobado por juan
</t>
      </text>
    </comment>
    <comment authorId="1680" xr:uid="{d9a1c30c-3016-4ca9-aaa4-afa4203958dd}" ref="A203">
      <text>
        <t xml:space="preserve">[Threaded comment]
 Your version of Excel allows you to read this threaded comment; however, any edits to it will get removed if the file is opened in a newer version of Excel. Learn more: https://go.microsoft.com/fwlink/?linkid=870924
Comment:
	Wilber
Reply:
	O&amp;L $3,284.91
</t>
      </text>
    </comment>
    <comment authorId="1681" xr:uid="{d9aa4a54-9ddb-4d09-95e9-570505da88f6}"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682" xr:uid="{d9c7a1a6-543a-4c68-b60f-df4cdb5db438}" ref="N303">
      <text>
        <t xml:space="preserve">[Threaded comment]
 Your version of Excel allows you to read this threaded comment; however, any edits to it will get removed if the file is opened in a newer version of Excel. Learn more: https://go.microsoft.com/fwlink/?linkid=870924
Comment:
	1/20/25 sent to ivan
Reply:
	1/21/25 aprobado
</t>
      </text>
    </comment>
    <comment authorId="1683" xr:uid="{d9ce1010-e762-4eb3-9e5c-d9ec92acaaa1}" ref="N344">
      <text>
        <t xml:space="preserve">[Threaded comment]
 Your version of Excel allows you to read this threaded comment; however, any edits to it will get removed if the file is opened in a newer version of Excel. Learn more: https://go.microsoft.com/fwlink/?linkid=870924
Comment:
	4/1 sent to ivan
Reply:
	4/1 aprobado
</t>
      </text>
    </comment>
    <comment authorId="1684" xr:uid="{d9f16453-f91a-4072-8882-8c644f015b95}" ref="V187">
      <text>
        <t xml:space="preserve">[Threaded comment]
 Your version of Excel allows you to read this threaded comment; however, any edits to it will get removed if the file is opened in a newer version of Excel. Learn more: https://go.microsoft.com/fwlink/?linkid=870924
Comment:
	10/07 Peter will negotiate with DA (CM)
</t>
      </text>
    </comment>
    <comment authorId="1685" xr:uid="{d9f82702-84f4-4cc5-9c9e-677a6e394e06}" ref="A1">
      <text>
        <t xml:space="preserve">[Threaded comment]
 Your version of Excel allows you to read this threaded comment; however, any edits to it will get removed if the file is opened in a newer version of Excel. Learn more: https://go.microsoft.com/fwlink/?linkid=870924
Comment:
	08/07
</t>
      </text>
    </comment>
    <comment authorId="1686" xr:uid="{da0980a9-06b4-4e66-b0b9-6b40bf6a999f}" ref="P205">
      <text>
        <t xml:space="preserve">[Threaded comment]
 Your version of Excel allows you to read this threaded comment; however, any edits to it will get removed if the file is opened in a newer version of Excel. Learn more: https://go.microsoft.com/fwlink/?linkid=870924
Comment:
	09/11
</t>
      </text>
    </comment>
    <comment authorId="1687" xr:uid="{da3e630c-c701-4f31-a864-8cce23fcfd19}" ref="A276">
      <text>
        <t xml:space="preserve">[Threaded comment]
 Your version of Excel allows you to read this threaded comment; however, any edits to it will get removed if the file is opened in a newer version of Excel. Learn more: https://go.microsoft.com/fwlink/?linkid=870924
Comment:
	Joshua
Reply:
	not recoverable dep pending
</t>
      </text>
    </comment>
    <comment authorId="1688" xr:uid="{da6d1738-54ef-47ae-8873-7a35debcc0ae}" ref="P206">
      <text>
        <t xml:space="preserve">[Threaded comment]
 Your version of Excel allows you to read this threaded comment; however, any edits to it will get removed if the file is opened in a newer version of Excel. Learn more: https://go.microsoft.com/fwlink/?linkid=870924
Comment:
	insp 09/17
</t>
      </text>
    </comment>
    <comment authorId="1689" xr:uid="{da6e005a-f5e6-4662-aa05-b17d74234101}"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690" xr:uid="{da874a21-633f-4e7a-ab39-68836b513c84}" ref="A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Reply:
	Done
Marked as done
</t>
      </text>
    </comment>
    <comment authorId="1691" xr:uid="{daa79360-aa9e-459a-be25-158ed6730b74}" ref="M176">
      <text>
        <t xml:space="preserve">[Threaded comment]
 Your version of Excel allows you to read this threaded comment; however, any edits to it will get removed if the file is opened in a newer version of Excel. Learn more: https://go.microsoft.com/fwlink/?linkid=870924
Comment:
	Manda estimado, tenemos denial @jp.ipestimates@gmail.com
Reply:
	7/30 enviado al carrier
</t>
      </text>
    </comment>
    <comment authorId="1692" xr:uid="{dab3f06f-586d-4a95-8748-a0162846a678}" ref="V367">
      <text>
        <t xml:space="preserve">[Threaded comment]
 Your version of Excel allows you to read this threaded comment; however, any edits to it will get removed if the file is opened in a newer version of Excel. Learn more: https://go.microsoft.com/fwlink/?linkid=870924
Comment:
	05/30 DA stands on his decision, asked PAs how to proceed (CM)
</t>
      </text>
    </comment>
    <comment authorId="1693" xr:uid="{dad2866c-a120-4a0e-a451-834c47b8104e}" ref="V150">
      <text>
        <t xml:space="preserve">[Threaded comment]
 Your version of Excel allows you to read this threaded comment; however, any edits to it will get removed if the file is opened in a newer version of Excel. Learn more: https://go.microsoft.com/fwlink/?linkid=870924
Comment:
	01/10 DA is offering 5k new money, cc'd PAs (CM)
</t>
      </text>
    </comment>
    <comment authorId="1694" xr:uid="{daf3f06d-2650-4fcb-81bf-f34f4d164f3d}"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695" xr:uid="{db02873b-d8d9-4738-9d2f-7b7e09bc02af}" ref="P163">
      <text>
        <t xml:space="preserve">[Threaded comment]
 Your version of Excel allows you to read this threaded comment; however, any edits to it will get removed if the file is opened in a newer version of Excel. Learn more: https://go.microsoft.com/fwlink/?linkid=870924
Comment:
	09/26
</t>
      </text>
    </comment>
    <comment authorId="1696" xr:uid="{db674ca5-bf69-4041-be01-a296e3218700}" ref="P154">
      <text>
        <t xml:space="preserve">[Threaded comment]
 Your version of Excel allows you to read this threaded comment; however, any edits to it will get removed if the file is opened in a newer version of Excel. Learn more: https://go.microsoft.com/fwlink/?linkid=870924
Comment:
	insp 06/26
08/09 asked for IA
</t>
      </text>
    </comment>
    <comment authorId="1697" xr:uid="{dba6212e-18fa-4bf0-ad52-c29454f094c3}" ref="A1">
      <text>
        <t xml:space="preserve">[Threaded comment]
 Your version of Excel allows you to read this threaded comment; however, any edits to it will get removed if the file is opened in a newer version of Excel. Learn more: https://go.microsoft.com/fwlink/?linkid=870924
Comment:
	10/28
</t>
      </text>
    </comment>
    <comment authorId="1698" xr:uid="{dbf98c81-153b-4167-8a72-8cff241dce4a}" ref="N301">
      <text>
        <t xml:space="preserve">[Threaded comment]
 Your version of Excel allows you to read this threaded comment; however, any edits to it will get removed if the file is opened in a newer version of Excel. Learn more: https://go.microsoft.com/fwlink/?linkid=870924
Comment:
	1/20 sent to ivan
Reply:
	3/12 aprobado por Ivan
</t>
      </text>
    </comment>
    <comment authorId="1699" xr:uid="{dc1973d1-192d-4936-be68-6e65600b272a}" ref="Q366">
      <text>
        <t xml:space="preserve">[Threaded comment]
 Your version of Excel allows you to read this threaded comment; however, any edits to it will get removed if the file is opened in a newer version of Excel. Learn more: https://go.microsoft.com/fwlink/?linkid=870924
Comment:
	11/12
</t>
      </text>
    </comment>
    <comment authorId="1700" xr:uid="{dc342eea-8bb8-420b-b840-988c4e502be2}" ref="A1">
      <text>
        <t xml:space="preserve">[Threaded comment]
 Your version of Excel allows you to read this threaded comment; however, any edits to it will get removed if the file is opened in a newer version of Excel. Learn more: https://go.microsoft.com/fwlink/?linkid=870924
Comment:
	12/19 determination letter received
</t>
      </text>
    </comment>
    <comment authorId="1701" xr:uid="{dc558372-6de1-4563-bebb-fa13cf5f5b2a}" ref="A326">
      <text>
        <t xml:space="preserve">[Threaded comment]
 Your version of Excel allows you to read this threaded comment; however, any edits to it will get removed if the file is opened in a newer version of Excel. Learn more: https://go.microsoft.com/fwlink/?linkid=870924
Comment:
	Juan
Reply:
	no additional payments on this claim
</t>
      </text>
    </comment>
    <comment authorId="1702" xr:uid="{dc5b34ce-0ed7-4d09-a5b2-4969b0dd1f0d}" ref="V257">
      <text>
        <t xml:space="preserve">[Threaded comment]
 Your version of Excel allows you to read this threaded comment; however, any edits to it will get removed if the file is opened in a newer version of Excel. Learn more: https://go.microsoft.com/fwlink/?linkid=870924
Comment:
	01/28 Followed up with DA, 20k offer (CM)
02/04 asked Peter how to move forward on this claim (CM)
</t>
      </text>
    </comment>
    <comment authorId="1703" xr:uid="{dc87a539-88a0-4d5a-a44c-08f4659d5e5b}"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704" xr:uid="{dcb78104-b7b5-47ae-bfa6-28baf9084a07}" ref="V205">
      <text>
        <t xml:space="preserve">[Threaded comment]
 Your version of Excel allows you to read this threaded comment; however, any edits to it will get removed if the file is opened in a newer version of Excel. Learn more: https://go.microsoft.com/fwlink/?linkid=870924
Comment:
	09/23 received a determination letter, undisputted payment for 3.6k, and the IA report from before our representation, sent to PA's asked how to proceed (CM)
</t>
      </text>
    </comment>
    <comment authorId="1705" xr:uid="{dcc9a429-c941-4458-b0f8-157638a442f6}" ref="A1">
      <text>
        <t xml:space="preserve">[Threaded comment]
 Your version of Excel allows you to read this threaded comment; however, any edits to it will get removed if the file is opened in a newer version of Excel. Learn more: https://go.microsoft.com/fwlink/?linkid=870924
Comment:
	09/05
</t>
      </text>
    </comment>
    <comment authorId="1706" xr:uid="{dce8ac5b-53c3-48e2-88f5-baf15d1b8969}" ref="V190">
      <text>
        <t xml:space="preserve">[Threaded comment]
 Your version of Excel allows you to read this threaded comment; however, any edits to it will get removed if the file is opened in a newer version of Excel. Learn more: https://go.microsoft.com/fwlink/?linkid=870924
Comment:
	@sarah@ipadjustinggroup.com hola
</t>
      </text>
    </comment>
    <comment authorId="1707" xr:uid="{dceb5837-8465-445c-9cd9-31f7a941202c}" ref="V186">
      <text>
        <t xml:space="preserve">[Threaded comment]
 Your version of Excel allows you to read this threaded comment; however, any edits to it will get removed if the file is opened in a newer version of Excel. Learn more: https://go.microsoft.com/fwlink/?linkid=870924
Comment:
	07/10 received a letter in which the carrier request the NFIP compliant LOR, sent to PAs (CM)
</t>
      </text>
    </comment>
    <comment authorId="1708" xr:uid="{dd0ddbc7-ab84-47f7-94b2-e1ce9dfe3921}" ref="A1">
      <text>
        <t xml:space="preserve">[Threaded comment]
 Your version of Excel allows you to read this threaded comment; however, any edits to it will get removed if the file is opened in a newer version of Excel. Learn more: https://go.microsoft.com/fwlink/?linkid=870924
Comment:
	05/01 called the FA as per DA resquest, asked her to send the IA report, sent an email as well because she was driving (CM)
</t>
      </text>
    </comment>
    <comment authorId="1709" xr:uid="{dd3e715f-633e-4a47-b846-2805a6ca5f4d}" ref="V297">
      <text>
        <t xml:space="preserve">[Threaded comment]
 Your version of Excel allows you to read this threaded comment; however, any edits to it will get removed if the file is opened in a newer version of Excel. Learn more: https://go.microsoft.com/fwlink/?linkid=870924
Comment:
	12/27 DA is requesting some info about the damages on the freezer, asked Angie (CM)
</t>
      </text>
    </comment>
    <comment authorId="1710" xr:uid="{dd4ebfba-a3a2-43fc-9914-c82640662259}" ref="A214">
      <text>
        <t xml:space="preserve">[Threaded comment]
 Your version of Excel allows you to read this threaded comment; however, any edits to it will get removed if the file is opened in a newer version of Excel. Learn more: https://go.microsoft.com/fwlink/?linkid=870924
Comment:
	11/26 Peter asked me to request mediation, informed that we don't have our estimate, waiting his reconfirmation to submit this mediation (CM)
</t>
      </text>
    </comment>
    <comment authorId="1711" xr:uid="{dd4ff7e6-87bf-474c-afb2-f3bb6431f96f}" ref="A1">
      <text>
        <t xml:space="preserve">[Threaded comment]
 Your version of Excel allows you to read this threaded comment; however, any edits to it will get removed if the file is opened in a newer version of Excel. Learn more: https://go.microsoft.com/fwlink/?linkid=870924
Comment:
	06/12 asked Juan the correct policy (CM)
07/16 Peter will talk with Juan (CM)
</t>
      </text>
    </comment>
    <comment authorId="1712" xr:uid="{dd60b442-fa07-4508-ad82-f4ed7d883a85}" ref="N393">
      <text>
        <t xml:space="preserve">[Threaded comment]
 Your version of Excel allows you to read this threaded comment; however, any edits to it will get removed if the file is opened in a newer version of Excel. Learn more: https://go.microsoft.com/fwlink/?linkid=870924
Comment:
	10/14 sent to ivan
Reply:
	11/12 approved
</t>
      </text>
    </comment>
    <comment authorId="1713" xr:uid="{dd6e84db-cd3b-4b6c-8181-9b95f7cbbf15}" ref="Q285">
      <text>
        <t xml:space="preserve">[Threaded comment]
 Your version of Excel allows you to read this threaded comment; however, any edits to it will get removed if the file is opened in a newer version of Excel. Learn more: https://go.microsoft.com/fwlink/?linkid=870924
Comment:
	01/03
</t>
      </text>
    </comment>
    <comment authorId="1714" xr:uid="{dd7d121e-65a8-420c-8c31-94cf6d0ba21c}" ref="M390">
      <text>
        <t xml:space="preserve">[Threaded comment]
 Your version of Excel allows you to read this threaded comment; however, any edits to it will get removed if the file is opened in a newer version of Excel. Learn more: https://go.microsoft.com/fwlink/?linkid=870924
Comment:
	10/21 sent to carrier. ropose $68,716.64
</t>
      </text>
    </comment>
    <comment authorId="1715" xr:uid="{ddaff263-f071-41b3-a941-c234fdc20ed1}" ref="A222">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716" xr:uid="{ddc939ca-2313-4cca-bfbe-4a7043c866ad}" ref="N229">
      <text>
        <t xml:space="preserve">[Threaded comment]
 Your version of Excel allows you to read this threaded comment; however, any edits to it will get removed if the file is opened in a newer version of Excel. Learn more: https://go.microsoft.com/fwlink/?linkid=870924
Comment:
	10/18 sent to Joshua
Reply:
	10/22 aprobado
</t>
      </text>
    </comment>
    <comment authorId="1717" xr:uid="{ddd0155f-e91e-4786-9f6e-83e6af903aad}" ref="O154">
      <text>
        <t xml:space="preserve">[Threaded comment]
 Your version of Excel allows you to read this threaded comment; however, any edits to it will get removed if the file is opened in a newer version of Excel. Learn more: https://go.microsoft.com/fwlink/?linkid=870924
Comment:
	8/13 enviado al cliente y david
Reply:
	@admin@ipadjustinggroup.com enviado
</t>
      </text>
    </comment>
    <comment authorId="1718" xr:uid="{ddd99a32-02f8-4491-89b6-08c805ad0a3e}" ref="A1">
      <text>
        <t xml:space="preserve">[Threaded comment]
 Your version of Excel allows you to read this threaded comment; however, any edits to it will get removed if the file is opened in a newer version of Excel. Learn more: https://go.microsoft.com/fwlink/?linkid=870924
Comment:
	11/08
</t>
      </text>
    </comment>
    <comment authorId="1719" xr:uid="{de774b27-e09b-4463-96ea-92664944425f}" ref="M186">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t>
      </text>
    </comment>
    <comment authorId="1720" xr:uid="{dea8c4ee-731c-4795-b1a9-f573894b73ee}" ref="A97">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721" xr:uid="{dec63f9d-84e2-40b1-b3c1-64f8192aea1c}" ref="V147">
      <text>
        <t xml:space="preserve">[Threaded comment]
 Your version of Excel allows you to read this threaded comment; however, any edits to it will get removed if the file is opened in a newer version of Excel. Learn more: https://go.microsoft.com/fwlink/?linkid=870924
Comment:
	07/11 DA offered 2k to settled (CM)
</t>
      </text>
    </comment>
    <comment authorId="1722" xr:uid="{dec9df73-f092-4fe1-84b1-4cde39014c22}" ref="P215">
      <text>
        <t xml:space="preserve">[Threaded comment]
 Your version of Excel allows you to read this threaded comment; however, any edits to it will get removed if the file is opened in a newer version of Excel. Learn more: https://go.microsoft.com/fwlink/?linkid=870924
Comment:
	Inspection will be on 11/12 (CM)
</t>
      </text>
    </comment>
    <comment authorId="1723" xr:uid="{ded6b701-9535-45cf-854f-1aa818fd6ec3}" ref="A1">
      <text>
        <t xml:space="preserve">[Threaded comment]
 Your version of Excel allows you to read this threaded comment; however, any edits to it will get removed if the file is opened in a newer version of Excel. Learn more: https://go.microsoft.com/fwlink/?linkid=870924
Comment:
	Prefered method email
</t>
      </text>
    </comment>
    <comment authorId="1724" xr:uid="{df14e3cf-3eed-401b-bc7f-8c2ab37e0304}" ref="O272">
      <text>
        <t xml:space="preserve">[Threaded comment]
 Your version of Excel allows you to read this threaded comment; however, any edits to it will get removed if the file is opened in a newer version of Excel. Learn more: https://go.microsoft.com/fwlink/?linkid=870924
Comment:
	2/26 sent to client
</t>
      </text>
    </comment>
    <comment authorId="1725" xr:uid="{df19336b-d27d-48f4-b53a-be74d57daafd}" ref="V323">
      <text>
        <t xml:space="preserve">[Threaded comment]
 Your version of Excel allows you to read this threaded comment; however, any edits to it will get removed if the file is opened in a newer version of Excel. Learn more: https://go.microsoft.com/fwlink/?linkid=870924
Comment:
	03/10 Client says he doesn't want to continue with the claim, informed that Peter will return on 02/18 (CM)
</t>
      </text>
    </comment>
    <comment authorId="1726" xr:uid="{df2c0b4a-e888-4769-88c3-41695032c455}" ref="M223">
      <text>
        <t xml:space="preserve">[Threaded comment]
 Your version of Excel allows you to read this threaded comment; however, any edits to it will get removed if the file is opened in a newer version of Excel. Learn more: https://go.microsoft.com/fwlink/?linkid=870924
Comment:
	esperar IA report
Reply:
	revisa el IA manda nuestro estimado
Reply:
	11/18 Sent the estimate to DA and client
</t>
      </text>
    </comment>
    <comment authorId="1727" xr:uid="{df4d4c34-3fdb-434b-bd27-8a31c5fb545c}" ref="O183">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Paulillo please haz este SPOL y manda a la cliente, nos estan pidiendo con desesperacion y angustia @jp.ipestimates@gmail.com jaja
Reply:
	@jp.ipestimates@gmail.com no te olvides este SPOL
</t>
      </text>
    </comment>
    <comment authorId="1728" xr:uid="{df4fbd04-2a97-457a-91e1-139fd721f309}" ref="V235">
      <text>
        <t xml:space="preserve">[Threaded comment]
 Your version of Excel allows you to read this threaded comment; however, any edits to it will get removed if the file is opened in a newer version of Excel. Learn more: https://go.microsoft.com/fwlink/?linkid=870924
Comment:
	03/10 followed up on the 50k counteroffer that Peter did (CM)
</t>
      </text>
    </comment>
    <comment authorId="1729" xr:uid="{df5b0b3a-52fb-4c33-b9b5-c12eb5572305}"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730" xr:uid="{df7630b7-5eaa-46ad-8314-d919b5f694cb}" ref="O181">
      <text>
        <t xml:space="preserve">[Threaded comment]
 Your version of Excel allows you to read this threaded comment; however, any edits to it will get removed if the file is opened in a newer version of Excel. Learn more: https://go.microsoft.com/fwlink/?linkid=870924
Comment:
	8/13 enviado al cliente para q firme @admin@ipadjustinggroup.com
</t>
      </text>
    </comment>
    <comment authorId="1731" xr:uid="{df9d8e9c-748c-48ee-b9d2-9d13416460d8}" ref="V190">
      <text>
        <t xml:space="preserve">[Threaded comment]
 Your version of Excel allows you to read this threaded comment; however, any edits to it will get removed if the file is opened in a newer version of Excel. Learn more: https://go.microsoft.com/fwlink/?linkid=870924
Comment:
	08/06 got the SPOL notarized by Sarah, waiting for Ivan's confirmation of the recorded statement (CM)
</t>
      </text>
    </comment>
    <comment authorId="1732" xr:uid="{dfbf82e4-f142-46e4-93b4-bdd6b5b9e5de}" ref="A1">
      <text>
        <t xml:space="preserve">[Threaded comment]
 Your version of Excel allows you to read this threaded comment; however, any edits to it will get removed if the file is opened in a newer version of Excel. Learn more: https://go.microsoft.com/fwlink/?linkid=870924
Comment:
	03/06 carrier informs that that Underwriters are not obligated to proceed with DFS mediation; however, they are willing to enter into a voluntary mediation outside of the DFS process, informed PAS (CM)
</t>
      </text>
    </comment>
    <comment authorId="1733" xr:uid="{dfc8fc58-824e-4173-96d0-805ecdfc170d}" ref="A112">
      <text>
        <t xml:space="preserve">[Threaded comment]
 Your version of Excel allows you to read this threaded comment; however, any edits to it will get removed if the file is opened in a newer version of Excel. Learn more: https://go.microsoft.com/fwlink/?linkid=870924
Comment:
	Recoverable depreciation:
Coverage A: $5,350.28
</t>
      </text>
    </comment>
    <comment authorId="1734" xr:uid="{dfee85e8-29e6-40f3-9e38-414f121cdb8a}" ref="B8">
      <text>
        <t xml:space="preserve">[Threaded comment]
 Your version of Excel allows you to read this threaded comment; however, any edits to it will get removed if the file is opened in a newer version of Excel. Learn more: https://go.microsoft.com/fwlink/?linkid=870924
Comment:
	Angie / Ivan
</t>
      </text>
    </comment>
    <comment authorId="1735" xr:uid="{dff34ac6-1259-4b68-9597-4042563a3b1d}" ref="A1">
      <text>
        <t xml:space="preserve">[Threaded comment]
 Your version of Excel allows you to read this threaded comment; however, any edits to it will get removed if the file is opened in a newer version of Excel. Learn more: https://go.microsoft.com/fwlink/?linkid=870924
Comment:
	tenemos policy @iandres.assistant@gmail.com
</t>
      </text>
    </comment>
    <comment authorId="1736" xr:uid="{dffefa23-76e3-454e-bf7d-43de3efd94c0}" ref="A59">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737" xr:uid="{e007a8b1-1859-4aeb-870c-13caa125a1d0}" ref="V277">
      <text>
        <t xml:space="preserve">[Threaded comment]
 Your version of Excel allows you to read this threaded comment; however, any edits to it will get removed if the file is opened in a newer version of Excel. Learn more: https://go.microsoft.com/fwlink/?linkid=870924
Comment:
	11/20 received the IA report and determination letter, claim is under deductible, sent to PAs and JP, asked him to send our estimate (CM)
</t>
      </text>
    </comment>
    <comment authorId="1738" xr:uid="{e0483d2a-e131-4113-bd7e-0e3639bc283e}" ref="P195">
      <text>
        <t xml:space="preserve">[Threaded comment]
 Your version of Excel allows you to read this threaded comment; however, any edits to it will get removed if the file is opened in a newer version of Excel. Learn more: https://go.microsoft.com/fwlink/?linkid=870924
Comment:
	08/30 insp
</t>
      </text>
    </comment>
    <comment authorId="1739" xr:uid="{e066173e-b475-434a-a653-4cac327bfaa4}" ref="A1">
      <text>
        <t xml:space="preserve">[Threaded comment]
 Your version of Excel allows you to read this threaded comment; however, any edits to it will get removed if the file is opened in a newer version of Excel. Learn more: https://go.microsoft.com/fwlink/?linkid=870924
Comment:
	06/03 followed up on the OA info, cc'd Day so she can follow up next time (CM) @scheduling@ipadjustinggroup.com
Assigned to scheduling@ipadjustinggroup.com
</t>
      </text>
    </comment>
    <comment authorId="1740" xr:uid="{e07bb751-bfdb-4035-ac0c-44707d13bb04}"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741" xr:uid="{e08021b2-516a-43de-8250-72c519cc1fcb}" ref="A161">
      <text>
        <t xml:space="preserve">[Threaded comment]
 Your version of Excel allows you to read this threaded comment; however, any edits to it will get removed if the file is opened in a newer version of Excel. Learn more: https://go.microsoft.com/fwlink/?linkid=870924
Comment:
	08/07 requested appraisal (CM) @scheduling@ipadjustinggroup.com
Reply:
	Marked as resolved
</t>
      </text>
    </comment>
    <comment authorId="1742" xr:uid="{e085fb37-91d0-4ae4-aa5b-78ad1aa6be68}" ref="N241">
      <text>
        <t xml:space="preserve">[Threaded comment]
 Your version of Excel allows you to read this threaded comment; however, any edits to it will get removed if the file is opened in a newer version of Excel. Learn more: https://go.microsoft.com/fwlink/?linkid=870924
Comment:
	12/12 sent to David F for review.
Reply:
	1/9/25 ivan approved
</t>
      </text>
    </comment>
    <comment authorId="1743" xr:uid="{e08ea4d0-dbfa-4385-9ea1-01a1732de5e7}"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1744" xr:uid="{e0a5afa3-9b25-4ccd-8412-e4836f2bec3a}" ref="P279">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1745" xr:uid="{e0e8b518-a5f1-4c52-ba8a-2e092442bc52}" ref="M233">
      <text>
        <t xml:space="preserve">[Threaded comment]
 Your version of Excel allows you to read this threaded comment; however, any edits to it will get removed if the file is opened in a newer version of Excel. Learn more: https://go.microsoft.com/fwlink/?linkid=870924
Comment:
	esperar IA report
Reply:
	4/2 sent to carrier and client
</t>
      </text>
    </comment>
    <comment authorId="1746" xr:uid="{e1144ec5-e5b0-40e4-bf53-53851ec10822}" ref="A1">
      <text>
        <t xml:space="preserve">[Threaded comment]
 Your version of Excel allows you to read this threaded comment; however, any edits to it will get removed if the file is opened in a newer version of Excel. Learn more: https://go.microsoft.com/fwlink/?linkid=870924
Comment:
	12/12 Asked PAs if they want me to change the status to pending payment as the mediation was cancelled due to payments received (CM)
</t>
      </text>
    </comment>
    <comment authorId="1747" xr:uid="{e1209b3a-c203-4df6-9d39-ac314980f0ef}"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policy
</t>
      </text>
    </comment>
    <comment authorId="1748" xr:uid="{e152e993-32cc-44fb-b9d1-79b6c0286102}" ref="V158">
      <text>
        <t xml:space="preserve">[Threaded comment]
 Your version of Excel allows you to read this threaded comment; however, any edits to it will get removed if the file is opened in a newer version of Excel. Learn more: https://go.microsoft.com/fwlink/?linkid=870924
Comment:
	11/19 Jonathan send the singed release with his driver's license, sent to Sarah (CM)
</t>
      </text>
    </comment>
    <comment authorId="1749" xr:uid="{e16f047a-a249-4da6-a029-edb1d25435b8}" ref="V252">
      <text>
        <t xml:space="preserve">[Threaded comment]
 Your version of Excel allows you to read this threaded comment; however, any edits to it will get removed if the file is opened in a newer version of Excel. Learn more: https://go.microsoft.com/fwlink/?linkid=870924
Comment:
	11/27 recieved a letter in which they say they stand on their determination received on 11/22, asked PAs if they want to request mediaiton (CM)
</t>
      </text>
    </comment>
    <comment authorId="1750" xr:uid="{e18a4679-c90c-407e-b230-9753d67f98cb}" ref="N166">
      <text>
        <t xml:space="preserve">[Threaded comment]
 Your version of Excel allows you to read this threaded comment; however, any edits to it will get removed if the file is opened in a newer version of Excel. Learn more: https://go.microsoft.com/fwlink/?linkid=870924
Comment:
	7/17 enviado a Juan
7/24 aprobado por juan
</t>
      </text>
    </comment>
    <comment authorId="1751" xr:uid="{e19036be-a8b8-4cac-bf1a-1f2391fc8259}" ref="A1">
      <text>
        <t xml:space="preserve">[Threaded comment]
 Your version of Excel allows you to read this threaded comment; however, any edits to it will get removed if the file is opened in a newer version of Excel. Learn more: https://go.microsoft.com/fwlink/?linkid=870924
Comment:
	@iandres.assistant@gmail.com get the policy
Assigned to iandres.assistant@gmail.com
</t>
      </text>
    </comment>
    <comment authorId="1752" xr:uid="{e1c47050-9fb6-4fa0-bf58-5662f2295776}" ref="V330">
      <text>
        <t xml:space="preserve">[Threaded comment]
 Your version of Excel allows you to read this threaded comment; however, any edits to it will get removed if the file is opened in a newer version of Excel. Learn more: https://go.microsoft.com/fwlink/?linkid=870924
Comment:
	04/17 DA stands on her decision, asked PAs how to proceed (CM)
</t>
      </text>
    </comment>
    <comment authorId="1753" xr:uid="{e1de2580-a6c8-4ffb-b5c2-c14392cadc4d}" ref="M311">
      <text>
        <t xml:space="preserve">[Threaded comment]
 Your version of Excel allows you to read this threaded comment; however, any edits to it will get removed if the file is opened in a newer version of Excel. Learn more: https://go.microsoft.com/fwlink/?linkid=870924
Comment:
	2/26 sent to DA and client
</t>
      </text>
    </comment>
    <comment authorId="1754" xr:uid="{e207ad0b-cba0-4196-b65e-6be7f194b0b1}" ref="V244">
      <text>
        <t xml:space="preserve">[Threaded comment]
 Your version of Excel allows you to read this threaded comment; however, any edits to it will get removed if the file is opened in a newer version of Excel. Learn more: https://go.microsoft.com/fwlink/?linkid=870924
Comment:
	01/24 DA is asking us to send an offer, the difference between estimate is 43k aprox, cc'd PAs (CM)
Reply:
	01/27 Peter is asking 40k (CM)
</t>
      </text>
    </comment>
    <comment authorId="1755" xr:uid="{e278f185-94b3-4f2d-a469-487fd095e702}" ref="O387">
      <text>
        <t xml:space="preserve">[Threaded comment]
 Your version of Excel allows you to read this threaded comment; however, any edits to it will get removed if the file is opened in a newer version of Excel. Learn more: https://go.microsoft.com/fwlink/?linkid=870924
Comment:
	8/21 sent
</t>
      </text>
    </comment>
    <comment authorId="1756" xr:uid="{e280be20-c539-41f2-aaf6-e77ea68e792b}" ref="O291">
      <text>
        <t xml:space="preserve">[Threaded comment]
 Your version of Excel allows you to read this threaded comment; however, any edits to it will get removed if the file is opened in a newer version of Excel. Learn more: https://go.microsoft.com/fwlink/?linkid=870924
Comment:
	1/21 sent to client
</t>
      </text>
    </comment>
    <comment authorId="1757" xr:uid="{e2b30795-8003-4140-9ff1-dc33323a198e}" ref="A1">
      <text>
        <t xml:space="preserve">[Threaded comment]
 Your version of Excel allows you to read this threaded comment; however, any edits to it will get removed if the file is opened in a newer version of Excel. Learn more: https://go.microsoft.com/fwlink/?linkid=870924
Comment:
	10/07 called FIGA to ask the claim#, they didn't have a claim for 09/28/2022, they only had for 01/16/2022, asked Jakey to confirm with the client (CM)
Reply:
	10/07 Peter left a vm to the client to confirm the date of loss (CM)
</t>
      </text>
    </comment>
    <comment authorId="1758" xr:uid="{e2d6ca82-5304-4a72-a30d-894b2ee6fd03}"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759" xr:uid="{e333febe-b0e8-490b-8b8e-65bc22460efe}" ref="M198">
      <text>
        <t xml:space="preserve">[Threaded comment]
 Your version of Excel allows you to read this threaded comment; however, any edits to it will get removed if the file is opened in a newer version of Excel. Learn more: https://go.microsoft.com/fwlink/?linkid=870924
Comment:
	8/07 sent
</t>
      </text>
    </comment>
    <comment authorId="1760" xr:uid="{e3376274-3f2e-4842-94cf-1adbb0599040}" ref="P196">
      <text>
        <t xml:space="preserve">[Threaded comment]
 Your version of Excel allows you to read this threaded comment; however, any edits to it will get removed if the file is opened in a newer version of Excel. Learn more: https://go.microsoft.com/fwlink/?linkid=870924
Comment:
	08/28
</t>
      </text>
    </comment>
    <comment authorId="1761" xr:uid="{e33a0208-2ce6-47b0-9ab3-5316d68444bb}" ref="M279">
      <text>
        <t xml:space="preserve">[Threaded comment]
 Your version of Excel allows you to read this threaded comment; however, any edits to it will get removed if the file is opened in a newer version of Excel. Learn more: https://go.microsoft.com/fwlink/?linkid=870924
Comment:
	9/26 Ivan sent the estimate to carrier. NOSTRESS client
</t>
      </text>
    </comment>
    <comment authorId="1762" xr:uid="{e33f0dc2-df31-4947-966e-d7fd82d62235}" ref="V247">
      <text>
        <t xml:space="preserve">[Threaded comment]
 Your version of Excel allows you to read this threaded comment; however, any edits to it will get removed if the file is opened in a newer version of Excel. Learn more: https://go.microsoft.com/fwlink/?linkid=870924
Comment:
	12/23 received a determiantion letter, DA says that JD is fully denied, sent to PAs and Ivancho (CM)
</t>
      </text>
    </comment>
    <comment authorId="1763" xr:uid="{e3826065-9475-48c2-b4e5-304e37617496}" ref="V154">
      <text>
        <t xml:space="preserve">[Threaded comment]
 Your version of Excel allows you to read this threaded comment; however, any edits to it will get removed if the file is opened in a newer version of Excel. Learn more: https://go.microsoft.com/fwlink/?linkid=870924
Comment:
	09/25 Iván informed that they will send today the withdrawal from the policy to Juan Baltazar to get it signed (CM)
</t>
      </text>
    </comment>
    <comment authorId="1764" xr:uid="{e38b43bc-4d34-4c4f-ac20-5e9b5062f7be}" ref="M88">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
Reply:
	1/13/25 subido a CP
</t>
      </text>
    </comment>
    <comment authorId="1765" xr:uid="{e38e7ee5-ece6-430c-9742-166f3211c85b}"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766" xr:uid="{e399ea54-00e2-46cd-9ea9-203b8927e0f0}" ref="A1">
      <text>
        <t xml:space="preserve">[Threaded comment]
 Your version of Excel allows you to read this threaded comment; however, any edits to it will get removed if the file is opened in a newer version of Excel. Learn more: https://go.microsoft.com/fwlink/?linkid=870924
Comment:
	Ask Day to follow up
</t>
      </text>
    </comment>
    <comment authorId="1767" xr:uid="{e3e1d1bd-0ff3-4395-994f-4658a7e1396f}" ref="P158">
      <text>
        <t xml:space="preserve">[Threaded comment]
 Your version of Excel allows you to read this threaded comment; however, any edits to it will get removed if the file is opened in a newer version of Excel. Learn more: https://go.microsoft.com/fwlink/?linkid=870924
Comment:
	08/26
</t>
      </text>
    </comment>
    <comment authorId="1768" xr:uid="{e3f7585d-232b-412d-8d27-b7c2b868919f}" ref="A1">
      <text>
        <t xml:space="preserve">[Threaded comment]
 Your version of Excel allows you to read this threaded comment; however, any edits to it will get removed if the file is opened in a newer version of Excel. Learn more: https://go.microsoft.com/fwlink/?linkid=870924
Comment:
	10/21
</t>
      </text>
    </comment>
    <comment authorId="1769" xr:uid="{e4003750-b9c4-4125-a9fb-9b6509770dee}" ref="M154">
      <text>
        <t xml:space="preserve">[Threaded comment]
 Your version of Excel allows you to read this threaded comment; however, any edits to it will get removed if the file is opened in a newer version of Excel. Learn more: https://go.microsoft.com/fwlink/?linkid=870924
Comment:
	7/30 esperando IA report
Reply:
	08/12 tenemos el IA report, manda el estimado fotos y haz el SPOL please @jp.ipestimates@gmail.com
Reply:
	8/13 enviado al carrier y cliente
</t>
      </text>
    </comment>
    <comment authorId="1770" xr:uid="{e43e7ec4-dc82-4863-a4bc-f297a12c3a14}" ref="N270">
      <text>
        <t xml:space="preserve">[Threaded comment]
 Your version of Excel allows you to read this threaded comment; however, any edits to it will get removed if the file is opened in a newer version of Excel. Learn more: https://go.microsoft.com/fwlink/?linkid=870924
Comment:
	2/28 sent to juan
Reply:
	3/12 Juan apporved
</t>
      </text>
    </comment>
    <comment authorId="1771" xr:uid="{e44c4368-c0ff-46ab-abb9-becf6d3c64d1}" ref="A1">
      <text>
        <t xml:space="preserve">[Threaded comment]
 Your version of Excel allows you to read this threaded comment; however, any edits to it will get removed if the file is opened in a newer version of Excel. Learn more: https://go.microsoft.com/fwlink/?linkid=870924
Comment:
	Inform Sarah
</t>
      </text>
    </comment>
    <comment authorId="1772" xr:uid="{e4709706-4c89-4f93-a974-1ff657bb77f5}" ref="V210">
      <text>
        <t xml:space="preserve">[Threaded comment]
 Your version of Excel allows you to read this threaded comment; however, any edits to it will get removed if the file is opened in a newer version of Excel. Learn more: https://go.microsoft.com/fwlink/?linkid=870924
Comment:
	10/28 recieved a denial letter, sent to PAs, asked JP to send our estimate (CM)
Reply:
	11/07 DA says he reiterates his coverage decision, sent to PA's asked how to proceed (CM)
Marked as resolved
</t>
      </text>
    </comment>
    <comment authorId="1773" xr:uid="{e4a54803-16cd-43ca-b381-dc1ecf4d3a53}" ref="M209">
      <text>
        <t xml:space="preserve">[Threaded comment]
 Your version of Excel allows you to read this threaded comment; however, any edits to it will get removed if the file is opened in a newer version of Excel. Learn more: https://go.microsoft.com/fwlink/?linkid=870924
Comment:
	esperar IA report
Reply:
	10/30 sent to DA
</t>
      </text>
    </comment>
    <comment authorId="1774" xr:uid="{e4bf202f-e7ec-4f42-8ca6-e61eaf19041f}" ref="V179">
      <text>
        <t xml:space="preserve">[Threaded comment]
 Your version of Excel allows you to read this threaded comment; however, any edits to it will get removed if the file is opened in a newer version of Excel. Learn more: https://go.microsoft.com/fwlink/?linkid=870924
Comment:
	10/30 Iván informs that Juan is returning the next week, ask again next week, informed Sarah waht the client said about the check (CM)
</t>
      </text>
    </comment>
    <comment authorId="1775" xr:uid="{e4c4acf6-e331-4c20-be6d-0488b1423eea}" ref="Q287">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776" xr:uid="{e4e3459e-fa2c-487f-8574-72222dd730e7}" ref="A1">
      <text>
        <t xml:space="preserve">[Threaded comment]
 Your version of Excel allows you to read this threaded comment; however, any edits to it will get removed if the file is opened in a newer version of Excel. Learn more: https://go.microsoft.com/fwlink/?linkid=870924
Comment:
	09/17
</t>
      </text>
    </comment>
    <comment authorId="1777" xr:uid="{e4fce3e8-879c-4166-aeb2-42e288f8fe70}" ref="A370">
      <text>
        <t xml:space="preserve">[Threaded comment]
 Your version of Excel allows you to read this threaded comment; however, any edits to it will get removed if the file is opened in a newer version of Excel. Learn more: https://go.microsoft.com/fwlink/?linkid=870924
Comment:
	without lawyers
</t>
      </text>
    </comment>
    <comment authorId="1778" xr:uid="{e510f87f-c6b2-48bc-8b7f-d227d32ac6b5}" ref="A1">
      <text>
        <t xml:space="preserve">[Threaded comment]
 Your version of Excel allows you to read this threaded comment; however, any edits to it will get removed if the file is opened in a newer version of Excel. Learn more: https://go.microsoft.com/fwlink/?linkid=870924
Comment:
	01/31 Followed up on insp letter - DE
Reply:
	02/16 req. policy (CM)
</t>
      </text>
    </comment>
    <comment authorId="1779" xr:uid="{e51b925c-4383-4e35-a36a-7dbe056820fd}" ref="V193">
      <text>
        <t xml:space="preserve">[Threaded comment]
 Your version of Excel allows you to read this threaded comment; however, any edits to it will get removed if the file is opened in a newer version of Excel. Learn more: https://go.microsoft.com/fwlink/?linkid=870924
Comment:
	12/19 received all docs from 2022 in which they say they settled, sent to PAs and asked how to proceed, claim closed as per the carrier (CM)
</t>
      </text>
    </comment>
    <comment authorId="1780" xr:uid="{e59b898c-d9e2-4889-b9ab-89d96825125a}"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781" xr:uid="{e59c689b-e56d-4544-9043-0bb909a39cd2}" ref="A302">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782" xr:uid="{e5a543f9-3c68-41c6-b1d0-54241043c211}" ref="P256">
      <text>
        <t xml:space="preserve">[Threaded comment]
 Your version of Excel allows you to read this threaded comment; however, any edits to it will get removed if the file is opened in a newer version of Excel. Learn more: https://go.microsoft.com/fwlink/?linkid=870924
Comment:
	insp done on 11/08 (CM)
</t>
      </text>
    </comment>
    <comment authorId="1783" xr:uid="{e5c263a5-e171-4b0f-9138-37b1396e2e96}" ref="V171">
      <text>
        <t xml:space="preserve">[Threaded comment]
 Your version of Excel allows you to read this threaded comment; however, any edits to it will get removed if the file is opened in a newer version of Excel. Learn more: https://go.microsoft.com/fwlink/?linkid=870924
Comment:
	08/16 DA has sent the IA and says she has made an offer to Juan on 08/05 for 25k, asked PAs to respond to that offer (CM)
</t>
      </text>
    </comment>
    <comment authorId="1784" xr:uid="{e5e832cf-1624-46ca-b3a8-014671dfcbfa}"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785" xr:uid="{e5f19727-84f6-45b9-9fd1-c7cdd69463af}" ref="M213">
      <text>
        <t xml:space="preserve">[Threaded comment]
 Your version of Excel allows you to read this threaded comment; however, any edits to it will get removed if the file is opened in a newer version of Excel. Learn more: https://go.microsoft.com/fwlink/?linkid=870924
Comment:
	10/22 enviado al DA
</t>
      </text>
    </comment>
    <comment authorId="1786" xr:uid="{e63d2a7b-93cd-48e2-aa9c-8b626f512fb2}" ref="M183">
      <text>
        <t xml:space="preserve">[Threaded comment]
 Your version of Excel allows you to read this threaded comment; however, any edits to it will get removed if the file is opened in a newer version of Excel. Learn more: https://go.microsoft.com/fwlink/?linkid=870924
Comment:
	8/14 sent @admin@ipadjustinggroup.com
</t>
      </text>
    </comment>
    <comment authorId="1787" xr:uid="{e648a16d-a81c-4e4f-a73d-764e02d6bfd4}" ref="R362">
      <text>
        <t xml:space="preserve">[Threaded comment]
 Your version of Excel allows you to read this threaded comment; however, any edits to it will get removed if the file is opened in a newer version of Excel. Learn more: https://go.microsoft.com/fwlink/?linkid=870924
Comment:
	06/11 CS provided new DA info since he invoked appraisal. Left a vm to new DA asking for updates regarding the appraisal @admin@ipadjustinggroup.com
Assigned to admin@ipadjustinggroup.com
Reply:
	Marked as done
</t>
      </text>
    </comment>
    <comment authorId="1788" xr:uid="{e6e8a159-f3ca-4bd0-9c63-2d78fd95ed04}" ref="V313">
      <text>
        <t xml:space="preserve">[Threaded comment]
 Your version of Excel allows you to read this threaded comment; however, any edits to it will get removed if the file is opened in a newer version of Excel. Learn more: https://go.microsoft.com/fwlink/?linkid=870924
Comment:
	06/11 spoke with customer service, they informed me the claim has been denied as is wasn't wind related, sent to PAs asked how to proceed (CM)
</t>
      </text>
    </comment>
    <comment authorId="1789" xr:uid="{e71210fb-150d-44a4-9fc9-c2ef2902ecb4}" ref="V141">
      <text>
        <t xml:space="preserve">[Threaded comment]
 Your version of Excel allows you to read this threaded comment; however, any edits to it will get removed if the file is opened in a newer version of Excel. Learn more: https://go.microsoft.com/fwlink/?linkid=870924
Comment:
	11/15 Peter informs Juan is going to send LOR for 2 previous claims and for H. Milton, mediation impasse (CM)
</t>
      </text>
    </comment>
    <comment authorId="1790" xr:uid="{e7167d40-32db-47ea-bad2-a9bda802cc93}" ref="M321">
      <text>
        <t xml:space="preserve">[Threaded comment]
 Your version of Excel allows you to read this threaded comment; however, any edits to it will get removed if the file is opened in a newer version of Excel. Learn more: https://go.microsoft.com/fwlink/?linkid=870924
Comment:
	3/20 enviado a DA (Tamara), falta subir al portal @admin@ipadjustinggroup.com
Assigned to admin@ipadjustinggroup.com
</t>
      </text>
    </comment>
    <comment authorId="1791" xr:uid="{e737c827-18a1-45a7-b673-dafa85c94d15}" ref="V296">
      <text>
        <t xml:space="preserve">[Threaded comment]
 Your version of Excel allows you to read this threaded comment; however, any edits to it will get removed if the file is opened in a newer version of Excel. Learn more: https://go.microsoft.com/fwlink/?linkid=870924
Comment:
	01/10 DA is closing the claim as he hasn't received our estimate or any other doc, sent to PAs and JP (CM)
</t>
      </text>
    </comment>
    <comment authorId="1792" xr:uid="{e73b494a-76c0-45ec-8d26-7ed883ffd015}" ref="O381">
      <text>
        <t xml:space="preserve">[Threaded comment]
 Your version of Excel allows you to read this threaded comment; however, any edits to it will get removed if the file is opened in a newer version of Excel. Learn more: https://go.microsoft.com/fwlink/?linkid=870924
Comment:
	7/23 sent to client
Reply:
	8/4 sent an update to client
</t>
      </text>
    </comment>
    <comment authorId="1793" xr:uid="{e78ea263-8e86-491b-8911-906593b154f7}" ref="A1">
      <text>
        <t xml:space="preserve">[Threaded comment]
 Your version of Excel allows you to read this threaded comment; however, any edits to it will get removed if the file is opened in a newer version of Excel. Learn more: https://go.microsoft.com/fwlink/?linkid=870924
Comment:
	07/16 Ivan sent to closed claims (CM) @scheduling@ipadjustinggroup.com
</t>
      </text>
    </comment>
    <comment authorId="1794" xr:uid="{e7c173e8-1f5c-4795-bc5e-98660bb9a318}" ref="O169">
      <text>
        <t xml:space="preserve">[Threaded comment]
 Your version of Excel allows you to read this threaded comment; however, any edits to it will get removed if the file is opened in a newer version of Excel. Learn more: https://go.microsoft.com/fwlink/?linkid=870924
Comment:
	7/30 enviado update SPOL con valor sin roof
</t>
      </text>
    </comment>
    <comment authorId="1795" xr:uid="{e839c337-5fd1-4259-aade-97ba451c989f}"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796" xr:uid="{e84ac9d3-05d7-4d2b-bc81-9257d37efd9e}" ref="A1">
      <text>
        <t xml:space="preserve">[Threaded comment]
 Your version of Excel allows you to read this threaded comment; however, any edits to it will get removed if the file is opened in a newer version of Excel. Learn more: https://go.microsoft.com/fwlink/?linkid=870924
Comment:
	inspection done on 10/23 (CM)
</t>
      </text>
    </comment>
    <comment authorId="1797" xr:uid="{e86bbab7-81a8-4e0b-92ee-2345f933834a}" ref="M198">
      <text>
        <t xml:space="preserve">[Threaded comment]
 Your version of Excel allows you to read this threaded comment; however, any edits to it will get removed if the file is opened in a newer version of Excel. Learn more: https://go.microsoft.com/fwlink/?linkid=870924
Comment:
	ENVIAR CON ESTIMADO APROBADO-REOPEN
</t>
      </text>
    </comment>
    <comment authorId="1798" xr:uid="{e8cf36c1-79d0-427f-9f70-98ae506dc488}" ref="V271">
      <text>
        <t xml:space="preserve">[Threaded comment]
 Your version of Excel allows you to read this threaded comment; however, any edits to it will get removed if the file is opened in a newer version of Excel. Learn more: https://go.microsoft.com/fwlink/?linkid=870924
Comment:
	03/07 received the appraisal award, asked Peter if he approves it (CM)
</t>
      </text>
    </comment>
    <comment authorId="1799" xr:uid="{e91f12ba-da96-489b-820d-709bc54561e5}" ref="V168">
      <text>
        <t xml:space="preserve">[Threaded comment]
 Your version of Excel allows you to read this threaded comment; however, any edits to it will get removed if the file is opened in a newer version of Excel. Learn more: https://go.microsoft.com/fwlink/?linkid=870924
Comment:
	08/08 received a denial, asked PAs how to proceed, asked JP to send our estimate (CM)
</t>
      </text>
    </comment>
    <comment authorId="1800" xr:uid="{e922068f-4a5e-41cf-807e-556ed8cb8a6c}" ref="M30">
      <text>
        <t xml:space="preserve">[Threaded comment]
 Your version of Excel allows you to read this threaded comment; however, any edits to it will get removed if the file is opened in a newer version of Excel. Learn more: https://go.microsoft.com/fwlink/?linkid=870924
Comment:
	esperar IA report
</t>
      </text>
    </comment>
    <comment authorId="1801" xr:uid="{e93303bd-42d1-4b6d-ac23-599f167e4b08}" ref="A151">
      <text>
        <t xml:space="preserve">[Threaded comment]
 Your version of Excel allows you to read this threaded comment; however, any edits to it will get removed if the file is opened in a newer version of Excel. Learn more: https://go.microsoft.com/fwlink/?linkid=870924
Comment:
	07/16 request mediation (CM) @scheduling@ipadjustinggroup.com
</t>
      </text>
    </comment>
    <comment authorId="1802" xr:uid="{e9611ab9-1fca-4f59-b31e-36602cbd79f2}" ref="A1">
      <text>
        <t xml:space="preserve">[Threaded comment]
 Your version of Excel allows you to read this threaded comment; however, any edits to it will get removed if the file is opened in a newer version of Excel. Learn more: https://go.microsoft.com/fwlink/?linkid=870924
Comment:
	09/03
</t>
      </text>
    </comment>
    <comment authorId="1803" xr:uid="{e9778491-5042-47f0-bd7f-e3cef274c13f}"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804" xr:uid="{e9a000eb-9c3f-410a-8e4c-1b298e1ccb08}" ref="A292">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t>
      </text>
    </comment>
    <comment authorId="1805" xr:uid="{e9bcf603-98d0-47f5-964f-b893b7b103fa}" ref="V166">
      <text>
        <t xml:space="preserve">[Threaded comment]
 Your version of Excel allows you to read this threaded comment; however, any edits to it will get removed if the file is opened in a newer version of Excel. Learn more: https://go.microsoft.com/fwlink/?linkid=870924
Comment:
	09/24 DA is requesting for a response for her inquiries PA's are cc'd (CM)
</t>
      </text>
    </comment>
    <comment authorId="1806" xr:uid="{e9c33384-60d6-406a-a2e3-3eea8d43b348}" ref="M382">
      <text>
        <t xml:space="preserve">[Threaded comment]
 Your version of Excel allows you to read this threaded comment; however, any edits to it will get removed if the file is opened in a newer version of Excel. Learn more: https://go.microsoft.com/fwlink/?linkid=870924
Comment:
	7/17 sent to carier
</t>
      </text>
    </comment>
    <comment authorId="1807" xr:uid="{e9c53e38-afae-4c8b-92a2-ce69a73d5bac}" ref="V260">
      <text>
        <t xml:space="preserve">[Threaded comment]
 Your version of Excel allows you to read this threaded comment; however, any edits to it will get removed if the file is opened in a newer version of Excel. Learn more: https://go.microsoft.com/fwlink/?linkid=870924
Comment:
	03/03 DA is requesting information about the property, Day sent to David F. (CM)
</t>
      </text>
    </comment>
    <comment authorId="1808" xr:uid="{e9d7c3bf-35be-409a-81ac-d13ff99b507e}" ref="V159">
      <text>
        <t xml:space="preserve">[Threaded comment]
 Your version of Excel allows you to read this threaded comment; however, any edits to it will get removed if the file is opened in a newer version of Excel. Learn more: https://go.microsoft.com/fwlink/?linkid=870924
Comment:
	07/11 DA says that State Farm decision has remined unchanged total roof replacement is not warranted, asked PAs how to proceed (CM)
</t>
      </text>
    </comment>
    <comment authorId="1809" xr:uid="{e9e8e2a1-e4d0-45d3-a610-af731bdd0224}" ref="V245">
      <text>
        <t xml:space="preserve">[Threaded comment]
 Your version of Excel allows you to read this threaded comment; however, any edits to it will get removed if the file is opened in a newer version of Excel. Learn more: https://go.microsoft.com/fwlink/?linkid=870924
Comment:
	11/22 sent the IA to JP, asked Joshua to approve JP's estimate eventhough the DA has informed they have pay the limits, they won't pay more, they don't need our estimate (CM)
</t>
      </text>
    </comment>
    <comment authorId="1810" xr:uid="{ea152fa0-fbdf-4c34-ba29-abc06f7e88c2}"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811" xr:uid="{ea212d79-7a17-4832-8edc-7beb1de1fbbc}" ref="A1">
      <text>
        <t xml:space="preserve">[Threaded comment]
 Your version of Excel allows you to read this threaded comment; however, any edits to it will get removed if the file is opened in a newer version of Excel. Learn more: https://go.microsoft.com/fwlink/?linkid=870924
Comment:
	05/09 stand by Peter's decision
</t>
      </text>
    </comment>
    <comment authorId="1812" xr:uid="{ea25cbb6-78cc-4a80-a06b-926db02cab49}" ref="A157">
      <text>
        <t xml:space="preserve">[Threaded comment]
 Your version of Excel allows you to read this threaded comment; however, any edits to it will get removed if the file is opened in a newer version of Excel. Learn more: https://go.microsoft.com/fwlink/?linkid=870924
Comment:
	08/06 requested mediation (CM) @scheduling@ipadjustinggroup.com
</t>
      </text>
    </comment>
    <comment authorId="1813" xr:uid="{ea292a34-8f9b-4fdf-b051-56b272da473e}" ref="N145">
      <text>
        <t xml:space="preserve">[Threaded comment]
 Your version of Excel allows you to read this threaded comment; however, any edits to it will get removed if the file is opened in a newer version of Excel. Learn more: https://go.microsoft.com/fwlink/?linkid=870924
Comment:
	7/17 enviado a peter
7/30 follow a peter
Reply:
	7/30 aprobado
</t>
      </text>
    </comment>
    <comment authorId="1814" xr:uid="{ea587c8b-8d11-4da0-ad3e-21c5b5bdf2eb}" ref="A305">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815" xr:uid="{ea6a4323-4e61-4f2a-9b47-26c058944f34}" ref="V274">
      <text>
        <t xml:space="preserve">[Threaded comment]
 Your version of Excel allows you to read this threaded comment; however, any edits to it will get removed if the file is opened in a newer version of Excel. Learn more: https://go.microsoft.com/fwlink/?linkid=870924
Comment:
	11/27 recieved the determination letter and IA report, sent to PAs and Jp asked him to send our estimate (CM)
</t>
      </text>
    </comment>
    <comment authorId="1816" xr:uid="{ea77fd74-ad56-46d9-bfc6-e9031067fb42}" ref="P212">
      <text>
        <t xml:space="preserve">[Threaded comment]
 Your version of Excel allows you to read this threaded comment; however, any edits to it will get removed if the file is opened in a newer version of Excel. Learn more: https://go.microsoft.com/fwlink/?linkid=870924
Comment:
	10/22
</t>
      </text>
    </comment>
    <comment authorId="1817" xr:uid="{ea95c69d-833d-4616-94bb-35766a0214cb}" ref="M356">
      <text>
        <t xml:space="preserve">[Threaded comment]
 Your version of Excel allows you to read this threaded comment; however, any edits to it will get removed if the file is opened in a newer version of Excel. Learn more: https://go.microsoft.com/fwlink/?linkid=870924
Comment:
	5/19 sent to DA and client
</t>
      </text>
    </comment>
    <comment authorId="1818" xr:uid="{ea9a441a-668f-44d7-acdd-f2d40a75897e}" ref="M370">
      <text>
        <t xml:space="preserve">[Threaded comment]
 Your version of Excel allows you to read this threaded comment; however, any edits to it will get removed if the file is opened in a newer version of Excel. Learn more: https://go.microsoft.com/fwlink/?linkid=870924
Comment:
	7/30 uploaded CP
</t>
      </text>
    </comment>
    <comment authorId="1819" xr:uid="{eac99e58-b780-4ee9-9972-6914584e33f5}" ref="A136">
      <text>
        <t xml:space="preserve">[Threaded comment]
 Your version of Excel allows you to read this threaded comment; however, any edits to it will get removed if the file is opened in a newer version of Excel. Learn more: https://go.microsoft.com/fwlink/?linkid=870924
Comment:
	07/16 Peter will file NOI (cm) @scheduling@ipadjustinggroup.com
</t>
      </text>
    </comment>
    <comment authorId="1820" xr:uid="{eb4c3ade-68f2-487e-8903-b03b2478122e}" ref="O206">
      <text>
        <t xml:space="preserve">[Threaded comment]
 Your version of Excel allows you to read this threaded comment; however, any edits to it will get removed if the file is opened in a newer version of Excel. Learn more: https://go.microsoft.com/fwlink/?linkid=870924
Comment:
	12/16 sent to client (CM)
</t>
      </text>
    </comment>
    <comment authorId="1821" xr:uid="{eb4f6183-fc68-4d46-9c11-a4f40af91b8b}" ref="O220">
      <text>
        <t xml:space="preserve">[Threaded comment]
 Your version of Excel allows you to read this threaded comment; however, any edits to it will get removed if the file is opened in a newer version of Excel. Learn more: https://go.microsoft.com/fwlink/?linkid=870924
Comment:
	12/18 sent SPOL to client SG
</t>
      </text>
    </comment>
    <comment authorId="1822" xr:uid="{eb69786d-bd6e-4b2c-98e5-c8612f494ac2}" ref="N184">
      <text>
        <t xml:space="preserve">[Threaded comment]
 Your version of Excel allows you to read this threaded comment; however, any edits to it will get removed if the file is opened in a newer version of Excel. Learn more: https://go.microsoft.com/fwlink/?linkid=870924
Comment:
	08/14 asked Juan for this estimate (CM)
Reply:
	@jp.ipestimates@gmail.com haz follow up 148
Reply:
	11/06 pedi a Juan enviar el estimado. 
@admin@ipadjustinggroup.com Carito has estado enviando al email de nostrees de Juan, ya le envie al de IP. cliente 148
Reply:
	yo le puse reply ahorita veo que el mando del mail de no stress que vaina
Reply:
	11/19 juan envio el estimado sin medidas
Reply:
	1/15/25 sent to Juan for review
Reply:
	1/17/25 approved by JUan
</t>
      </text>
    </comment>
    <comment authorId="1823" xr:uid="{eb6b4c91-02e1-4351-81c1-0b373ed70f6c}" ref="V172">
      <text>
        <t xml:space="preserve">[Threaded comment]
 Your version of Excel allows you to read this threaded comment; however, any edits to it will get removed if the file is opened in a newer version of Excel. Learn more: https://go.microsoft.com/fwlink/?linkid=870924
Comment:
	07/30 received a letter saying they have issued a settlement check for $13.530 (CM) 
@ivan@ipadjustinggroup.com @peter@ipadjustinggroup.com
Reply:
	DA is asking to sign the SPOL he sent, asked PAs about it (CM)
</t>
      </text>
    </comment>
    <comment authorId="1824" xr:uid="{eb7f935b-9b50-4038-893b-6b89b6abad18}" ref="N254">
      <text>
        <t xml:space="preserve">[Threaded comment]
 Your version of Excel allows you to read this threaded comment; however, any edits to it will get removed if the file is opened in a newer version of Excel. Learn more: https://go.microsoft.com/fwlink/?linkid=870924
Comment:
	10/30 Sent the estimate to Jose for approval.
Reply:
	11/13 Jose approved the estimate
</t>
      </text>
    </comment>
    <comment authorId="1825" xr:uid="{eb9388c3-8c37-47f4-885d-3280810533e6}" ref="O302">
      <text>
        <t xml:space="preserve">[Threaded comment]
 Your version of Excel allows you to read this threaded comment; however, any edits to it will get removed if the file is opened in a newer version of Excel. Learn more: https://go.microsoft.com/fwlink/?linkid=870924
Comment:
	3/4 sent to client to sign
</t>
      </text>
    </comment>
    <comment authorId="1826" xr:uid="{ebcf6838-2bea-46db-a4e0-a219cccc5224}" ref="V194">
      <text>
        <t xml:space="preserve">[Threaded comment]
 Your version of Excel allows you to read this threaded comment; however, any edits to it will get removed if the file is opened in a newer version of Excel. Learn more: https://go.microsoft.com/fwlink/?linkid=870924
Comment:
	08/02 DA is asking about the repairs on the roof, sent email to Jakey (CM)
</t>
      </text>
    </comment>
    <comment authorId="1827" xr:uid="{ec06d902-c7c5-48a0-82d5-62c13f1431d8}" ref="P209">
      <text>
        <t xml:space="preserve">[Threaded comment]
 Your version of Excel allows you to read this threaded comment; however, any edits to it will get removed if the file is opened in a newer version of Excel. Learn more: https://go.microsoft.com/fwlink/?linkid=870924
Comment:
	insp was 10/07
</t>
      </text>
    </comment>
    <comment authorId="1828" xr:uid="{ec1877df-d1ef-4999-b996-dd36268a51bc}"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829" xr:uid="{ec197874-7f41-4c26-b7ff-8406b9effe9e}" ref="A1">
      <text>
        <t xml:space="preserve">[Threaded comment]
 Your version of Excel allows you to read this threaded comment; however, any edits to it will get removed if the file is opened in a newer version of Excel. Learn more: https://go.microsoft.com/fwlink/?linkid=870924
Comment:
	05/28
</t>
      </text>
    </comment>
    <comment authorId="1830" xr:uid="{ec25c552-a6c1-43b4-a7d6-cf6ba2f7a990}"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831" xr:uid="{ec5eb9c8-4bd2-4266-a669-9153d55051f3}" ref="A1">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832" xr:uid="{ecd23204-83d4-4312-90c5-6aa32b6a3332}" ref="V270">
      <text>
        <t xml:space="preserve">[Threaded comment]
 Your version of Excel allows you to read this threaded comment; however, any edits to it will get removed if the file is opened in a newer version of Excel. Learn more: https://go.microsoft.com/fwlink/?linkid=870924
Comment:
	12/10 Peter wants to request appraisal, waiting the estimate (CM)
</t>
      </text>
    </comment>
    <comment authorId="1833" xr:uid="{ed145ccb-eee2-47f2-acef-335ab01ea368}" ref="N247">
      <text>
        <t xml:space="preserve">[Threaded comment]
 Your version of Excel allows you to read this threaded comment; however, any edits to it will get removed if the file is opened in a newer version of Excel. Learn more: https://go.microsoft.com/fwlink/?linkid=870924
Comment:
	12/09 sent to David
Reply:
	12/10 David approved the estimate
</t>
      </text>
    </comment>
    <comment authorId="1834" xr:uid="{ed1e0444-ac42-4e0a-aa03-edf7aa6a992f}" ref="M272">
      <text>
        <t xml:space="preserve">[Threaded comment]
 Your version of Excel allows you to read this threaded comment; however, any edits to it will get removed if the file is opened in a newer version of Excel. Learn more: https://go.microsoft.com/fwlink/?linkid=870924
Comment:
	1/7/25 sent to DA
</t>
      </text>
    </comment>
    <comment authorId="1835" xr:uid="{ed307294-1d9f-43fa-b9de-d0412d428e26}" ref="V240">
      <text>
        <t xml:space="preserve">[Threaded comment]
 Your version of Excel allows you to read this threaded comment; however, any edits to it will get removed if the file is opened in a newer version of Excel. Learn more: https://go.microsoft.com/fwlink/?linkid=870924
Comment:
	11/20 sent the letter recieved about the policy to PAs, asked them to follow up with the client (CM)
Reply:
	01/14 Myers says he has tried to reach several times to the client, informed that he repied an email of us (CM)
</t>
      </text>
    </comment>
    <comment authorId="1836" xr:uid="{ed3a40ee-1093-4b19-a8f9-71d22861a4c4}" ref="N394">
      <text>
        <t xml:space="preserve">[Threaded comment]
 Your version of Excel allows you to read this threaded comment; however, any edits to it will get removed if the file is opened in a newer version of Excel. Learn more: https://go.microsoft.com/fwlink/?linkid=870924
Comment:
	11/22/25 sent to josh to review
Reply:
	11/28 aprobado
</t>
      </text>
    </comment>
    <comment authorId="1837" xr:uid="{ed3accd3-ebec-4eb6-b2aa-9091dabf2b33}" ref="M317">
      <text>
        <t xml:space="preserve">[Threaded comment]
 Your version of Excel allows you to read this threaded comment; however, any edits to it will get removed if the file is opened in a newer version of Excel. Learn more: https://go.microsoft.com/fwlink/?linkid=870924
Comment:
	4/3 sent to carrier and client
</t>
      </text>
    </comment>
    <comment authorId="1838" xr:uid="{ed49e8f3-c9fa-4b25-a420-091ac6538cc7}" ref="A1">
      <text>
        <t xml:space="preserve">[Threaded comment]
 Your version of Excel allows you to read this threaded comment; however, any edits to it will get removed if the file is opened in a newer version of Excel. Learn more: https://go.microsoft.com/fwlink/?linkid=870924
Comment:
	01/13
</t>
      </text>
    </comment>
    <comment authorId="1839" xr:uid="{ed4fc505-b2b4-4d03-b067-d817748bf1c2}" ref="N223">
      <text>
        <t xml:space="preserve">[Threaded comment]
 Your version of Excel allows you to read this threaded comment; however, any edits to it will get removed if the file is opened in a newer version of Excel. Learn more: https://go.microsoft.com/fwlink/?linkid=870924
Comment:
	10/21 aprobado
</t>
      </text>
    </comment>
    <comment authorId="1840" xr:uid="{edb6bbef-dca2-41fe-9d3c-58dbd012859a}"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841" xr:uid="{ee009268-97aa-401b-bfb5-813f5b32d4be}" ref="N192">
      <text>
        <t xml:space="preserve">[Threaded comment]
 Your version of Excel allows you to read this threaded comment; however, any edits to it will get removed if the file is opened in a newer version of Excel. Learn more: https://go.microsoft.com/fwlink/?linkid=870924
Comment:
	7/31 enviado a ivan
8/05 ivan approved
</t>
      </text>
    </comment>
    <comment authorId="1842" xr:uid="{ee0a585d-6d73-4158-ae79-819da2e30219}" ref="A201">
      <text>
        <t xml:space="preserve">[Threaded comment]
 Your version of Excel allows you to read this threaded comment; however, any edits to it will get removed if the file is opened in a newer version of Excel. Learn more: https://go.microsoft.com/fwlink/?linkid=870924
Comment:
	Peter
Reply:
	Ordinance and Law $3645.09
</t>
      </text>
    </comment>
    <comment authorId="1843" xr:uid="{ee2770f4-7846-4e6f-a846-7c56a6a10618}" ref="V267">
      <text>
        <t xml:space="preserve">[Threaded comment]
 Your version of Excel allows you to read this threaded comment; however, any edits to it will get removed if the file is opened in a newer version of Excel. Learn more: https://go.microsoft.com/fwlink/?linkid=870924
Comment:
	02/04 the DA has sent an updated IA and he is trying to negotiate, cc'd PAs (CM)
</t>
      </text>
    </comment>
    <comment authorId="1844" xr:uid="{ee597796-e658-4a09-8103-d3b59cd7b20c}" ref="P158">
      <text>
        <t xml:space="preserve">[Threaded comment]
 Your version of Excel allows you to read this threaded comment; however, any edits to it will get removed if the file is opened in a newer version of Excel. Learn more: https://go.microsoft.com/fwlink/?linkid=870924
Comment:
	09/19
</t>
      </text>
    </comment>
    <comment authorId="1845" xr:uid="{ee66009a-fda3-46f3-ada4-e169802213af}" ref="N316">
      <text>
        <t xml:space="preserve">[Threaded comment]
 Your version of Excel allows you to read this threaded comment; however, any edits to it will get removed if the file is opened in a newer version of Excel. Learn more: https://go.microsoft.com/fwlink/?linkid=870924
Comment:
	2/7/25 sent to josh
Reply:
	2/10 aprobado
Reply:
	@jp.ipestimates@gmail.com cliente 324 no has mandado, manda porfa despues de revisar el IA
Reply:
	en el master list me sale que falta el IA report de este clliente, Jose Pavon. confirma
Reply:
	EL 324 Es Robert Robles, ya veo que has mandado el estimad asi que perfect!
Reply:
	4/12 envie una actualizacion del estimado a josh
Reply:
	4/12 aprobado
</t>
      </text>
    </comment>
    <comment authorId="1846" xr:uid="{ee7bd4c7-3a14-4e36-b736-adcd828923cb}" ref="A1">
      <text>
        <t xml:space="preserve">[Threaded comment]
 Your version of Excel allows you to read this threaded comment; however, any edits to it will get removed if the file is opened in a newer version of Excel. Learn more: https://go.microsoft.com/fwlink/?linkid=870924
Comment:
	01/14
</t>
      </text>
    </comment>
    <comment authorId="1847" xr:uid="{ee7c6ef9-6a53-4017-bef5-43737c4d05ac}" ref="A253">
      <text>
        <t xml:space="preserve">[Threaded comment]
 Your version of Excel allows you to read this threaded comment; however, any edits to it will get removed if the file is opened in a newer version of Excel. Learn more: https://go.microsoft.com/fwlink/?linkid=870924
Comment:
	didn't accept mediation
</t>
      </text>
    </comment>
    <comment authorId="1848" xr:uid="{eea3fbe2-3fb8-4693-b5c3-54a7fb0bc889}" ref="M368">
      <text>
        <t xml:space="preserve">[Threaded comment]
 Your version of Excel allows you to read this threaded comment; however, any edits to it will get removed if the file is opened in a newer version of Excel. Learn more: https://go.microsoft.com/fwlink/?linkid=870924
Comment:
	7/31 sent to DA @admin@ipadjustinggroup.com
</t>
      </text>
    </comment>
    <comment authorId="1849" xr:uid="{eeb67141-e9b0-4694-86ea-7fd0eae501d8}" ref="N352">
      <text>
        <t xml:space="preserve">[Threaded comment]
 Your version of Excel allows you to read this threaded comment; however, any edits to it will get removed if the file is opened in a newer version of Excel. Learn more: https://go.microsoft.com/fwlink/?linkid=870924
Comment:
	5/27 se cambio el c# del reclamo anterior y se envio al DA
</t>
      </text>
    </comment>
    <comment authorId="1850" xr:uid="{eeb95852-2d8e-4960-80bc-44e9c5110f0e}"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851" xr:uid="{eefa1f1c-86a1-4dca-b0cc-79fcd67cc1fd}" ref="V195">
      <text>
        <t xml:space="preserve">[Threaded comment]
 Your version of Excel allows you to read this threaded comment; however, any edits to it will get removed if the file is opened in a newer version of Excel. Learn more: https://go.microsoft.com/fwlink/?linkid=870924
Comment:
	08/28 follow up with Juan this estimate (CM)
</t>
      </text>
    </comment>
    <comment authorId="1852" xr:uid="{ef0e7451-98ca-433e-b020-43f65ec2964e}" ref="N395">
      <text>
        <t xml:space="preserve">[Threaded comment]
 Your version of Excel allows you to read this threaded comment; however, any edits to it will get removed if the file is opened in a newer version of Excel. Learn more: https://go.microsoft.com/fwlink/?linkid=870924
Comment:
	1/6/25 sent to ivan
</t>
      </text>
    </comment>
    <comment authorId="1853" xr:uid="{ef5b6280-0375-4f55-9122-be74b3936b50}" ref="V210">
      <text>
        <t xml:space="preserve">[Threaded comment]
 Your version of Excel allows you to read this threaded comment; however, any edits to it will get removed if the file is opened in a newer version of Excel. Learn more: https://go.microsoft.com/fwlink/?linkid=870924
Comment:
	12/12 asked PAs about the cancelation of this mediation, asked if they wnat me to send the withdraw letter (CM)
</t>
      </text>
    </comment>
    <comment authorId="1854" xr:uid="{ef64f0ba-b3b7-4bf8-961d-4f4b6e610343}" ref="A316">
      <text>
        <t xml:space="preserve">[Threaded comment]
 Your version of Excel allows you to read this threaded comment; however, any edits to it will get removed if the file is opened in a newer version of Excel. Learn more: https://go.microsoft.com/fwlink/?linkid=870924
Comment:
	Juan
Reply:
	recoverable depreciation $1118.67
</t>
      </text>
    </comment>
    <comment authorId="1855" xr:uid="{ef6c9c75-4ef0-4b77-83b3-1c9f356de9c8}" ref="V173">
      <text>
        <t xml:space="preserve">[Threaded comment]
 Your version of Excel allows you to read this threaded comment; however, any edits to it will get removed if the file is opened in a newer version of Excel. Learn more: https://go.microsoft.com/fwlink/?linkid=870924
Comment:
	07/11 DA says that the property is owned by Robertson Joseph and Yrose Dieujuste, he is requesting a copy of the current mortgage statement, a copy of the property title as well as a copy of the pre-purchase inspection report that the client obtained at the time of purchase of the property in 2022. Asked PAs to contact the client, and let me know how to proceed. (CM)
</t>
      </text>
    </comment>
    <comment authorId="1856" xr:uid="{efd3fc38-ae19-4289-95fd-e4ab489ef4ba}" ref="B149">
      <text>
        <t xml:space="preserve">[Threaded comment]
 Your version of Excel allows you to read this threaded comment; however, any edits to it will get removed if the file is opened in a newer version of Excel. Learn more: https://go.microsoft.com/fwlink/?linkid=870924
Comment:
	Angie / Ivan
</t>
      </text>
    </comment>
    <comment authorId="1857" xr:uid="{efe5c594-9cfe-46c8-8184-dd9aa69cbfef}"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858" xr:uid="{f03e9133-790c-4b72-bca5-25ec9d341a83}" ref="N348">
      <text>
        <t xml:space="preserve">[Threaded comment]
 Your version of Excel allows you to read this threaded comment; however, any edits to it will get removed if the file is opened in a newer version of Excel. Learn more: https://go.microsoft.com/fwlink/?linkid=870924
Comment:
	4/3 sent to josh
Reply:
	4/3 aprobado
</t>
      </text>
    </comment>
    <comment authorId="1859" xr:uid="{f0450280-a408-4795-b1a1-2b1582f8c107}"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860" xr:uid="{f05c09ab-fa71-4082-b581-e160c031026c}" ref="A189">
      <text>
        <t xml:space="preserve">[Threaded comment]
 Your version of Excel allows you to read this threaded comment; however, any edits to it will get removed if the file is opened in a newer version of Excel. Learn more: https://go.microsoft.com/fwlink/?linkid=870924
Comment:
	Wilber
Reply:
	10/19 invoked appraisal woth Wilber's info @scheduling@ipadjustinggroup.com
Reply:
	Marked as resolved
</t>
      </text>
    </comment>
    <comment authorId="1861" xr:uid="{f0875a45-9edc-43f6-85dc-c36b2e5e5a12}" ref="A1">
      <text>
        <t xml:space="preserve">[Threaded comment]
 Your version of Excel allows you to read this threaded comment; however, any edits to it will get removed if the file is opened in a newer version of Excel. Learn more: https://go.microsoft.com/fwlink/?linkid=870924
Comment:
	11/15 spoke with DA, he said the have settlement release back in 10/2022, they issued 3 check, asked him to send that (CM)
</t>
      </text>
    </comment>
    <comment authorId="1862" xr:uid="{f09611dc-04fc-4f55-9693-b2ab77de5749}" ref="A227">
      <text>
        <t xml:space="preserve">[Threaded comment]
 Your version of Excel allows you to read this threaded comment; however, any edits to it will get removed if the file is opened in a newer version of Excel. Learn more: https://go.microsoft.com/fwlink/?linkid=870924
Comment:
	Joshua
</t>
      </text>
    </comment>
    <comment authorId="1863" xr:uid="{f0d0bbb8-7bbe-41dd-9796-0efe52a735fc}" ref="V193">
      <text>
        <t xml:space="preserve">[Threaded comment]
 Your version of Excel allows you to read this threaded comment; however, any edits to it will get removed if the file is opened in a newer version of Excel. Learn more: https://go.microsoft.com/fwlink/?linkid=870924
Comment:
	07/25 received a letter, the client has accepted an indemnity for 20k in 2022, so they will close the claim (CM)
08/06 David and Joshua says that Peter said that we are moving to litigation or NOI (CM)
</t>
      </text>
    </comment>
    <comment authorId="1864" xr:uid="{f0d98dfb-bdea-4f9d-975b-c1ed35786736}" ref="A176">
      <text>
        <t xml:space="preserve">[Threaded comment]
 Your version of Excel allows you to read this threaded comment; however, any edits to it will get removed if the file is opened in a newer version of Excel. Learn more: https://go.microsoft.com/fwlink/?linkid=870924
Comment:
	noi @scheduling@ipadjustinggroup.com
</t>
      </text>
    </comment>
    <comment authorId="1865" xr:uid="{f112cdad-f0b3-4201-8fac-299efdcf111c}" ref="V250">
      <text>
        <t xml:space="preserve">[Threaded comment]
 Your version of Excel allows you to read this threaded comment; however, any edits to it will get removed if the file is opened in a newer version of Excel. Learn more: https://go.microsoft.com/fwlink/?linkid=870924
Comment:
	03/05 sent the offer to the new da, or asked to move with the appraisal, signed as Peter (CM)
</t>
      </text>
    </comment>
    <comment authorId="1866" xr:uid="{f142c2c3-b132-4577-8dc9-3873c04505c4}" ref="A1">
      <text>
        <t xml:space="preserve">[Threaded comment]
 Your version of Excel allows you to read this threaded comment; however, any edits to it will get removed if the file is opened in a newer version of Excel. Learn more: https://go.microsoft.com/fwlink/?linkid=870924
Comment:
	09/25
</t>
      </text>
    </comment>
    <comment authorId="1867" xr:uid="{f14a6bb8-f971-4d72-97e2-4f11b5ad310d}" ref="A347">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Day hazle seguimiento a esta mediacion porfa
Assigned to scheduling@ipadjustinggroup.com
Reply:
	Marked as done
</t>
      </text>
    </comment>
    <comment authorId="1868" xr:uid="{f19ed777-de44-4c3d-b6b2-08d5579e68d5}" ref="V216">
      <text>
        <t xml:space="preserve">[Threaded comment]
 Your version of Excel allows you to read this threaded comment; however, any edits to it will get removed if the file is opened in a newer version of Excel. Learn more: https://go.microsoft.com/fwlink/?linkid=870924
Comment:
	04/09 DA asked 7.5k new money in a exchange for a release, did a counteroffer for 27.5k (CM)
</t>
      </text>
    </comment>
    <comment authorId="1869" xr:uid="{f1b96b93-cb7c-49a9-a8a7-7bae2cff4a1c}" ref="M166">
      <text>
        <t xml:space="preserve">[Threaded comment]
 Your version of Excel allows you to read this threaded comment; however, any edits to it will get removed if the file is opened in a newer version of Excel. Learn more: https://go.microsoft.com/fwlink/?linkid=870924
Comment:
	7/24 enviado al carrier, sin fotos.
Reply:
	@jp.ipestimates@gmail.com no te olvides este SPOL que necesita el DA por fa
</t>
      </text>
    </comment>
    <comment authorId="1870" xr:uid="{f1d65f23-ff46-4e22-9491-a3d9c9c49ae0}" ref="M340">
      <text>
        <t xml:space="preserve">[Threaded comment]
 Your version of Excel allows you to read this threaded comment; however, any edits to it will get removed if the file is opened in a newer version of Excel. Learn more: https://go.microsoft.com/fwlink/?linkid=870924
Comment:
	4/10 sent to carrier and client
</t>
      </text>
    </comment>
    <comment authorId="1871" xr:uid="{f1dc3348-8dbb-4634-89d1-285503f6a64a}" ref="N288">
      <text>
        <t xml:space="preserve">[Threaded comment]
 Your version of Excel allows you to read this threaded comment; however, any edits to it will get removed if the file is opened in a newer version of Excel. Learn more: https://go.microsoft.com/fwlink/?linkid=870924
Comment:
	3/13 sent to juan
Reply:
	3/25 aprobado, faltan las fotos @admin@ipadjustinggroup.com
</t>
      </text>
    </comment>
    <comment authorId="1872" xr:uid="{f23b2778-5a3a-4e35-a44b-4da98f72d84e}" ref="N400">
      <text>
        <t xml:space="preserve">[Threaded comment]
 Your version of Excel allows you to read this threaded comment; however, any edits to it will get removed if the file is opened in a newer version of Excel. Learn more: https://go.microsoft.com/fwlink/?linkid=870924
Comment:
	4/17/26 sent to ivan
Reply:
	4/17 aprobado, esperar el IA report
</t>
      </text>
    </comment>
    <comment authorId="1873" xr:uid="{f2912cc8-1548-40fa-bc4d-e3211a25a030}" ref="A282">
      <text>
        <t xml:space="preserve">[Threaded comment]
 Your version of Excel allows you to read this threaded comment; however, any edits to it will get removed if the file is opened in a newer version of Excel. Learn more: https://go.microsoft.com/fwlink/?linkid=870924
Comment:
	Juan
Reply:
	recoverable depreciation : 9,777.27
</t>
      </text>
    </comment>
    <comment authorId="1874" xr:uid="{f2f85f42-8145-4714-ac05-77c5b6ed9cea}"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875" xr:uid="{f3b09b66-e6b1-49d1-92e9-5761ac47e5a6}" ref="A1">
      <text>
        <t xml:space="preserve">[Threaded comment]
 Your version of Excel allows you to read this threaded comment; however, any edits to it will get removed if the file is opened in a newer version of Excel. Learn more: https://go.microsoft.com/fwlink/?linkid=870924
Comment:
	04/02 Denial letter rcvd. (DE)
</t>
      </text>
    </comment>
    <comment authorId="1876" xr:uid="{f3cc3ba2-6d2e-402f-95c1-80326b56f861}" ref="O324">
      <text>
        <t xml:space="preserve">[Threaded comment]
 Your version of Excel allows you to read this threaded comment; however, any edits to it will get removed if the file is opened in a newer version of Excel. Learn more: https://go.microsoft.com/fwlink/?linkid=870924
Comment:
	3/31 sent to client
</t>
      </text>
    </comment>
    <comment authorId="1877" xr:uid="{f3de9402-4290-428c-ad59-88b4876823c7}" ref="P251">
      <text>
        <t xml:space="preserve">[Threaded comment]
 Your version of Excel allows you to read this threaded comment; however, any edits to it will get removed if the file is opened in a newer version of Excel. Learn more: https://go.microsoft.com/fwlink/?linkid=870924
Comment:
	Inspection been scheduled for 11/03 (CM)
</t>
      </text>
    </comment>
    <comment authorId="1878" xr:uid="{f40347da-53ee-46ad-b169-56f282b91ba2}" ref="V196">
      <text>
        <t xml:space="preserve">[Threaded comment]
 Your version of Excel allows you to read this threaded comment; however, any edits to it will get removed if the file is opened in a newer version of Excel. Learn more: https://go.microsoft.com/fwlink/?linkid=870924
Comment:
	08/27 carrier is requesting the spol and examination under oath, asked JP to do the spol and informed PAs about the EUO (CM)
</t>
      </text>
    </comment>
    <comment authorId="1879" xr:uid="{f44f4fa1-8518-4048-8407-dbf1caef796a}" ref="M395">
      <text>
        <t xml:space="preserve">[Threaded comment]
 Your version of Excel allows you to read this threaded comment; however, any edits to it will get removed if the file is opened in a newer version of Excel. Learn more: https://go.microsoft.com/fwlink/?linkid=870924
Comment:
	1/8/26 sent
</t>
      </text>
    </comment>
    <comment authorId="1880" xr:uid="{f4660e54-c542-48b2-bffd-45fa5eefdfb3}"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881" xr:uid="{f48d2b16-cec0-45f0-abc4-e4d8f11179bf}" ref="A1">
      <text>
        <t xml:space="preserve">[Threaded comment]
 Your version of Excel allows you to read this threaded comment; however, any edits to it will get removed if the file is opened in a newer version of Excel. Learn more: https://go.microsoft.com/fwlink/?linkid=870924
Comment:
	01/20
</t>
      </text>
    </comment>
    <comment authorId="1882" xr:uid="{f493d419-92d2-41b0-9b93-9f4696d0bca0}" ref="P219">
      <text>
        <t xml:space="preserve">[Threaded comment]
 Your version of Excel allows you to read this threaded comment; however, any edits to it will get removed if the file is opened in a newer version of Excel. Learn more: https://go.microsoft.com/fwlink/?linkid=870924
Comment:
	12/02
</t>
      </text>
    </comment>
    <comment authorId="1883" xr:uid="{f4a739b6-0475-4ef7-a69c-b04af9967f8f}" ref="P189">
      <text>
        <t xml:space="preserve">[Threaded comment]
 Your version of Excel allows you to read this threaded comment; however, any edits to it will get removed if the file is opened in a newer version of Excel. Learn more: https://go.microsoft.com/fwlink/?linkid=870924
Comment:
	09/10
</t>
      </text>
    </comment>
    <comment authorId="1884" xr:uid="{f4c7aa5f-cbcb-48d0-ba9b-45c60bf1cc22}" ref="O145">
      <text>
        <t xml:space="preserve">[Threaded comment]
 Your version of Excel allows you to read this threaded comment; however, any edits to it will get removed if the file is opened in a newer version of Excel. Learn more: https://go.microsoft.com/fwlink/?linkid=870924
Comment:
	7/30 sent to client
</t>
      </text>
    </comment>
    <comment authorId="1885" xr:uid="{f4c9eb68-c184-4970-a26d-ab9654b550f1}" ref="V173">
      <text>
        <t xml:space="preserve">[Threaded comment]
 Your version of Excel allows you to read this threaded comment; however, any edits to it will get removed if the file is opened in a newer version of Excel. Learn more: https://go.microsoft.com/fwlink/?linkid=870924
Comment:
	07/25 received a letter saying they have issued a settlement check for 10k (CM) @ivan@ipadjustinggroup.com @peter@ipadjustinggroup.com
</t>
      </text>
    </comment>
    <comment authorId="1886" xr:uid="{f5038228-67ed-47d4-b155-bdd3fa712a05}" ref="M359">
      <text>
        <t xml:space="preserve">[Threaded comment]
 Your version of Excel allows you to read this threaded comment; however, any edits to it will get removed if the file is opened in a newer version of Excel. Learn more: https://go.microsoft.com/fwlink/?linkid=870924
Comment:
	5/28 sent to DA
Reply:
	10/31/25 sent an update to DA
</t>
      </text>
    </comment>
    <comment authorId="1887" xr:uid="{f5205ad4-7dcd-49c1-9c98-157510cf4485}" ref="V257">
      <text>
        <t xml:space="preserve">[Threaded comment]
 Your version of Excel allows you to read this threaded comment; however, any edits to it will get removed if the file is opened in a newer version of Excel. Learn more: https://go.microsoft.com/fwlink/?linkid=870924
Comment:
	11/22 they are asking for our estimate, received the IA sent to PAS underdeductible(CM)
</t>
      </text>
    </comment>
    <comment authorId="1888" xr:uid="{f529b916-8bbf-48bb-9789-49276ca98b4e}" ref="V230">
      <text>
        <t xml:space="preserve">[Threaded comment]
 Your version of Excel allows you to read this threaded comment; however, any edits to it will get removed if the file is opened in a newer version of Excel. Learn more: https://go.microsoft.com/fwlink/?linkid=870924
Comment:
	ask Iván to call DA as per her request
Reply:
	10/30 DA is requesting to call her (CM)
</t>
      </text>
    </comment>
    <comment authorId="1889" xr:uid="{f52e83f0-fcd4-4846-8298-f836595bbd7d}"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890" xr:uid="{f570a81b-40aa-48c8-a200-a7d5cf09667b}" ref="A150">
      <text>
        <t xml:space="preserve">[Threaded comment]
 Your version of Excel allows you to read this threaded comment; however, any edits to it will get removed if the file is opened in a newer version of Excel. Learn more: https://go.microsoft.com/fwlink/?linkid=870924
Comment:
	Stephen
</t>
      </text>
    </comment>
    <comment authorId="1891" xr:uid="{f5767609-50ad-4607-b2b6-e2e79741da1c}" ref="N158">
      <text>
        <t xml:space="preserve">[Threaded comment]
 Your version of Excel allows you to read this threaded comment; however, any edits to it will get removed if the file is opened in a newer version of Excel. Learn more: https://go.microsoft.com/fwlink/?linkid=870924
Comment:
	7/16 sent to Juan
7/24 aprobado por juan
</t>
      </text>
    </comment>
    <comment authorId="1892" xr:uid="{f58072ba-adcf-4dc7-81bd-085c42327ddb}" ref="A1">
      <text>
        <t xml:space="preserve">[Threaded comment]
 Your version of Excel allows you to read this threaded comment; however, any edits to it will get removed if the file is opened in a newer version of Excel. Learn more: https://go.microsoft.com/fwlink/?linkid=870924
Comment:
	10/29
</t>
      </text>
    </comment>
    <comment authorId="1893" xr:uid="{f5943eb4-461c-4e47-9a05-d2d65a98948b}" ref="P310">
      <text>
        <t xml:space="preserve">[Threaded comment]
 Your version of Excel allows you to read this threaded comment; however, any edits to it will get removed if the file is opened in a newer version of Excel. Learn more: https://go.microsoft.com/fwlink/?linkid=870924
Comment:
	02/13
</t>
      </text>
    </comment>
    <comment authorId="1894" xr:uid="{f59f33bd-36e8-47b5-92d0-8a2d17a75231}" ref="B176">
      <text>
        <t xml:space="preserve">[Threaded comment]
 Your version of Excel allows you to read this threaded comment; however, any edits to it will get removed if the file is opened in a newer version of Excel. Learn more: https://go.microsoft.com/fwlink/?linkid=870924
Comment:
	David F.
</t>
      </text>
    </comment>
    <comment authorId="1895" xr:uid="{f5a2dd4e-4a21-431b-b859-208bf228f4f4}" ref="V198">
      <text>
        <t xml:space="preserve">[Threaded comment]
 Your version of Excel allows you to read this threaded comment; however, any edits to it will get removed if the file is opened in a newer version of Excel. Learn more: https://go.microsoft.com/fwlink/?linkid=870924
Comment:
	08/12 received a denial letter, asked PAs how to proceed, and if they want to request mediation (CM)
</t>
      </text>
    </comment>
    <comment authorId="1896" xr:uid="{f5d3f23e-c6a2-448a-9ea7-1b8908f344e7}" ref="N228">
      <text>
        <t xml:space="preserve">[Threaded comment]
 Your version of Excel allows you to read this threaded comment; however, any edits to it will get removed if the file is opened in a newer version of Excel. Learn more: https://go.microsoft.com/fwlink/?linkid=870924
Comment:
	10/21 sent to joshua for approval
Reply:
	10/21 aprobado
Reply:
	ya tenemos IA manda nuestro estimado please 197
</t>
      </text>
    </comment>
    <comment authorId="1897" xr:uid="{f5f113f1-f5ef-493c-b5a1-d981bc253cf9}" ref="V178">
      <text>
        <t xml:space="preserve">[Threaded comment]
 Your version of Excel allows you to read this threaded comment; however, any edits to it will get removed if the file is opened in a newer version of Excel. Learn more: https://go.microsoft.com/fwlink/?linkid=870924
Comment:
	ask if they got to an agreement on mediation
</t>
      </text>
    </comment>
    <comment authorId="1898" xr:uid="{f6026292-3caf-4c0e-8332-b28060dc5e6b}" ref="A1">
      <text>
        <t xml:space="preserve">[Threaded comment]
 Your version of Excel allows you to read this threaded comment; however, any edits to it will get removed if the file is opened in a newer version of Excel. Learn more: https://go.microsoft.com/fwlink/?linkid=870924
Comment:
	spoke to client 4/28
</t>
      </text>
    </comment>
    <comment authorId="1899" xr:uid="{f608ae9d-72ac-48be-a37b-5f0c3af95fe6}"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900" xr:uid="{f619f29b-48b7-430e-b65d-eadc05acc146}" ref="P256">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t>
      </text>
    </comment>
    <comment authorId="1901" xr:uid="{f67a97fb-407c-49f5-b321-175cd6f55e71}" ref="A147">
      <text>
        <t xml:space="preserve">[Threaded comment]
 Your version of Excel allows you to read this threaded comment; however, any edits to it will get removed if the file is opened in a newer version of Excel. Learn more: https://go.microsoft.com/fwlink/?linkid=870924
Comment:
	09/12 requested mediation @scheduling@ipadjustinggroup.com
Assigned to scheduling@ipadjustinggroup.com
Reply:
	Marked as done
</t>
      </text>
    </comment>
    <comment authorId="1902" xr:uid="{f69d7ff1-8392-40eb-b12d-772c6cbdfff5}" ref="A1">
      <text>
        <t xml:space="preserve">[Threaded comment]
 Your version of Excel allows you to read this threaded comment; however, any edits to it will get removed if the file is opened in a newer version of Excel. Learn more: https://go.microsoft.com/fwlink/?linkid=870924
Comment:
	01/22
</t>
      </text>
    </comment>
    <comment authorId="1903" xr:uid="{f6ad5adc-0064-4bc5-b935-dbc59767416c}" ref="N391">
      <text>
        <t xml:space="preserve">[Threaded comment]
 Your version of Excel allows you to read this threaded comment; however, any edits to it will get removed if the file is opened in a newer version of Excel. Learn more: https://go.microsoft.com/fwlink/?linkid=870924
Comment:
	1/17/26 sent to peter
Reply:
	2/2/26 Peter approved the estimate
</t>
      </text>
    </comment>
    <comment authorId="1904" xr:uid="{f6c25650-92dc-47df-a5de-2223a69521c4}"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905" xr:uid="{f6c77bbb-e234-4082-8542-c15f07b424cb}" ref="P261">
      <text>
        <t xml:space="preserve">[Threaded comment]
 Your version of Excel allows you to read this threaded comment; however, any edits to it will get removed if the file is opened in a newer version of Excel. Learn more: https://go.microsoft.com/fwlink/?linkid=870924
Comment:
	12/19
</t>
      </text>
    </comment>
    <comment authorId="1906" xr:uid="{f6cfc3db-f598-4aa8-b72b-67b0eadfd2f4}" ref="V256">
      <text>
        <t xml:space="preserve">[Threaded comment]
 Your version of Excel allows you to read this threaded comment; however, any edits to it will get removed if the file is opened in a newer version of Excel. Learn more: https://go.microsoft.com/fwlink/?linkid=870924
Comment:
	11/20 received the determination letter, they are issuing a payment for 5k, sent to Pas and JP (SG)
</t>
      </text>
    </comment>
    <comment authorId="1907" xr:uid="{f72f712e-1c6f-4b29-8ec2-66b48e80bbac}" ref="A1">
      <text>
        <t xml:space="preserve">[Threaded comment]
 Your version of Excel allows you to read this threaded comment; however, any edits to it will get removed if the file is opened in a newer version of Excel. Learn more: https://go.microsoft.com/fwlink/?linkid=870924
Comment:
	9/17 sent to carrier
</t>
      </text>
    </comment>
    <comment authorId="1908" xr:uid="{f736035f-066e-43ab-8561-b9fc019871c7}" ref="P218">
      <text>
        <t xml:space="preserve">[Threaded comment]
 Your version of Excel allows you to read this threaded comment; however, any edits to it will get removed if the file is opened in a newer version of Excel. Learn more: https://go.microsoft.com/fwlink/?linkid=870924
Comment:
	Inspection done on 10/28 (CM)
</t>
      </text>
    </comment>
    <comment authorId="1909" xr:uid="{f741ebe3-a43b-4782-9bda-edd5c65377ec}" ref="A231">
      <text>
        <t xml:space="preserve">[Threaded comment]
 Your version of Excel allows you to read this threaded comment; however, any edits to it will get removed if the file is opened in a newer version of Excel. Learn more: https://go.microsoft.com/fwlink/?linkid=870924
Comment:
	Juan
</t>
      </text>
    </comment>
    <comment authorId="1910" xr:uid="{f76c0428-51d5-4876-ac6c-69102bea6ba1}" ref="Q291">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911" xr:uid="{f77fdb43-b0c6-4a3d-a442-770663771902}" ref="N315">
      <text>
        <t xml:space="preserve">[Threaded comment]
 Your version of Excel allows you to read this threaded comment; however, any edits to it will get removed if the file is opened in a newer version of Excel. Learn more: https://go.microsoft.com/fwlink/?linkid=870924
Comment:
	2/6/25 sent to Juan
Reply:
	2/27 aprobado por juan
</t>
      </text>
    </comment>
    <comment authorId="1912" xr:uid="{f787e845-b0e7-49e3-b678-c822674bbde4}"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913" xr:uid="{f7c2cb47-c1bc-480a-a268-8eabb394aea7}" ref="O155">
      <text>
        <t xml:space="preserve">[Threaded comment]
 Your version of Excel allows you to read this threaded comment; however, any edits to it will get removed if the file is opened in a newer version of Excel. Learn more: https://go.microsoft.com/fwlink/?linkid=870924
Comment:
	08/06 sent SPOL to carrier (CM)
</t>
      </text>
    </comment>
    <comment authorId="1914" xr:uid="{f7c9c37c-3687-44d9-b117-3f630c6b9f8e}" ref="O228">
      <text>
        <t xml:space="preserve">[Threaded comment]
 Your version of Excel allows you to read this threaded comment; however, any edits to it will get removed if the file is opened in a newer version of Excel. Learn more: https://go.microsoft.com/fwlink/?linkid=870924
Comment:
	12/18 sent SPOL to client SG
</t>
      </text>
    </comment>
    <comment authorId="1915" xr:uid="{f84d44f0-c607-45aa-b6ac-3bcae17f6105}" ref="A385">
      <text>
        <t xml:space="preserve">[Threaded comment]
 Your version of Excel allows you to read this threaded comment; however, any edits to it will get removed if the file is opened in a newer version of Excel. Learn more: https://go.microsoft.com/fwlink/?linkid=870924
Comment:
	Peter
</t>
      </text>
    </comment>
    <comment authorId="1916" xr:uid="{f8740fc3-5d4f-4953-94a3-f947b1ccfa98}" ref="V175">
      <text>
        <t xml:space="preserve">[Threaded comment]
 Your version of Excel allows you to read this threaded comment; however, any edits to it will get removed if the file is opened in a newer version of Excel. Learn more: https://go.microsoft.com/fwlink/?linkid=870924
Comment:
	08/29 received a determination letter, they are going to pay 10k for this claim (CM)
</t>
      </text>
    </comment>
    <comment authorId="1917" xr:uid="{f88be9b4-7aa0-43af-aff7-fda5b68b53ae}" ref="A154">
      <text>
        <t xml:space="preserve">[Threaded comment]
 Your version of Excel allows you to read this threaded comment; however, any edits to it will get removed if the file is opened in a newer version of Excel. Learn more: https://go.microsoft.com/fwlink/?linkid=870924
Comment:
	08/22 request mediation (CM) @scheduling@ipadjustinggroup.com
</t>
      </text>
    </comment>
    <comment authorId="1918" xr:uid="{f8b1542e-0c00-46a8-b8fc-c34336ff98d7}" ref="A1">
      <text>
        <t xml:space="preserve">[Threaded comment]
 Your version of Excel allows you to read this threaded comment; however, any edits to it will get removed if the file is opened in a newer version of Excel. Learn more: https://go.microsoft.com/fwlink/?linkid=870924
Comment:
	09/16
</t>
      </text>
    </comment>
    <comment authorId="1919" xr:uid="{f8fb18ae-d94e-4bfd-95cc-252a5a867e85}"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920" xr:uid="{f8fc8359-cfbb-4fe4-8402-140b6af4df41}" ref="P183">
      <text>
        <t xml:space="preserve">[Threaded comment]
 Your version of Excel allows you to read this threaded comment; however, any edits to it will get removed if the file is opened in a newer version of Excel. Learn more: https://go.microsoft.com/fwlink/?linkid=870924
Comment:
	08/13 no insp yet
</t>
      </text>
    </comment>
    <comment authorId="1921" xr:uid="{f926dcfc-55c4-472b-ad1c-2ba0df4846ab}" ref="V122">
      <text>
        <t xml:space="preserve">[Threaded comment]
 Your version of Excel allows you to read this threaded comment; however, any edits to it will get removed if the file is opened in a newer version of Excel. Learn more: https://go.microsoft.com/fwlink/?linkid=870924
Comment:
	08/12 received a denial letter, from 2023, asked PAs how to proceed (CM)
</t>
      </text>
    </comment>
    <comment authorId="1922" xr:uid="{f939bcc8-670c-42dd-97c6-67a13c705bdb}" ref="O385">
      <text>
        <t xml:space="preserve">[Threaded comment]
 Your version of Excel allows you to read this threaded comment; however, any edits to it will get removed if the file is opened in a newer version of Excel. Learn more: https://go.microsoft.com/fwlink/?linkid=870924
Comment:
	8/15 sent to client
</t>
      </text>
    </comment>
    <comment authorId="1923" xr:uid="{f942e61a-124b-4e9b-ac07-1a738e63a885}" ref="N297">
      <text>
        <t xml:space="preserve">[Threaded comment]
 Your version of Excel allows you to read this threaded comment; however, any edits to it will get removed if the file is opened in a newer version of Excel. Learn more: https://go.microsoft.com/fwlink/?linkid=870924
Comment:
	1/9/25 sent the estimate to Angie/Ivan for review
Reply:
	1/21 aprobado
</t>
      </text>
    </comment>
    <comment authorId="1924" xr:uid="{f9536738-56c1-41c3-ae2e-3042c5882bbc}" ref="A164">
      <text>
        <t xml:space="preserve">[Threaded comment]
 Your version of Excel allows you to read this threaded comment; however, any edits to it will get removed if the file is opened in a newer version of Excel. Learn more: https://go.microsoft.com/fwlink/?linkid=870924
Comment:
	08/12 requested mediation (CM) @scheduling@ipadjustinggroup.com
</t>
      </text>
    </comment>
    <comment authorId="1925" xr:uid="{f95b9f61-88f3-48c8-b1c5-a31e205fec76}" ref="M257">
      <text>
        <t xml:space="preserve">[Threaded comment]
 Your version of Excel allows you to read this threaded comment; however, any edits to it will get removed if the file is opened in a newer version of Excel. Learn more: https://go.microsoft.com/fwlink/?linkid=870924
Comment:
	12/11 sent to carrier
</t>
      </text>
    </comment>
    <comment authorId="1926" xr:uid="{f9acfa30-9710-42ef-9e6d-b2895e874274}" ref="A1">
      <text>
        <t xml:space="preserve">[Threaded comment]
 Your version of Excel allows you to read this threaded comment; however, any edits to it will get removed if the file is opened in a newer version of Excel. Learn more: https://go.microsoft.com/fwlink/?linkid=870924
Comment:
	Inform Sarah
</t>
      </text>
    </comment>
    <comment authorId="1927" xr:uid="{f9eefc6c-1c68-468b-9d88-b483d7368aa0}" ref="S301">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Assigned to scheduling@ipadjustinggroup.com
Reply:
	Marked as done
Reply:
	noted
Re-opened
</t>
      </text>
    </comment>
    <comment authorId="1928" xr:uid="{fa0b5b59-b277-4135-8864-fe697a177b9a}" ref="M255">
      <text>
        <t xml:space="preserve">[Threaded comment]
 Your version of Excel allows you to read this threaded comment; however, any edits to it will get removed if the file is opened in a newer version of Excel. Learn more: https://go.microsoft.com/fwlink/?linkid=870924
Comment:
	12/12 sent to DA
</t>
      </text>
    </comment>
    <comment authorId="1929" xr:uid="{fa5fa398-3673-4a15-982f-5b30bada1042}" ref="V288">
      <text>
        <t xml:space="preserve">[Threaded comment]
 Your version of Excel allows you to read this threaded comment; however, any edits to it will get removed if the file is opened in a newer version of Excel. Learn more: https://go.microsoft.com/fwlink/?linkid=870924
Comment:
	01/02 received the correct claim#, the IA report, asked Juan to send his estimate to JP (CM)
</t>
      </text>
    </comment>
    <comment authorId="1930" xr:uid="{fa846844-adcd-40e0-aced-4e80955fd9af}" ref="A365">
      <text>
        <t xml:space="preserve">[Threaded comment]
 Your version of Excel allows you to read this threaded comment; however, any edits to it will get removed if the file is opened in a newer version of Excel. Learn more: https://go.microsoft.com/fwlink/?linkid=870924
Comment:
	@scheduling@ipadjustinggroup.com
</t>
      </text>
    </comment>
    <comment authorId="1931" xr:uid="{faabb4cb-d2d9-41a3-b185-2a9fa4b916ce}" ref="A1">
      <text>
        <t xml:space="preserve">[Threaded comment]
 Your version of Excel allows you to read this threaded comment; however, any edits to it will get removed if the file is opened in a newer version of Excel. Learn more: https://go.microsoft.com/fwlink/?linkid=870924
Comment:
	08/27 they won't assgin DA until they receive the estimate, informed Joshua (CM)
</t>
      </text>
    </comment>
    <comment authorId="1932" xr:uid="{fad2849a-1b48-412f-b8cf-1127476cccfd}" ref="O336">
      <text>
        <t xml:space="preserve">[Threaded comment]
 Your version of Excel allows you to read this threaded comment; however, any edits to it will get removed if the file is opened in a newer version of Excel. Learn more: https://go.microsoft.com/fwlink/?linkid=870924
Comment:
	@jp.ipestimates@gmail.com pilas el estimado porfa
Assigned to jp.ipestimates@gmail.com
</t>
      </text>
    </comment>
    <comment authorId="1933" xr:uid="{fad2eaab-caf3-4287-83b3-e63e73707deb}" ref="V110">
      <text>
        <t xml:space="preserve">[Threaded comment]
 Your version of Excel allows you to read this threaded comment; however, any edits to it will get removed if the file is opened in a newer version of Excel. Learn more: https://go.microsoft.com/fwlink/?linkid=870924
Comment:
	09/03 Jp asked Juan to confirm the estiamte with the pool added (CM)
</t>
      </text>
    </comment>
    <comment authorId="1934" xr:uid="{faf7d1d2-680d-4c33-bd81-2364ad854fb6}" ref="M309">
      <text>
        <t xml:space="preserve">[Threaded comment]
 Your version of Excel allows you to read this threaded comment; however, any edits to it will get removed if the file is opened in a newer version of Excel. Learn more: https://go.microsoft.com/fwlink/?linkid=870924
Comment:
	1/30/25 sent to carrier
</t>
      </text>
    </comment>
    <comment authorId="1935" xr:uid="{fb23e769-4a5d-4ef3-8af6-69ed29e0c4d5}" ref="N385">
      <text>
        <t xml:space="preserve">[Threaded comment]
 Your version of Excel allows you to read this threaded comment; however, any edits to it will get removed if the file is opened in a newer version of Excel. Learn more: https://go.microsoft.com/fwlink/?linkid=870924
Comment:
	7/31 sent to ivan
Reply:
	8/15 aprobado
</t>
      </text>
    </comment>
    <comment authorId="1936" xr:uid="{fb3d57bf-5fe6-49c4-bd2f-e9d5b291b16c}" ref="V163">
      <text>
        <t xml:space="preserve">[Threaded comment]
 Your version of Excel allows you to read this threaded comment; however, any edits to it will get removed if the file is opened in a newer version of Excel. Learn more: https://go.microsoft.com/fwlink/?linkid=870924
Comment:
	11/04 Iván couldn't get to an agreement on the mediation, we are going to continue negotiation, claim closed as per carrier info (CM)
</t>
      </text>
    </comment>
    <comment authorId="1937" xr:uid="{fb8f68fd-3df7-4434-a907-ebf2ed84d02d}" ref="A1">
      <text>
        <t xml:space="preserve">[Threaded comment]
 Your version of Excel allows you to read this threaded comment; however, any edits to it will get removed if the file is opened in a newer version of Excel. Learn more: https://go.microsoft.com/fwlink/?linkid=870924
Comment:
	12/30
</t>
      </text>
    </comment>
    <comment authorId="1938" xr:uid="{fba9912a-56b5-4614-b039-c4b674d781d2}" ref="N256">
      <text>
        <t xml:space="preserve">[Threaded comment]
 Your version of Excel allows you to read this threaded comment; however, any edits to it will get removed if the file is opened in a newer version of Excel. Learn more: https://go.microsoft.com/fwlink/?linkid=870924
Comment:
	11/21 Sent estimate to Ivan
Reply:
	11/21 aprobado por Ivan
</t>
      </text>
    </comment>
    <comment authorId="1939" xr:uid="{fbcb9f87-89f6-4246-9dd2-486987978c79}" ref="P272">
      <text>
        <t xml:space="preserve">[Threaded comment]
 Your version of Excel allows you to read this threaded comment; however, any edits to it will get removed if the file is opened in a newer version of Excel. Learn more: https://go.microsoft.com/fwlink/?linkid=870924
Comment:
	insp 12/04
</t>
      </text>
    </comment>
    <comment authorId="1940" xr:uid="{fbe31a5f-8bc4-4da2-a078-60ddd36192f0}" ref="A185">
      <text>
        <t xml:space="preserve">[Threaded comment]
 Your version of Excel allows you to read this threaded comment; however, any edits to it will get removed if the file is opened in a newer version of Excel. Learn more: https://go.microsoft.com/fwlink/?linkid=870924
Comment:
	09/12 mediation @scheduling@ipadjustinggroup.com
Assigned to scheduling@ipadjustinggroup.com
Reply:
	Marked as done
</t>
      </text>
    </comment>
    <comment authorId="1941" xr:uid="{fc0dfe4a-e966-47fa-8de6-c46d085154b0}" ref="V238">
      <text>
        <t xml:space="preserve">[Threaded comment]
 Your version of Excel allows you to read this threaded comment; however, any edits to it will get removed if the file is opened in a newer version of Excel. Learn more: https://go.microsoft.com/fwlink/?linkid=870924
Comment:
	11/04 received the IA report and the determination letter, below deductible, sent to PAs and JP asked him to review it and send our estimate (CM)
Reply:
	12/11 Peter is negotiating this claim (CM)
</t>
      </text>
    </comment>
    <comment authorId="1942" xr:uid="{fc3e0b6c-d917-49be-90a7-e24f8114939f}" ref="A142">
      <text>
        <t xml:space="preserve">[Threaded comment]
 Your version of Excel allows you to read this threaded comment; however, any edits to it will get removed if the file is opened in a newer version of Excel. Learn more: https://go.microsoft.com/fwlink/?linkid=870924
Comment:
	Peter
Reply:
	Not sure on this one for recoverables
</t>
      </text>
    </comment>
    <comment authorId="1943" xr:uid="{fc46cec7-eb14-46ee-89eb-fc488eb8d518}" ref="V195">
      <text>
        <t xml:space="preserve">[Threaded comment]
 Your version of Excel allows you to read this threaded comment; however, any edits to it will get removed if the file is opened in a newer version of Excel. Learn more: https://go.microsoft.com/fwlink/?linkid=870924
Comment:
	09/27 DA responded saying that the loss was valued at $22,251.17. The deductible on this claim is $21,550.00. He has a settlement total of $ 701.17, asked for the IA report for the PA review (CM)
</t>
      </text>
    </comment>
    <comment authorId="1944" xr:uid="{fc6f4aa4-bc88-4e00-b0f9-e5f86c50587a}" ref="M197">
      <text>
        <t xml:space="preserve">[Threaded comment]
 Your version of Excel allows you to read this threaded comment; however, any edits to it will get removed if the file is opened in a newer version of Excel. Learn more: https://go.microsoft.com/fwlink/?linkid=870924
Comment:
	8/28 enviado al DA
</t>
      </text>
    </comment>
    <comment authorId="1945" xr:uid="{fc6febcb-1119-4b33-b83a-130f0452aeec}" ref="O198">
      <text>
        <t xml:space="preserve">[Threaded comment]
 Your version of Excel allows you to read this threaded comment; however, any edits to it will get removed if the file is opened in a newer version of Excel. Learn more: https://go.microsoft.com/fwlink/?linkid=870924
Comment:
	Paulillo tenemos que enviar el spol cliente 163 te mande mail
</t>
      </text>
    </comment>
    <comment authorId="1946" xr:uid="{fc7a8cbe-eedb-48ae-9c57-9dc0e94acea2}" ref="A381">
      <text>
        <t xml:space="preserve">[Threaded comment]
 Your version of Excel allows you to read this threaded comment; however, any edits to it will get removed if the file is opened in a newer version of Excel. Learn more: https://go.microsoft.com/fwlink/?linkid=870924
Comment:
	Leeban $150
</t>
      </text>
    </comment>
    <comment authorId="1947" xr:uid="{fc927cf4-b901-48e3-8cba-fa62d5fa256c}" ref="M174">
      <text>
        <t xml:space="preserve">[Threaded comment]
 Your version of Excel allows you to read this threaded comment; however, any edits to it will get removed if the file is opened in a newer version of Excel. Learn more: https://go.microsoft.com/fwlink/?linkid=870924
Comment:
	@jp.ipestimates@gmail.com mandar estimado
Reply:
	8/26 enviado al carrier y cliente @admin@ipadjustinggroup.com
</t>
      </text>
    </comment>
    <comment authorId="1948" xr:uid="{fc9a5474-9cdc-4234-bcc7-e0c10bf422e8}" ref="A1">
      <text>
        <t xml:space="preserve">[Threaded comment]
 Your version of Excel allows you to read this threaded comment; however, any edits to it will get removed if the file is opened in a newer version of Excel. Learn more: https://go.microsoft.com/fwlink/?linkid=870924
Comment:
	08/15
</t>
      </text>
    </comment>
    <comment authorId="1949" xr:uid="{fccf9e13-e445-4e88-ab96-5543e1465e1b}" ref="Q345">
      <text>
        <t xml:space="preserve">[Threaded comment]
 Your version of Excel allows you to read this threaded comment; however, any edits to it will get removed if the file is opened in a newer version of Excel. Learn more: https://go.microsoft.com/fwlink/?linkid=870924
Comment:
	04/04
</t>
      </text>
    </comment>
    <comment authorId="1950" xr:uid="{fce8bc99-1d66-4622-82d4-a1aa81d34c92}" ref="A219">
      <text>
        <t xml:space="preserve">[Threaded comment]
 Your version of Excel allows you to read this threaded comment; however, any edits to it will get removed if the file is opened in a newer version of Excel. Learn more: https://go.microsoft.com/fwlink/?linkid=870924
Comment:
	Juan
Reply:
	paid everything else on a settlement release, nothing to be recovered
</t>
      </text>
    </comment>
    <comment authorId="1951" xr:uid="{fcf0af17-5f2f-4ba3-addb-6a6e31184236}" ref="O180">
      <text>
        <t xml:space="preserve">[Threaded comment]
 Your version of Excel allows you to read this threaded comment; however, any edits to it will get removed if the file is opened in a newer version of Excel. Learn more: https://go.microsoft.com/fwlink/?linkid=870924
Comment:
	9/24 enviado al cliente
</t>
      </text>
    </comment>
    <comment authorId="1952" xr:uid="{fd0d2e97-9002-4a97-85d4-a0e545ac2b0f}" ref="A215">
      <text>
        <t xml:space="preserve">[Threaded comment]
 Your version of Excel allows you to read this threaded comment; however, any edits to it will get removed if the file is opened in a newer version of Excel. Learn more: https://go.microsoft.com/fwlink/?linkid=870924
Comment:
	Peter
Reply:
	Less $1,375.24 (O&amp;L)
</t>
      </text>
    </comment>
    <comment authorId="1953" xr:uid="{fd427bb0-499c-4dee-ada2-9630cb0b3d07}" ref="A1">
      <text>
        <t xml:space="preserve">[Threaded comment]
 Your version of Excel allows you to read this threaded comment; however, any edits to it will get removed if the file is opened in a newer version of Excel. Learn more: https://go.microsoft.com/fwlink/?linkid=870924
Comment:
	11/05 Iván informs they didn't get to an agreement on the mediation, waiting for futher intructions (CM)
</t>
      </text>
    </comment>
    <comment authorId="1954" xr:uid="{fd4a1a96-6c93-4229-9926-07293147cde8}" ref="A69">
      <text>
        <t xml:space="preserve">[Threaded comment]
 Your version of Excel allows you to read this threaded comment; however, any edits to it will get removed if the file is opened in a newer version of Excel. Learn more: https://go.microsoft.com/fwlink/?linkid=870924
Comment:
	we were paid on this @admin@ipadjustinggroup.com
Assigned to admin@ipadjustinggroup.com
</t>
      </text>
    </comment>
    <comment authorId="1955" xr:uid="{fdb6760f-4fa4-48b1-93db-7ff0bb133402}" ref="V170">
      <text>
        <t xml:space="preserve">[Threaded comment]
 Your version of Excel allows you to read this threaded comment; however, any edits to it will get removed if the file is opened in a newer version of Excel. Learn more: https://go.microsoft.com/fwlink/?linkid=870924
Comment:
	08/12 received a denial letter, asked PAs how to proceed (CM)
</t>
      </text>
    </comment>
    <comment authorId="1956" xr:uid="{fe119f34-f759-4eba-a4d5-6d3bce19e76d}" ref="A1">
      <text>
        <t xml:space="preserve">[Threaded comment]
 Your version of Excel allows you to read this threaded comment; however, any edits to it will get removed if the file is opened in a newer version of Excel. Learn more: https://go.microsoft.com/fwlink/?linkid=870924
Comment:
	09/24
</t>
      </text>
    </comment>
    <comment authorId="1957" xr:uid="{fe1e5286-498e-47d5-b09b-0473f4ea0722}" ref="O219">
      <text>
        <t xml:space="preserve">[Threaded comment]
 Your version of Excel allows you to read this threaded comment; however, any edits to it will get removed if the file is opened in a newer version of Excel. Learn more: https://go.microsoft.com/fwlink/?linkid=870924
Comment:
	12/11 sent to client to sign
</t>
      </text>
    </comment>
    <comment authorId="1958" xr:uid="{fe95392b-d0c7-4297-9c52-e64246c488aa}"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959" xr:uid="{fe95b421-0821-4db5-b81c-c2e176ed03a6}" ref="A1">
      <text>
        <t xml:space="preserve">[Threaded comment]
 Your version of Excel allows you to read this threaded comment; however, any edits to it will get removed if the file is opened in a newer version of Excel. Learn more: https://go.microsoft.com/fwlink/?linkid=870924
Comment:
	follow up con Day
</t>
      </text>
    </comment>
    <comment authorId="1960" xr:uid="{fea4abf2-09be-41ba-b0f2-fe744b8ce21b}" ref="A249">
      <text>
        <t xml:space="preserve">[Threaded comment]
 Your version of Excel allows you to read this threaded comment; however, any edits to it will get removed if the file is opened in a newer version of Excel. Learn more: https://go.microsoft.com/fwlink/?linkid=870924
Comment:
	Peter
Reply:
	Recoverable Depreciation: $7,277.26
</t>
      </text>
    </comment>
    <comment authorId="1961" xr:uid="{fecb8d6f-ab59-4f92-b9a4-1e74aa832f0c}" ref="A1">
      <text>
        <t xml:space="preserve">[Threaded comment]
 Your version of Excel allows you to read this threaded comment; however, any edits to it will get removed if the file is opened in a newer version of Excel. Learn more: https://go.microsoft.com/fwlink/?linkid=870924
Comment:
	01/24
</t>
      </text>
    </comment>
    <comment authorId="1962" xr:uid="{fed92577-5d6f-40e8-b05b-e88781db1f29}" ref="M344">
      <text>
        <t xml:space="preserve">[Threaded comment]
 Your version of Excel allows you to read this threaded comment; however, any edits to it will get removed if the file is opened in a newer version of Excel. Learn more: https://go.microsoft.com/fwlink/?linkid=870924
Comment:
	5/28 ivan llego a un acuerdo
</t>
      </text>
    </comment>
    <comment authorId="1963" xr:uid="{fedad54a-fb7d-4dce-a68b-baf462a3f706}" ref="A1">
      <text>
        <t xml:space="preserve">[Threaded comment]
 Your version of Excel allows you to read this threaded comment; however, any edits to it will get removed if the file is opened in a newer version of Excel. Learn more: https://go.microsoft.com/fwlink/?linkid=870924
Comment:
	follow up ocn day
</t>
      </text>
    </comment>
    <comment authorId="1964" xr:uid="{fef4b00a-5225-4bae-af6d-afe6c8b56cdb}" ref="Q338">
      <text>
        <t xml:space="preserve">[Threaded comment]
 Your version of Excel allows you to read this threaded comment; however, any edits to it will get removed if the file is opened in a newer version of Excel. Learn more: https://go.microsoft.com/fwlink/?linkid=870924
Comment:
	06/16
</t>
      </text>
    </comment>
    <comment authorId="1965" xr:uid="{ff2ac651-f4f9-4ecd-b030-cc45902ca126}" ref="A187">
      <text>
        <t xml:space="preserve">[Threaded comment]
 Your version of Excel allows you to read this threaded comment; however, any edits to it will get removed if the file is opened in a newer version of Excel. Learn more: https://go.microsoft.com/fwlink/?linkid=870924
Comment:
	08/16 Ivan asked me to send docs to Stephen Forker, waiting for his estimate (CM)
</t>
      </text>
    </comment>
    <comment authorId="1966" xr:uid="{ff45a1e9-44b7-42df-843a-987385202c58}" ref="N194">
      <text>
        <t xml:space="preserve">[Threaded comment]
 Your version of Excel allows you to read this threaded comment; however, any edits to it will get removed if the file is opened in a newer version of Excel. Learn more: https://go.microsoft.com/fwlink/?linkid=870924
Comment:
	7/29 sent to Jakey
Reply:
	7/29 aprobado por jakey
</t>
      </text>
    </comment>
    <comment authorId="1967" xr:uid="{ff67726a-1f92-4b34-82ea-7cc508efa6fc}" ref="V237">
      <text>
        <t xml:space="preserve">[Threaded comment]
 Your version of Excel allows you to read this threaded comment; however, any edits to it will get removed if the file is opened in a newer version of Excel. Learn more: https://go.microsoft.com/fwlink/?linkid=870924
Comment:
	02/14 Opposing Appraiser informs that he is trying to contact Peter, informed that he is out of the country (CM)
</t>
      </text>
    </comment>
    <comment authorId="1968" xr:uid="{ff7a9d34-e05e-4b34-8b0b-7575631f6a7c}" ref="A1">
      <text>
        <t xml:space="preserve">[Threaded comment]
 Your version of Excel allows you to read this threaded comment; however, any edits to it will get removed if the file is opened in a newer version of Excel. Learn more: https://go.microsoft.com/fwlink/?linkid=870924
Comment:
	01/23
</t>
      </text>
    </comment>
    <comment authorId="1969" xr:uid="{ff80cae5-997b-4d21-95d6-c9453a71ccee}" ref="V265">
      <text>
        <t xml:space="preserve">[Threaded comment]
 Your version of Excel allows you to read this threaded comment; however, any edits to it will get removed if the file is opened in a newer version of Excel. Learn more: https://go.microsoft.com/fwlink/?linkid=870924
Comment:
	11/14 Peter sent our estimate and photos, he is asking 35k on this claim, DA says she need to review and that the fence is not covered by the policy (CM)
12/10 DA is offering 5k, he doesn't agree on our estimate (CM)
01/21 Peter is offering 27.5k (CM)
</t>
      </text>
    </comment>
    <comment authorId="1970" xr:uid="{ff8d697a-3364-4941-9314-13f642df871f}" ref="A1">
      <text>
        <t xml:space="preserve">[Threaded comment]
 Your version of Excel allows you to read this threaded comment; however, any edits to it will get removed if the file is opened in a newer version of Excel. Learn more: https://go.microsoft.com/fwlink/?linkid=870924
Comment:
	01/20
</t>
      </text>
    </comment>
    <comment authorId="1971" xr:uid="{ff938606-0318-485e-b93f-993fca64b84c}" ref="A1">
      <text>
        <t xml:space="preserve">[Threaded comment]
 Your version of Excel allows you to read this threaded comment; however, any edits to it will get removed if the file is opened in a newer version of Excel. Learn more: https://go.microsoft.com/fwlink/?linkid=870924
Comment:
	01/02
</t>
      </text>
    </comment>
    <comment authorId="1972" xr:uid="{ffa82f37-b8b5-4ef6-aa8e-020830850234}" ref="O274">
      <text>
        <t xml:space="preserve">[Threaded comment]
 Your version of Excel allows you to read this threaded comment; however, any edits to it will get removed if the file is opened in a newer version of Excel. Learn more: https://go.microsoft.com/fwlink/?linkid=870924
Comment:
	01/07 Ready just missing the est approved.
</t>
      </text>
    </comment>
    <comment authorId="1973" xr:uid="{ffb5a8cd-3c0d-44f4-a704-51d1bf43353a}" ref="M216">
      <text>
        <t xml:space="preserve">[Threaded comment]
 Your version of Excel allows you to read this threaded comment; however, any edits to it will get removed if the file is opened in a newer version of Excel. Learn more: https://go.microsoft.com/fwlink/?linkid=870924
Comment:
	12/17 sent to carrier
</t>
      </text>
    </comment>
    <comment authorId="1974" xr:uid="{ffe3a672-858b-4a50-97aa-baef43f65cbe}" ref="V192">
      <text>
        <t xml:space="preserve">[Threaded comment]
 Your version of Excel allows you to read this threaded comment; however, any edits to it will get removed if the file is opened in a newer version of Excel. Learn more: https://go.microsoft.com/fwlink/?linkid=870924
Comment:
	09/18 received the denial letter, sent to PAs and asked if they want to continue with the appraisal (CM)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tc={011d90c7-f21a-4f83-963a-146970aa6e7e}</author>
    <author>tc={05e1ea6d-f03e-42b9-83e8-0cbda548ab07}</author>
    <author>tc={0a670df3-7616-44c9-8e53-48da84c60b55}</author>
    <author>tc={0b8d4a52-6a32-4899-98e7-eaec037db645}</author>
    <author>tc={0d56ee0d-b67a-4073-af2b-f716524a9dc5}</author>
    <author>tc={0dd02fa7-9ab9-418b-b646-05907cbddd22}</author>
    <author>tc={0f40e554-bf9f-442f-aead-be8772dad381}</author>
    <author>tc={0f46bbc8-bb78-4912-938b-6b3489f32fe8}</author>
    <author>tc={1248315f-5201-4994-ad63-8ec36ab857e9}</author>
    <author>tc={1275477f-d40b-4897-a729-9cc2181e9c29}</author>
    <author>tc={12d2223a-cf6a-48a7-a23f-959b239d7f0e}</author>
    <author>tc={1411d428-ff39-48d4-ba00-68f2dd21ec93}</author>
    <author>tc={1568c9ac-5b3a-477c-a2dc-448e0c556ce9}</author>
    <author>tc={18b77b2a-e6b6-499f-a2e5-aa7ddd5349be}</author>
    <author>tc={1908db9a-f4d2-43f1-a3ea-c4bf5242ab12}</author>
    <author>tc={1ae8b6a3-0ed3-4962-8ce4-069bdb974420}</author>
    <author>tc={1c079713-4f9e-45d9-8cb1-923fc1dba348}</author>
    <author>tc={1d6a1403-636c-4600-a4fa-5eb7b8fac8e6}</author>
    <author>tc={1e0ed106-b841-4a70-a90d-ef42dd67fc26}</author>
    <author>tc={1e8fe5ca-754c-40b2-8344-d2a1d3df520c}</author>
    <author>tc={1fb4f206-c31c-4b3a-8f71-5d506814b34c}</author>
    <author>tc={232ea178-1d7a-41a5-b488-07446c420325}</author>
    <author>tc={233df827-c0d7-429c-9756-721447862f29}</author>
    <author>tc={258bf485-2937-4f97-940d-ed4d5cbb89fc}</author>
    <author>tc={26e9930c-aaec-4626-b871-98fcf57065e9}</author>
    <author>tc={272b197c-3a49-46c4-9e7f-0ec52548a722}</author>
    <author>tc={2a8dbf67-83d6-41e0-ba63-6451ed8d4fcf}</author>
    <author>tc={2c2dc604-fbd8-4e6c-a1a5-5e9185c49fbc}</author>
    <author>tc={2e475fef-99a8-4fb5-9416-4368250d9495}</author>
    <author>tc={2eaa5dd5-1a44-45bf-be66-515e55bcb2f4}</author>
    <author>tc={30b63ab1-a762-4094-84b7-9fe8dc253dd7}</author>
    <author>tc={33bf950d-2584-4e2f-85f3-bbcba3e964bc}</author>
    <author>tc={391c1955-0ba7-4fa5-82f4-4a7691350993}</author>
    <author>tc={3996b9f9-4429-4caa-a440-569b981878fa}</author>
    <author>tc={3aaf7145-7d50-4b7e-afb7-da5f67f3aa2b}</author>
    <author>tc={3da52247-bb87-4e57-aff4-996407f88183}</author>
    <author>tc={3e60e790-2a2b-46e2-b764-0cc969cfc170}</author>
    <author>tc={40170a7e-7297-4ba6-bf8b-fa52bbd991a5}</author>
    <author>tc={41ecc8e8-7f48-42c3-a2b7-dd68a7f1a85a}</author>
    <author>tc={425ac1c6-e46c-4892-a90b-b265ba4249d7}</author>
    <author>tc={449661f8-bb2c-4a2b-bc44-245bdb6efa89}</author>
    <author>tc={4685b541-5bd6-43ac-8c1f-5ff6d70341c8}</author>
    <author>tc={4a15c866-f53c-465d-85fa-0b21f4f66244}</author>
    <author>tc={4a80d590-8d41-416c-aa6f-c6c9b98c82a4}</author>
    <author>tc={4b81df39-6082-4202-9ea0-e657817e99b4}</author>
    <author>tc={4d9f5690-b43e-470e-b86c-b98d99968256}</author>
    <author>tc={4f60e135-e526-42fa-8767-91efed538421}</author>
    <author>tc={4f990af7-ace6-4a72-90cb-5a5469210898}</author>
    <author>tc={51c018ba-3538-4ef6-bbc3-9121c7ba6f5b}</author>
    <author>tc={52d36f34-0dfe-4ce6-9fbd-1f1773691a88}</author>
    <author>tc={5337bb6e-d504-4559-8aa1-7861cb93527f}</author>
    <author>tc={53b8f285-48fb-45b3-8265-5a3ee31572c1}</author>
    <author>tc={5549d410-3b31-4054-bf30-2f5b30a7e4d1}</author>
    <author>tc={5655cea4-7c26-4988-ae14-6a4b429ee158}</author>
    <author>tc={5790675a-af31-4117-952a-8b8f6cd879cb}</author>
    <author>tc={59be5868-5d26-4b7e-9768-9e372c83c89d}</author>
    <author>tc={5b2a2ab2-262d-432f-ae53-4df397358e8d}</author>
    <author>tc={5b39d948-8093-4379-b3d4-12893867dc52}</author>
    <author>tc={5d1a0dec-20a6-4d42-a515-eeb3a2fd44a5}</author>
    <author>tc={5de7b06a-aa40-42a5-97f2-abd2449b37f9}</author>
    <author>tc={5e2403f9-c2a6-4392-8339-b07ad0c8e0a8}</author>
    <author>tc={5e64b9ee-d94e-407d-9ef8-37f4f96ab684}</author>
    <author>tc={5f7e0f23-8f20-4cd3-b180-3a9f1207764e}</author>
    <author>tc={61c9ad5a-60bb-4b02-a277-5e94bd114303}</author>
    <author>tc={6bc1a6c3-57b8-4346-b49a-fd2852866d2e}</author>
    <author>tc={6d8237e9-2f9e-401f-bb65-93fd7c2cc2e6}</author>
    <author>tc={6dfb09aa-f6ec-4a70-9611-2aa6fc981dc9}</author>
    <author>tc={6e463498-0978-42a6-b667-c541a5a0cebd}</author>
    <author>tc={7114de04-1cce-4207-ad68-f2207ce66619}</author>
    <author>tc={71bd2c21-0466-4c54-8af3-2118941a57d8}</author>
    <author>tc={79878e4c-032e-48ab-b453-9ec89c8de661}</author>
    <author>tc={79cee137-a9cf-4bfe-8952-dd5c604859d2}</author>
    <author>tc={7a07d23e-279d-4590-be1b-0687aaf5deeb}</author>
    <author>tc={7b41e800-8210-4f0a-844d-5163424f1d42}</author>
    <author>tc={7dbd895e-5e4d-4c38-95ea-4cf788fe2270}</author>
    <author>tc={8158ed34-1ba7-4dd4-9df0-88df1a30d27b}</author>
    <author>tc={837fa030-848f-40b9-97ad-d4b0426cd5aa}</author>
    <author>tc={84444153-d699-4766-8ea8-e6f909e2da65}</author>
    <author>tc={86910a01-2f05-4fc2-abb4-02cde8c949ac}</author>
    <author>tc={86c21472-bcd2-475f-b246-e2b0f69b79dc}</author>
    <author>tc={88eec200-07cc-4ec1-8817-b8fbd9ebea1b}</author>
    <author>tc={8917df64-f19b-4959-8899-ef61ecf816fc}</author>
    <author>tc={89e65f43-231f-40b7-b822-110212dc9bdc}</author>
    <author>tc={8a80344a-b2eb-4f07-a6e6-41cb0198cacd}</author>
    <author>tc={8d1e1154-875f-42ed-8272-0f3e086616fb}</author>
    <author>tc={8de26b97-7afc-4224-a29d-c650790a2946}</author>
    <author>tc={9037e1ac-0bdf-4732-bc64-12528f6d42b5}</author>
    <author>tc={9992e3bf-4ff2-4333-bfc5-268697b44558}</author>
    <author>tc={99a7338f-0313-47d3-b9e6-7187fdec9fa4}</author>
    <author>tc={99ff78c1-43c7-40c0-a5ac-aca5d8883e87}</author>
    <author>tc={9ada38b6-2a9f-4fc6-8e0f-5389fa1b5c7f}</author>
    <author>tc={9de2a95a-031d-416f-9ea5-f0f4fc233943}</author>
    <author>tc={9f12e26f-a1c8-4ac1-9fb2-0b5e21e2ebc6}</author>
    <author>tc={a1e5ae71-28b0-41a2-bca6-4c9cd4388c69}</author>
    <author>tc={a6cb5d7d-fdaf-4e8e-808a-121537633a3d}</author>
    <author>tc={a7372774-6f63-4444-9d49-1e6e5d7e6f0d}</author>
    <author>tc={a87d8b0b-4997-4b87-be17-a66d104f6dd6}</author>
    <author>tc={a89677b8-1ddc-4405-9fb8-2a5081634259}</author>
    <author>tc={a96c5eaf-c051-402e-8792-1cdaec7fbf4c}</author>
    <author>tc={ac906061-59e0-4379-a7af-7d40f71eddf6}</author>
    <author>tc={acbae89a-e87d-4fdd-a09f-0a8ebbf2e825}</author>
    <author>tc={aedfe9fe-51b9-4325-b625-359c9c7efd77}</author>
    <author>tc={b1f6632c-ab3e-4366-a4fa-2b1129508170}</author>
    <author>tc={b2f82a23-8dba-48e7-b04d-ed194e3f3446}</author>
    <author>tc={b321d738-1111-4fd8-90dc-c2d9d0cf2a02}</author>
    <author>tc={b400cd75-4ca9-4a64-b6b0-7ca6452e0ad5}</author>
    <author>tc={b4fdc22c-5747-49da-9408-c54e80ef7471}</author>
    <author>tc={b737dcff-a103-4a0b-83cb-97518668ff43}</author>
    <author>tc={b879a668-5d54-49f4-aa51-2f96b04d9d3d}</author>
    <author>tc={bc662fe5-b912-4077-b443-2b4f7bd0e4ef}</author>
    <author>tc={bce52e66-9f09-45a1-9c64-938c2565c892}</author>
    <author>tc={bd886c45-64be-4bfa-a97b-fd05edfacf7c}</author>
    <author>tc={bed6ad6d-ea13-470f-9962-f9a671bd9205}</author>
    <author>tc={c05c14bf-a736-4bf6-a2f6-6ab5d9bab3c5}</author>
    <author>tc={c2605045-22e6-4ad6-b6d1-3abd89a1fb68}</author>
    <author>tc={c28aa365-d155-47ee-8a99-9f39105f3789}</author>
    <author>tc={c360a998-ef12-4467-96bb-71ead3b20ab3}</author>
    <author>tc={c66f4c2d-6fce-4955-9a54-0ce12c1248e7}</author>
    <author>tc={c6e96c17-2867-478e-a85b-b327d0ed14d2}</author>
    <author>tc={c70ceb46-8b3a-4ce1-a75c-80490b3bbe7f}</author>
    <author>tc={c805eba4-0e19-4534-b022-ba72718c77a3}</author>
    <author>tc={c8525f33-d922-41c1-80e1-a3c7bfa5a574}</author>
    <author>tc={c87d8fd1-3bcb-4634-b893-16411f8ce1d1}</author>
    <author>tc={ca486cab-5e14-49aa-a663-b2d8b2880410}</author>
    <author>tc={cad3c88e-81fe-4ef0-8de7-8d6a50eac875}</author>
    <author>tc={cd8697df-15b6-4106-adb4-776f16f64c49}</author>
    <author>tc={ce0d6a29-ae66-4b16-ae4a-8af20e3df073}</author>
    <author>tc={cf639ed2-4931-4629-b4f8-5f63dca5137f}</author>
    <author>tc={d56c3c0e-d612-4eaa-85d1-f099e2d7b50a}</author>
    <author>tc={d64839be-3b05-449e-a4f6-38416c4de9b2}</author>
    <author>tc={d6c658c0-47e0-4fee-bebd-56d9d4e7738f}</author>
    <author>tc={d988619c-472e-440d-86d4-5e85756095b6}</author>
    <author>tc={daa8ea92-b521-43ee-a335-dc9490ef4b05}</author>
    <author>tc={dc604c59-db5d-49b6-8ed4-e344eb028ad7}</author>
    <author>tc={e5482cdd-5f6d-4b91-8a2f-d9c42b3e27d5}</author>
    <author>tc={e5b29a55-b3ba-4313-80b5-f9f695207498}</author>
    <author>tc={e7a2056c-e8e9-4dba-a06e-369b6f06333b}</author>
    <author>tc={ec368cf1-2913-481f-a11d-122f5b043259}</author>
    <author>tc={eff77a01-9ba7-42ee-a307-169458cca541}</author>
    <author>tc={f2d3c063-896a-4029-b0c6-634df8fd9e5a}</author>
    <author>tc={f2e965ac-8d01-4554-8688-d6284da110a2}</author>
    <author>tc={f2fce734-fc4b-4196-8ef0-164df70e861f}</author>
    <author>tc={f41c6984-e161-4842-a290-dee4d8d2872e}</author>
    <author>tc={f5974227-d447-4e76-a782-4a945dbdf941}</author>
    <author>tc={f7ce69a6-4695-4c60-99c9-018277e9e8dc}</author>
    <author>tc={fcc4802d-f9e8-4de9-aa52-5974405b26cb}</author>
    <author>tc={ffd96ec6-ebc2-4ad1-8092-d2762bbfe834}</author>
  </authors>
  <commentList>
    <comment authorId="0" xr:uid="{011d90c7-f21a-4f83-963a-146970aa6e7e}" ref="S74">
      <text>
        <t xml:space="preserve">[Threaded comment]
 Your version of Excel allows you to read this threaded comment; however, any edits to it will get removed if the file is opened in a newer version of Excel. Learn more: https://go.microsoft.com/fwlink/?linkid=870924
Comment:
	03/01 REQ. appraisal
04/25 req. mediation
</t>
      </text>
    </comment>
    <comment authorId="1" xr:uid="{05e1ea6d-f03e-42b9-83e8-0cbda548ab07}" ref="M145">
      <text>
        <t xml:space="preserve">[Threaded comment]
 Your version of Excel allows you to read this threaded comment; however, any edits to it will get removed if the file is opened in a newer version of Excel. Learn more: https://go.microsoft.com/fwlink/?linkid=870924
Comment:
	6/29 son dos reclamos por huracan, falta estimado de 7/22
</t>
      </text>
    </comment>
    <comment authorId="2" xr:uid="{0a670df3-7616-44c9-8e53-48da84c60b55}" ref="L74">
      <text>
        <t xml:space="preserve">[Threaded comment]
 Your version of Excel allows you to read this threaded comment; however, any edits to it will get removed if the file is opened in a newer version of Excel. Learn more: https://go.microsoft.com/fwlink/?linkid=870924
Comment:
	7/02 sent update estimate to DA (Luis)
</t>
      </text>
    </comment>
    <comment authorId="3" xr:uid="{0b8d4a52-6a32-4899-98e7-eaec037db645}" ref="S111">
      <text>
        <t xml:space="preserve">[Threaded comment]
 Your version of Excel allows you to read this threaded comment; however, any edits to it will get removed if the file is opened in a newer version of Excel. Learn more: https://go.microsoft.com/fwlink/?linkid=870924
Comment:
	06/10 REQ
</t>
      </text>
    </comment>
    <comment authorId="4" xr:uid="{0d56ee0d-b67a-4073-af2b-f716524a9dc5}" ref="S45">
      <text>
        <t xml:space="preserve">[Threaded comment]
 Your version of Excel allows you to read this threaded comment; however, any edits to it will get removed if the file is opened in a newer version of Excel. Learn more: https://go.microsoft.com/fwlink/?linkid=870924
Comment:
	02/22 req.
</t>
      </text>
    </comment>
    <comment authorId="5" xr:uid="{0dd02fa7-9ab9-418b-b646-05907cbddd22}" ref="S97">
      <text>
        <t xml:space="preserve">[Threaded comment]
 Your version of Excel allows you to read this threaded comment; however, any edits to it will get removed if the file is opened in a newer version of Excel. Learn more: https://go.microsoft.com/fwlink/?linkid=870924
Comment:
	04/18 REQ
</t>
      </text>
    </comment>
    <comment authorId="6" xr:uid="{0f40e554-bf9f-442f-aead-be8772dad381}" ref="L121">
      <text>
        <t xml:space="preserve">[Threaded comment]
 Your version of Excel allows you to read this threaded comment; however, any edits to it will get removed if the file is opened in a newer version of Excel. Learn more: https://go.microsoft.com/fwlink/?linkid=870924
Comment:
	7/05 falta picture file para enviar al carrier
</t>
      </text>
    </comment>
    <comment authorId="7" xr:uid="{0f46bbc8-bb78-4912-938b-6b3489f32fe8}" ref="S11">
      <text>
        <t xml:space="preserve">[Threaded comment]
 Your version of Excel allows you to read this threaded comment; however, any edits to it will get removed if the file is opened in a newer version of Excel. Learn more: https://go.microsoft.com/fwlink/?linkid=870924
Comment:
	03/20 REQ
</t>
      </text>
    </comment>
    <comment authorId="8" xr:uid="{1248315f-5201-4994-ad63-8ec36ab857e9}" ref="S17">
      <text>
        <t xml:space="preserve">[Threaded comment]
 Your version of Excel allows you to read this threaded comment; however, any edits to it will get removed if the file is opened in a newer version of Excel. Learn more: https://go.microsoft.com/fwlink/?linkid=870924
Comment:
	01/31 mediation done
</t>
      </text>
    </comment>
    <comment authorId="9" xr:uid="{1275477f-d40b-4897-a729-9cc2181e9c29}" ref="N36">
      <text>
        <t xml:space="preserve">[Threaded comment]
 Your version of Excel allows you to read this threaded comment; however, any edits to it will get removed if the file is opened in a newer version of Excel. Learn more: https://go.microsoft.com/fwlink/?linkid=870924
Comment:
	12/08 SPOL sent 
12/28 follow up (CM)
01/23 follow up (CM)
04/12 follow up (CM)
</t>
      </text>
    </comment>
    <comment authorId="10" xr:uid="{12d2223a-cf6a-48a7-a23f-959b239d7f0e}" ref="S118">
      <text>
        <t xml:space="preserve">[Threaded comment]
 Your version of Excel allows you to read this threaded comment; however, any edits to it will get removed if the file is opened in a newer version of Excel. Learn more: https://go.microsoft.com/fwlink/?linkid=870924
Comment:
	05/29 REQ.
</t>
      </text>
    </comment>
    <comment authorId="11" xr:uid="{1411d428-ff39-48d4-ba00-68f2dd21ec93}" ref="N75">
      <text>
        <t xml:space="preserve">[Threaded comment]
 Your version of Excel allows you to read this threaded comment; however, any edits to it will get removed if the file is opened in a newer version of Excel. Learn more: https://go.microsoft.com/fwlink/?linkid=870924
Comment:
	llenar en pag de FIGA
</t>
      </text>
    </comment>
    <comment authorId="12" xr:uid="{1568c9ac-5b3a-477c-a2dc-448e0c556ce9}" ref="S114">
      <text>
        <t xml:space="preserve">[Threaded comment]
 Your version of Excel allows you to read this threaded comment; however, any edits to it will get removed if the file is opened in a newer version of Excel. Learn more: https://go.microsoft.com/fwlink/?linkid=870924
Comment:
	05/09 REQ
</t>
      </text>
    </comment>
    <comment authorId="13" xr:uid="{18b77b2a-e6b6-499f-a2e5-aa7ddd5349be}" ref="N179">
      <text>
        <t xml:space="preserve">[Threaded comment]
 Your version of Excel allows you to read this threaded comment; however, any edits to it will get removed if the file is opened in a newer version of Excel. Learn more: https://go.microsoft.com/fwlink/?linkid=870924
Comment:
	6/29 request blank SPOL (JP)
</t>
      </text>
    </comment>
    <comment authorId="14" xr:uid="{1908db9a-f4d2-43f1-a3ea-c4bf5242ab12}" ref="M137">
      <text>
        <t xml:space="preserve">[Threaded comment]
 Your version of Excel allows you to read this threaded comment; however, any edits to it will get removed if the file is opened in a newer version of Excel. Learn more: https://go.microsoft.com/fwlink/?linkid=870924
Comment:
	6/28 enviado a ivan
6/29 ivan approved the estimate
</t>
      </text>
    </comment>
    <comment authorId="15" xr:uid="{1ae8b6a3-0ed3-4962-8ce4-069bdb974420}" ref="S54">
      <text>
        <t xml:space="preserve">[Threaded comment]
 Your version of Excel allows you to read this threaded comment; however, any edits to it will get removed if the file is opened in a newer version of Excel. Learn more: https://go.microsoft.com/fwlink/?linkid=870924
Comment:
	05/09 req
</t>
      </text>
    </comment>
    <comment authorId="16" xr:uid="{1c079713-4f9e-45d9-8cb1-923fc1dba348}" ref="O6">
      <text>
        <t xml:space="preserve">[Threaded comment]
 Your version of Excel allows you to read this threaded comment; however, any edits to it will get removed if the file is opened in a newer version of Excel. Learn more: https://go.microsoft.com/fwlink/?linkid=870924
Comment:
	12/19 determination letter received (CM)
</t>
      </text>
    </comment>
    <comment authorId="17" xr:uid="{1d6a1403-636c-4600-a4fa-5eb7b8fac8e6}" ref="L144">
      <text>
        <t xml:space="preserve">[Threaded comment]
 Your version of Excel allows you to read this threaded comment; however, any edits to it will get removed if the file is opened in a newer version of Excel. Learn more: https://go.microsoft.com/fwlink/?linkid=870924
Comment:
	7/01 sent to carrier with picture file (JP)
</t>
      </text>
    </comment>
    <comment authorId="18" xr:uid="{1e0ed106-b841-4a70-a90d-ef42dd67fc26}" ref="S106">
      <text>
        <t xml:space="preserve">[Threaded comment]
 Your version of Excel allows you to read this threaded comment; however, any edits to it will get removed if the file is opened in a newer version of Excel. Learn more: https://go.microsoft.com/fwlink/?linkid=870924
Comment:
	04/08 REQ
</t>
      </text>
    </comment>
    <comment authorId="19" xr:uid="{1e8fe5ca-754c-40b2-8344-d2a1d3df520c}" ref="S21">
      <text>
        <t xml:space="preserve">[Threaded comment]
 Your version of Excel allows you to read this threaded comment; however, any edits to it will get removed if the file is opened in a newer version of Excel. Learn more: https://go.microsoft.com/fwlink/?linkid=870924
Comment:
	01/29 REQ
</t>
      </text>
    </comment>
    <comment authorId="20" xr:uid="{1fb4f206-c31c-4b3a-8f71-5d506814b34c}" ref="S35">
      <text>
        <t xml:space="preserve">[Threaded comment]
 Your version of Excel allows you to read this threaded comment; however, any edits to it will get removed if the file is opened in a newer version of Excel. Learn more: https://go.microsoft.com/fwlink/?linkid=870924
Comment:
	02/08 REQ (CM)
</t>
      </text>
    </comment>
    <comment authorId="21" xr:uid="{232ea178-1d7a-41a5-b488-07446c420325}" ref="S173">
      <text>
        <t xml:space="preserve">[Threaded comment]
 Your version of Excel allows you to read this threaded comment; however, any edits to it will get removed if the file is opened in a newer version of Excel. Learn more: https://go.microsoft.com/fwlink/?linkid=870924
Comment:
	01/29 REQ
Reply:
	03/04 will do (CM)
</t>
      </text>
    </comment>
    <comment authorId="22" xr:uid="{233df827-c0d7-429c-9756-721447862f29}" ref="M143">
      <text>
        <t xml:space="preserve">[Threaded comment]
 Your version of Excel allows you to read this threaded comment; however, any edits to it will get removed if the file is opened in a newer version of Excel. Learn more: https://go.microsoft.com/fwlink/?linkid=870924
Comment:
	6/28 enviado a Ivan
6/29 ivan approved
</t>
      </text>
    </comment>
    <comment authorId="23" xr:uid="{258bf485-2937-4f97-940d-ed4d5cbb89fc}" ref="M158">
      <text>
        <t xml:space="preserve">[Threaded comment]
 Your version of Excel allows you to read this threaded comment; however, any edits to it will get removed if the file is opened in a newer version of Excel. Learn more: https://go.microsoft.com/fwlink/?linkid=870924
Comment:
	7/05 enviado a ivan
</t>
      </text>
    </comment>
    <comment authorId="24" xr:uid="{26e9930c-aaec-4626-b871-98fcf57065e9}" ref="N132">
      <text>
        <t xml:space="preserve">[Threaded comment]
 Your version of Excel allows you to read this threaded comment; however, any edits to it will get removed if the file is opened in a newer version of Excel. Learn more: https://go.microsoft.com/fwlink/?linkid=870924
Comment:
	7/01 sent to client
</t>
      </text>
    </comment>
    <comment authorId="25" xr:uid="{272b197c-3a49-46c4-9e7f-0ec52548a722}" ref="M121">
      <text>
        <t xml:space="preserve">[Threaded comment]
 Your version of Excel allows you to read this threaded comment; however, any edits to it will get removed if the file is opened in a newer version of Excel. Learn more: https://go.microsoft.com/fwlink/?linkid=870924
Comment:
	06/10 aprobado
</t>
      </text>
    </comment>
    <comment authorId="26" xr:uid="{2a8dbf67-83d6-41e0-ba63-6451ed8d4fcf}" ref="S52">
      <text>
        <t xml:space="preserve">[Threaded comment]
 Your version of Excel allows you to read this threaded comment; however, any edits to it will get removed if the file is opened in a newer version of Excel. Learn more: https://go.microsoft.com/fwlink/?linkid=870924
Comment:
	01/31 requested (CM)
</t>
      </text>
    </comment>
    <comment authorId="27" xr:uid="{2c2dc604-fbd8-4e6c-a1a5-5e9185c49fbc}" ref="S94">
      <text>
        <t xml:space="preserve">[Threaded comment]
 Your version of Excel allows you to read this threaded comment; however, any edits to it will get removed if the file is opened in a newer version of Excel. Learn more: https://go.microsoft.com/fwlink/?linkid=870924
Comment:
	06/05 REQ
</t>
      </text>
    </comment>
    <comment authorId="28" xr:uid="{2e475fef-99a8-4fb5-9416-4368250d9495}" ref="N131">
      <text>
        <t xml:space="preserve">[Threaded comment]
 Your version of Excel allows you to read this threaded comment; however, any edits to it will get removed if the file is opened in a newer version of Excel. Learn more: https://go.microsoft.com/fwlink/?linkid=870924
Comment:
	6/13 e envio al cliente para q firme, la poliza esta mal en la fecha, se pidio a PA q verifique
</t>
      </text>
    </comment>
    <comment authorId="29" xr:uid="{2eaa5dd5-1a44-45bf-be66-515e55bcb2f4}" ref="M115">
      <text>
        <t xml:space="preserve">[Threaded comment]
 Your version of Excel allows you to read this threaded comment; however, any edits to it will get removed if the file is opened in a newer version of Excel. Learn more: https://go.microsoft.com/fwlink/?linkid=870924
Comment:
	06/11 asked Juan to confirm this estimate (JP)
</t>
      </text>
    </comment>
    <comment authorId="30" xr:uid="{30b63ab1-a762-4094-84b7-9fe8dc253dd7}" ref="L176">
      <text>
        <t xml:space="preserve">[Threaded comment]
 Your version of Excel allows you to read this threaded comment; however, any edits to it will get removed if the file is opened in a newer version of Excel. Learn more: https://go.microsoft.com/fwlink/?linkid=870924
Comment:
	06/11 stand by for Ivan's decision
</t>
      </text>
    </comment>
    <comment authorId="31" xr:uid="{33bf950d-2584-4e2f-85f3-bbcba3e964bc}" ref="M188">
      <text>
        <t xml:space="preserve">[Threaded comment]
 Your version of Excel allows you to read this threaded comment; however, any edits to it will get removed if the file is opened in a newer version of Excel. Learn more: https://go.microsoft.com/fwlink/?linkid=870924
Comment:
	stand by lender back
</t>
      </text>
    </comment>
    <comment authorId="32" xr:uid="{391c1955-0ba7-4fa5-82f4-4a7691350993}" ref="L142">
      <text>
        <t xml:space="preserve">[Threaded comment]
 Your version of Excel allows you to read this threaded comment; however, any edits to it will get removed if the file is opened in a newer version of Excel. Learn more: https://go.microsoft.com/fwlink/?linkid=870924
Comment:
	7/05 sent to carrier
</t>
      </text>
    </comment>
    <comment authorId="33" xr:uid="{3996b9f9-4429-4caa-a440-569b981878fa}" ref="S60">
      <text>
        <t xml:space="preserve">[Threaded comment]
 Your version of Excel allows you to read this threaded comment; however, any edits to it will get removed if the file is opened in a newer version of Excel. Learn more: https://go.microsoft.com/fwlink/?linkid=870924
Comment:
	04/11 req
</t>
      </text>
    </comment>
    <comment authorId="34" xr:uid="{3aaf7145-7d50-4b7e-afb7-da5f67f3aa2b}" ref="N138">
      <text>
        <t xml:space="preserve">[Threaded comment]
 Your version of Excel allows you to read this threaded comment; however, any edits to it will get removed if the file is opened in a newer version of Excel. Learn more: https://go.microsoft.com/fwlink/?linkid=870924
Comment:
	7/09 tengo el formato, esperando el aprobado del estimado de Juan
</t>
      </text>
    </comment>
    <comment authorId="35" xr:uid="{3da52247-bb87-4e57-aff4-996407f88183}" ref="S37">
      <text>
        <t xml:space="preserve">[Threaded comment]
 Your version of Excel allows you to read this threaded comment; however, any edits to it will get removed if the file is opened in a newer version of Excel. Learn more: https://go.microsoft.com/fwlink/?linkid=870924
Comment:
	03/14 req.
</t>
      </text>
    </comment>
    <comment authorId="36" xr:uid="{3e60e790-2a2b-46e2-b764-0cc969cfc170}" ref="S103">
      <text>
        <t xml:space="preserve">[Threaded comment]
 Your version of Excel allows you to read this threaded comment; however, any edits to it will get removed if the file is opened in a newer version of Excel. Learn more: https://go.microsoft.com/fwlink/?linkid=870924
Comment:
	05/03 REQ
</t>
      </text>
    </comment>
    <comment authorId="37" xr:uid="{40170a7e-7297-4ba6-bf8b-fa52bbd991a5}" ref="L107">
      <text>
        <t xml:space="preserve">[Threaded comment]
 Your version of Excel allows you to read this threaded comment; however, any edits to it will get removed if the file is opened in a newer version of Excel. Learn more: https://go.microsoft.com/fwlink/?linkid=870924
Comment:
	06/05 Joshua will do the estimate once the inspection performed (CM)
</t>
      </text>
    </comment>
    <comment authorId="38" xr:uid="{41ecc8e8-7f48-42c3-a2b7-dd68a7f1a85a}" ref="N91">
      <text>
        <t xml:space="preserve">[Threaded comment]
 Your version of Excel allows you to read this threaded comment; however, any edits to it will get removed if the file is opened in a newer version of Excel. Learn more: https://go.microsoft.com/fwlink/?linkid=870924
Comment:
	05/08 Sent to client (CM)
</t>
      </text>
    </comment>
    <comment authorId="39" xr:uid="{425ac1c6-e46c-4892-a90b-b265ba4249d7}" ref="M146">
      <text>
        <t xml:space="preserve">[Threaded comment]
 Your version of Excel allows you to read this threaded comment; however, any edits to it will get removed if the file is opened in a newer version of Excel. Learn more: https://go.microsoft.com/fwlink/?linkid=870924
Comment:
	06/21 enviado a david
</t>
      </text>
    </comment>
    <comment authorId="40" xr:uid="{449661f8-bb2c-4a2b-bc44-245bdb6efa89}" ref="M157">
      <text>
        <t xml:space="preserve">[Threaded comment]
 Your version of Excel allows you to read this threaded comment; however, any edits to it will get removed if the file is opened in a newer version of Excel. Learn more: https://go.microsoft.com/fwlink/?linkid=870924
Comment:
	7/05 enviado a ivan para aprobacion
</t>
      </text>
    </comment>
    <comment authorId="41" xr:uid="{4685b541-5bd6-43ac-8c1f-5ff6d70341c8}" ref="S50">
      <text>
        <t xml:space="preserve">[Threaded comment]
 Your version of Excel allows you to read this threaded comment; however, any edits to it will get removed if the file is opened in a newer version of Excel. Learn more: https://go.microsoft.com/fwlink/?linkid=870924
Comment:
	06/05 REQ
</t>
      </text>
    </comment>
    <comment authorId="42" xr:uid="{4a15c866-f53c-465d-85fa-0b21f4f66244}" ref="S91">
      <text>
        <t xml:space="preserve">[Threaded comment]
 Your version of Excel allows you to read this threaded comment; however, any edits to it will get removed if the file is opened in a newer version of Excel. Learn more: https://go.microsoft.com/fwlink/?linkid=870924
Comment:
	04/09 req
</t>
      </text>
    </comment>
    <comment authorId="43" xr:uid="{4a80d590-8d41-416c-aa6f-c6c9b98c82a4}" ref="S86">
      <text>
        <t xml:space="preserve">[Threaded comment]
 Your version of Excel allows you to read this threaded comment; however, any edits to it will get removed if the file is opened in a newer version of Excel. Learn more: https://go.microsoft.com/fwlink/?linkid=870924
Comment:
	03/21 req
</t>
      </text>
    </comment>
    <comment authorId="44" xr:uid="{4b81df39-6082-4202-9ea0-e657817e99b4}" ref="O51">
      <text>
        <t xml:space="preserve">[Threaded comment]
 Your version of Excel allows you to read this threaded comment; however, any edits to it will get removed if the file is opened in a newer version of Excel. Learn more: https://go.microsoft.com/fwlink/?linkid=870924
Comment:
	04/16 received a letter, DA says claim will close if they don't receive the estimate (CM)
</t>
      </text>
    </comment>
    <comment authorId="45" xr:uid="{4d9f5690-b43e-470e-b86c-b98d99968256}" ref="M154">
      <text>
        <t xml:space="preserve">[Threaded comment]
 Your version of Excel allows you to read this threaded comment; however, any edits to it will get removed if the file is opened in a newer version of Excel. Learn more: https://go.microsoft.com/fwlink/?linkid=870924
Comment:
	6/29 este cliente esta en NO STRESS, confimar con Ivan que hacer
</t>
      </text>
    </comment>
    <comment authorId="46" xr:uid="{4f60e135-e526-42fa-8767-91efed538421}" ref="S56">
      <text>
        <t xml:space="preserve">[Threaded comment]
 Your version of Excel allows you to read this threaded comment; however, any edits to it will get removed if the file is opened in a newer version of Excel. Learn more: https://go.microsoft.com/fwlink/?linkid=870924
Comment:
	03/19 requested (CM)
</t>
      </text>
    </comment>
    <comment authorId="47" xr:uid="{4f990af7-ace6-4a72-90cb-5a5469210898}" ref="S84">
      <text>
        <t xml:space="preserve">[Threaded comment]
 Your version of Excel allows you to read this threaded comment; however, any edits to it will get removed if the file is opened in a newer version of Excel. Learn more: https://go.microsoft.com/fwlink/?linkid=870924
Comment:
	REQ
</t>
      </text>
    </comment>
    <comment authorId="48" xr:uid="{51c018ba-3538-4ef6-bbc3-9121c7ba6f5b}" ref="S31">
      <text>
        <t xml:space="preserve">[Threaded comment]
 Your version of Excel allows you to read this threaded comment; however, any edits to it will get removed if the file is opened in a newer version of Excel. Learn more: https://go.microsoft.com/fwlink/?linkid=870924
Comment:
	02/27 mediation done
</t>
      </text>
    </comment>
    <comment authorId="49" xr:uid="{52d36f34-0dfe-4ce6-9fbd-1f1773691a88}" ref="M153">
      <text>
        <t xml:space="preserve">[Threaded comment]
 Your version of Excel allows you to read this threaded comment; however, any edits to it will get removed if the file is opened in a newer version of Excel. Learn more: https://go.microsoft.com/fwlink/?linkid=870924
Comment:
	6/29 sent Juan, request picture file
</t>
      </text>
    </comment>
    <comment authorId="50" xr:uid="{5337bb6e-d504-4559-8aa1-7861cb93527f}" ref="O143">
      <text>
        <t xml:space="preserve">[Threaded comment]
 Your version of Excel allows you to read this threaded comment; however, any edits to it will get removed if the file is opened in a newer version of Excel. Learn more: https://go.microsoft.com/fwlink/?linkid=870924
Comment:
	07/03 Received a denial letter, asked how to proceed next (CM)
</t>
      </text>
    </comment>
    <comment authorId="51" xr:uid="{53b8f285-48fb-45b3-8265-5a3ee31572c1}" ref="N28">
      <text>
        <t xml:space="preserve">[Threaded comment]
 Your version of Excel allows you to read this threaded comment; however, any edits to it will get removed if the file is opened in a newer version of Excel. Learn more: https://go.microsoft.com/fwlink/?linkid=870924
Comment:
	06/11 asked Sarah to notarized (jp)
</t>
      </text>
    </comment>
    <comment authorId="52" xr:uid="{5549d410-3b31-4054-bf30-2f5b30a7e4d1}" ref="N127">
      <text>
        <t xml:space="preserve">[Threaded comment]
 Your version of Excel allows you to read this threaded comment; however, any edits to it will get removed if the file is opened in a newer version of Excel. Learn more: https://go.microsoft.com/fwlink/?linkid=870924
Comment:
	7/02 request blank spol
</t>
      </text>
    </comment>
    <comment authorId="53" xr:uid="{5655cea4-7c26-4988-ae14-6a4b429ee158}" ref="S67">
      <text>
        <t xml:space="preserve">[Threaded comment]
 Your version of Excel allows you to read this threaded comment; however, any edits to it will get removed if the file is opened in a newer version of Excel. Learn more: https://go.microsoft.com/fwlink/?linkid=870924
Comment:
	03/20 REQ.
</t>
      </text>
    </comment>
    <comment authorId="54" xr:uid="{5790675a-af31-4117-952a-8b8f6cd879cb}" ref="S5">
      <text>
        <t xml:space="preserve">[Threaded comment]
 Your version of Excel allows you to read this threaded comment; however, any edits to it will get removed if the file is opened in a newer version of Excel. Learn more: https://go.microsoft.com/fwlink/?linkid=870924
Comment:
	12/05 req.
</t>
      </text>
    </comment>
    <comment authorId="55" xr:uid="{59be5868-5d26-4b7e-9768-9e372c83c89d}" ref="M149">
      <text>
        <t xml:space="preserve">[Threaded comment]
 Your version of Excel allows you to read this threaded comment; however, any edits to it will get removed if the file is opened in a newer version of Excel. Learn more: https://go.microsoft.com/fwlink/?linkid=870924
Comment:
	6/21 enviado a david
</t>
      </text>
    </comment>
    <comment authorId="56" xr:uid="{5b2a2ab2-262d-432f-ae53-4df397358e8d}" ref="S55">
      <text>
        <t xml:space="preserve">[Threaded comment]
 Your version of Excel allows you to read this threaded comment; however, any edits to it will get removed if the file is opened in a newer version of Excel. Learn more: https://go.microsoft.com/fwlink/?linkid=870924
Comment:
	01/25 requested MEDIATION
03/28 requested Appraisal
</t>
      </text>
    </comment>
    <comment authorId="57" xr:uid="{5b39d948-8093-4379-b3d4-12893867dc52}" ref="S108">
      <text>
        <t xml:space="preserve">[Threaded comment]
 Your version of Excel allows you to read this threaded comment; however, any edits to it will get removed if the file is opened in a newer version of Excel. Learn more: https://go.microsoft.com/fwlink/?linkid=870924
Comment:
	05/16 REQ
</t>
      </text>
    </comment>
    <comment authorId="58" xr:uid="{5d1a0dec-20a6-4d42-a515-eeb3a2fd44a5}" ref="S18">
      <text>
        <t xml:space="preserve">[Threaded comment]
 Your version of Excel allows you to read this threaded comment; however, any edits to it will get removed if the file is opened in a newer version of Excel. Learn more: https://go.microsoft.com/fwlink/?linkid=870924
Comment:
	03/28 req.
</t>
      </text>
    </comment>
    <comment authorId="59" xr:uid="{5de7b06a-aa40-42a5-97f2-abd2449b37f9}" ref="S89">
      <text>
        <t xml:space="preserve">[Threaded comment]
 Your version of Excel allows you to read this threaded comment; however, any edits to it will get removed if the file is opened in a newer version of Excel. Learn more: https://go.microsoft.com/fwlink/?linkid=870924
Comment:
	03/01 REQ.
</t>
      </text>
    </comment>
    <comment authorId="60" xr:uid="{5e2403f9-c2a6-4392-8339-b07ad0c8e0a8}" ref="N40">
      <text>
        <t xml:space="preserve">[Threaded comment]
 Your version of Excel allows you to read this threaded comment; however, any edits to it will get removed if the file is opened in a newer version of Excel. Learn more: https://go.microsoft.com/fwlink/?linkid=870924
Comment:
	7/03 Caro pidio a jaky info al cliente y estamos esperando
</t>
      </text>
    </comment>
    <comment authorId="61" xr:uid="{5e64b9ee-d94e-407d-9ef8-37f4f96ab684}" ref="S87">
      <text>
        <t xml:space="preserve">[Threaded comment]
 Your version of Excel allows you to read this threaded comment; however, any edits to it will get removed if the file is opened in a newer version of Excel. Learn more: https://go.microsoft.com/fwlink/?linkid=870924
Comment:
	03/08 REQ.
</t>
      </text>
    </comment>
    <comment authorId="62" xr:uid="{5f7e0f23-8f20-4cd3-b180-3a9f1207764e}" ref="S7">
      <text>
        <t xml:space="preserve">[Threaded comment]
 Your version of Excel allows you to read this threaded comment; however, any edits to it will get removed if the file is opened in a newer version of Excel. Learn more: https://go.microsoft.com/fwlink/?linkid=870924
Comment:
	01/26 Req.
</t>
      </text>
    </comment>
    <comment authorId="63" xr:uid="{61c9ad5a-60bb-4b02-a277-5e94bd114303}" ref="M70">
      <text>
        <t xml:space="preserve">[Threaded comment]
 Your version of Excel allows you to read this threaded comment; however, any edits to it will get removed if the file is opened in a newer version of Excel. Learn more: https://go.microsoft.com/fwlink/?linkid=870924
Comment:
	7/03 preguntar a juan si el estimado con roof se pone el garage, ya se envio otro con leak incluido garage
</t>
      </text>
    </comment>
    <comment authorId="64" xr:uid="{6bc1a6c3-57b8-4346-b49a-fd2852866d2e}" ref="M138">
      <text>
        <t xml:space="preserve">[Threaded comment]
 Your version of Excel allows you to read this threaded comment; however, any edits to it will get removed if the file is opened in a newer version of Excel. Learn more: https://go.microsoft.com/fwlink/?linkid=870924
Comment:
	6/04 sent estimate to Juan
6/29 request to review and approve
</t>
      </text>
    </comment>
    <comment authorId="65" xr:uid="{6d8237e9-2f9e-401f-bb65-93fd7c2cc2e6}" ref="S113">
      <text>
        <t xml:space="preserve">[Threaded comment]
 Your version of Excel allows you to read this threaded comment; however, any edits to it will get removed if the file is opened in a newer version of Excel. Learn more: https://go.microsoft.com/fwlink/?linkid=870924
Comment:
	RQ 5/16 MEDIATION
06/10 REQ APPRAISAL
</t>
      </text>
    </comment>
    <comment authorId="66" xr:uid="{6dfb09aa-f6ec-4a70-9611-2aa6fc981dc9}" ref="M74">
      <text>
        <t xml:space="preserve">[Threaded comment]
 Your version of Excel allows you to read this threaded comment; however, any edits to it will get removed if the file is opened in a newer version of Excel. Learn more: https://go.microsoft.com/fwlink/?linkid=870924
Comment:
	6/28 Peter pidio update, a 77K, enviado para q revise
7/01 peter approved the update estimate for 77k
</t>
      </text>
    </comment>
    <comment authorId="67" xr:uid="{6e463498-0978-42a6-b667-c541a5a0cebd}" ref="S41">
      <text>
        <t xml:space="preserve">[Threaded comment]
 Your version of Excel allows you to read this threaded comment; however, any edits to it will get removed if the file is opened in a newer version of Excel. Learn more: https://go.microsoft.com/fwlink/?linkid=870924
Comment:
	01/18 sent
</t>
      </text>
    </comment>
    <comment authorId="68" xr:uid="{7114de04-1cce-4207-ad68-f2207ce66619}" ref="N112">
      <text>
        <t xml:space="preserve">[Threaded comment]
 Your version of Excel allows you to read this threaded comment; however, any edits to it will get removed if the file is opened in a newer version of Excel. Learn more: https://go.microsoft.com/fwlink/?linkid=870924
Comment:
	05/22 sent SPOL to client (CM)
</t>
      </text>
    </comment>
    <comment authorId="69" xr:uid="{71bd2c21-0466-4c54-8af3-2118941a57d8}" ref="O2">
      <text>
        <t xml:space="preserve">[Threaded comment]
 Your version of Excel allows you to read this threaded comment; however, any edits to it will get removed if the file is opened in a newer version of Excel. Learn more: https://go.microsoft.com/fwlink/?linkid=870924
Comment:
	Blue: denial or determination letter, waiting for further actions
Green: DA makes an offer need PA response
Yellow: undisputed payment
Red: DA says is settled, pending for PA confirmation
Purple: Need to answer DA
Orange: claim closed by DA
</t>
      </text>
    </comment>
    <comment authorId="70" xr:uid="{79878e4c-032e-48ab-b453-9ec89c8de661}" ref="N102">
      <text>
        <t xml:space="preserve">[Threaded comment]
 Your version of Excel allows you to read this threaded comment; however, any edits to it will get removed if the file is opened in a newer version of Excel. Learn more: https://go.microsoft.com/fwlink/?linkid=870924
Comment:
	Caro envio al cliente el 05/16, solicitar de nuevo
</t>
      </text>
    </comment>
    <comment authorId="71" xr:uid="{79cee137-a9cf-4bfe-8952-dd5c604859d2}" ref="N125">
      <text>
        <t xml:space="preserve">[Threaded comment]
 Your version of Excel allows you to read this threaded comment; however, any edits to it will get removed if the file is opened in a newer version of Excel. Learn more: https://go.microsoft.com/fwlink/?linkid=870924
Comment:
	6/13 se envio al cliente para q firme
</t>
      </text>
    </comment>
    <comment authorId="72" xr:uid="{7a07d23e-279d-4590-be1b-0687aaf5deeb}" ref="M69">
      <text>
        <t xml:space="preserve">[Threaded comment]
 Your version of Excel allows you to read this threaded comment; however, any edits to it will get removed if the file is opened in a newer version of Excel. Learn more: https://go.microsoft.com/fwlink/?linkid=870924
Comment:
	05/27 sent garage update to Juan (JP)
</t>
      </text>
    </comment>
    <comment authorId="73" xr:uid="{7b41e800-8210-4f0a-844d-5163424f1d42}" ref="S3">
      <text>
        <t xml:space="preserve">[Threaded comment]
 Your version of Excel allows you to read this threaded comment; however, any edits to it will get removed if the file is opened in a newer version of Excel. Learn more: https://go.microsoft.com/fwlink/?linkid=870924
Comment:
	03/05 appraisal done
</t>
      </text>
    </comment>
    <comment authorId="74" xr:uid="{7dbd895e-5e4d-4c38-95ea-4cf788fe2270}" ref="L158">
      <text>
        <t xml:space="preserve">[Threaded comment]
 Your version of Excel allows you to read this threaded comment; however, any edits to it will get removed if the file is opened in a newer version of Excel. Learn more: https://go.microsoft.com/fwlink/?linkid=870924
Comment:
	7/09 sent to carrier
</t>
      </text>
    </comment>
    <comment authorId="75" xr:uid="{8158ed34-1ba7-4dd4-9df0-88df1a30d27b}" ref="S61">
      <text>
        <t xml:space="preserve">[Threaded comment]
 Your version of Excel allows you to read this threaded comment; however, any edits to it will get removed if the file is opened in a newer version of Excel. Learn more: https://go.microsoft.com/fwlink/?linkid=870924
Comment:
	03/14 REQUESTED (CM)
</t>
      </text>
    </comment>
    <comment authorId="76" xr:uid="{837fa030-848f-40b9-97ad-d4b0426cd5aa}" ref="N113">
      <text>
        <t xml:space="preserve">[Threaded comment]
 Your version of Excel allows you to read this threaded comment; however, any edits to it will get removed if the file is opened in a newer version of Excel. Learn more: https://go.microsoft.com/fwlink/?linkid=870924
Comment:
	5/16 sent spol to client
6/6 actualizar spol con valor nuevo
6/10 se actualizo el valor del SPOL y envie al cliente para q firme
6/13 ennviado el SPOL notarizado
</t>
      </text>
    </comment>
    <comment authorId="77" xr:uid="{84444153-d699-4766-8ea8-e6f909e2da65}" ref="M72">
      <text>
        <t xml:space="preserve">[Threaded comment]
 Your version of Excel allows you to read this threaded comment; however, any edits to it will get removed if the file is opened in a newer version of Excel. Learn more: https://go.microsoft.com/fwlink/?linkid=870924
Comment:
	7/05 cliente dice q falta la piscina en el estimado, preguntamos a Juan
</t>
      </text>
    </comment>
    <comment authorId="78" xr:uid="{86910a01-2f05-4fc2-abb4-02cde8c949ac}" ref="N136">
      <text>
        <t xml:space="preserve">[Threaded comment]
 Your version of Excel allows you to read this threaded comment; however, any edits to it will get removed if the file is opened in a newer version of Excel. Learn more: https://go.microsoft.com/fwlink/?linkid=870924
Comment:
	6/13 se envio SPOL para q firme cliente
</t>
      </text>
    </comment>
    <comment authorId="79" xr:uid="{86c21472-bcd2-475f-b246-e2b0f69b79dc}" ref="N134">
      <text>
        <t xml:space="preserve">[Threaded comment]
 Your version of Excel allows you to read this threaded comment; however, any edits to it will get removed if the file is opened in a newer version of Excel. Learn more: https://go.microsoft.com/fwlink/?linkid=870924
Comment:
	6/11 request blank SPOL
</t>
      </text>
    </comment>
    <comment authorId="80" xr:uid="{88eec200-07cc-4ec1-8817-b8fbd9ebea1b}" ref="N188">
      <text>
        <t xml:space="preserve">[Threaded comment]
 Your version of Excel allows you to read this threaded comment; however, any edits to it will get removed if the file is opened in a newer version of Excel. Learn more: https://go.microsoft.com/fwlink/?linkid=870924
Comment:
	6/11 waiting for peter confirmation
</t>
      </text>
    </comment>
    <comment authorId="81" xr:uid="{8917df64-f19b-4959-8899-ef61ecf816fc}" ref="S68">
      <text>
        <t xml:space="preserve">[Threaded comment]
 Your version of Excel allows you to read this threaded comment; however, any edits to it will get removed if the file is opened in a newer version of Excel. Learn more: https://go.microsoft.com/fwlink/?linkid=870924
Comment:
	01/30 REQ
</t>
      </text>
    </comment>
    <comment authorId="82" xr:uid="{89e65f43-231f-40b7-b822-110212dc9bdc}" ref="S73">
      <text>
        <t xml:space="preserve">[Threaded comment]
 Your version of Excel allows you to read this threaded comment; however, any edits to it will get removed if the file is opened in a newer version of Excel. Learn more: https://go.microsoft.com/fwlink/?linkid=870924
Comment:
	03/12 REQ.
</t>
      </text>
    </comment>
    <comment authorId="83" xr:uid="{8a80344a-b2eb-4f07-a6e6-41cb0198cacd}" ref="S12">
      <text>
        <t xml:space="preserve">[Threaded comment]
 Your version of Excel allows you to read this threaded comment; however, any edits to it will get removed if the file is opened in a newer version of Excel. Learn more: https://go.microsoft.com/fwlink/?linkid=870924
Comment:
	12/01 req
</t>
      </text>
    </comment>
    <comment authorId="84" xr:uid="{8d1e1154-875f-42ed-8272-0f3e086616fb}" ref="S92">
      <text>
        <t xml:space="preserve">[Threaded comment]
 Your version of Excel allows you to read this threaded comment; however, any edits to it will get removed if the file is opened in a newer version of Excel. Learn more: https://go.microsoft.com/fwlink/?linkid=870924
Comment:
	03/20 REQ.
</t>
      </text>
    </comment>
    <comment authorId="85" xr:uid="{8de26b97-7afc-4224-a29d-c650790a2946}" ref="S9">
      <text>
        <t xml:space="preserve">[Threaded comment]
 Your version of Excel allows you to read this threaded comment; however, any edits to it will get removed if the file is opened in a newer version of Excel. Learn more: https://go.microsoft.com/fwlink/?linkid=870924
Comment:
	04/12 req.
</t>
      </text>
    </comment>
    <comment authorId="86" xr:uid="{9037e1ac-0bdf-4732-bc64-12528f6d42b5}" ref="S10">
      <text>
        <t xml:space="preserve">[Threaded comment]
 Your version of Excel allows you to read this threaded comment; however, any edits to it will get removed if the file is opened in a newer version of Excel. Learn more: https://go.microsoft.com/fwlink/?linkid=870924
Comment:
	01/29 REQ
</t>
      </text>
    </comment>
    <comment authorId="87" xr:uid="{9992e3bf-4ff2-4333-bfc5-268697b44558}" ref="S4">
      <text>
        <t xml:space="preserve">[Threaded comment]
 Your version of Excel allows you to read this threaded comment; however, any edits to it will get removed if the file is opened in a newer version of Excel. Learn more: https://go.microsoft.com/fwlink/?linkid=870924
Comment:
	01/26 req
Reply:
	03/13 NOI will be filed says Day (CM)
</t>
      </text>
    </comment>
    <comment authorId="88" xr:uid="{99a7338f-0313-47d3-b9e6-7187fdec9fa4}" ref="S38">
      <text>
        <t xml:space="preserve">[Threaded comment]
 Your version of Excel allows you to read this threaded comment; however, any edits to it will get removed if the file is opened in a newer version of Excel. Learn more: https://go.microsoft.com/fwlink/?linkid=870924
Comment:
	01/30 Submitted
</t>
      </text>
    </comment>
    <comment authorId="89" xr:uid="{99ff78c1-43c7-40c0-a5ac-aca5d8883e87}" ref="N137">
      <text>
        <t xml:space="preserve">[Threaded comment]
 Your version of Excel allows you to read this threaded comment; however, any edits to it will get removed if the file is opened in a newer version of Excel. Learn more: https://go.microsoft.com/fwlink/?linkid=870924
Comment:
	6/29 se envio SPOL para q firme cliente
</t>
      </text>
    </comment>
    <comment authorId="90" xr:uid="{9ada38b6-2a9f-4fc6-8e0f-5389fa1b5c7f}" ref="N143">
      <text>
        <t xml:space="preserve">[Threaded comment]
 Your version of Excel allows you to read this threaded comment; however, any edits to it will get removed if the file is opened in a newer version of Excel. Learn more: https://go.microsoft.com/fwlink/?linkid=870924
Comment:
	6/29 sent to client to sign
</t>
      </text>
    </comment>
    <comment authorId="91" xr:uid="{9de2a95a-031d-416f-9ea5-f0f4fc233943}" ref="S23">
      <text>
        <t xml:space="preserve">[Threaded comment]
 Your version of Excel allows you to read this threaded comment; however, any edits to it will get removed if the file is opened in a newer version of Excel. Learn more: https://go.microsoft.com/fwlink/?linkid=870924
Comment:
	03/22 REQ
</t>
      </text>
    </comment>
    <comment authorId="92" xr:uid="{9f12e26f-a1c8-4ac1-9fb2-0b5e21e2ebc6}" ref="S77">
      <text>
        <t xml:space="preserve">[Threaded comment]
 Your version of Excel allows you to read this threaded comment; however, any edits to it will get removed if the file is opened in a newer version of Excel. Learn more: https://go.microsoft.com/fwlink/?linkid=870924
Comment:
	06/06 req
</t>
      </text>
    </comment>
    <comment authorId="93" xr:uid="{a1e5ae71-28b0-41a2-bca6-4c9cd4388c69}" ref="S26">
      <text>
        <t xml:space="preserve">[Threaded comment]
 Your version of Excel allows you to read this threaded comment; however, any edits to it will get removed if the file is opened in a newer version of Excel. Learn more: https://go.microsoft.com/fwlink/?linkid=870924
Comment:
	03/20 REQ. (cm)
</t>
      </text>
    </comment>
    <comment authorId="94" xr:uid="{a6cb5d7d-fdaf-4e8e-808a-121537633a3d}" ref="S43">
      <text>
        <t xml:space="preserve">[Threaded comment]
 Your version of Excel allows you to read this threaded comment; however, any edits to it will get removed if the file is opened in a newer version of Excel. Learn more: https://go.microsoft.com/fwlink/?linkid=870924
Comment:
	5/14 requested mediation (CM)
</t>
      </text>
    </comment>
    <comment authorId="95" xr:uid="{a7372774-6f63-4444-9d49-1e6e5d7e6f0d}" ref="S81">
      <text>
        <t xml:space="preserve">[Threaded comment]
 Your version of Excel allows you to read this threaded comment; however, any edits to it will get removed if the file is opened in a newer version of Excel. Learn more: https://go.microsoft.com/fwlink/?linkid=870924
Comment:
	04/10 REQ
</t>
      </text>
    </comment>
    <comment authorId="96" xr:uid="{a87d8b0b-4997-4b87-be17-a66d104f6dd6}" ref="N128">
      <text>
        <t xml:space="preserve">[Threaded comment]
 Your version of Excel allows you to read this threaded comment; however, any edits to it will get removed if the file is opened in a newer version of Excel. Learn more: https://go.microsoft.com/fwlink/?linkid=870924
Comment:
	6/13 se envio para q firme cliente
</t>
      </text>
    </comment>
    <comment authorId="97" xr:uid="{a89677b8-1ddc-4405-9fb8-2a5081634259}" ref="S64">
      <text>
        <t xml:space="preserve">[Threaded comment]
 Your version of Excel allows you to read this threaded comment; however, any edits to it will get removed if the file is opened in a newer version of Excel. Learn more: https://go.microsoft.com/fwlink/?linkid=870924
Comment:
	04/09 REQ
</t>
      </text>
    </comment>
    <comment authorId="98" xr:uid="{a96c5eaf-c051-402e-8792-1cdaec7fbf4c}" ref="H77">
      <text>
        <t xml:space="preserve">[Threaded comment]
 Your version of Excel allows you to read this threaded comment; however, any edits to it will get removed if the file is opened in a newer version of Excel. Learn more: https://go.microsoft.com/fwlink/?linkid=870924
Comment:
	@admin@ipadjustinggroup.com Joshue dice que el policy number es 11192122
</t>
      </text>
    </comment>
    <comment authorId="99" xr:uid="{ac906061-59e0-4379-a7af-7d40f71eddf6}" ref="L117">
      <text>
        <t xml:space="preserve">[Threaded comment]
 Your version of Excel allows you to read this threaded comment; however, any edits to it will get removed if the file is opened in a newer version of Excel. Learn more: https://go.microsoft.com/fwlink/?linkid=870924
Comment:
	06/11 standing by for Peter's decision
</t>
      </text>
    </comment>
    <comment authorId="100" xr:uid="{acbae89a-e87d-4fdd-a09f-0a8ebbf2e825}" ref="M144">
      <text>
        <t xml:space="preserve">[Threaded comment]
 Your version of Excel allows you to read this threaded comment; however, any edits to it will get removed if the file is opened in a newer version of Excel. Learn more: https://go.microsoft.com/fwlink/?linkid=870924
Comment:
	6/21 enviado a Joshua
6/29 joshua aprobo estimado
</t>
      </text>
    </comment>
    <comment authorId="101" xr:uid="{aedfe9fe-51b9-4325-b625-359c9c7efd77}" ref="N139">
      <text>
        <t xml:space="preserve">[Threaded comment]
 Your version of Excel allows you to read this threaded comment; however, any edits to it will get removed if the file is opened in a newer version of Excel. Learn more: https://go.microsoft.com/fwlink/?linkid=870924
Comment:
	7/01 request blank spol
</t>
      </text>
    </comment>
    <comment authorId="102" xr:uid="{b1f6632c-ab3e-4366-a4fa-2b1129508170}" ref="S36">
      <text>
        <t xml:space="preserve">[Threaded comment]
 Your version of Excel allows you to read this threaded comment; however, any edits to it will get removed if the file is opened in a newer version of Excel. Learn more: https://go.microsoft.com/fwlink/?linkid=870924
Comment:
	02/26 Requested (CM)
</t>
      </text>
    </comment>
    <comment authorId="103" xr:uid="{b2f82a23-8dba-48e7-b04d-ed194e3f3446}" ref="S170">
      <text>
        <t xml:space="preserve">[Threaded comment]
 Your version of Excel allows you to read this threaded comment; however, any edits to it will get removed if the file is opened in a newer version of Excel. Learn more: https://go.microsoft.com/fwlink/?linkid=870924
Comment:
	02/13 req (CM)
</t>
      </text>
    </comment>
    <comment authorId="104" xr:uid="{b321d738-1111-4fd8-90dc-c2d9d0cf2a02}" ref="N129">
      <text>
        <t xml:space="preserve">[Threaded comment]
 Your version of Excel allows you to read this threaded comment; however, any edits to it will get removed if the file is opened in a newer version of Excel. Learn more: https://go.microsoft.com/fwlink/?linkid=870924
Comment:
	6/13 se envio al cliente para q firme
</t>
      </text>
    </comment>
    <comment authorId="105" xr:uid="{b400cd75-4ca9-4a64-b6b0-7ca6452e0ad5}" ref="S76">
      <text>
        <t xml:space="preserve">[Threaded comment]
 Your version of Excel allows you to read this threaded comment; however, any edits to it will get removed if the file is opened in a newer version of Excel. Learn more: https://go.microsoft.com/fwlink/?linkid=870924
Comment:
	02/26 REQ
</t>
      </text>
    </comment>
    <comment authorId="106" xr:uid="{b4fdc22c-5747-49da-9408-c54e80ef7471}" ref="S42">
      <text>
        <t xml:space="preserve">[Threaded comment]
 Your version of Excel allows you to read this threaded comment; however, any edits to it will get removed if the file is opened in a newer version of Excel. Learn more: https://go.microsoft.com/fwlink/?linkid=870924
Comment:
	04/11 req
</t>
      </text>
    </comment>
    <comment authorId="107" xr:uid="{b737dcff-a103-4a0b-83cb-97518668ff43}" ref="O32">
      <text>
        <t xml:space="preserve">[Threaded comment]
 Your version of Excel allows you to read this threaded comment; however, any edits to it will get removed if the file is opened in a newer version of Excel. Learn more: https://go.microsoft.com/fwlink/?linkid=870924
Comment:
	05/20 received a 10k offer, sent to PAs (CM)
</t>
      </text>
    </comment>
    <comment authorId="108" xr:uid="{b879a668-5d54-49f4-aa51-2f96b04d9d3d}" ref="N96">
      <text>
        <t xml:space="preserve">[Threaded comment]
 Your version of Excel allows you to read this threaded comment; however, any edits to it will get removed if the file is opened in a newer version of Excel. Learn more: https://go.microsoft.com/fwlink/?linkid=870924
Comment:
	06/25 caro envio al cliente. no hay respuesta.
</t>
      </text>
    </comment>
    <comment authorId="109" xr:uid="{bc662fe5-b912-4077-b443-2b4f7bd0e4ef}" ref="S71">
      <text>
        <t xml:space="preserve">[Threaded comment]
 Your version of Excel allows you to read this threaded comment; however, any edits to it will get removed if the file is opened in a newer version of Excel. Learn more: https://go.microsoft.com/fwlink/?linkid=870924
Comment:
	05/09
</t>
      </text>
    </comment>
    <comment authorId="110" xr:uid="{bce52e66-9f09-45a1-9c64-938c2565c892}" ref="N106">
      <text>
        <t xml:space="preserve">[Threaded comment]
 Your version of Excel allows you to read this threaded comment; however, any edits to it will get removed if the file is opened in a newer version of Excel. Learn more: https://go.microsoft.com/fwlink/?linkid=870924
Comment:
	04/10 Sent to client (CM)
</t>
      </text>
    </comment>
    <comment authorId="111" xr:uid="{bd886c45-64be-4bfa-a97b-fd05edfacf7c}" ref="S96">
      <text>
        <t xml:space="preserve">[Threaded comment]
 Your version of Excel allows you to read this threaded comment; however, any edits to it will get removed if the file is opened in a newer version of Excel. Learn more: https://go.microsoft.com/fwlink/?linkid=870924
Comment:
	06/25 req
</t>
      </text>
    </comment>
    <comment authorId="112" xr:uid="{bed6ad6d-ea13-470f-9962-f9a671bd9205}" ref="N72">
      <text>
        <t xml:space="preserve">[Threaded comment]
 Your version of Excel allows you to read this threaded comment; however, any edits to it will get removed if the file is opened in a newer version of Excel. Learn more: https://go.microsoft.com/fwlink/?linkid=870924
Comment:
	05/23 sent to client (JP)
</t>
      </text>
    </comment>
    <comment authorId="113" xr:uid="{c05c14bf-a736-4bf6-a2f6-6ab5d9bab3c5}" ref="M111">
      <text>
        <t xml:space="preserve">[Threaded comment]
 Your version of Excel allows you to read this threaded comment; however, any edits to it will get removed if the file is opened in a newer version of Excel. Learn more: https://go.microsoft.com/fwlink/?linkid=870924
Comment:
	Enviado a peter 7/11
</t>
      </text>
    </comment>
    <comment authorId="114" xr:uid="{c2605045-22e6-4ad6-b6d1-3abd89a1fb68}" ref="S66">
      <text>
        <t xml:space="preserve">[Threaded comment]
 Your version of Excel allows you to read this threaded comment; however, any edits to it will get removed if the file is opened in a newer version of Excel. Learn more: https://go.microsoft.com/fwlink/?linkid=870924
Comment:
	03/01 req
</t>
      </text>
    </comment>
    <comment authorId="115" xr:uid="{c28aa365-d155-47ee-8a99-9f39105f3789}" ref="Q11">
      <text>
        <t xml:space="preserve">[Threaded comment]
 Your version of Excel allows you to read this threaded comment; however, any edits to it will get removed if the file is opened in a newer version of Excel. Learn more: https://go.microsoft.com/fwlink/?linkid=870924
Comment:
	Did you settle before mediation?
</t>
      </text>
    </comment>
    <comment authorId="116" xr:uid="{c360a998-ef12-4467-96bb-71ead3b20ab3}" ref="N61">
      <text>
        <t xml:space="preserve">[Threaded comment]
 Your version of Excel allows you to read this threaded comment; however, any edits to it will get removed if the file is opened in a newer version of Excel. Learn more: https://go.microsoft.com/fwlink/?linkid=870924
Comment:
	5/17 Juan says Peter will continue the process without the SPOL (JP)
</t>
      </text>
    </comment>
    <comment authorId="117" xr:uid="{c66f4c2d-6fce-4955-9a54-0ce12c1248e7}" ref="N142">
      <text>
        <t xml:space="preserve">[Threaded comment]
 Your version of Excel allows you to read this threaded comment; however, any edits to it will get removed if the file is opened in a newer version of Excel. Learn more: https://go.microsoft.com/fwlink/?linkid=870924
Comment:
	6/29 requested
</t>
      </text>
    </comment>
    <comment authorId="118" xr:uid="{c6e96c17-2867-478e-a85b-b327d0ed14d2}" ref="S99">
      <text>
        <t xml:space="preserve">[Threaded comment]
 Your version of Excel allows you to read this threaded comment; however, any edits to it will get removed if the file is opened in a newer version of Excel. Learn more: https://go.microsoft.com/fwlink/?linkid=870924
Comment:
	04/11 REQ
</t>
      </text>
    </comment>
    <comment authorId="119" xr:uid="{c70ceb46-8b3a-4ce1-a75c-80490b3bbe7f}" ref="S39">
      <text>
        <t xml:space="preserve">[Threaded comment]
 Your version of Excel allows you to read this threaded comment; however, any edits to it will get removed if the file is opened in a newer version of Excel. Learn more: https://go.microsoft.com/fwlink/?linkid=870924
Comment:
	01/31 REQ (CM)
</t>
      </text>
    </comment>
    <comment authorId="120" xr:uid="{c805eba4-0e19-4534-b022-ba72718c77a3}" ref="M142">
      <text>
        <t xml:space="preserve">[Threaded comment]
 Your version of Excel allows you to read this threaded comment; however, any edits to it will get removed if the file is opened in a newer version of Excel. Learn more: https://go.microsoft.com/fwlink/?linkid=870924
Comment:
	6/28 enviado a Ivan
6/29 Ivan approved
</t>
      </text>
    </comment>
    <comment authorId="121" xr:uid="{c8525f33-d922-41c1-80e1-a3c7bfa5a574}" ref="S27">
      <text>
        <t xml:space="preserve">[Threaded comment]
 Your version of Excel allows you to read this threaded comment; however, any edits to it will get removed if the file is opened in a newer version of Excel. Learn more: https://go.microsoft.com/fwlink/?linkid=870924
Comment:
	01/29 req
</t>
      </text>
    </comment>
    <comment authorId="122" xr:uid="{c87d8fd1-3bcb-4634-b893-16411f8ce1d1}" ref="S44">
      <text>
        <t xml:space="preserve">[Threaded comment]
 Your version of Excel allows you to read this threaded comment; however, any edits to it will get removed if the file is opened in a newer version of Excel. Learn more: https://go.microsoft.com/fwlink/?linkid=870924
Comment:
	01/22 req
Reply:
	done in 02/16
</t>
      </text>
    </comment>
    <comment authorId="123" xr:uid="{ca486cab-5e14-49aa-a663-b2d8b2880410}" ref="S58">
      <text>
        <t xml:space="preserve">[Threaded comment]
 Your version of Excel allows you to read this threaded comment; however, any edits to it will get removed if the file is opened in a newer version of Excel. Learn more: https://go.microsoft.com/fwlink/?linkid=870924
Comment:
	01/30 REQ
</t>
      </text>
    </comment>
    <comment authorId="124" xr:uid="{cad3c88e-81fe-4ef0-8de7-8d6a50eac875}" ref="P60">
      <text>
        <t xml:space="preserve">[Threaded comment]
 Your version of Excel allows you to read this threaded comment; however, any edits to it will get removed if the file is opened in a newer version of Excel. Learn more: https://go.microsoft.com/fwlink/?linkid=870924
Comment:
	llamar a preguntar por el DA
</t>
      </text>
    </comment>
    <comment authorId="125" xr:uid="{cd8697df-15b6-4106-adb4-776f16f64c49}" ref="S59">
      <text>
        <t xml:space="preserve">[Threaded comment]
 Your version of Excel allows you to read this threaded comment; however, any edits to it will get removed if the file is opened in a newer version of Excel. Learn more: https://go.microsoft.com/fwlink/?linkid=870924
Comment:
	01/30 REQ
</t>
      </text>
    </comment>
    <comment authorId="126" xr:uid="{ce0d6a29-ae66-4b16-ae4a-8af20e3df073}" ref="F77">
      <text>
        <t xml:space="preserve">[Threaded comment]
 Your version of Excel allows you to read this threaded comment; however, any edits to it will get removed if the file is opened in a newer version of Excel. Learn more: https://go.microsoft.com/fwlink/?linkid=870924
Comment:
	@admin@ipadjustinggroup.com Carito, Joshua dice que el carrier es Citizens
</t>
      </text>
    </comment>
    <comment authorId="127" xr:uid="{cf639ed2-4931-4629-b4f8-5f63dca5137f}" ref="S28">
      <text>
        <t xml:space="preserve">[Threaded comment]
 Your version of Excel allows you to read this threaded comment; however, any edits to it will get removed if the file is opened in a newer version of Excel. Learn more: https://go.microsoft.com/fwlink/?linkid=870924
Comment:
	01/09 req
Reply:
	02/06 follow up (CM)
Reply:
	03/18 mediation will be (CM)
</t>
      </text>
    </comment>
    <comment authorId="128" xr:uid="{d56c3c0e-d612-4eaa-85d1-f099e2d7b50a}" ref="M122">
      <text>
        <t xml:space="preserve">[Threaded comment]
 Your version of Excel allows you to read this threaded comment; however, any edits to it will get removed if the file is opened in a newer version of Excel. Learn more: https://go.microsoft.com/fwlink/?linkid=870924
Comment:
	06/21 david pidio agregar A/C se envio un update
6/21 aprobado el update, enviado  al carrier
</t>
      </text>
    </comment>
    <comment authorId="129" xr:uid="{d64839be-3b05-449e-a4f6-38416c4de9b2}" ref="L139">
      <text>
        <t xml:space="preserve">[Threaded comment]
 Your version of Excel allows you to read this threaded comment; however, any edits to it will get removed if the file is opened in a newer version of Excel. Learn more: https://go.microsoft.com/fwlink/?linkid=870924
Comment:
	7/01 reopen, enviado al carrier
</t>
      </text>
    </comment>
    <comment authorId="130" xr:uid="{d6c658c0-47e0-4fee-bebd-56d9d4e7738f}" ref="L125">
      <text>
        <t xml:space="preserve">[Threaded comment]
 Your version of Excel allows you to read this threaded comment; however, any edits to it will get removed if the file is opened in a newer version of Excel. Learn more: https://go.microsoft.com/fwlink/?linkid=870924
Comment:
	6/13 se envio sin picture file (JP)
</t>
      </text>
    </comment>
    <comment authorId="131" xr:uid="{d988619c-472e-440d-86d4-5e85756095b6}" ref="S24">
      <text>
        <t xml:space="preserve">[Threaded comment]
 Your version of Excel allows you to read this threaded comment; however, any edits to it will get removed if the file is opened in a newer version of Excel. Learn more: https://go.microsoft.com/fwlink/?linkid=870924
Comment:
	04/11 REQ
</t>
      </text>
    </comment>
    <comment authorId="132" xr:uid="{daa8ea92-b521-43ee-a335-dc9490ef4b05}" ref="O49">
      <text>
        <t xml:space="preserve">[Threaded comment]
 Your version of Excel allows you to read this threaded comment; however, any edits to it will get removed if the file is opened in a newer version of Excel. Learn more: https://go.microsoft.com/fwlink/?linkid=870924
Comment:
	03/12 received denial letter (CM)
</t>
      </text>
    </comment>
    <comment authorId="133" xr:uid="{dc604c59-db5d-49b6-8ed4-e344eb028ad7}" ref="L104">
      <text>
        <t xml:space="preserve">[Threaded comment]
 Your version of Excel allows you to read this threaded comment; however, any edits to it will get removed if the file is opened in a newer version of Excel. Learn more: https://go.microsoft.com/fwlink/?linkid=870924
Comment:
	06/05 Joshua will do the estimate once the inspection performed (CM)
</t>
      </text>
    </comment>
    <comment authorId="134" xr:uid="{e5482cdd-5f6d-4b91-8a2f-d9c42b3e27d5}" ref="S83">
      <text>
        <t xml:space="preserve">[Threaded comment]
 Your version of Excel allows you to read this threaded comment; however, any edits to it will get removed if the file is opened in a newer version of Excel. Learn more: https://go.microsoft.com/fwlink/?linkid=870924
Comment:
	05/09
</t>
      </text>
    </comment>
    <comment authorId="135" xr:uid="{e5b29a55-b3ba-4313-80b5-f9f695207498}" ref="N103">
      <text>
        <t xml:space="preserve">[Threaded comment]
 Your version of Excel allows you to read this threaded comment; however, any edits to it will get removed if the file is opened in a newer version of Excel. Learn more: https://go.microsoft.com/fwlink/?linkid=870924
Comment:
	05/02 Sent to client (CM)
</t>
      </text>
    </comment>
    <comment authorId="136" xr:uid="{e7a2056c-e8e9-4dba-a06e-369b6f06333b}" ref="S15">
      <text>
        <t xml:space="preserve">[Threaded comment]
 Your version of Excel allows you to read this threaded comment; however, any edits to it will get removed if the file is opened in a newer version of Excel. Learn more: https://go.microsoft.com/fwlink/?linkid=870924
Comment:
	03/22 REQ
</t>
      </text>
    </comment>
    <comment authorId="137" xr:uid="{ec368cf1-2913-481f-a11d-122f5b043259}" ref="S65">
      <text>
        <t xml:space="preserve">[Threaded comment]
 Your version of Excel allows you to read this threaded comment; however, any edits to it will get removed if the file is opened in a newer version of Excel. Learn more: https://go.microsoft.com/fwlink/?linkid=870924
Comment:
	03/01 REQ.
</t>
      </text>
    </comment>
    <comment authorId="138" xr:uid="{eff77a01-9ba7-42ee-a307-169458cca541}" ref="L150">
      <text>
        <t xml:space="preserve">[Threaded comment]
 Your version of Excel allows you to read this threaded comment; however, any edits to it will get removed if the file is opened in a newer version of Excel. Learn more: https://go.microsoft.com/fwlink/?linkid=870924
Comment:
	7/05 aprobado el estimado, esperando el claim number de Caro
</t>
      </text>
    </comment>
    <comment authorId="139" xr:uid="{f2d3c063-896a-4029-b0c6-634df8fd9e5a}" ref="S98">
      <text>
        <t xml:space="preserve">[Threaded comment]
 Your version of Excel allows you to read this threaded comment; however, any edits to it will get removed if the file is opened in a newer version of Excel. Learn more: https://go.microsoft.com/fwlink/?linkid=870924
Comment:
	05/09 REQ
</t>
      </text>
    </comment>
    <comment authorId="140" xr:uid="{f2e965ac-8d01-4554-8688-d6284da110a2}" ref="M105">
      <text>
        <t xml:space="preserve">[Threaded comment]
 Your version of Excel allows you to read this threaded comment; however, any edits to it will get removed if the file is opened in a newer version of Excel. Learn more: https://go.microsoft.com/fwlink/?linkid=870924
Comment:
	6/13 pedi a juan info del estimado
</t>
      </text>
    </comment>
    <comment authorId="141" xr:uid="{f2fce734-fc4b-4196-8ef0-164df70e861f}" ref="S34">
      <text>
        <t xml:space="preserve">[Threaded comment]
 Your version of Excel allows you to read this threaded comment; however, any edits to it will get removed if the file is opened in a newer version of Excel. Learn more: https://go.microsoft.com/fwlink/?linkid=870924
Comment:
	01/29 req
</t>
      </text>
    </comment>
    <comment authorId="142" xr:uid="{f41c6984-e161-4842-a290-dee4d8d2872e}" ref="S13">
      <text>
        <t xml:space="preserve">[Threaded comment]
 Your version of Excel allows you to read this threaded comment; however, any edits to it will get removed if the file is opened in a newer version of Excel. Learn more: https://go.microsoft.com/fwlink/?linkid=870924
Comment:
	03/21 med. done
</t>
      </text>
    </comment>
    <comment authorId="143" xr:uid="{f5974227-d447-4e76-a782-4a945dbdf941}" ref="S20">
      <text>
        <t xml:space="preserve">[Threaded comment]
 Your version of Excel allows you to read this threaded comment; however, any edits to it will get removed if the file is opened in a newer version of Excel. Learn more: https://go.microsoft.com/fwlink/?linkid=870924
Comment:
	01/29 req
</t>
      </text>
    </comment>
    <comment authorId="144" xr:uid="{f7ce69a6-4695-4c60-99c9-018277e9e8dc}" ref="S29">
      <text>
        <t xml:space="preserve">[Threaded comment]
 Your version of Excel allows you to read this threaded comment; however, any edits to it will get removed if the file is opened in a newer version of Excel. Learn more: https://go.microsoft.com/fwlink/?linkid=870924
Comment:
	03/18 meditation done (CM)
</t>
      </text>
    </comment>
    <comment authorId="145" xr:uid="{fcc4802d-f9e8-4de9-aa52-5974405b26cb}" ref="S102">
      <text>
        <t xml:space="preserve">[Threaded comment]
 Your version of Excel allows you to read this threaded comment; however, any edits to it will get removed if the file is opened in a newer version of Excel. Learn more: https://go.microsoft.com/fwlink/?linkid=870924
Comment:
	04/01 REQ
</t>
      </text>
    </comment>
    <comment authorId="146" xr:uid="{ffd96ec6-ebc2-4ad1-8092-d2762bbfe834}" ref="N169">
      <text>
        <t xml:space="preserve">[Threaded comment]
 Your version of Excel allows you to read this threaded comment; however, any edits to it will get removed if the file is opened in a newer version of Excel. Learn more: https://go.microsoft.com/fwlink/?linkid=870924
Comment:
	02/06 waiting IA or Determination letter to send (CM)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tc={0a895fbb-f2c0-433e-b4b4-a34c278b9261}</author>
    <author>tc={0d3c405f-efa1-4d07-ae1a-53da373c21c4}</author>
    <author>tc={0d55b853-eed3-4cfb-9aea-4760d98c3ac0}</author>
    <author>tc={11e30d07-bac5-4d87-9c36-303f2563e994}</author>
    <author>tc={17e7f4d0-b70d-411f-a27e-f25d051cfd8d}</author>
    <author>tc={1d68863b-bd57-43bc-8619-52c6bcb4fcbf}</author>
    <author>tc={1de30a5b-878c-46c1-b275-596d74f3a407}</author>
    <author>tc={215d3076-e893-4415-9044-70e3b7c4c01b}</author>
    <author>tc={24334ea1-2485-432f-a94f-8e1153c8592f}</author>
    <author>tc={28c6ce69-64e2-4543-bc55-c886a4baf733}</author>
    <author>tc={2957083f-82c3-4151-a05a-f2c1e2588495}</author>
    <author>tc={41b59f37-283f-4dfd-92d6-b7cb05368fc0}</author>
    <author>tc={4238c76d-1d72-4d05-9efb-e807d2018adf}</author>
    <author>tc={493c3b1d-73b5-4fbd-b558-c8b82c37d12d}</author>
    <author>tc={4d896f46-a1bb-4f14-91e7-34c3f2138e01}</author>
    <author>tc={50b378b7-1bbd-440e-aaaa-b5fd8ff94105}</author>
    <author>tc={556ed2c2-49d0-463a-b0a1-d2c6ccb89124}</author>
    <author>tc={55d45e76-e3ff-4838-8d39-1fe976431677}</author>
    <author>tc={56cd8ed3-3b06-4d7c-8aec-985ff2fcf6d4}</author>
    <author>tc={600f1cda-063c-466a-9df9-3d3ec48a8794}</author>
    <author>tc={65eeb793-fe6f-41bc-b150-1e2b26842c4e}</author>
    <author>tc={662e762e-735e-461e-94c4-ce8b4eb6863c}</author>
    <author>tc={66f14ae7-6b38-4199-b2eb-da833e7bdeab}</author>
    <author>tc={66f6c1e3-17b9-4a25-a23c-22e797ac8b47}</author>
    <author>tc={6ee480ab-24f1-4bb5-82bc-07162c52ff5a}</author>
    <author>tc={7569d1af-94b8-4786-acb6-1cd0d78f55c0}</author>
    <author>tc={7f55f1f2-48ca-4942-92c7-2ee00547739a}</author>
    <author>tc={86c768ea-3dea-4c99-ad31-3574507997e8}</author>
    <author>tc={8a7a432f-adfc-44df-a72e-f2a83231e0da}</author>
    <author>tc={8d94a7b0-15dc-4fad-8800-c2a567e01c74}</author>
    <author>tc={a2960e63-87ba-4bfe-9343-c3403199cb0f}</author>
    <author>tc={a8b80a4d-3dd0-4308-a919-93133e953ff5}</author>
    <author>tc={aed2ebd6-3c01-4351-a878-d57d93a542d2}</author>
    <author>tc={b0f13d08-3581-4904-85af-26cc1dc588ed}</author>
    <author>tc={b1395a9a-1482-4a92-ac00-eeac682e6eb2}</author>
    <author>tc={b3bdf4da-e148-45b5-a6e8-d69be9ea73cf}</author>
    <author>tc={b752d58d-b965-4bd2-bb20-f288c080b20a}</author>
    <author>tc={b7803e92-b703-46a0-b4fc-1bad6be45767}</author>
    <author>tc={bd1f6f43-f544-441a-9f92-f2b21071c554}</author>
    <author>tc={cce01032-463a-49f6-9767-ca7eb3cbb657}</author>
    <author>tc={e0b8455c-4336-44ad-bd16-9a89c666e1dc}</author>
    <author>tc={e10ff3a8-2daf-4292-9b53-33d3c48b6399}</author>
    <author>tc={e2b73b49-6888-444d-ac94-7842eb401206}</author>
    <author>tc={e301e786-391c-41c5-be40-a9e150f521c2}</author>
    <author>tc={e485aba8-2804-4b93-ac23-ee9591709197}</author>
    <author>tc={e6346656-8ba9-45d6-987d-ad77c43eb371}</author>
    <author>tc={eb59e95a-dd0a-4970-b550-3157a7834ee4}</author>
    <author>tc={fc60bdcc-ba44-4703-b751-394416a8be8a}</author>
    <author>tc={ffe8b8a3-6820-48db-8a41-7c700fb44eb0}</author>
  </authors>
  <commentList>
    <comment authorId="0" xr:uid="{0a895fbb-f2c0-433e-b4b4-a34c278b9261}" ref="C112">
      <text>
        <t xml:space="preserve">[Threaded comment]
 Your version of Excel allows you to read this threaded comment; however, any edits to it will get removed if the file is opened in a newer version of Excel. Learn more: https://go.microsoft.com/fwlink/?linkid=870924
Comment:
	07/11 DA offered 2k to settled, PA's are cc'd.
</t>
      </text>
    </comment>
    <comment authorId="1" xr:uid="{0d3c405f-efa1-4d07-ae1a-53da373c21c4}" ref="C132">
      <text>
        <t xml:space="preserve">[Threaded comment]
 Your version of Excel allows you to read this threaded comment; however, any edits to it will get removed if the file is opened in a newer version of Excel. Learn more: https://go.microsoft.com/fwlink/?linkid=870924
Comment:
	06/27 Fw up on inspec.
NEED TO FOLLOW UP ON INSPEC.!!
</t>
      </text>
    </comment>
    <comment authorId="2" xr:uid="{0d55b853-eed3-4cfb-9aea-4760d98c3ac0}" ref="AC120">
      <text>
        <t xml:space="preserve">[Threaded comment]
 Your version of Excel allows you to read this threaded comment; however, any edits to it will get removed if the file is opened in a newer version of Excel. Learn more: https://go.microsoft.com/fwlink/?linkid=870924
Comment:
	RESCHEDULE URG
07/16 Client confirmed for 07/18 / 9-11. Waiting roof conf.
</t>
      </text>
    </comment>
    <comment authorId="3" xr:uid="{11e30d07-bac5-4d87-9c36-303f2563e994}" ref="C69">
      <text>
        <t xml:space="preserve">[Threaded comment]
 Your version of Excel allows you to read this threaded comment; however, any edits to it will get removed if the file is opened in a newer version of Excel. Learn more: https://go.microsoft.com/fwlink/?linkid=870924
Comment:
	Leak
</t>
      </text>
    </comment>
    <comment authorId="4" xr:uid="{17e7f4d0-b70d-411f-a27e-f25d051cfd8d}" ref="C123">
      <text>
        <t xml:space="preserve">[Threaded comment]
 Your version of Excel allows you to read this threaded comment; however, any edits to it will get removed if the file is opened in a newer version of Excel. Learn more: https://go.microsoft.com/fwlink/?linkid=870924
Comment:
	06/13 ask Joshua about this claim and the other PA firm
</t>
      </text>
    </comment>
    <comment authorId="5" xr:uid="{1d68863b-bd57-43bc-8619-52c6bcb4fcbf}" ref="Z156">
      <text>
        <t xml:space="preserve">[Threaded comment]
 Your version of Excel allows you to read this threaded comment; however, any edits to it will get removed if the file is opened in a newer version of Excel. Learn more: https://go.microsoft.com/fwlink/?linkid=870924
Comment:
	07/12 ORGANIZIG IT FOR 07/16
</t>
      </text>
    </comment>
    <comment authorId="6" xr:uid="{1de30a5b-878c-46c1-b275-596d74f3a407}" ref="C49">
      <text>
        <t xml:space="preserve">[Threaded comment]
 Your version of Excel allows you to read this threaded comment; however, any edits to it will get removed if the file is opened in a newer version of Excel. Learn more: https://go.microsoft.com/fwlink/?linkid=870924
Comment:
	Hurricane
</t>
      </text>
    </comment>
    <comment authorId="7" xr:uid="{215d3076-e893-4415-9044-70e3b7c4c01b}" ref="C128">
      <text>
        <t xml:space="preserve">[Threaded comment]
 Your version of Excel allows you to read this threaded comment; however, any edits to it will get removed if the file is opened in a newer version of Excel. Learn more: https://go.microsoft.com/fwlink/?linkid=870924
Comment:
	Universal / Reopen
</t>
      </text>
    </comment>
    <comment authorId="8" xr:uid="{24334ea1-2485-432f-a94f-8e1153c8592f}" ref="C129">
      <text>
        <t xml:space="preserve">[Threaded comment]
 Your version of Excel allows you to read this threaded comment; however, any edits to it will get removed if the file is opened in a newer version of Excel. Learn more: https://go.microsoft.com/fwlink/?linkid=870924
Comment:
	07/16 Carrier informs they won't do a reinspection so far.
</t>
      </text>
    </comment>
    <comment authorId="9" xr:uid="{28c6ce69-64e2-4543-bc55-c886a4baf733}" ref="C179">
      <text>
        <t xml:space="preserve">[Threaded comment]
 Your version of Excel allows you to read this threaded comment; however, any edits to it will get removed if the file is opened in a newer version of Excel. Learn more: https://go.microsoft.com/fwlink/?linkid=870924
Comment:
	06/12 Ivan says to stand by on this one.
</t>
      </text>
    </comment>
    <comment authorId="10" xr:uid="{2957083f-82c3-4151-a05a-f2c1e2588495}" ref="C124">
      <text>
        <t xml:space="preserve">[Threaded comment]
 Your version of Excel allows you to read this threaded comment; however, any edits to it will get removed if the file is opened in a newer version of Excel. Learn more: https://go.microsoft.com/fwlink/?linkid=870924
Comment:
	06/27 Fw up on Reinsp-
</t>
      </text>
    </comment>
    <comment authorId="11" xr:uid="{41b59f37-283f-4dfd-92d6-b7cb05368fc0}" ref="Q96">
      <text>
        <t xml:space="preserve">[Threaded comment]
 Your version of Excel allows you to read this threaded comment; however, any edits to it will get removed if the file is opened in a newer version of Excel. Learn more: https://go.microsoft.com/fwlink/?linkid=870924
Comment:
	07/14 Asked a prompt confirmation to carrier for 08/13 at 12PM
</t>
      </text>
    </comment>
    <comment authorId="12" xr:uid="{4238c76d-1d72-4d05-9efb-e807d2018adf}" ref="C75">
      <text>
        <t xml:space="preserve">[Threaded comment]
 Your version of Excel allows you to read this threaded comment; however, any edits to it will get removed if the file is opened in a newer version of Excel. Learn more: https://go.microsoft.com/fwlink/?linkid=870924
Comment:
	FIGA
</t>
      </text>
    </comment>
    <comment authorId="13" xr:uid="{493c3b1d-73b5-4fbd-b558-c8b82c37d12d}" ref="C131">
      <text>
        <t xml:space="preserve">[Threaded comment]
 Your version of Excel allows you to read this threaded comment; however, any edits to it will get removed if the file is opened in a newer version of Excel. Learn more: https://go.microsoft.com/fwlink/?linkid=870924
Comment:
	Universal / Reopen
</t>
      </text>
    </comment>
    <comment authorId="14" xr:uid="{4d896f46-a1bb-4f14-91e7-34c3f2138e01}" ref="T28">
      <text>
        <t xml:space="preserve">[Threaded comment]
 Your version of Excel allows you to read this threaded comment; however, any edits to it will get removed if the file is opened in a newer version of Excel. Learn more: https://go.microsoft.com/fwlink/?linkid=870924
Comment:
	Pete informed me that we will wait for the attorneys
</t>
      </text>
    </comment>
    <comment authorId="15" xr:uid="{50b378b7-1bbd-440e-aaaa-b5fd8ff94105}" ref="N113">
      <text>
        <t xml:space="preserve">[Threaded comment]
 Your version of Excel allows you to read this threaded comment; however, any edits to it will get removed if the file is opened in a newer version of Excel. Learn more: https://go.microsoft.com/fwlink/?linkid=870924
Comment:
	DA won't do a reinspec.
</t>
      </text>
    </comment>
    <comment authorId="16" xr:uid="{556ed2c2-49d0-463a-b0a1-d2c6ccb89124}" ref="Z90">
      <text>
        <t xml:space="preserve">[Threaded comment]
 Your version of Excel allows you to read this threaded comment; however, any edits to it will get removed if the file is opened in a newer version of Excel. Learn more: https://go.microsoft.com/fwlink/?linkid=870924
Comment:
	No need to schedule anymore
</t>
      </text>
    </comment>
    <comment authorId="17" xr:uid="{55d45e76-e3ff-4838-8d39-1fe976431677}" ref="C133">
      <text>
        <t xml:space="preserve">[Threaded comment]
 Your version of Excel allows you to read this threaded comment; however, any edits to it will get removed if the file is opened in a newer version of Excel. Learn more: https://go.microsoft.com/fwlink/?linkid=870924
Comment:
	Universal / Reopen
</t>
      </text>
    </comment>
    <comment authorId="18" xr:uid="{56cd8ed3-3b06-4d7c-8aec-985ff2fcf6d4}" ref="C180">
      <text>
        <t xml:space="preserve">[Threaded comment]
 Your version of Excel allows you to read this threaded comment; however, any edits to it will get removed if the file is opened in a newer version of Excel. Learn more: https://go.microsoft.com/fwlink/?linkid=870924
Comment:
	06/12 Stand by (Client didn't want to continue w/ claim.
</t>
      </text>
    </comment>
    <comment authorId="19" xr:uid="{600f1cda-063c-466a-9df9-3d3ec48a8794}" ref="C139">
      <text>
        <t xml:space="preserve">[Threaded comment]
 Your version of Excel allows you to read this threaded comment; however, any edits to it will get removed if the file is opened in a newer version of Excel. Learn more: https://go.microsoft.com/fwlink/?linkid=870924
Comment:
	Hurricane Ian
</t>
      </text>
    </comment>
    <comment authorId="20" xr:uid="{65eeb793-fe6f-41bc-b150-1e2b26842c4e}" ref="C152">
      <text>
        <t xml:space="preserve">[Threaded comment]
 Your version of Excel allows you to read this threaded comment; however, any edits to it will get removed if the file is opened in a newer version of Excel. Learn more: https://go.microsoft.com/fwlink/?linkid=870924
Comment:
	Client is available on 07/15 week
</t>
      </text>
    </comment>
    <comment authorId="21" xr:uid="{662e762e-735e-461e-94c4-ce8b4eb6863c}" ref="T117">
      <text>
        <t xml:space="preserve">[Threaded comment]
 Your version of Excel allows you to read this threaded comment; however, any edits to it will get removed if the file is opened in a newer version of Excel. Learn more: https://go.microsoft.com/fwlink/?linkid=870924
Comment:
	07/08 Emailed to DA asking for OA info
</t>
      </text>
    </comment>
    <comment authorId="22" xr:uid="{66f14ae7-6b38-4199-b2eb-da833e7bdeab}" ref="T59">
      <text>
        <t xml:space="preserve">[Threaded comment]
 Your version of Excel allows you to read this threaded comment; however, any edits to it will get removed if the file is opened in a newer version of Excel. Learn more: https://go.microsoft.com/fwlink/?linkid=870924
Comment:
	Attorneys will take care, nothing to do
</t>
      </text>
    </comment>
    <comment authorId="23" xr:uid="{66f6c1e3-17b9-4a25-a23c-22e797ac8b47}" ref="C182">
      <text>
        <t xml:space="preserve">[Threaded comment]
 Your version of Excel allows you to read this threaded comment; however, any edits to it will get removed if the file is opened in a newer version of Excel. Learn more: https://go.microsoft.com/fwlink/?linkid=870924
Comment:
	07/08 sent to closed claims, Ivan informed we can not represent the client
</t>
      </text>
    </comment>
    <comment authorId="24" xr:uid="{6ee480ab-24f1-4bb5-82bc-07162c52ff5a}" ref="C136">
      <text>
        <t xml:space="preserve">[Threaded comment]
 Your version of Excel allows you to read this threaded comment; however, any edits to it will get removed if the file is opened in a newer version of Excel. Learn more: https://go.microsoft.com/fwlink/?linkid=870924
Comment:
	07/10 asked PAs to contact to DA
</t>
      </text>
    </comment>
    <comment authorId="25" xr:uid="{7569d1af-94b8-4786-acb6-1cd0d78f55c0}" ref="W107">
      <text>
        <t xml:space="preserve">[Threaded comment]
 Your version of Excel allows you to read this threaded comment; however, any edits to it will get removed if the file is opened in a newer version of Excel. Learn more: https://go.microsoft.com/fwlink/?linkid=870924
Comment:
	Waiting to engineering company to contact me
</t>
      </text>
    </comment>
    <comment authorId="26" xr:uid="{7f55f1f2-48ca-4942-92c7-2ee00547739a}" ref="C48">
      <text>
        <t xml:space="preserve">[Threaded comment]
 Your version of Excel allows you to read this threaded comment; however, any edits to it will get removed if the file is opened in a newer version of Excel. Learn more: https://go.microsoft.com/fwlink/?linkid=870924
Comment:
	Windstorm
</t>
      </text>
    </comment>
    <comment authorId="27" xr:uid="{86c768ea-3dea-4c99-ad31-3574507997e8}" ref="C159">
      <text>
        <t xml:space="preserve">[Threaded comment]
 Your version of Excel allows you to read this threaded comment; however, any edits to it will get removed if the file is opened in a newer version of Excel. Learn more: https://go.microsoft.com/fwlink/?linkid=870924
Comment:
	CONFIRM W/ CLIENT ASAP
</t>
      </text>
    </comment>
    <comment authorId="28" xr:uid="{8a7a432f-adfc-44df-a72e-f2a83231e0da}" ref="C107">
      <text>
        <t xml:space="preserve">[Threaded comment]
 Your version of Excel allows you to read this threaded comment; however, any edits to it will get removed if the file is opened in a newer version of Excel. Learn more: https://go.microsoft.com/fwlink/?linkid=870924
Comment:
	Joshua needs to get the right policy, remind Ivan to call joshua on 6/20
</t>
      </text>
    </comment>
    <comment authorId="29" xr:uid="{8d94a7b0-15dc-4fad-8800-c2a567e01c74}" ref="T83">
      <text>
        <t xml:space="preserve">[Threaded comment]
 Your version of Excel allows you to read this threaded comment; however, any edits to it will get removed if the file is opened in a newer version of Excel. Learn more: https://go.microsoft.com/fwlink/?linkid=870924
Comment:
	NEED TO ASK TO PETE WHO WILL DO THE APPRAISAL
</t>
      </text>
    </comment>
    <comment authorId="30" xr:uid="{a2960e63-87ba-4bfe-9343-c3403199cb0f}" ref="AI49">
      <text>
        <t xml:space="preserve">[Threaded comment]
 Your version of Excel allows you to read this threaded comment; however, any edits to it will get removed if the file is opened in a newer version of Excel. Learn more: https://go.microsoft.com/fwlink/?linkid=870924
Comment:
	3 Way Call
</t>
      </text>
    </comment>
    <comment authorId="31" xr:uid="{a8b80a4d-3dd0-4308-a919-93133e953ff5}" ref="C18">
      <text>
        <t xml:space="preserve">[Threaded comment]
 Your version of Excel allows you to read this threaded comment; however, any edits to it will get removed if the file is opened in a newer version of Excel. Learn more: https://go.microsoft.com/fwlink/?linkid=870924
Comment:
	07/16 WAITING DOC SIGNED FOR UMPIRE APPRAISAL
</t>
      </text>
    </comment>
    <comment authorId="32" xr:uid="{aed2ebd6-3c01-4351-a878-d57d93a542d2}" ref="C125">
      <text>
        <t xml:space="preserve">[Threaded comment]
 Your version of Excel allows you to read this threaded comment; however, any edits to it will get removed if the file is opened in a newer version of Excel. Learn more: https://go.microsoft.com/fwlink/?linkid=870924
Comment:
	NEED TO FW UP ON REINSPEC.
</t>
      </text>
    </comment>
    <comment authorId="33" xr:uid="{b0f13d08-3581-4904-85af-26cc1dc588ed}" ref="K47">
      <text>
        <t xml:space="preserve">[Threaded comment]
 Your version of Excel allows you to read this threaded comment; however, any edits to it will get removed if the file is opened in a newer version of Excel. Learn more: https://go.microsoft.com/fwlink/?linkid=870924
Comment:
	Policy issue
</t>
      </text>
    </comment>
    <comment authorId="34" xr:uid="{b1395a9a-1482-4a92-ac00-eeac682e6eb2}" ref="C140">
      <text>
        <t xml:space="preserve">[Threaded comment]
 Your version of Excel allows you to read this threaded comment; however, any edits to it will get removed if the file is opened in a newer version of Excel. Learn more: https://go.microsoft.com/fwlink/?linkid=870924
Comment:
	AWD
</t>
      </text>
    </comment>
    <comment authorId="35" xr:uid="{b3bdf4da-e148-45b5-a6e8-d69be9ea73cf}" ref="C96">
      <text>
        <t xml:space="preserve">[Threaded comment]
 Your version of Excel allows you to read this threaded comment; however, any edits to it will get removed if the file is opened in a newer version of Excel. Learn more: https://go.microsoft.com/fwlink/?linkid=870924
Comment:
	NEED TO FOLLOW UP ON MED REQ
</t>
      </text>
    </comment>
    <comment authorId="36" xr:uid="{b752d58d-b965-4bd2-bb20-f288c080b20a}" ref="N138">
      <text>
        <t xml:space="preserve">[Threaded comment]
 Your version of Excel allows you to read this threaded comment; however, any edits to it will get removed if the file is opened in a newer version of Excel. Learn more: https://go.microsoft.com/fwlink/?linkid=870924
Comment:
	Reinspection not requested
</t>
      </text>
    </comment>
    <comment authorId="37" xr:uid="{b7803e92-b703-46a0-b4fc-1bad6be45767}" ref="C126">
      <text>
        <t xml:space="preserve">[Threaded comment]
 Your version of Excel allows you to read this threaded comment; however, any edits to it will get removed if the file is opened in a newer version of Excel. Learn more: https://go.microsoft.com/fwlink/?linkid=870924
Comment:
	Universal / Reopen
</t>
      </text>
    </comment>
    <comment authorId="38" xr:uid="{bd1f6f43-f544-441a-9f92-f2b21071c554}" ref="C141">
      <text>
        <t xml:space="preserve">[Threaded comment]
 Your version of Excel allows you to read this threaded comment; however, any edits to it will get removed if the file is opened in a newer version of Excel. Learn more: https://go.microsoft.com/fwlink/?linkid=870924
Comment:
	06/11 Call them back 866-940-9720
</t>
      </text>
    </comment>
    <comment authorId="39" xr:uid="{cce01032-463a-49f6-9767-ca7eb3cbb657}" ref="AO77">
      <text>
        <t xml:space="preserve">[Threaded comment]
 Your version of Excel allows you to read this threaded comment; however, any edits to it will get removed if the file is opened in a newer version of Excel. Learn more: https://go.microsoft.com/fwlink/?linkid=870924
Comment:
	06/24 Followed up on their reinspection req.
</t>
      </text>
    </comment>
    <comment authorId="40" xr:uid="{e0b8455c-4336-44ad-bd16-9a89c666e1dc}" ref="C116">
      <text>
        <t xml:space="preserve">[Threaded comment]
 Your version of Excel allows you to read this threaded comment; however, any edits to it will get removed if the file is opened in a newer version of Excel. Learn more: https://go.microsoft.com/fwlink/?linkid=870924
Comment:
	FIGA
</t>
      </text>
    </comment>
    <comment authorId="41" xr:uid="{e10ff3a8-2daf-4292-9b53-33d3c48b6399}" ref="C85">
      <text>
        <t xml:space="preserve">[Threaded comment]
 Your version of Excel allows you to read this threaded comment; however, any edits to it will get removed if the file is opened in a newer version of Excel. Learn more: https://go.microsoft.com/fwlink/?linkid=870924
Comment:
	07/08 Ivan informed they are working on this claim
</t>
      </text>
    </comment>
    <comment authorId="42" xr:uid="{e2b73b49-6888-444d-ac94-7842eb401206}" ref="N114">
      <text>
        <t xml:space="preserve">[Threaded comment]
 Your version of Excel allows you to read this threaded comment; however, any edits to it will get removed if the file is opened in a newer version of Excel. Learn more: https://go.microsoft.com/fwlink/?linkid=870924
Comment:
	06/11 DA informed that reinsp. is not needed for now
</t>
      </text>
    </comment>
    <comment authorId="43" xr:uid="{e301e786-391c-41c5-be40-a9e150f521c2}" ref="C70">
      <text>
        <t xml:space="preserve">[Threaded comment]
 Your version of Excel allows you to read this threaded comment; however, any edits to it will get removed if the file is opened in a newer version of Excel. Learn more: https://go.microsoft.com/fwlink/?linkid=870924
Comment:
	Hurricane
</t>
      </text>
    </comment>
    <comment authorId="44" xr:uid="{e485aba8-2804-4b93-ac23-ee9591709197}" ref="C130">
      <text>
        <t xml:space="preserve">[Threaded comment]
 Your version of Excel allows you to read this threaded comment; however, any edits to it will get removed if the file is opened in a newer version of Excel. Learn more: https://go.microsoft.com/fwlink/?linkid=870924
Comment:
	06/27 Fw up on resinpec.
</t>
      </text>
    </comment>
    <comment authorId="45" xr:uid="{e6346656-8ba9-45d6-987d-ad77c43eb371}" ref="AC151">
      <text>
        <t xml:space="preserve">[Threaded comment]
 Your version of Excel allows you to read this threaded comment; however, any edits to it will get removed if the file is opened in a newer version of Excel. Learn more: https://go.microsoft.com/fwlink/?linkid=870924
Comment:
	Project # 240-708-0380
</t>
      </text>
    </comment>
    <comment authorId="46" xr:uid="{eb59e95a-dd0a-4970-b550-3157a7834ee4}" ref="K180">
      <text>
        <t xml:space="preserve">[Threaded comment]
 Your version of Excel allows you to read this threaded comment; however, any edits to it will get removed if the file is opened in a newer version of Excel. Learn more: https://go.microsoft.com/fwlink/?linkid=870924
Comment:
	Inspection was never completed
</t>
      </text>
    </comment>
    <comment authorId="47" xr:uid="{fc60bdcc-ba44-4703-b751-394416a8be8a}" ref="AL18">
      <text>
        <t xml:space="preserve">[Threaded comment]
 Your version of Excel allows you to read this threaded comment; however, any edits to it will get removed if the file is opened in a newer version of Excel. Learn more: https://go.microsoft.com/fwlink/?linkid=870924
Comment:
	07/16 WAITING CASSANDRA TO SIGN THE DOC
</t>
      </text>
    </comment>
    <comment authorId="48" xr:uid="{ffe8b8a3-6820-48db-8a41-7c700fb44eb0}" ref="C134">
      <text>
        <t xml:space="preserve">[Threaded comment]
 Your version of Excel allows you to read this threaded comment; however, any edits to it will get removed if the file is opened in a newer version of Excel. Learn more: https://go.microsoft.com/fwlink/?linkid=870924
Comment:
	NEED TO FW UP ON REINSPEC.
</t>
      </text>
    </comment>
  </commentList>
</comments>
</file>

<file path=xl/sharedStrings.xml><?xml version="1.0" encoding="utf-8"?>
<sst xmlns="http://schemas.openxmlformats.org/spreadsheetml/2006/main" count="13977" uniqueCount="5579">
  <si>
    <t>CLIENT</t>
  </si>
  <si>
    <t>PHONE#</t>
  </si>
  <si>
    <t>Status</t>
  </si>
  <si>
    <t>EMAIL</t>
  </si>
  <si>
    <t>ADDRESS</t>
  </si>
  <si>
    <t>INSURANCE COMPANY</t>
  </si>
  <si>
    <t>EMAIL STATUS (HURRICANE)</t>
  </si>
  <si>
    <t xml:space="preserve">Ed Mcoy </t>
  </si>
  <si>
    <t>850-573-6198</t>
  </si>
  <si>
    <t>Clients</t>
  </si>
  <si>
    <t>Phone #</t>
  </si>
  <si>
    <t>emccoy02@yahoo.com</t>
  </si>
  <si>
    <t>2494 Felix St, Afford, Fl 32420</t>
  </si>
  <si>
    <t>Southern Fidelity</t>
  </si>
  <si>
    <t>SENT (2026-10-08 13:53)</t>
  </si>
  <si>
    <t>Email</t>
  </si>
  <si>
    <t xml:space="preserve">Lewis Hamm </t>
  </si>
  <si>
    <t>850-628-8469</t>
  </si>
  <si>
    <t xml:space="preserve">Address </t>
  </si>
  <si>
    <t>candy@cityofcottondale.net</t>
  </si>
  <si>
    <t>2493 Felix St, Afford, Fl 32420</t>
  </si>
  <si>
    <t xml:space="preserve">Assurant Insurance </t>
  </si>
  <si>
    <t xml:space="preserve">Insurance Company </t>
  </si>
  <si>
    <t xml:space="preserve">Adolphus Haynes </t>
  </si>
  <si>
    <t>850-777-1786</t>
  </si>
  <si>
    <t>Prospect</t>
  </si>
  <si>
    <t>Ahaynes1@uwf.edu</t>
  </si>
  <si>
    <t>1407 N Y St Pensacola, Fl 32505</t>
  </si>
  <si>
    <t xml:space="preserve">Universal </t>
  </si>
  <si>
    <t xml:space="preserve"> Andre &amp; Alexis Eames</t>
  </si>
  <si>
    <t xml:space="preserve">106. Rachael &amp; Vadim Pats </t>
  </si>
  <si>
    <t>850-287-0088</t>
  </si>
  <si>
    <t>(251)504-7465</t>
  </si>
  <si>
    <t>Phone Disconected</t>
  </si>
  <si>
    <t>eamesandre44@gmail.com</t>
  </si>
  <si>
    <t>6380 Mers Ln Pensacola, Fl 32526</t>
  </si>
  <si>
    <t>Heritage</t>
  </si>
  <si>
    <t>Kamal Mohammad</t>
  </si>
  <si>
    <t>850-346-4995</t>
  </si>
  <si>
    <t>wildheartk@hotmail.com</t>
  </si>
  <si>
    <t>6233 Tributary St Pensacola,Fl 32526</t>
  </si>
  <si>
    <t>SENT (2026-10-08 13:54)</t>
  </si>
  <si>
    <t xml:space="preserve">Coleen Spikes </t>
  </si>
  <si>
    <t>510-504-2999</t>
  </si>
  <si>
    <t xml:space="preserve">No email </t>
  </si>
  <si>
    <t>1325 North Z St Pensacola, Fl 32505</t>
  </si>
  <si>
    <t>SKIPPED: Invalid/No email</t>
  </si>
  <si>
    <t xml:space="preserve">Sarah Clark </t>
  </si>
  <si>
    <t>850-893-5874</t>
  </si>
  <si>
    <t>shay5069@yahoo.com</t>
  </si>
  <si>
    <t>14049 Leon LN, Tallahassee, Fl 32317</t>
  </si>
  <si>
    <t>Foremost</t>
  </si>
  <si>
    <t>Joseph &amp; Mary Dulkis</t>
  </si>
  <si>
    <t>850-206-6475</t>
  </si>
  <si>
    <t>3108 W Lee St Pensacola, Fl 32505</t>
  </si>
  <si>
    <t xml:space="preserve">Tapco </t>
  </si>
  <si>
    <t xml:space="preserve">John Soles </t>
  </si>
  <si>
    <t>850-356-1841</t>
  </si>
  <si>
    <t>kyriepops2016@gmail.com</t>
  </si>
  <si>
    <t>3111 W Lee St Pensacola, Fl 32505</t>
  </si>
  <si>
    <t>Kathleen Thigpen</t>
  </si>
  <si>
    <t>850-557-8688</t>
  </si>
  <si>
    <t>vwkisskat13@hotmail.com</t>
  </si>
  <si>
    <t>3263 Main St Cottondale, Fl 32431</t>
  </si>
  <si>
    <t xml:space="preserve">State Farm </t>
  </si>
  <si>
    <t xml:space="preserve">Ramon Guerrero </t>
  </si>
  <si>
    <t>305-878-2122</t>
  </si>
  <si>
    <t>Does not apply</t>
  </si>
  <si>
    <t>rrg3822003@yahoo.com</t>
  </si>
  <si>
    <t>3331 W Park Rd Hollywood, Fl 33021</t>
  </si>
  <si>
    <t>Citizens</t>
  </si>
  <si>
    <t>Michael &amp; Angelica Guerra</t>
  </si>
  <si>
    <t>305-884-0000</t>
  </si>
  <si>
    <t>mike@guerra.cc</t>
  </si>
  <si>
    <t>6094 E Penrose St Inverness, Fl 34452</t>
  </si>
  <si>
    <t xml:space="preserve">Security First </t>
  </si>
  <si>
    <t xml:space="preserve">111 Cabot St Inverness, Fl 34452 </t>
  </si>
  <si>
    <t>Paul Doyon</t>
  </si>
  <si>
    <t>207-557-2147</t>
  </si>
  <si>
    <t>No Response right number</t>
  </si>
  <si>
    <t>pauldoyon811@yahoo.com</t>
  </si>
  <si>
    <t>310 Brigadier St  Pensacola, Fl 32507</t>
  </si>
  <si>
    <t xml:space="preserve">William &amp; Sarah Tedder </t>
  </si>
  <si>
    <t>850-637-2118</t>
  </si>
  <si>
    <t>billtedder1@gmail.com</t>
  </si>
  <si>
    <t xml:space="preserve">5030 High Pointe Dr Pensacola, Fl 32505 </t>
  </si>
  <si>
    <t>patsvadim@gmail.com</t>
  </si>
  <si>
    <t>Pricilla Moorer</t>
  </si>
  <si>
    <t>850-480-1871</t>
  </si>
  <si>
    <t>5814 Schofiled dr Pensacola, FL 32506</t>
  </si>
  <si>
    <t>4 Brandywine Rd Pensacola, Fl 32507</t>
  </si>
  <si>
    <t>Tower Hill</t>
  </si>
  <si>
    <t xml:space="preserve">Brenda Butler </t>
  </si>
  <si>
    <t>850-207-5792</t>
  </si>
  <si>
    <t>No response</t>
  </si>
  <si>
    <t>brendajbut1956@gmail.com</t>
  </si>
  <si>
    <t>3810 W Cervantes St, Pensacola, FL 32505</t>
  </si>
  <si>
    <t xml:space="preserve">107. ED McCoy </t>
  </si>
  <si>
    <t>Marcus Barros</t>
  </si>
  <si>
    <t>850-716-5913</t>
  </si>
  <si>
    <t>(850)573-6198</t>
  </si>
  <si>
    <t>800 Lola Lane Pensacola Fl 32507</t>
  </si>
  <si>
    <t>William &amp; Pamela Holliday</t>
  </si>
  <si>
    <t>760-574-5594</t>
  </si>
  <si>
    <t>CONSULTINGPBH@aoi.com</t>
  </si>
  <si>
    <t xml:space="preserve">125 Cavalier Dr Pensacola, Fl 32507 </t>
  </si>
  <si>
    <t xml:space="preserve">Swyfft </t>
  </si>
  <si>
    <t xml:space="preserve">Angelia Fountain </t>
  </si>
  <si>
    <t>20759 Central Ave Blountstown, FL 32424</t>
  </si>
  <si>
    <t>850-384-6960</t>
  </si>
  <si>
    <t>Johnson &amp; Johnson</t>
  </si>
  <si>
    <t>Angeliafountain731@yahoo.com</t>
  </si>
  <si>
    <t>16 Park Dr Pensacola, Fl 32507</t>
  </si>
  <si>
    <t>GulfStream</t>
  </si>
  <si>
    <t xml:space="preserve">Conrado &amp; Marieta Carreon </t>
  </si>
  <si>
    <t>850-384-8841</t>
  </si>
  <si>
    <t>108. Idalme Viera (litigation)</t>
  </si>
  <si>
    <t>1105 S old Corry Field Rd Pensacola, Fl 32507</t>
  </si>
  <si>
    <t>(786)368-9790</t>
  </si>
  <si>
    <t xml:space="preserve">Michael Saeugling </t>
  </si>
  <si>
    <t>850-384-4378</t>
  </si>
  <si>
    <t>Ariesmike62@gmail.com</t>
  </si>
  <si>
    <t>6450 Cypress St Milton, Fl 32570</t>
  </si>
  <si>
    <t>American Integrity</t>
  </si>
  <si>
    <t>SENT (2026-10-08 13:55)</t>
  </si>
  <si>
    <t>Gary &amp; Judith Zecckine</t>
  </si>
  <si>
    <t>850-221-2196</t>
  </si>
  <si>
    <t>#</t>
  </si>
  <si>
    <t>6252 Chinquapin Rd Milton, Fl 32570</t>
  </si>
  <si>
    <t xml:space="preserve">Dietrich Haynes </t>
  </si>
  <si>
    <t>5729 nw 194th st Hialeah, FL 33015</t>
  </si>
  <si>
    <t>850-264-9135</t>
  </si>
  <si>
    <t xml:space="preserve">Citizens </t>
  </si>
  <si>
    <t>1504 Trailblazer Dr. Tallahassee, Fl 32310</t>
  </si>
  <si>
    <t xml:space="preserve">Debra &amp; Tommy Davis </t>
  </si>
  <si>
    <t>850-559-8550</t>
  </si>
  <si>
    <t>Debradavis9914@gmail.com</t>
  </si>
  <si>
    <t>7228 Rawhide Rdg. #B15 Tallahassee, Fl 32310</t>
  </si>
  <si>
    <t xml:space="preserve">109. Shannon &amp; Christopher Allen </t>
  </si>
  <si>
    <t>(850)693-7847</t>
  </si>
  <si>
    <t xml:space="preserve">Pamela Merriman </t>
  </si>
  <si>
    <t>352-201-4265</t>
  </si>
  <si>
    <t>merrimanpamela@gmail.com</t>
  </si>
  <si>
    <t>11524 Zimmerman Rd. Port Richey, Fl 34668</t>
  </si>
  <si>
    <t>shirleymoorer05@gmail.com</t>
  </si>
  <si>
    <t>Paul Fitzpatrick</t>
  </si>
  <si>
    <t>3601 Guinea Run Way Marianna, FL 32448</t>
  </si>
  <si>
    <t>941-447-8373</t>
  </si>
  <si>
    <t>4517 Mineola St Brandenton, Fl 34207</t>
  </si>
  <si>
    <t>American Security</t>
  </si>
  <si>
    <t xml:space="preserve">Judy Slyper </t>
  </si>
  <si>
    <t>407-738-7573</t>
  </si>
  <si>
    <t>110. Florence T. &amp; Robert E. Difranco</t>
  </si>
  <si>
    <t>(850)525-1781</t>
  </si>
  <si>
    <t>4508 Clear Creek Lane Saint Cloud, Fl 34771</t>
  </si>
  <si>
    <t xml:space="preserve">American Bankers </t>
  </si>
  <si>
    <t>Geraldine Kirchgassner</t>
  </si>
  <si>
    <t>850-341-4837</t>
  </si>
  <si>
    <t>bobbyandirene@att.net</t>
  </si>
  <si>
    <t>103 Druid Dr Pensacola, Fl 32507</t>
  </si>
  <si>
    <t>18 Teakwood Cir Pensecola, FL 32506</t>
  </si>
  <si>
    <t>Universal Property</t>
  </si>
  <si>
    <t>Appraiser</t>
  </si>
  <si>
    <t>6230 Chinquapin Rd. Milton, fl 32570</t>
  </si>
  <si>
    <t>111. Tina &amp; William Johnson</t>
  </si>
  <si>
    <t>(850)554-6538</t>
  </si>
  <si>
    <t>Billy &amp; Rosalinda Powell</t>
  </si>
  <si>
    <t>850-512-4201</t>
  </si>
  <si>
    <t>838 Lake Aire Dr Pensacola Fl 32506</t>
  </si>
  <si>
    <t xml:space="preserve">Tron Lanier </t>
  </si>
  <si>
    <t>tina.johnson177@yahoo.com</t>
  </si>
  <si>
    <t>Client</t>
  </si>
  <si>
    <t>850-408-9620</t>
  </si>
  <si>
    <t>611 W Quintette Rd Contonment, FL 33533</t>
  </si>
  <si>
    <t>Security First</t>
  </si>
  <si>
    <t>laniertron@gmail.com</t>
  </si>
  <si>
    <t>325 1st Street Gretna, Fl 32332</t>
  </si>
  <si>
    <t>Rodeliza Zupinski</t>
  </si>
  <si>
    <t>850-384-9934</t>
  </si>
  <si>
    <t xml:space="preserve">112. Phillip Coles </t>
  </si>
  <si>
    <t>rfzupinsli@ymail.com</t>
  </si>
  <si>
    <t>(850)454-7286</t>
  </si>
  <si>
    <t>7550 Long Meadow Ln. Pensacola, Fl 32506</t>
  </si>
  <si>
    <t>Claim #</t>
  </si>
  <si>
    <t>Felisa Zupinski</t>
  </si>
  <si>
    <t>850-7763942</t>
  </si>
  <si>
    <t>phillycolesu305@icloud.com</t>
  </si>
  <si>
    <t>5108 Zachary Blvd Pensacola, FL 32526</t>
  </si>
  <si>
    <t>4918 Lanett Dr. Pensacola, Fl 32526</t>
  </si>
  <si>
    <t xml:space="preserve">Fed Nat </t>
  </si>
  <si>
    <t xml:space="preserve">Manolito Cabuyao </t>
  </si>
  <si>
    <t>Appraiser fee</t>
  </si>
  <si>
    <t>850-485-3506</t>
  </si>
  <si>
    <t xml:space="preserve">114. Charles Thomas </t>
  </si>
  <si>
    <t>(850)366-4000</t>
  </si>
  <si>
    <t>gemlitt66@yahoo.com</t>
  </si>
  <si>
    <t>201 Camelford Pl. Pensacola, Fl 32506</t>
  </si>
  <si>
    <t>booseythomas49@gmail.com</t>
  </si>
  <si>
    <t>Katie Middleton</t>
  </si>
  <si>
    <t>850-261-2561</t>
  </si>
  <si>
    <t>imtherealkate@gmail.com</t>
  </si>
  <si>
    <t>7640 Jefferson Ave, Century, FL 32535</t>
  </si>
  <si>
    <t>1234 Germain St. Pensacola Fl 32534</t>
  </si>
  <si>
    <t>Patricia Britnell</t>
  </si>
  <si>
    <t>850-380-4822</t>
  </si>
  <si>
    <t>oma3now@gmail.com</t>
  </si>
  <si>
    <t>6384 Mers Ln Pensacola Fl 32526</t>
  </si>
  <si>
    <t>FedNat</t>
  </si>
  <si>
    <t xml:space="preserve">Shekitha Willis </t>
  </si>
  <si>
    <t>850-261-9866</t>
  </si>
  <si>
    <t>meylean4@gmail.com</t>
  </si>
  <si>
    <t>2825 Villager Circle Pensacola, Fl 32504</t>
  </si>
  <si>
    <t xml:space="preserve">Melvin &amp; Vivian Glass </t>
  </si>
  <si>
    <t>850-293-5201</t>
  </si>
  <si>
    <t>115. Patricia Ann Posey- Goodwin</t>
  </si>
  <si>
    <t>mtglass@cox.net</t>
  </si>
  <si>
    <t xml:space="preserve">9060 Caribbean Dr. Pensacola, Fl 32506 </t>
  </si>
  <si>
    <t>(850)380-2189</t>
  </si>
  <si>
    <t xml:space="preserve">Castle Key (AllState) </t>
  </si>
  <si>
    <t>Joshua</t>
  </si>
  <si>
    <t>Kamal 4949 QualityProperties</t>
  </si>
  <si>
    <t>Ppgoodwin@uwf.edu</t>
  </si>
  <si>
    <t>4949 Springhill Dr. Pensacola, Fl 32503</t>
  </si>
  <si>
    <t xml:space="preserve">Western World </t>
  </si>
  <si>
    <t>5855 Keystone Rd, Pensacola, FL 32504</t>
  </si>
  <si>
    <t xml:space="preserve">Universal Property </t>
  </si>
  <si>
    <t>Kamal 6604 QualityProperties</t>
  </si>
  <si>
    <t>6604 Flagler Dr. Pensacola, Fl 32503</t>
  </si>
  <si>
    <t>Sunlight Ventures Properties LLC</t>
  </si>
  <si>
    <t xml:space="preserve">117. Dorothy Rivers </t>
  </si>
  <si>
    <t>(850)384-1194</t>
  </si>
  <si>
    <t xml:space="preserve">Jamal Mohammed The Yellow Store </t>
  </si>
  <si>
    <t>850-288-0091</t>
  </si>
  <si>
    <t>jamal5aseel@gmail.com</t>
  </si>
  <si>
    <t>131 W Belmont St Pensacola Fl 32501</t>
  </si>
  <si>
    <t>riversdorothy69@gmail.com</t>
  </si>
  <si>
    <t>Weston Insurance CO.</t>
  </si>
  <si>
    <t>7029 Webster St, Navarre, FL 32566</t>
  </si>
  <si>
    <t xml:space="preserve">Jamal &amp; Sana Mohammed </t>
  </si>
  <si>
    <t xml:space="preserve">Voyager </t>
  </si>
  <si>
    <t>104 Redbreast Lane, Pensacola Fl 32503</t>
  </si>
  <si>
    <t>118. Doug Dickerson (SENT TO LIT)</t>
  </si>
  <si>
    <t xml:space="preserve">Adora Tomasek </t>
  </si>
  <si>
    <t>(850)982-0011</t>
  </si>
  <si>
    <t>850-225-0151</t>
  </si>
  <si>
    <t>001-00-578984</t>
  </si>
  <si>
    <t>bettyxxiii@icloud.com</t>
  </si>
  <si>
    <t>12 Commander Dr, Pensacola Fl 32507</t>
  </si>
  <si>
    <t>dougncp@aol.com</t>
  </si>
  <si>
    <t>2370 N Palafox St, Pensacola, FL 32501</t>
  </si>
  <si>
    <t xml:space="preserve">Robin Workman </t>
  </si>
  <si>
    <t>Lloyds</t>
  </si>
  <si>
    <t>850-450-2131</t>
  </si>
  <si>
    <t>caworkman1@gmail.com</t>
  </si>
  <si>
    <t>2030 Silverado Court, Pensacola Fl 32506</t>
  </si>
  <si>
    <t>120. Sierra Palms Properties</t>
  </si>
  <si>
    <t>Tony Opena</t>
  </si>
  <si>
    <t>(408)508-4545</t>
  </si>
  <si>
    <t>850-453-3996</t>
  </si>
  <si>
    <t>elizaopena@gmail.com</t>
  </si>
  <si>
    <t>541 Corrydale Dr. Pensacola Fl 32506</t>
  </si>
  <si>
    <t>mechran.best20wn@gmail.com</t>
  </si>
  <si>
    <t>SENT (2026-10-08 13:56)</t>
  </si>
  <si>
    <t>1115 North U St, Pensacola, FL 32505</t>
  </si>
  <si>
    <t xml:space="preserve">Terre Cain </t>
  </si>
  <si>
    <t>850-384-8255</t>
  </si>
  <si>
    <t>terrecain@gmail.com</t>
  </si>
  <si>
    <t>3235 Glade Dr, Milton Fl 32583</t>
  </si>
  <si>
    <t>Edison</t>
  </si>
  <si>
    <t>127. Sandra Richardson</t>
  </si>
  <si>
    <t>(850)384-9354</t>
  </si>
  <si>
    <t xml:space="preserve">Gloria Navarro </t>
  </si>
  <si>
    <t>850-293-7806</t>
  </si>
  <si>
    <t>dgough@basicisp.net</t>
  </si>
  <si>
    <t>4465 E MontClair Rd, Pensacola Fl 32505</t>
  </si>
  <si>
    <t>honeys1stdaugther@yahoo.com</t>
  </si>
  <si>
    <t>730 Boxwood Dr, Pensacola, FL 32503</t>
  </si>
  <si>
    <t xml:space="preserve">Farfield Church </t>
  </si>
  <si>
    <t>Tapco</t>
  </si>
  <si>
    <t>850-549-7029</t>
  </si>
  <si>
    <t>douglaswassmer42@gmail.com</t>
  </si>
  <si>
    <t xml:space="preserve">410 S Fairfield Dr. Pensacola Fl, 32506 </t>
  </si>
  <si>
    <t xml:space="preserve">Jorge &amp; Victoria Aguillar </t>
  </si>
  <si>
    <t>129. LB Richardson</t>
  </si>
  <si>
    <t>850-525-4936</t>
  </si>
  <si>
    <t>viomavic99@gmail.com</t>
  </si>
  <si>
    <t>5237 Westwind Circle Pensacola Fl 32526</t>
  </si>
  <si>
    <t>earls3rdduaghter@yahoo.com</t>
  </si>
  <si>
    <t>2801 W Jackson , Pensacola, FL 32505</t>
  </si>
  <si>
    <t>370 Pine Ridge Ln Pensacola Fl, 32514</t>
  </si>
  <si>
    <t xml:space="preserve">Roy Mack </t>
  </si>
  <si>
    <t>850-261-0528</t>
  </si>
  <si>
    <t xml:space="preserve">130. 31 Larua LLC </t>
  </si>
  <si>
    <t>3125 W Fairfield Dr Pensacola Fl 32505</t>
  </si>
  <si>
    <t>(850)341-3839</t>
  </si>
  <si>
    <t xml:space="preserve">Maryline &amp; Elmer Avila </t>
  </si>
  <si>
    <t>850-346-4347</t>
  </si>
  <si>
    <t>jaysheppard@yahoo.com</t>
  </si>
  <si>
    <t>avilamaryline@gmail.com</t>
  </si>
  <si>
    <t>3123 W La Rua, Pensacola, FL 32505</t>
  </si>
  <si>
    <t xml:space="preserve">8395 Untreiner Ave Pensacola Fl 32534 </t>
  </si>
  <si>
    <t xml:space="preserve">Calvin Harris </t>
  </si>
  <si>
    <t>850-944-0983</t>
  </si>
  <si>
    <t>131. Maggie Hale</t>
  </si>
  <si>
    <t>ellenishome@gmail.com</t>
  </si>
  <si>
    <t>(850)434-7797</t>
  </si>
  <si>
    <t>8105 Ridgefield Rd Pensacola Fl 32514</t>
  </si>
  <si>
    <t xml:space="preserve">Sharon Murphy </t>
  </si>
  <si>
    <t>8240 Monticello Dr. Pensacola Fl 32514</t>
  </si>
  <si>
    <t>14 Boland Pl, Pensacola, FL 32505</t>
  </si>
  <si>
    <t>Debra McCorvey Virgin &amp; Danielle</t>
  </si>
  <si>
    <t>850-206-1081</t>
  </si>
  <si>
    <t>daniellehayes25@gmail.com</t>
  </si>
  <si>
    <t>8485 Olympia Rd Pensacola Fl 32514</t>
  </si>
  <si>
    <t>132. Susan Williams</t>
  </si>
  <si>
    <t>Leo Chandler</t>
  </si>
  <si>
    <t>850-382-0358</t>
  </si>
  <si>
    <t>(850)221-1330</t>
  </si>
  <si>
    <t>chandlerleo116@gmail.com</t>
  </si>
  <si>
    <t>4322 Wyncliff Dr Pensacola Fl 32514</t>
  </si>
  <si>
    <t xml:space="preserve">Homeowners Choice </t>
  </si>
  <si>
    <t>Shannon Rogers</t>
  </si>
  <si>
    <t>Evelyn Gross</t>
  </si>
  <si>
    <t>8256 EL Dorado Pensacola, FL 32506</t>
  </si>
  <si>
    <t>917-618-1842</t>
  </si>
  <si>
    <t xml:space="preserve">Assurant </t>
  </si>
  <si>
    <t>jgrosse954@gmail.com</t>
  </si>
  <si>
    <t>4311 Burtonwood Dr., Pensacola, FL 32514</t>
  </si>
  <si>
    <t xml:space="preserve">Dimitri &amp; Josie Baptiste </t>
  </si>
  <si>
    <t>135. Cindy Parker</t>
  </si>
  <si>
    <t>dimibfit@gmail.com</t>
  </si>
  <si>
    <t>(704)634-2264</t>
  </si>
  <si>
    <t>402 Bay Oaks Dr., Pensacola, FL 32506</t>
  </si>
  <si>
    <t>001-00-532725</t>
  </si>
  <si>
    <t xml:space="preserve">Alexander Maradona &amp; Gloria Naveira  </t>
  </si>
  <si>
    <t>305-588-0753</t>
  </si>
  <si>
    <t>Gloriamn101@aol.com</t>
  </si>
  <si>
    <t>2111 sw 30th Ct. Miami, Fl 33165</t>
  </si>
  <si>
    <t xml:space="preserve">Loriann Rudd </t>
  </si>
  <si>
    <t>850-292-0299</t>
  </si>
  <si>
    <t>l.wilks.4629@gmail.com</t>
  </si>
  <si>
    <t>4629 Pebble Creek Dr., Pensacola, FL 32526</t>
  </si>
  <si>
    <t>Homeowners Choice</t>
  </si>
  <si>
    <t>MSTD Management - Chasers</t>
  </si>
  <si>
    <t>montgumaryrodrick68@gmail.com</t>
  </si>
  <si>
    <t>732-372-3077</t>
  </si>
  <si>
    <t>431 North V St, Pensacola, FL 32505</t>
  </si>
  <si>
    <t>nelsonsliquor2526@gmail.com</t>
  </si>
  <si>
    <t>5104 North W St Pensacola, Fl 32505</t>
  </si>
  <si>
    <t xml:space="preserve">Frontline </t>
  </si>
  <si>
    <t xml:space="preserve">MSTD Management - Nelsons </t>
  </si>
  <si>
    <t>139. Jay Shepard 1 CDP-00103562 - sent</t>
  </si>
  <si>
    <t>2526 Gulf Beach Hwy. Pensacola, Fl 32507</t>
  </si>
  <si>
    <t>SENT (2026-10-08 13:57)</t>
  </si>
  <si>
    <t xml:space="preserve">MSTD Management - Cutty Sark </t>
  </si>
  <si>
    <t>6208 dallas ave, Pensacola, FL 32526</t>
  </si>
  <si>
    <t>3811 Mobile Hwy. Pensacola, Fl 32505</t>
  </si>
  <si>
    <t>Mike Lowery</t>
  </si>
  <si>
    <t>850-554-6034</t>
  </si>
  <si>
    <t>mloweryatu1395@gmail.com</t>
  </si>
  <si>
    <t>152. Joseph Dixon</t>
  </si>
  <si>
    <t>4302 Yarmouth PL, Pensacola, FL 32514</t>
  </si>
  <si>
    <t>(850)485-3334</t>
  </si>
  <si>
    <t>Jdixon8451@aol.com</t>
  </si>
  <si>
    <t>1825 Bainbridge Ave #B Pensacola, FL 32507</t>
  </si>
  <si>
    <t xml:space="preserve">Illian Kenon </t>
  </si>
  <si>
    <t>850-702-6250</t>
  </si>
  <si>
    <t>153. Johnnie &amp; Sandra Brooks</t>
  </si>
  <si>
    <t>ashleykenon9@gmail.com</t>
  </si>
  <si>
    <t>(704)408-2071</t>
  </si>
  <si>
    <t>Dean Diehl</t>
  </si>
  <si>
    <t>110 Kingswood Rd. Quincy Fl 32351</t>
  </si>
  <si>
    <t>JRB113@icloud.com</t>
  </si>
  <si>
    <t>430 North V st Pensacola, FL 32505</t>
  </si>
  <si>
    <t>Sharon Pappas</t>
  </si>
  <si>
    <t xml:space="preserve">Southern Fidelity </t>
  </si>
  <si>
    <t>850-696-8911</t>
  </si>
  <si>
    <t>pappas_samantha0310@yahoo.com</t>
  </si>
  <si>
    <t>8240 Lode Star Ave. Pensacola, Fl 32514</t>
  </si>
  <si>
    <t xml:space="preserve">Ronald Pesh </t>
  </si>
  <si>
    <t>850-501-5820</t>
  </si>
  <si>
    <t>00201850662</t>
  </si>
  <si>
    <t>154. Michael L. Gee</t>
  </si>
  <si>
    <t>ronpesh49@gmail.com</t>
  </si>
  <si>
    <t>6534 Rambler Dr. Pensacola, Fl 32505</t>
  </si>
  <si>
    <t>(706)691-2003</t>
  </si>
  <si>
    <t>mlg2171979@yahoo.com</t>
  </si>
  <si>
    <t>857 Belair Rd, Pensacola, FL 32505</t>
  </si>
  <si>
    <t>Robert Terrell</t>
  </si>
  <si>
    <t>850-206-3196</t>
  </si>
  <si>
    <t>rtecho13@gmail.com</t>
  </si>
  <si>
    <t>8241 Western Way Dr. Pensacola Fl 32526</t>
  </si>
  <si>
    <t>Debra &amp; Tommy Davis Kitchen</t>
  </si>
  <si>
    <t xml:space="preserve">155. Dayton &amp; Frankie Briggs </t>
  </si>
  <si>
    <t>(305)533-3438</t>
  </si>
  <si>
    <t>Loyds Of London</t>
  </si>
  <si>
    <t xml:space="preserve">Debra &amp; Tommy Davis Bathroom </t>
  </si>
  <si>
    <t>briggsdayton@gmail.com</t>
  </si>
  <si>
    <t xml:space="preserve">Illian Kenon Kitchen </t>
  </si>
  <si>
    <t>1004 Bushwood Dr Cantonment, FL 32533</t>
  </si>
  <si>
    <t xml:space="preserve">Illian Kenon Bathroom </t>
  </si>
  <si>
    <t>156. Martha Ard</t>
  </si>
  <si>
    <t xml:space="preserve"> </t>
  </si>
  <si>
    <t>Sharon Pappas AC Claim</t>
  </si>
  <si>
    <t>cmoney1963@yahoo.com</t>
  </si>
  <si>
    <t>619 shoemaker st Pensacola, FL 32505</t>
  </si>
  <si>
    <t>cleanhrt@att.net</t>
  </si>
  <si>
    <t xml:space="preserve">158. Leonora Young </t>
  </si>
  <si>
    <t>(850)454-7859</t>
  </si>
  <si>
    <t xml:space="preserve">Katie Stewart </t>
  </si>
  <si>
    <t>anthonyyoung510@yahoo.com</t>
  </si>
  <si>
    <t>601-573-8514</t>
  </si>
  <si>
    <t>1220 E Jordan st, Pensacola, FL 32503</t>
  </si>
  <si>
    <t>ktstewart6@gmail.com</t>
  </si>
  <si>
    <t>Jason L Gordon</t>
  </si>
  <si>
    <t>159. Mildred Grimes - doesnt go through</t>
  </si>
  <si>
    <t>521 Sandy Oak Dr., Pensacola, FL 32506</t>
  </si>
  <si>
    <t>(850)530-1304</t>
  </si>
  <si>
    <t xml:space="preserve">Christopher Pinney </t>
  </si>
  <si>
    <t>850-221-9310</t>
  </si>
  <si>
    <t>cpinney382@aol.com</t>
  </si>
  <si>
    <t>1010 New Mexico Pensacola, FL 32505</t>
  </si>
  <si>
    <t>1359 El Sereno Pl., Gulf Breeze, FL 32563</t>
  </si>
  <si>
    <t xml:space="preserve">160. Dolores Gardner </t>
  </si>
  <si>
    <t>(850)748-6760</t>
  </si>
  <si>
    <t>SENT (2026-10-08 13:58)</t>
  </si>
  <si>
    <t>Nedal Mohammad</t>
  </si>
  <si>
    <t>850-776-6830</t>
  </si>
  <si>
    <t>Deloresgardner2020@gmail.com</t>
  </si>
  <si>
    <t>2515 North W Street, Pensacola Fl 32505</t>
  </si>
  <si>
    <t>001-00-590806</t>
  </si>
  <si>
    <t>Geico</t>
  </si>
  <si>
    <t>1230 E Jordan st Pensacola, FL 32503</t>
  </si>
  <si>
    <t xml:space="preserve">Eulalia Devine </t>
  </si>
  <si>
    <t>850-346-6245</t>
  </si>
  <si>
    <t>8610 Eight Mile Creek Rd. Pensacola, Fl 32526</t>
  </si>
  <si>
    <t>161. Kathrine Schroeder</t>
  </si>
  <si>
    <t xml:space="preserve">Norman Anover </t>
  </si>
  <si>
    <t>850-313-4450</t>
  </si>
  <si>
    <t>(850)433-1956</t>
  </si>
  <si>
    <t>nanover25@gmail.com</t>
  </si>
  <si>
    <t>6743 Cedar Ridge Cir., Milton, FL 32570</t>
  </si>
  <si>
    <t xml:space="preserve">Don Barlow </t>
  </si>
  <si>
    <t>850-221-4624</t>
  </si>
  <si>
    <t>kschroe1@cox.net</t>
  </si>
  <si>
    <t>dbarlow1016@gmail.com</t>
  </si>
  <si>
    <t>708 Roanne Lan, Pensacola, FL 32505</t>
  </si>
  <si>
    <t>1016 Oak View Dr., Pensacola, FL 32506</t>
  </si>
  <si>
    <t xml:space="preserve">St. John </t>
  </si>
  <si>
    <t xml:space="preserve">Brad &amp; Rebecca Brown </t>
  </si>
  <si>
    <t>423-817-2362</t>
  </si>
  <si>
    <t>SKYCAR_Pitty@yahoo.com</t>
  </si>
  <si>
    <t>820 Merlin Ter. Pensacola, Fl 32506</t>
  </si>
  <si>
    <t>163. Eric Blodgett</t>
  </si>
  <si>
    <t>(850)449-3031</t>
  </si>
  <si>
    <t xml:space="preserve">Amanda Monk </t>
  </si>
  <si>
    <t>850-316-0142</t>
  </si>
  <si>
    <t>eramanda@aol.com</t>
  </si>
  <si>
    <t>6331 Harvard Court Pensacola, Fl 32504</t>
  </si>
  <si>
    <t>2521 Redoubt Ave Pensacola, FL 32507</t>
  </si>
  <si>
    <t xml:space="preserve">Gulf Stream </t>
  </si>
  <si>
    <t xml:space="preserve">Kim Patterson </t>
  </si>
  <si>
    <t>164. Phoung Vo</t>
  </si>
  <si>
    <t>850-619-6282</t>
  </si>
  <si>
    <t>(850)232-5975</t>
  </si>
  <si>
    <t>patterson1055@att.net</t>
  </si>
  <si>
    <t>421 Bay Oaks Dr. Pensacola, Fl 32506</t>
  </si>
  <si>
    <t>Ciequinita Vaughn</t>
  </si>
  <si>
    <t>Vphuong325@gmail.com</t>
  </si>
  <si>
    <t>502-291-3335</t>
  </si>
  <si>
    <t>3115 W Gadson St Pensacola, FL 32505</t>
  </si>
  <si>
    <t>notmyyesterday@gmail.com</t>
  </si>
  <si>
    <t>3360 Two Sisters Way Pensacola, Fl 32505</t>
  </si>
  <si>
    <t>165. Quy &amp; Kin Nguyen</t>
  </si>
  <si>
    <t xml:space="preserve">William &amp; Patricia Watkins </t>
  </si>
  <si>
    <t>850-380-7766</t>
  </si>
  <si>
    <t>Uphoung325@gmail.com</t>
  </si>
  <si>
    <t>rwatkins7181@yahoo.com</t>
  </si>
  <si>
    <t>3410 W Gadson Pensacola, FL 37505</t>
  </si>
  <si>
    <t>9095 Caribbean Dr. Pensacola, Fl 32506</t>
  </si>
  <si>
    <t>Castle Key</t>
  </si>
  <si>
    <t xml:space="preserve">169. Gloria J Parish </t>
  </si>
  <si>
    <t>(850)368-9395</t>
  </si>
  <si>
    <t xml:space="preserve">Jeffrey &amp; Rosario Fischer </t>
  </si>
  <si>
    <t>850-418-2250</t>
  </si>
  <si>
    <t>fischer.jt@gmail.com</t>
  </si>
  <si>
    <t>6050 Laramie Way Milton, Fl 32570</t>
  </si>
  <si>
    <t>ParishGloria8119@gmail.com</t>
  </si>
  <si>
    <t xml:space="preserve">Marion Callahan </t>
  </si>
  <si>
    <t>116 Deville Dr, Mary Esther, FL 32569</t>
  </si>
  <si>
    <t>904-651-1794</t>
  </si>
  <si>
    <t>butchcallahan4@gmail.com</t>
  </si>
  <si>
    <t>5016 Skylark Ct. Pensacola, Fl 32505</t>
  </si>
  <si>
    <t>170. Paul R. Doyon</t>
  </si>
  <si>
    <t>(207)557-2147</t>
  </si>
  <si>
    <t xml:space="preserve">Pamela Pease </t>
  </si>
  <si>
    <t>850-483-9160</t>
  </si>
  <si>
    <t>pamelapease22@gmail.com</t>
  </si>
  <si>
    <t>24 Mindoro Circle, Pensacola, FL 32507</t>
  </si>
  <si>
    <t>310 Brigadier St Pensacola, Fl 32507</t>
  </si>
  <si>
    <t xml:space="preserve">Robert &amp; Carol Risch </t>
  </si>
  <si>
    <t>Robert &amp; Judith Meldrim</t>
  </si>
  <si>
    <t>850-501-8090</t>
  </si>
  <si>
    <t xml:space="preserve">174. Toan Anh &amp; Ngoc Thi Nguyen </t>
  </si>
  <si>
    <t>meldrim@yahoo.com</t>
  </si>
  <si>
    <t>5955 Arch Ave., Pensacola, FL 32526</t>
  </si>
  <si>
    <t>850-450-2658</t>
  </si>
  <si>
    <t>SENT (2026-10-08 14:05)</t>
  </si>
  <si>
    <t xml:space="preserve">Carlo Garcia </t>
  </si>
  <si>
    <t>360-672-5903</t>
  </si>
  <si>
    <t>1117 Bremen Ave., Pensacola, FL 32507</t>
  </si>
  <si>
    <t>ngocngtng@gmail.com</t>
  </si>
  <si>
    <t>001-00-554207</t>
  </si>
  <si>
    <t>1710 Fireman Dr, Pensacola, FL 32505</t>
  </si>
  <si>
    <t>Fednat</t>
  </si>
  <si>
    <t>175. Lan Huong T. Nguyen</t>
  </si>
  <si>
    <t>850-434-4834</t>
  </si>
  <si>
    <t xml:space="preserve">Donnell Douglas </t>
  </si>
  <si>
    <t>631-220-4005</t>
  </si>
  <si>
    <t>donnell.douglas.dd@gmail.com</t>
  </si>
  <si>
    <t xml:space="preserve">3120 Two Sisters Way, Pensacola, Fl 32505 </t>
  </si>
  <si>
    <t xml:space="preserve">Progressive </t>
  </si>
  <si>
    <t>3085 Muldoon Rd, Pensacola, FL 3252</t>
  </si>
  <si>
    <t xml:space="preserve">Octavia Moorer </t>
  </si>
  <si>
    <t>850-287-3978</t>
  </si>
  <si>
    <t>4496 E Montclair Rd, Pensacola, Fl 32505</t>
  </si>
  <si>
    <t>176. Ngoc Nguyen</t>
  </si>
  <si>
    <t xml:space="preserve">Donnell Douglas AC </t>
  </si>
  <si>
    <t>850-449-4021</t>
  </si>
  <si>
    <t>Sylvester &amp; Patricia Hatcher</t>
  </si>
  <si>
    <t>850-969-7515</t>
  </si>
  <si>
    <t>bregina4826@yahoo.com</t>
  </si>
  <si>
    <t>2001 North W Street, Pensacola Fl 32505</t>
  </si>
  <si>
    <t>Allen Nocon &amp; Maria Elen Gajo</t>
  </si>
  <si>
    <t>850-384-8621</t>
  </si>
  <si>
    <t>allennocon@aol.com</t>
  </si>
  <si>
    <t>5848 East Bay Blvd Gulf Breeze, Fl 32563</t>
  </si>
  <si>
    <t>SENT (2026-10-08 14:06)</t>
  </si>
  <si>
    <t xml:space="preserve">Daniel Iwata </t>
  </si>
  <si>
    <t>177. Desiree Hatten</t>
  </si>
  <si>
    <t>850-291-3203</t>
  </si>
  <si>
    <t xml:space="preserve">850-426-7311		</t>
  </si>
  <si>
    <t>danielmasami@att.net / masami32506@gmail.com</t>
  </si>
  <si>
    <t>dhatten002@ymail.com</t>
  </si>
  <si>
    <t xml:space="preserve">Brett Anderson </t>
  </si>
  <si>
    <t>2133 Coral Creek Dr. Pensacola, Fl 32506</t>
  </si>
  <si>
    <t>1250 Barmel St, Pensacola, FL 32534</t>
  </si>
  <si>
    <t xml:space="preserve">Debora Johnson Banks </t>
  </si>
  <si>
    <t>850-501-3222</t>
  </si>
  <si>
    <t>danielmasami@att.net</t>
  </si>
  <si>
    <t xml:space="preserve">178. Cecilia willis Brown </t>
  </si>
  <si>
    <t>1037 Tortuga Dr. Pensacola Fl 32534</t>
  </si>
  <si>
    <t>850-512-3512</t>
  </si>
  <si>
    <t xml:space="preserve">Pamela Hennigan </t>
  </si>
  <si>
    <t>256-227-5052</t>
  </si>
  <si>
    <t>001-00-600248</t>
  </si>
  <si>
    <t>pamhennigan@gmail.com</t>
  </si>
  <si>
    <t>5640 E Bay Blvd. Gulf Breeze, Fl 32563</t>
  </si>
  <si>
    <t>ceciliawb2014@gmail.com</t>
  </si>
  <si>
    <t>685 E Chadwick St, Pensacola, FL 32503</t>
  </si>
  <si>
    <t>Assurant</t>
  </si>
  <si>
    <t xml:space="preserve">Doris Browning </t>
  </si>
  <si>
    <t>850-791-8664</t>
  </si>
  <si>
    <t>207. Sandra Hinderer</t>
  </si>
  <si>
    <t>docsugar12@yahoo.com</t>
  </si>
  <si>
    <t>1424 Elliot St Pensacola Fl 32534</t>
  </si>
  <si>
    <t xml:space="preserve">850-376-8356		</t>
  </si>
  <si>
    <t xml:space="preserve">Virginia Green </t>
  </si>
  <si>
    <t>850-497-5560</t>
  </si>
  <si>
    <t>evangelist_virginiagreen@yahoo.com</t>
  </si>
  <si>
    <t>valentinechef@yahoo.com</t>
  </si>
  <si>
    <t>1222 Lepley Rd. Pensacola Fl 32534</t>
  </si>
  <si>
    <t>8275 Kause Rd, Pensacola, FL 32506</t>
  </si>
  <si>
    <t>Ann Bradley</t>
  </si>
  <si>
    <t>850-479-2287</t>
  </si>
  <si>
    <t>annbradley614@yahoo.com</t>
  </si>
  <si>
    <t>1027 Sawyer St. Pensacola Fl 32534</t>
  </si>
  <si>
    <t>209. Ada &amp; Charles Vargas</t>
  </si>
  <si>
    <t xml:space="preserve">Studio 98 Salon &amp; Spa </t>
  </si>
  <si>
    <t>850-450-4945</t>
  </si>
  <si>
    <t xml:space="preserve">850-673-4527		</t>
  </si>
  <si>
    <t>merly88@gmail.com</t>
  </si>
  <si>
    <t>7575 US-98 E. Pensacola Fl, 32506</t>
  </si>
  <si>
    <t xml:space="preserve">Bankers Insurance </t>
  </si>
  <si>
    <t xml:space="preserve">Gordon &amp; Barbabra Scott </t>
  </si>
  <si>
    <t>148 San Carlos Rd, Cantonment, FL 32533</t>
  </si>
  <si>
    <t xml:space="preserve">Gleisis Giralt Diaz </t>
  </si>
  <si>
    <t>850-582-3294</t>
  </si>
  <si>
    <t>gordoespec@yahoo.com</t>
  </si>
  <si>
    <t>220. Jorge R Moralez &amp; Patricia M. Gutierrez</t>
  </si>
  <si>
    <t>001-00-510072</t>
  </si>
  <si>
    <t>502 Rue Des Marseilles. Mary Esther Fl 32569</t>
  </si>
  <si>
    <t>786-449-6746</t>
  </si>
  <si>
    <t>Courtney Martin</t>
  </si>
  <si>
    <t>509-818-2776</t>
  </si>
  <si>
    <t>jorm8812@gmail.com</t>
  </si>
  <si>
    <t>cballinger97@gmail.com</t>
  </si>
  <si>
    <t>2267 NW 6th St, Miami, FL 33125</t>
  </si>
  <si>
    <t>5331 Kenneth Rd. Milton Fl 32583</t>
  </si>
  <si>
    <t xml:space="preserve">United Property Casualty </t>
  </si>
  <si>
    <t>221. Harry and Charlotte Tripp</t>
  </si>
  <si>
    <t xml:space="preserve">850-324-7656	</t>
  </si>
  <si>
    <t>hltripp13@gmail.com</t>
  </si>
  <si>
    <t>1153 Clymil Dr, Can, FL 32533</t>
  </si>
  <si>
    <t xml:space="preserve">Violeta Angeles </t>
  </si>
  <si>
    <t>850-485-1186</t>
  </si>
  <si>
    <t>violeta.angeles28@outlook.com</t>
  </si>
  <si>
    <t>804 Christian Dr., Pensacola, FL 32506</t>
  </si>
  <si>
    <t>Edmond &amp;Tae-Ja Walters</t>
  </si>
  <si>
    <t>850-384-2426</t>
  </si>
  <si>
    <t>222. Sandra and Robert mclemore</t>
  </si>
  <si>
    <t>ewaltersone@gmail.com</t>
  </si>
  <si>
    <t xml:space="preserve">850-530-4542		</t>
  </si>
  <si>
    <t>7699 Old Hickory Dr., Pensacola, FL 32507</t>
  </si>
  <si>
    <t>SENT (2026-10-08 14:07)</t>
  </si>
  <si>
    <t>samclemore@bellsouth.net</t>
  </si>
  <si>
    <t xml:space="preserve">Gregory &amp; Charity Riley </t>
  </si>
  <si>
    <t>850-699-0633</t>
  </si>
  <si>
    <t>116 Cavalier Dr, Pensacola, FL 32507</t>
  </si>
  <si>
    <t>LSU2002@msm.com</t>
  </si>
  <si>
    <t>USAA</t>
  </si>
  <si>
    <t>3964 Paradise Bay Dr., Gulf Breeze, FL 32563</t>
  </si>
  <si>
    <t>Patricia Gregory</t>
  </si>
  <si>
    <t>850-776-4422</t>
  </si>
  <si>
    <t>223. David L. Hagen</t>
  </si>
  <si>
    <t>misspat795@gmail.com</t>
  </si>
  <si>
    <t>1095 Commonwealth Rd., Pensacola, FL 32504</t>
  </si>
  <si>
    <t xml:space="preserve">850-377-9079	</t>
  </si>
  <si>
    <t xml:space="preserve">A New Warrington Church </t>
  </si>
  <si>
    <t>850-501-5394</t>
  </si>
  <si>
    <t>dadhg@cox.net</t>
  </si>
  <si>
    <t>anewfirstlady@aol.com</t>
  </si>
  <si>
    <t>4320 Cheltenham Circle, Pensacola, FL 32514</t>
  </si>
  <si>
    <t>1100 Hawthorn Dr., Pensacola, FL 32507</t>
  </si>
  <si>
    <t>Promont Specialty</t>
  </si>
  <si>
    <t xml:space="preserve">Rodney Stewart </t>
  </si>
  <si>
    <t xml:space="preserve">Deranty Cohen </t>
  </si>
  <si>
    <t>225. Debra McCorvey Virgin &amp; Danielle</t>
  </si>
  <si>
    <t>850-982-6745</t>
  </si>
  <si>
    <t>rod@rodstew.com</t>
  </si>
  <si>
    <t>6005 Arnies Way, Milton, FL 32570</t>
  </si>
  <si>
    <t xml:space="preserve">Tower Hill </t>
  </si>
  <si>
    <t>Harry &amp; Alice Courtney</t>
  </si>
  <si>
    <t>901-230-9033</t>
  </si>
  <si>
    <t>228. Donald Sheets</t>
  </si>
  <si>
    <t>hscourtney46@gmail.com</t>
  </si>
  <si>
    <t xml:space="preserve">850-221-0999		</t>
  </si>
  <si>
    <t>001-00-560006</t>
  </si>
  <si>
    <t>firemandon68@charts.net</t>
  </si>
  <si>
    <t>7901 Terri Lynn Ln., Pensacola, FL 32526</t>
  </si>
  <si>
    <t>229. Kelvin &amp; Rebecca Blackwell</t>
  </si>
  <si>
    <t xml:space="preserve">850-471-1147		</t>
  </si>
  <si>
    <t>blackwellbecca@gmail.com</t>
  </si>
  <si>
    <t>4086 Alconbury Circle, Pensacola, FL 38514</t>
  </si>
  <si>
    <t>6280 Calle De Hidalgo, Navarre, FL 32566</t>
  </si>
  <si>
    <t>Allstate</t>
  </si>
  <si>
    <t>230. Joseph &amp; Linda Baily</t>
  </si>
  <si>
    <t xml:space="preserve">Phillip &amp; Maralee Sartain </t>
  </si>
  <si>
    <t xml:space="preserve">850-261-8163		</t>
  </si>
  <si>
    <t>850-324-7088</t>
  </si>
  <si>
    <t>marale.sartain@gmail.com</t>
  </si>
  <si>
    <t>4445 Roxborough PL., Pensacola, FL 32514</t>
  </si>
  <si>
    <t>7407 Peterson Ln., Pensacola, FL 32506</t>
  </si>
  <si>
    <t>Southern Oak</t>
  </si>
  <si>
    <t xml:space="preserve">Universal North America </t>
  </si>
  <si>
    <t xml:space="preserve">237. Barry Kid Jr. </t>
  </si>
  <si>
    <t>Mea &amp; Clevestine Wesson</t>
  </si>
  <si>
    <t>850-261-3648</t>
  </si>
  <si>
    <t>850-791-2481</t>
  </si>
  <si>
    <t>607 W Wright St., Pensacola, FL 32501</t>
  </si>
  <si>
    <t>meawesson@gmail.com</t>
  </si>
  <si>
    <t>1041 Tortuga Dr., Pensacola, FL 32534</t>
  </si>
  <si>
    <t xml:space="preserve">Kenya Davis </t>
  </si>
  <si>
    <t xml:space="preserve">239. Jay Sheppard </t>
  </si>
  <si>
    <t>850-490-1034</t>
  </si>
  <si>
    <t>850-341-3839</t>
  </si>
  <si>
    <t>kenyabradley26@gmail.com</t>
  </si>
  <si>
    <t>6532 Oakcliff Rd., Pensacola, FL 32526</t>
  </si>
  <si>
    <t>204 Osage Trail , Pensacola, FL 32506</t>
  </si>
  <si>
    <t xml:space="preserve">Tom Chavis </t>
  </si>
  <si>
    <t>850-934-3211</t>
  </si>
  <si>
    <t>1411 Ariola Dr. Pensacola, FL 32561</t>
  </si>
  <si>
    <t>Quentin Trumpore</t>
  </si>
  <si>
    <t>850-380-5821</t>
  </si>
  <si>
    <t>qlt@cox.net</t>
  </si>
  <si>
    <t>7052 Belgium Cir. Pensacola Fl 32526</t>
  </si>
  <si>
    <t>Harrington Abreu</t>
  </si>
  <si>
    <t>850-898-4622</t>
  </si>
  <si>
    <t>harrington.abreu@gmail.com</t>
  </si>
  <si>
    <t>1844 Nestle Dr. Pensacola Fl 32534</t>
  </si>
  <si>
    <t>SENT (2026-10-08 14:08)</t>
  </si>
  <si>
    <t>Lanfreda Spurlock</t>
  </si>
  <si>
    <t>850-529-9177</t>
  </si>
  <si>
    <t>mrsfspurlock@gmail.com</t>
  </si>
  <si>
    <t>8389 Untrenier Pensacola Fl 32534</t>
  </si>
  <si>
    <t>Universal</t>
  </si>
  <si>
    <t>Nicole Coxwell</t>
  </si>
  <si>
    <t>850-232-1315</t>
  </si>
  <si>
    <t>nicole_coxwell@yahoo.com</t>
  </si>
  <si>
    <t>5114 Garden Brook Blvd. Milton Fl 32570</t>
  </si>
  <si>
    <t>Courtney Marie McNeal</t>
  </si>
  <si>
    <t>Helena Wilkins</t>
  </si>
  <si>
    <t>850-207-2118</t>
  </si>
  <si>
    <t>001-00-604304</t>
  </si>
  <si>
    <t>4127 Polks Ave., Milton, FL 32571</t>
  </si>
  <si>
    <t>helenawilkins33@yahoo.com</t>
  </si>
  <si>
    <t>863 Belle Rose Cir. Pensacola Fl 32514</t>
  </si>
  <si>
    <t xml:space="preserve">242. Leo &amp; Linda Galleguez </t>
  </si>
  <si>
    <t xml:space="preserve">Betty Williams </t>
  </si>
  <si>
    <t xml:space="preserve">850-602-1377	</t>
  </si>
  <si>
    <t>850-712-7221</t>
  </si>
  <si>
    <t>herbwilliams@prodigy.net</t>
  </si>
  <si>
    <t>LLGalleguez@yahoo.com</t>
  </si>
  <si>
    <t>7062 Belgium Cir. Pensacola Fl 32526</t>
  </si>
  <si>
    <t>300 Camborne Pl, Pensacola, FL 32506</t>
  </si>
  <si>
    <t xml:space="preserve">James Trocke </t>
  </si>
  <si>
    <t>208-946-7848</t>
  </si>
  <si>
    <t>jcotro@frotier.com</t>
  </si>
  <si>
    <t>243. Michael Loncher &amp; Jien Wu</t>
  </si>
  <si>
    <t>4707 Easter St Pace Fl 32571</t>
  </si>
  <si>
    <t xml:space="preserve">850-221-5368		</t>
  </si>
  <si>
    <t xml:space="preserve">Quentin Nuniss </t>
  </si>
  <si>
    <t>802 Christian Dr, Pensacola, FL 32506</t>
  </si>
  <si>
    <t>850-261-1505</t>
  </si>
  <si>
    <t>quentinnuniss@gmail.com</t>
  </si>
  <si>
    <t>201 Aquamarine Ave., Pensacola, FL 32505</t>
  </si>
  <si>
    <t>244. Cynthia Jarman</t>
  </si>
  <si>
    <t xml:space="preserve">850-261-6484		</t>
  </si>
  <si>
    <t xml:space="preserve">Jose &amp; Myrna Vazquez </t>
  </si>
  <si>
    <t>MJarman0502@gmail.com</t>
  </si>
  <si>
    <t>7606 Sandy Creek Dr, Pensacola, FL 32506</t>
  </si>
  <si>
    <t>850-736-5015</t>
  </si>
  <si>
    <t xml:space="preserve">Heritage </t>
  </si>
  <si>
    <t>Jose1259@gmail.com</t>
  </si>
  <si>
    <t>6525 Eagle Crest Dr., Milton, FL 32570</t>
  </si>
  <si>
    <t>Avatar</t>
  </si>
  <si>
    <t xml:space="preserve">Luke Wheat </t>
  </si>
  <si>
    <t>245. Bernardo &amp; Rosalinda Recacho</t>
  </si>
  <si>
    <t xml:space="preserve">850-453-2348		</t>
  </si>
  <si>
    <t>Julita Hall</t>
  </si>
  <si>
    <t>850-791-8006</t>
  </si>
  <si>
    <t>808 Christian Dr, Pensacola, FL 32506</t>
  </si>
  <si>
    <t>100 Druid Dr., Pensacola, FL 32507</t>
  </si>
  <si>
    <t>Capital Preffered</t>
  </si>
  <si>
    <t>001-00-536543</t>
  </si>
  <si>
    <t>Capitol / Southern Fid</t>
  </si>
  <si>
    <t>246. Delbert Jackson</t>
  </si>
  <si>
    <t xml:space="preserve">Cliff Oconnor </t>
  </si>
  <si>
    <t xml:space="preserve">850-501-9245	</t>
  </si>
  <si>
    <t>850-450-6474</t>
  </si>
  <si>
    <t>cliffannoconnor@att.net</t>
  </si>
  <si>
    <t>5500 Garden Brook Blvd. Milton, FL 32570</t>
  </si>
  <si>
    <t>Delbert1959@yahoo.com</t>
  </si>
  <si>
    <t xml:space="preserve">Esmeralda Herman </t>
  </si>
  <si>
    <t>214 Sunset Ave, Pensacola, FL 32507</t>
  </si>
  <si>
    <t>5928 Dahoon Dr., Pensacola, FL 32526</t>
  </si>
  <si>
    <t xml:space="preserve">Pham Peoples </t>
  </si>
  <si>
    <t xml:space="preserve">248. Johnnie Carter </t>
  </si>
  <si>
    <t>850-554-5447</t>
  </si>
  <si>
    <t xml:space="preserve">850-815-6550	</t>
  </si>
  <si>
    <t>1221 Fort Smith Cir. Pensacola Fl 32505</t>
  </si>
  <si>
    <t>355 N R St, Pensacola, FL 32505</t>
  </si>
  <si>
    <t xml:space="preserve">249. Christopher Anthony Wong </t>
  </si>
  <si>
    <t>2987 Michael Dr. Pensacola Fl 32505</t>
  </si>
  <si>
    <t>850-206-4995</t>
  </si>
  <si>
    <t>3993 Erress Blvd. Pensacola Fl 32505</t>
  </si>
  <si>
    <t>Kiswan_wong@yahoo.com</t>
  </si>
  <si>
    <t>615 Parker Cir., Pensacola, FL 32504</t>
  </si>
  <si>
    <t>801 Lucerne Ave. Pensacola Fl 32505</t>
  </si>
  <si>
    <t>status</t>
  </si>
  <si>
    <t>3411 W Jordan St Pensacola Fl 32505</t>
  </si>
  <si>
    <t>Marion &amp; Lori Bass</t>
  </si>
  <si>
    <t>850-266-3058</t>
  </si>
  <si>
    <t>dlmbass@aol.com</t>
  </si>
  <si>
    <t>1528 Portside Dr., Gulf Breeze, FL 32563</t>
  </si>
  <si>
    <t>251. Seifein Salib</t>
  </si>
  <si>
    <t xml:space="preserve">615-290-7060	</t>
  </si>
  <si>
    <t>seifien.salib@gmail.com</t>
  </si>
  <si>
    <t>1148 Signal Hill, Pensacola, FL 32514</t>
  </si>
  <si>
    <t>252. Ngoc Nguyen &amp; Do Toan</t>
  </si>
  <si>
    <t>SENT (2026-10-08 14:09)</t>
  </si>
  <si>
    <t>(850)-607-0935</t>
  </si>
  <si>
    <t>Emily Stewart</t>
  </si>
  <si>
    <t>850-982-9518</t>
  </si>
  <si>
    <t>sherry6890@gmail.com</t>
  </si>
  <si>
    <t>5367 Swanner Rd., Milton, FL 32570</t>
  </si>
  <si>
    <t>Nichole Dorsey</t>
  </si>
  <si>
    <t>850-313-3624</t>
  </si>
  <si>
    <t>nikkidd_1979@gmail.com</t>
  </si>
  <si>
    <t>1208 Adrian Way, Milton, FL 32583</t>
  </si>
  <si>
    <t>ADJUSTER</t>
  </si>
  <si>
    <t>9299 Surrey Dr., Pensacola, FL 32534</t>
  </si>
  <si>
    <t>48 PEN HAVEN DR, PENSACOLA , FL 32506</t>
  </si>
  <si>
    <t>22 Flynn Dr. Pensacola, Fl 32507</t>
  </si>
  <si>
    <t>Susan Johnson</t>
  </si>
  <si>
    <t>850-723-2991</t>
  </si>
  <si>
    <t>253. Barret Dillman</t>
  </si>
  <si>
    <t>sunnybaby1@aol.com</t>
  </si>
  <si>
    <t xml:space="preserve">6097 Lancing Dr. Milton, Fl 32570 </t>
  </si>
  <si>
    <t>540-427-8133</t>
  </si>
  <si>
    <t>CW File #</t>
  </si>
  <si>
    <t>Florence Longsworth</t>
  </si>
  <si>
    <t>bflagler08@gmail.com</t>
  </si>
  <si>
    <t>858-722-6687</t>
  </si>
  <si>
    <t>853 Ladner Dr., Pensacola, FL 32505</t>
  </si>
  <si>
    <t>Fed-Nat</t>
  </si>
  <si>
    <t>fLongsworth@yahoo.com</t>
  </si>
  <si>
    <t>Luke Fisher</t>
  </si>
  <si>
    <t>6688 Avenida De Galvez, Navarre, FL 32566</t>
  </si>
  <si>
    <t xml:space="preserve">254. Rosetta Lowe </t>
  </si>
  <si>
    <t>850-255-2215</t>
  </si>
  <si>
    <t xml:space="preserve">Robert &amp; Alice Hurst </t>
  </si>
  <si>
    <t>850-266-4725</t>
  </si>
  <si>
    <t>majorrose61rl@gmail.com</t>
  </si>
  <si>
    <t>ahurst383@gmail.com</t>
  </si>
  <si>
    <t>1024 Tortuga Dr., Pesacola, FL 32534</t>
  </si>
  <si>
    <t>657 E Hernandez St, Pensacola, FL 32503</t>
  </si>
  <si>
    <t>American Tradition</t>
  </si>
  <si>
    <t>Lisa Welch</t>
  </si>
  <si>
    <t>850-206-5099</t>
  </si>
  <si>
    <t>Lrosebud75@gmail.com</t>
  </si>
  <si>
    <t>4348 Grandpointe Pl, Pensacola, FL 32514</t>
  </si>
  <si>
    <t>255. Alisha Pough</t>
  </si>
  <si>
    <t>850-889-2515</t>
  </si>
  <si>
    <t>John &amp; Clarisse Marschka</t>
  </si>
  <si>
    <t>850-774-4402</t>
  </si>
  <si>
    <t>202410007931</t>
  </si>
  <si>
    <t>clarissemarschka@gmail.com</t>
  </si>
  <si>
    <t>1806 Grant Ave., Panama, FL 32405</t>
  </si>
  <si>
    <t>Lisaconnel1978@gmail.com</t>
  </si>
  <si>
    <t>5948 Savannah Dr., Milton, FL 32570</t>
  </si>
  <si>
    <t xml:space="preserve">Allen Lane </t>
  </si>
  <si>
    <t>973-572-4777</t>
  </si>
  <si>
    <t>2011 Saddlebrook Dr., Pensacola, FL 32526</t>
  </si>
  <si>
    <t>Stacy Farsolas</t>
  </si>
  <si>
    <t>850-346-1287</t>
  </si>
  <si>
    <t xml:space="preserve">256. Gary &amp; Judith Zecckine </t>
  </si>
  <si>
    <t>sfarsolas@gmail.com</t>
  </si>
  <si>
    <t>4527 Deerfield Dr. Pensacola, Fl 32526</t>
  </si>
  <si>
    <t xml:space="preserve">FedNat </t>
  </si>
  <si>
    <t>4525 Deerfield Dr. Pensacola, Fl 32526</t>
  </si>
  <si>
    <t>6252 Chinquapin Rd, Milton, FL 32570</t>
  </si>
  <si>
    <t>Cecille Prater</t>
  </si>
  <si>
    <t>850-206-0923</t>
  </si>
  <si>
    <t>cecilleprater@gmail.com</t>
  </si>
  <si>
    <t>4754 Bridgedale Rd. Pensacola , Fl 32505</t>
  </si>
  <si>
    <t xml:space="preserve">268. Bruce &amp; Olivia Williams </t>
  </si>
  <si>
    <t>Betty King (Tod)</t>
  </si>
  <si>
    <t>334-208-7841</t>
  </si>
  <si>
    <t xml:space="preserve">850-206-8921	</t>
  </si>
  <si>
    <t>rutledgework@hotmail.com</t>
  </si>
  <si>
    <t>6125 Quentet Rd. Pace Fl 32571</t>
  </si>
  <si>
    <t xml:space="preserve">Summer Linton </t>
  </si>
  <si>
    <t>850-396-3410</t>
  </si>
  <si>
    <t>b.williams69c@gmail.com</t>
  </si>
  <si>
    <t>summernlinton@gmail.com</t>
  </si>
  <si>
    <t>5953 Savannah Dr., Milton, FL 32570</t>
  </si>
  <si>
    <t>POLICY#</t>
  </si>
  <si>
    <t xml:space="preserve">6300 Brigadier Rd. Milton Fl 32570 </t>
  </si>
  <si>
    <t>SENT (2026-10-08 14:10)</t>
  </si>
  <si>
    <t xml:space="preserve">Myra Moxley </t>
  </si>
  <si>
    <t>850-585-3212</t>
  </si>
  <si>
    <t>mmoxley6568@gmail.com</t>
  </si>
  <si>
    <t>CLAIM#</t>
  </si>
  <si>
    <t>6568 Castlewood St Navarre Fl 32566</t>
  </si>
  <si>
    <t>275. Sharon Randall</t>
  </si>
  <si>
    <t>St Johns</t>
  </si>
  <si>
    <t>850-207-6471</t>
  </si>
  <si>
    <t xml:space="preserve">Floyd Kennedy </t>
  </si>
  <si>
    <t xml:space="preserve">TYPE OF LOSS </t>
  </si>
  <si>
    <t>850-777-7264</t>
  </si>
  <si>
    <t>smjoi@att.net</t>
  </si>
  <si>
    <t>7941 Mocassin Trail, Pensacola Fl 32534</t>
  </si>
  <si>
    <t>sharonwaynerandall@yahoo.com</t>
  </si>
  <si>
    <t xml:space="preserve">Sigmar &amp; Maritza Arancibia </t>
  </si>
  <si>
    <t>506 NW Syrcle Dr., Pensacola, FL 32507</t>
  </si>
  <si>
    <t>703-755-5756</t>
  </si>
  <si>
    <t>DATE OF LOSS</t>
  </si>
  <si>
    <t>guevara1323@icloud.com</t>
  </si>
  <si>
    <t xml:space="preserve">600ardstown St Cantonment Fl 32533  </t>
  </si>
  <si>
    <t xml:space="preserve">Gerald Chestnutt </t>
  </si>
  <si>
    <t>850-450-5032</t>
  </si>
  <si>
    <t>g.chestnutt@att.net</t>
  </si>
  <si>
    <t>5666 Dunbar Cir. Milton Fl 32583</t>
  </si>
  <si>
    <t>280. Shelen P. Kennedy</t>
  </si>
  <si>
    <t xml:space="preserve">850-623-3587	</t>
  </si>
  <si>
    <t xml:space="preserve">Cellie &amp; Manuel Abedan </t>
  </si>
  <si>
    <t>850-437-0005</t>
  </si>
  <si>
    <t>ceiliieabedan@aol.com</t>
  </si>
  <si>
    <t>2340 Arriviste Way Pensacola Fl 32504</t>
  </si>
  <si>
    <t>MRJ Enterprises Of Northwest FL INC</t>
  </si>
  <si>
    <t>6054 Syrcle Ave., Milton, FL 32570</t>
  </si>
  <si>
    <t>ESTIMATE FOR INS</t>
  </si>
  <si>
    <t xml:space="preserve">State farm </t>
  </si>
  <si>
    <t>ceillieabedan@aol.com</t>
  </si>
  <si>
    <t>2430 Buena Vista St. Pensacola Fl, 32503</t>
  </si>
  <si>
    <t xml:space="preserve">281. Douglas Weinberg </t>
  </si>
  <si>
    <t>850-336-0721</t>
  </si>
  <si>
    <t xml:space="preserve">Cameron Stapleton &amp; Adam Shaw </t>
  </si>
  <si>
    <t>ESTIMATE JP</t>
  </si>
  <si>
    <t>850-598-9898</t>
  </si>
  <si>
    <t>cameronstapleton@gmail.com</t>
  </si>
  <si>
    <t>dougweinberg2017@gmail.com</t>
  </si>
  <si>
    <t>537 East Wood Pl. Pensacola Fl 32514</t>
  </si>
  <si>
    <t>5827 Perkins St., Pensacola, FL 32526</t>
  </si>
  <si>
    <t xml:space="preserve">Sharrie Kelly </t>
  </si>
  <si>
    <t>850-418-1000</t>
  </si>
  <si>
    <t>SPOL UPDATED</t>
  </si>
  <si>
    <t>pnsbelle@cox.net</t>
  </si>
  <si>
    <t>10 South Carys Ln., Pensacola, FL 32507</t>
  </si>
  <si>
    <t xml:space="preserve">308. Betty Williams </t>
  </si>
  <si>
    <t xml:space="preserve">Larry Sylvester </t>
  </si>
  <si>
    <t>850-557-0298</t>
  </si>
  <si>
    <t>4309 woodberry Rd. Marianna Fl 32448</t>
  </si>
  <si>
    <t>IA REPORT</t>
  </si>
  <si>
    <t xml:space="preserve">Rosalind Williams </t>
  </si>
  <si>
    <t>850-545-5598</t>
  </si>
  <si>
    <t>7062 Belgium Cit., Pensacola, FL 32526</t>
  </si>
  <si>
    <t>2829 Pontiac Loop Fl 32431</t>
  </si>
  <si>
    <t>2218 Cricket Ridge Dr. Cantonment Fl 32533</t>
  </si>
  <si>
    <t>POLICY</t>
  </si>
  <si>
    <t>SENT (2026-10-08 14:11)</t>
  </si>
  <si>
    <t>323. Douglas Weinberg</t>
  </si>
  <si>
    <t xml:space="preserve">Tracy Carlisle </t>
  </si>
  <si>
    <t>850-287-1998</t>
  </si>
  <si>
    <t>Claudiaparaldi@yahoo.com</t>
  </si>
  <si>
    <t>7072 Tylerwood Ct. Milton Fl 32570</t>
  </si>
  <si>
    <t xml:space="preserve">Elizabeth Milton </t>
  </si>
  <si>
    <t>703-927-1601</t>
  </si>
  <si>
    <t>eliz.milton65@outlook.com</t>
  </si>
  <si>
    <t>3164 Birdseye Cir. Gulfbreeze FL 32563</t>
  </si>
  <si>
    <t>UPC</t>
  </si>
  <si>
    <t xml:space="preserve">Sean Connolly </t>
  </si>
  <si>
    <t>324. Brenda Jimmenez</t>
  </si>
  <si>
    <t>207-233-3993</t>
  </si>
  <si>
    <t>001-00-578994</t>
  </si>
  <si>
    <t>239-293-8480</t>
  </si>
  <si>
    <t xml:space="preserve">Desk Adjuster </t>
  </si>
  <si>
    <t>weez12004@hotmail.com</t>
  </si>
  <si>
    <t>320 Riverchase Blvd. Crestview Fl 32536</t>
  </si>
  <si>
    <t xml:space="preserve">Safe Harbor </t>
  </si>
  <si>
    <t>David Boutwell</t>
  </si>
  <si>
    <t>850-368-1215</t>
  </si>
  <si>
    <t>mt23679@gmail.com</t>
  </si>
  <si>
    <t>fil3434@yahoo.com</t>
  </si>
  <si>
    <t>1018 48th St Niceville Fl 32578</t>
  </si>
  <si>
    <t>5523 Hardee St., Naples, FL 34113</t>
  </si>
  <si>
    <t>NOTES</t>
  </si>
  <si>
    <t>328. BPM Holdings II LLC</t>
  </si>
  <si>
    <t>334-728-0934</t>
  </si>
  <si>
    <t>TYPE OF CLAIM</t>
  </si>
  <si>
    <t>Anthony Morris</t>
  </si>
  <si>
    <t>850-206-9700</t>
  </si>
  <si>
    <t>tony.morris@bhcpns.org</t>
  </si>
  <si>
    <t>1098 Sanibel Ln. Gulf Breeze, FL 32563</t>
  </si>
  <si>
    <t xml:space="preserve">Daryn McMullen </t>
  </si>
  <si>
    <t>850-200-7029</t>
  </si>
  <si>
    <t>CLIENT UPDATE</t>
  </si>
  <si>
    <t>dmac10@att.net</t>
  </si>
  <si>
    <t>1530 Brigaten Ct. Gulf Breeze, Fl 32563</t>
  </si>
  <si>
    <t xml:space="preserve">Josefina Gavina </t>
  </si>
  <si>
    <t>850-455-1038</t>
  </si>
  <si>
    <t>10875 Berryhill Rd. Pensacola, Fl 32506</t>
  </si>
  <si>
    <t xml:space="preserve">Natalie Cox </t>
  </si>
  <si>
    <t>850-380-3912</t>
  </si>
  <si>
    <t>rmstirling@hotmail.com</t>
  </si>
  <si>
    <t>Pending decision</t>
  </si>
  <si>
    <t>respondekronald@gmail.com</t>
  </si>
  <si>
    <t>1201 Via De Luna Dr., Pensacola, FL 32561</t>
  </si>
  <si>
    <t>3438 Wiggins Ln. Cantonment, FL 32533</t>
  </si>
  <si>
    <t xml:space="preserve">Larry &amp; Brigette Brooks </t>
  </si>
  <si>
    <t>850-291-2876</t>
  </si>
  <si>
    <t>brigettebrooks@gmail.com</t>
  </si>
  <si>
    <t>Assign to</t>
  </si>
  <si>
    <t>355. Nyssa N Yates</t>
  </si>
  <si>
    <t>1792 Terex Cir., Cantonment, FL 32533</t>
  </si>
  <si>
    <t>850-207-6198</t>
  </si>
  <si>
    <t>Swyft</t>
  </si>
  <si>
    <t>SENT (2026-10-08 14:12)</t>
  </si>
  <si>
    <t xml:space="preserve">A2 Team LLC </t>
  </si>
  <si>
    <t>850-485-5453</t>
  </si>
  <si>
    <t>nyssa.krause@yahoo.com</t>
  </si>
  <si>
    <t>blueangelexxon@gmail.com</t>
  </si>
  <si>
    <t>5996 Savannah Dr., Milton, FL 32570</t>
  </si>
  <si>
    <t>5 star Review</t>
  </si>
  <si>
    <t>2 S Blue Angel Pkwy. Pensacola, Fl 32506</t>
  </si>
  <si>
    <t xml:space="preserve">American Integrity </t>
  </si>
  <si>
    <t>Regent Insurance</t>
  </si>
  <si>
    <t>Charles Crocker</t>
  </si>
  <si>
    <t>850-572-7583</t>
  </si>
  <si>
    <t>msraecrocker@gmail.com / eighty3cc@gmail.com</t>
  </si>
  <si>
    <t>7249 Rampart Way , Pensacola, FL 32505</t>
  </si>
  <si>
    <t xml:space="preserve">356. Taylor Nelson </t>
  </si>
  <si>
    <t>SYNCED TO APP</t>
  </si>
  <si>
    <t xml:space="preserve">850-898-4636	</t>
  </si>
  <si>
    <t xml:space="preserve">James &amp; Shirley Moorer </t>
  </si>
  <si>
    <t>850-748-0711</t>
  </si>
  <si>
    <t>taylerd2719@gmail.com</t>
  </si>
  <si>
    <t>4542 Pine Spring Dr., Pensacola, FL 32505</t>
  </si>
  <si>
    <t>6159 White Creek Ln., Milton, FL 32570</t>
  </si>
  <si>
    <t>CLSD CLAIMS</t>
  </si>
  <si>
    <t>358. Allen Lane &amp; Darryll Johnson</t>
  </si>
  <si>
    <t xml:space="preserve">Sonia Abangan </t>
  </si>
  <si>
    <t>850-304-6028</t>
  </si>
  <si>
    <t>abangans@bellsouth.net</t>
  </si>
  <si>
    <t>2338 Arriviste Cir., Pensacola, FL 32501</t>
  </si>
  <si>
    <t>366. Einsiedel Dizon</t>
  </si>
  <si>
    <t>001-00-565677</t>
  </si>
  <si>
    <t>850-384-861</t>
  </si>
  <si>
    <t xml:space="preserve">James Aviret </t>
  </si>
  <si>
    <t>David</t>
  </si>
  <si>
    <t>850-497-3924</t>
  </si>
  <si>
    <t>skydancerdd@gmail.com</t>
  </si>
  <si>
    <t>jamesavirett57@gmail.com</t>
  </si>
  <si>
    <t>6050 Syrcle Ave., Milton, FL 32570</t>
  </si>
  <si>
    <t>404 Pace Parkway, Cantonment, FL 32533</t>
  </si>
  <si>
    <t>State Farm</t>
  </si>
  <si>
    <t>Kayleigh Elbaum &amp; Anthony Altamonte</t>
  </si>
  <si>
    <t>954-459-5912</t>
  </si>
  <si>
    <t xml:space="preserve">367. Luis Mateo </t>
  </si>
  <si>
    <t>Anthonyjaltamonte@gmail.com</t>
  </si>
  <si>
    <t>305-304-8161</t>
  </si>
  <si>
    <t>1365 N Courtenay Parkway unit D, Merritt, FL 32953</t>
  </si>
  <si>
    <t>SENT (2026-10-08 14:13)</t>
  </si>
  <si>
    <t>Corey Jarvis</t>
  </si>
  <si>
    <t>706-618-7929</t>
  </si>
  <si>
    <t>coreymjarvis@gmail.com</t>
  </si>
  <si>
    <t>574 L'ombre Cir NE, Fort Walton Beach, FL 32547</t>
  </si>
  <si>
    <t xml:space="preserve">Peoples Trust </t>
  </si>
  <si>
    <t>11540 SW 125th St., Miami, FL 33176</t>
  </si>
  <si>
    <t>Robert Bullard</t>
  </si>
  <si>
    <t>368. Barret Dillman</t>
  </si>
  <si>
    <t>850-982-5070</t>
  </si>
  <si>
    <t>rjb1078@hotmail.com</t>
  </si>
  <si>
    <t>3635 Goya Ct., Pensacola, FL 32504</t>
  </si>
  <si>
    <t xml:space="preserve">Wendall Williams </t>
  </si>
  <si>
    <t>Fed Nat</t>
  </si>
  <si>
    <t>352-213-0431</t>
  </si>
  <si>
    <t>williamsaudrey98@yahoo.com</t>
  </si>
  <si>
    <t>2234 NW 44th Pl., Gainesville, FL 32605</t>
  </si>
  <si>
    <t>408. Brenden Brooks</t>
  </si>
  <si>
    <t>850-619-3233</t>
  </si>
  <si>
    <t>Whisky Barn Inc.</t>
  </si>
  <si>
    <t>850-865-7160</t>
  </si>
  <si>
    <t>bkile97@gmail.com</t>
  </si>
  <si>
    <t>waspas@cox.net</t>
  </si>
  <si>
    <t>762 El Camino Dr., Cantonment, FL 32533</t>
  </si>
  <si>
    <t>315 Miracle Strip Pkwy., Fort Walton Beach, FL 32548</t>
  </si>
  <si>
    <t>Garry &amp; Rachel Smith</t>
  </si>
  <si>
    <t>2024010021</t>
  </si>
  <si>
    <t xml:space="preserve"> Lloyd's of London (Ralph &amp; Associates)</t>
  </si>
  <si>
    <t xml:space="preserve">Tina King </t>
  </si>
  <si>
    <t>954-616-9673</t>
  </si>
  <si>
    <t>Donna Wilson</t>
  </si>
  <si>
    <t>TKing@clearlogisticsinc.com</t>
  </si>
  <si>
    <t>399. Ada &amp; Charles Vargas</t>
  </si>
  <si>
    <t>001-00-328413</t>
  </si>
  <si>
    <t>830 Highway 90W, Holt, FL 32564</t>
  </si>
  <si>
    <t>850-673-4527</t>
  </si>
  <si>
    <t>Lexington Insurance Company</t>
  </si>
  <si>
    <t>863-661-8812</t>
  </si>
  <si>
    <t>Kennesha Evans</t>
  </si>
  <si>
    <t>850-221-2009</t>
  </si>
  <si>
    <t>StateFarm</t>
  </si>
  <si>
    <t>lil_kvon@hotmail.com</t>
  </si>
  <si>
    <t>215 E Hernandez, Pensacola, FL 32503</t>
  </si>
  <si>
    <t>onesolidwoman@yahoo.com</t>
  </si>
  <si>
    <t>400. Quy Nguyen &amp; Kin Nguyen</t>
  </si>
  <si>
    <t>850-232-5975</t>
  </si>
  <si>
    <t>Leny Quizon</t>
  </si>
  <si>
    <t>850-529-2532</t>
  </si>
  <si>
    <t>3410 W Gadsden, Pensacola, FL 32505</t>
  </si>
  <si>
    <t>LenyQuizon@ymail.com</t>
  </si>
  <si>
    <t>2113 Monticello Ave, Lakeland FL 33801</t>
  </si>
  <si>
    <t>235 Old Corry Field Rd,, Pensacola, FL 32506</t>
  </si>
  <si>
    <t>Brandee Gann</t>
  </si>
  <si>
    <t>850-341-7278</t>
  </si>
  <si>
    <t>brandeegann26@gmail.com</t>
  </si>
  <si>
    <t>403. Terry Norton</t>
  </si>
  <si>
    <t>ADF210851</t>
  </si>
  <si>
    <t xml:space="preserve">5407 Borden Rd., Milton, FL 32583 </t>
  </si>
  <si>
    <t xml:space="preserve">850-698-6556		</t>
  </si>
  <si>
    <t xml:space="preserve">Kinsale </t>
  </si>
  <si>
    <t xml:space="preserve">Jessica Goodale </t>
  </si>
  <si>
    <t>850-982-8400</t>
  </si>
  <si>
    <t>CDP-00170860</t>
  </si>
  <si>
    <t>806 Watson Ave., Cantonment, FL 32533</t>
  </si>
  <si>
    <t>jessicagoodale3@gmail.com</t>
  </si>
  <si>
    <t>GeoVera</t>
  </si>
  <si>
    <t>4215 Jernigan Rd., Pace, FL 32571</t>
  </si>
  <si>
    <t>Jessica Goodale AWD</t>
  </si>
  <si>
    <t>Hurricane Ian</t>
  </si>
  <si>
    <t>406. Keneshia Frazier</t>
  </si>
  <si>
    <t>9/28/22</t>
  </si>
  <si>
    <t xml:space="preserve">Hany Salib </t>
  </si>
  <si>
    <t>850-368-0624</t>
  </si>
  <si>
    <t>848-391-0341</t>
  </si>
  <si>
    <t>hny2012@yahoo.com</t>
  </si>
  <si>
    <t>SENT</t>
  </si>
  <si>
    <t>1842 Justice Cir., Gulf Breeze, FL 32563</t>
  </si>
  <si>
    <t>Florida Peninsula Insurance</t>
  </si>
  <si>
    <t>keneshiafrazier@gmail.com</t>
  </si>
  <si>
    <t xml:space="preserve">Marry Miller ( Sharon) </t>
  </si>
  <si>
    <t>850-485-6446</t>
  </si>
  <si>
    <t>1300 cavalry dr pensacola fl I 3 2505</t>
  </si>
  <si>
    <t>Kathleen Morrison</t>
  </si>
  <si>
    <t>sdjenkins74@gmail.com</t>
  </si>
  <si>
    <t xml:space="preserve">7760 Untreiner Ave. Pensacola Fl 32534 </t>
  </si>
  <si>
    <t>APPROVED</t>
  </si>
  <si>
    <t>407. Mizell McKee</t>
  </si>
  <si>
    <t>850-221-4828</t>
  </si>
  <si>
    <t xml:space="preserve">Anthony Deluca </t>
  </si>
  <si>
    <t>850-572-2052</t>
  </si>
  <si>
    <t>mac49@cox.net</t>
  </si>
  <si>
    <t>tdeluca725@gmail.com</t>
  </si>
  <si>
    <t>Ready to be sent</t>
  </si>
  <si>
    <t>693 Broad St., Pensacola, FL 32534</t>
  </si>
  <si>
    <t>001-00-561522</t>
  </si>
  <si>
    <t>224 Saint Barnabas St., Pensacola, FL 32503</t>
  </si>
  <si>
    <t>SENT (2026-10-08 14:14)</t>
  </si>
  <si>
    <t xml:space="preserve">Sandra Pratt </t>
  </si>
  <si>
    <t>850-974-5513</t>
  </si>
  <si>
    <t>410. Ronald &amp; Jeannine Sanders</t>
  </si>
  <si>
    <t>smpinfl@aol.com</t>
  </si>
  <si>
    <t>850-341-3292</t>
  </si>
  <si>
    <t>428 Primerose Cir., Destin, FL 32541</t>
  </si>
  <si>
    <t>2055 Silverado Ct., Pensacola, FL 32506</t>
  </si>
  <si>
    <t xml:space="preserve">Clifford Porter </t>
  </si>
  <si>
    <t>Caslte Key</t>
  </si>
  <si>
    <t>IA Report &amp; Policy</t>
  </si>
  <si>
    <t>850-475-1614</t>
  </si>
  <si>
    <t>cyporter@bellsouth.net</t>
  </si>
  <si>
    <t>411. Vicki Chism &amp; Cherie Reidling</t>
  </si>
  <si>
    <t>218 Sprague Dr., Pensacola, FL 32534</t>
  </si>
  <si>
    <t>850-304-6389</t>
  </si>
  <si>
    <t xml:space="preserve">Nassor James </t>
  </si>
  <si>
    <t>850-206-7786</t>
  </si>
  <si>
    <t>rfireman2139@gmail.com</t>
  </si>
  <si>
    <t>nas424@yahoo.com</t>
  </si>
  <si>
    <t>7655 Old Hickory Dr., Pensacola, FL 32507</t>
  </si>
  <si>
    <t>6242 Audubon Dr, Milton, FL 32570</t>
  </si>
  <si>
    <t>Raymond Mclamb</t>
  </si>
  <si>
    <t>850-287-2430</t>
  </si>
  <si>
    <t>Mclambray@gmail.com</t>
  </si>
  <si>
    <t>222 St. Bornabas, Pensacola, FL 32503</t>
  </si>
  <si>
    <t xml:space="preserve">413. Ollie &amp; Norma Avant </t>
  </si>
  <si>
    <t>Tanner Van Dalsen / 313-761-0320 / Tanner.VanDalsen@ryzeclaims.com</t>
  </si>
  <si>
    <t>850-549-8942</t>
  </si>
  <si>
    <t>masami32506@gmail.com</t>
  </si>
  <si>
    <t>459 Stara Cir., Pensacola, FL 32505</t>
  </si>
  <si>
    <t>1001 Chavers St., Pensacola, FL 32534</t>
  </si>
  <si>
    <t>DUPLICATE CLAIM</t>
  </si>
  <si>
    <t>8421 Country Walk Dr, Pensacola, FL 32514</t>
  </si>
  <si>
    <t>Capitol/Southern Fidelity</t>
  </si>
  <si>
    <t>414. Walter Babcock</t>
  </si>
  <si>
    <t>850-516-7600</t>
  </si>
  <si>
    <t>T.melia@cox.net</t>
  </si>
  <si>
    <t>200 Talladega TRI, Pensacola, FL 32506</t>
  </si>
  <si>
    <t xml:space="preserve">415. Jessie Ruth Savage </t>
  </si>
  <si>
    <t>850-477-2346</t>
  </si>
  <si>
    <t xml:space="preserve">Courtney M McNeal </t>
  </si>
  <si>
    <t>N/A</t>
  </si>
  <si>
    <t>erica_e30@yahoo.com</t>
  </si>
  <si>
    <t>8005 Untreiner Ave. Pensacola, FL 32534</t>
  </si>
  <si>
    <t>001-00-578363</t>
  </si>
  <si>
    <t>418. Cynthia Robbins</t>
  </si>
  <si>
    <t>850-723-7749</t>
  </si>
  <si>
    <t>cynrobbins57@gmail.com</t>
  </si>
  <si>
    <t>725 Ladner Dr. Pensacola Fl 32505</t>
  </si>
  <si>
    <t>Universal HO3</t>
  </si>
  <si>
    <t>419. Reba Brown Dukes</t>
  </si>
  <si>
    <t xml:space="preserve">850-780-3190	</t>
  </si>
  <si>
    <t>15 Quaters Rd., Can, FL 32533</t>
  </si>
  <si>
    <t>420. Flora Mae Clark</t>
  </si>
  <si>
    <t>850-937-1810</t>
  </si>
  <si>
    <t>104 Shepherd St., Cantonment, FL 32533</t>
  </si>
  <si>
    <t xml:space="preserve">422. Marc Schurmann </t>
  </si>
  <si>
    <t>509-727-3421</t>
  </si>
  <si>
    <t>Courtney M McNeal</t>
  </si>
  <si>
    <t>Schuermannmarc@gmail.com</t>
  </si>
  <si>
    <t>3029 N 21 St. Ave., Milton, FL 32583</t>
  </si>
  <si>
    <t>001-00-578372</t>
  </si>
  <si>
    <t>423. Happy Church Inc</t>
  </si>
  <si>
    <t>A_Allotey@hotmail.com</t>
  </si>
  <si>
    <t>7862 Graves Rd., Pensacola, FL 32514</t>
  </si>
  <si>
    <t>Builders Risk</t>
  </si>
  <si>
    <t>424. George &amp; Dorcas Boateng</t>
  </si>
  <si>
    <t>850-712-8760</t>
  </si>
  <si>
    <t>4Jimras@gmail.com</t>
  </si>
  <si>
    <t>2996 Carrington Lakes Blvd. Cantonment, FL 32533</t>
  </si>
  <si>
    <t>Clear Blue</t>
  </si>
  <si>
    <t>425. James J. Boothe</t>
  </si>
  <si>
    <t>850-781-9563</t>
  </si>
  <si>
    <t>dentalpracticemanager@gmail.com</t>
  </si>
  <si>
    <t>4132 Cooley Dr. Pace, FL 32571</t>
  </si>
  <si>
    <t>427. Nazarena Sejour</t>
  </si>
  <si>
    <t>786-512-8029</t>
  </si>
  <si>
    <t>WLCHEFCRE@aol.com</t>
  </si>
  <si>
    <t>3900 SW 126th Ave. Miramar, FL 33027</t>
  </si>
  <si>
    <t>Scottsdale Insurance</t>
  </si>
  <si>
    <t xml:space="preserve">428. Cosme Prieto </t>
  </si>
  <si>
    <t>786-499-8374</t>
  </si>
  <si>
    <t>cosmeprieto@hotmail.com</t>
  </si>
  <si>
    <t>11800 SW 171 St. Ter Miami, FL 33177</t>
  </si>
  <si>
    <t>429. Edna Burnett</t>
  </si>
  <si>
    <t xml:space="preserve">850-450-1776	</t>
  </si>
  <si>
    <t>ednatheboss1@gmail.com</t>
  </si>
  <si>
    <t>6654 Black Oak Place Pensacola, FL 32526</t>
  </si>
  <si>
    <t>434. Mary Robbins</t>
  </si>
  <si>
    <t>850-602-2625</t>
  </si>
  <si>
    <t>maryrobbins711@yahoo.com</t>
  </si>
  <si>
    <t>24 Quarters Rd. Cantonment Fl 32533</t>
  </si>
  <si>
    <t>Juan</t>
  </si>
  <si>
    <t>435. Regina Walker</t>
  </si>
  <si>
    <t>850-292-9805</t>
  </si>
  <si>
    <t>reginarenynolds@gmail.com</t>
  </si>
  <si>
    <t>656 Berkley Drive, Pensacola, FL 32503</t>
  </si>
  <si>
    <t>Melinda Holland</t>
  </si>
  <si>
    <t xml:space="preserve">445. Frank &amp; Judith Roberts </t>
  </si>
  <si>
    <t>850-377-3548</t>
  </si>
  <si>
    <t>001-00-539679</t>
  </si>
  <si>
    <t>Frank6143@yahoo.com</t>
  </si>
  <si>
    <t>6414 Cypress St., Milton, FL 32570</t>
  </si>
  <si>
    <t>446. Linda Mckee</t>
  </si>
  <si>
    <t>850-417-3494</t>
  </si>
  <si>
    <t>No</t>
  </si>
  <si>
    <t>mckeelindam@aol.com</t>
  </si>
  <si>
    <t>8350 Country Walk Dr. Unit C, Pensacola, FL 32514</t>
  </si>
  <si>
    <t>453. Ruth Jenkins</t>
  </si>
  <si>
    <t>850-293-1552</t>
  </si>
  <si>
    <t>Ruth.w.jenkins@gmail.com</t>
  </si>
  <si>
    <t>4527 Londes Dr. , Pensacola, FL 32505</t>
  </si>
  <si>
    <t>454. Brenda G Reidling</t>
  </si>
  <si>
    <t>850-428-2736</t>
  </si>
  <si>
    <t>Thereidlingclan@beltsouth.net</t>
  </si>
  <si>
    <t>3100 Apache Dr, Milton, FL 3257</t>
  </si>
  <si>
    <t>AAA</t>
  </si>
  <si>
    <t>457. Betty Marie and Justin E Barber</t>
  </si>
  <si>
    <t>850-723-3372</t>
  </si>
  <si>
    <t>barberjustin@att.net</t>
  </si>
  <si>
    <t>4727 E Spencer Field Dr., Pace, FL 32571</t>
  </si>
  <si>
    <t>458. Sam Andrews</t>
  </si>
  <si>
    <t>850-476-0457</t>
  </si>
  <si>
    <t>SamuelA170@aol.com</t>
  </si>
  <si>
    <t>812 Mapple Wood Dr, Pensacola, FL 32534</t>
  </si>
  <si>
    <t>FEDNAT</t>
  </si>
  <si>
    <t xml:space="preserve">Robert Robles </t>
  </si>
  <si>
    <t>459. Sharyn Berg</t>
  </si>
  <si>
    <t>850-377-2132</t>
  </si>
  <si>
    <t>AM159217</t>
  </si>
  <si>
    <t>deedoe@gmail.com</t>
  </si>
  <si>
    <t>1820 Shady Creek Dr., Cantonment, FL 32533</t>
  </si>
  <si>
    <t>461. Joseph McIntyre</t>
  </si>
  <si>
    <t>850-341-9303</t>
  </si>
  <si>
    <t>jmcintyre8384@gmail.com</t>
  </si>
  <si>
    <t>616 Berkley Dr, Pensacola, FL 32503</t>
  </si>
  <si>
    <t>462. Deborah Bratkovic</t>
  </si>
  <si>
    <t>850-910-1305</t>
  </si>
  <si>
    <t>dorebor34@yahoo.com</t>
  </si>
  <si>
    <t>5765 Hickory St., Milton, FL 32570</t>
  </si>
  <si>
    <t>Progressive</t>
  </si>
  <si>
    <t xml:space="preserve">463. Dianne &amp; Berke Higgins </t>
  </si>
  <si>
    <t>850-490-9944</t>
  </si>
  <si>
    <t>H_berke@bellsouth.net</t>
  </si>
  <si>
    <t>604 Berkley Dr, Pensacola, FL 32503</t>
  </si>
  <si>
    <t>Homeowners choice</t>
  </si>
  <si>
    <t xml:space="preserve">464. Paul &amp; Rachael Raught </t>
  </si>
  <si>
    <t>850-910-0969</t>
  </si>
  <si>
    <t>Servando Valdez</t>
  </si>
  <si>
    <t>paulraught@yahoo.com</t>
  </si>
  <si>
    <t>5522 Sewell Rd., Milton, FL 32570</t>
  </si>
  <si>
    <t>465. John Mcatee</t>
  </si>
  <si>
    <t xml:space="preserve">850-777-1488	</t>
  </si>
  <si>
    <t>00201866870</t>
  </si>
  <si>
    <t>mcateelawn@yahoo.com</t>
  </si>
  <si>
    <t>1321 E Johnson Ave., Pensacola, FL 32514</t>
  </si>
  <si>
    <t>Yes</t>
  </si>
  <si>
    <t>466. Lonnie Wofford</t>
  </si>
  <si>
    <t xml:space="preserve">850-501-1825	</t>
  </si>
  <si>
    <t>Lwofford54@gmail.com</t>
  </si>
  <si>
    <t>1370 Debby Ave., Pensacola, FL 32514</t>
  </si>
  <si>
    <t xml:space="preserve">467. Jessie Ruth Savage </t>
  </si>
  <si>
    <t>Manuel Camerolinares &amp; Veronica Silva</t>
  </si>
  <si>
    <t xml:space="preserve">468. Chris and Harmony Reeff </t>
  </si>
  <si>
    <t>1506883-251001</t>
  </si>
  <si>
    <t>541-951-2881</t>
  </si>
  <si>
    <t>agreement btn PAs</t>
  </si>
  <si>
    <t>reeffharmony@gmail.com</t>
  </si>
  <si>
    <t>4912 Makenna Cir, Pace , FL 32571</t>
  </si>
  <si>
    <t>469. Jacoby Dixon</t>
  </si>
  <si>
    <t>850-503-1333</t>
  </si>
  <si>
    <t>JacobyGDixon@gmail.com</t>
  </si>
  <si>
    <t>5267 Hawksnest Dr., Pensacola, FL 32570</t>
  </si>
  <si>
    <t>470. Eyvind and denise Bonner</t>
  </si>
  <si>
    <t>Jerry Hernandez Rodriguez</t>
  </si>
  <si>
    <t>850-433-9142</t>
  </si>
  <si>
    <t>00104710717</t>
  </si>
  <si>
    <t>clayconnection@yahoo.com</t>
  </si>
  <si>
    <t>627 Berkley Dr., Pensacola, FL 32503</t>
  </si>
  <si>
    <t>473. Brandon Stassen</t>
  </si>
  <si>
    <t xml:space="preserve">850-910-1084	</t>
  </si>
  <si>
    <t>bstassenlandscaping@yahoo.com</t>
  </si>
  <si>
    <t>6227 Dahlia St., Milton, FL 32570</t>
  </si>
  <si>
    <t>Tower hill</t>
  </si>
  <si>
    <t>474. James and Brandy Roete</t>
  </si>
  <si>
    <t>John Alicea</t>
  </si>
  <si>
    <t>850-393-2401</t>
  </si>
  <si>
    <t>001-00-592668</t>
  </si>
  <si>
    <t>jamesroete@gmail.com</t>
  </si>
  <si>
    <t>6480 Imperial Dr., Milton, FL 32570</t>
  </si>
  <si>
    <t>475. Laura and Ralph Bitmann</t>
  </si>
  <si>
    <t>Ivan</t>
  </si>
  <si>
    <t>850-529-3237</t>
  </si>
  <si>
    <t>msrabitt@gmail.com</t>
  </si>
  <si>
    <t>2735 Glen Eden Dr, Pensacola, FL 32514</t>
  </si>
  <si>
    <t>476. Sanja Vallier</t>
  </si>
  <si>
    <t>2024010025</t>
  </si>
  <si>
    <t>850-525-4389</t>
  </si>
  <si>
    <t>Michelle Sierra</t>
  </si>
  <si>
    <t>901 N 18th Ave, Pensacola, FL 32501</t>
  </si>
  <si>
    <t>Josh Lee</t>
  </si>
  <si>
    <t>022899477-801</t>
  </si>
  <si>
    <t>305-915-7233</t>
  </si>
  <si>
    <t>477. Kayla and Timothy Trent</t>
  </si>
  <si>
    <t>850-982-1142</t>
  </si>
  <si>
    <t>josh7426@gmail.com</t>
  </si>
  <si>
    <t>kcgbfI@aol.com</t>
  </si>
  <si>
    <t>5815 Michael Dr., Milton, FL 32583</t>
  </si>
  <si>
    <t>7607 NW 40th Court, Coral Springs FL, 33065</t>
  </si>
  <si>
    <t>478. Christopher Folk</t>
  </si>
  <si>
    <t>0974-5362-8156</t>
  </si>
  <si>
    <t>850-503-2091</t>
  </si>
  <si>
    <t xml:space="preserve">Sandra Markman </t>
  </si>
  <si>
    <t>olkschristopher6@gmail.com</t>
  </si>
  <si>
    <t>001-00-467931</t>
  </si>
  <si>
    <t>6505 Kennington Cir, Milton, FL 32570</t>
  </si>
  <si>
    <t>Peoples Trust</t>
  </si>
  <si>
    <t>401988906</t>
  </si>
  <si>
    <t>Windstorm</t>
  </si>
  <si>
    <t xml:space="preserve">479. Racheal Downs </t>
  </si>
  <si>
    <t>07/08/22</t>
  </si>
  <si>
    <t>850-686-2155</t>
  </si>
  <si>
    <t>rachel.downs79@gmail.com</t>
  </si>
  <si>
    <t>5205 Hawks Nest Dr., Milton, FL 32570</t>
  </si>
  <si>
    <t>480. Marylou R Love and Jenifer Martinez</t>
  </si>
  <si>
    <t>850-390-2264</t>
  </si>
  <si>
    <t>MarylouReglos@yahoo.com</t>
  </si>
  <si>
    <t>Maria Aguila</t>
  </si>
  <si>
    <t>13 S 72nd Ave., Pensacola, FL 32506</t>
  </si>
  <si>
    <t>481. Amy Shipley</t>
  </si>
  <si>
    <t>850-748-3443</t>
  </si>
  <si>
    <t>HO-2024-082303240</t>
  </si>
  <si>
    <t>Jackeline Copeland / 904-328-3544</t>
  </si>
  <si>
    <t>02/05 DA sent client's agent information: Triton Insurance Group Inc / 954-486-0299 (CM)</t>
  </si>
  <si>
    <t>amyswolf@aol.com</t>
  </si>
  <si>
    <t>6234 Glenwood Dr., Milton, FL 32583</t>
  </si>
  <si>
    <t>482. April C Day &amp; Bryan A Croley</t>
  </si>
  <si>
    <t>850-712-8091</t>
  </si>
  <si>
    <t>Lirpayad79@gmail.com</t>
  </si>
  <si>
    <t>5428 Colinas Verde Dr, Milton, FL 32570</t>
  </si>
  <si>
    <t xml:space="preserve">Victoria Pompey </t>
  </si>
  <si>
    <t>483. Brendee Walker</t>
  </si>
  <si>
    <t>850-554-5536</t>
  </si>
  <si>
    <t>001-00-546636</t>
  </si>
  <si>
    <t>brandee@teambrandeecassell.com</t>
  </si>
  <si>
    <t>4132 Lancaster Gate Drive , Pace, FL 32571</t>
  </si>
  <si>
    <t>484. James &amp; Colleen Henrichsen</t>
  </si>
  <si>
    <t xml:space="preserve">850-450-4537	</t>
  </si>
  <si>
    <t>kellyisbusy@aol.com</t>
  </si>
  <si>
    <t>6020 Kingswood Dr., Milton, FL 32570</t>
  </si>
  <si>
    <t xml:space="preserve">St Johns </t>
  </si>
  <si>
    <t>485. Josephine Wiley</t>
  </si>
  <si>
    <t>850-748-9080</t>
  </si>
  <si>
    <t>joenickson48@yahoo.com</t>
  </si>
  <si>
    <t>1218 Suburban Dr., Pensacola, FL 32505</t>
  </si>
  <si>
    <t>Reginald &amp; Cheraina Williams</t>
  </si>
  <si>
    <t>486. Jeffrey Jerome Toler</t>
  </si>
  <si>
    <t>001-00-563728</t>
  </si>
  <si>
    <t>901-219-1906</t>
  </si>
  <si>
    <t>jeffreyjerometoler@gmail.com</t>
  </si>
  <si>
    <t>8398 Untreiner Ave., Pensacola, FL 32534</t>
  </si>
  <si>
    <t>Assurant Insurance</t>
  </si>
  <si>
    <t>487. Anthony Deluca</t>
  </si>
  <si>
    <t xml:space="preserve">Joan Brier </t>
  </si>
  <si>
    <t>16-2910467-24</t>
  </si>
  <si>
    <t>Julio Guerrero</t>
  </si>
  <si>
    <t>001-00-557380</t>
  </si>
  <si>
    <t>Ruth Bentley</t>
  </si>
  <si>
    <t>001-00-531499</t>
  </si>
  <si>
    <t>Jason Pellett</t>
  </si>
  <si>
    <t>Rebecca Lorenzo</t>
  </si>
  <si>
    <t>Peter</t>
  </si>
  <si>
    <t>00104886865</t>
  </si>
  <si>
    <t>2023100014</t>
  </si>
  <si>
    <t>Mathew Rose</t>
  </si>
  <si>
    <t>239-645-6588</t>
  </si>
  <si>
    <t>rose.mat78@gmail.com</t>
  </si>
  <si>
    <t>2230 Aldridge Ave Fort Myers FL, 33907</t>
  </si>
  <si>
    <t>HPH154189</t>
  </si>
  <si>
    <t>H010010162</t>
  </si>
  <si>
    <t>SENT to PA</t>
  </si>
  <si>
    <t>IA Report</t>
  </si>
  <si>
    <t>Vinny Millan / vmillan@heritagepci.com /  727.362.7200 Ext.7445</t>
  </si>
  <si>
    <t>01/22 sent SPOL to pa, asked for instruction since the client died weeks ago (CM)</t>
  </si>
  <si>
    <t>2023110034</t>
  </si>
  <si>
    <t>Carlos and Eva Carrizales</t>
  </si>
  <si>
    <t>205-863-9976</t>
  </si>
  <si>
    <t>evacarrizales6160@gmail.com</t>
  </si>
  <si>
    <t>2147 Rigdon Rd Wauchula, FL 33873</t>
  </si>
  <si>
    <t>988 849 198</t>
  </si>
  <si>
    <t>0741676852</t>
  </si>
  <si>
    <t>NO INFO</t>
  </si>
  <si>
    <t>03/07 Peter says that we are not longer representing the client (CM)</t>
  </si>
  <si>
    <t>2023110015</t>
  </si>
  <si>
    <t>Delphine Purser</t>
  </si>
  <si>
    <t>863-375-2307</t>
  </si>
  <si>
    <t>stevenpurser51@gmail.com</t>
  </si>
  <si>
    <t>630 Grove St, Bowling Green, FL 33834</t>
  </si>
  <si>
    <t>AGD90205609</t>
  </si>
  <si>
    <t>CDP-00169395</t>
  </si>
  <si>
    <t>Maria Fleitas / 727.353.8352 EXT 320 / mfleitas@telaclaims.com</t>
  </si>
  <si>
    <t>02/21 DA says she is going to close the claim as per Ivan requested to Day (CM)</t>
  </si>
  <si>
    <t>2023110020</t>
  </si>
  <si>
    <t>Christopher Russell</t>
  </si>
  <si>
    <t>863-245-6249</t>
  </si>
  <si>
    <t>russelchristopher@gmail.com</t>
  </si>
  <si>
    <t>516 3rd CT SW, Fort Meade FL 33841</t>
  </si>
  <si>
    <t>59-B5-J229-9</t>
  </si>
  <si>
    <t>59-40D2-53J</t>
  </si>
  <si>
    <t>9/22/22</t>
  </si>
  <si>
    <t>SENT to CLIENT</t>
  </si>
  <si>
    <t xml:space="preserve">Trent Thompson / 404-257-7646 / </t>
  </si>
  <si>
    <t>03/11 mediation done (CM)</t>
  </si>
  <si>
    <t>COUNTA of ADJUSTER</t>
  </si>
  <si>
    <t>APPRAISAL</t>
  </si>
  <si>
    <t>FEES PENDING</t>
  </si>
  <si>
    <t>File a suit</t>
  </si>
  <si>
    <t>FORCE PLACED</t>
  </si>
  <si>
    <t>LITIGATION</t>
  </si>
  <si>
    <t>MEDIATION</t>
  </si>
  <si>
    <t>2024040006</t>
  </si>
  <si>
    <t>NOI</t>
  </si>
  <si>
    <t>PEN O&amp;L/DEPRECIATION</t>
  </si>
  <si>
    <t>PEN PAY</t>
  </si>
  <si>
    <t>PEND. FILE NOI</t>
  </si>
  <si>
    <t>SETTLED</t>
  </si>
  <si>
    <t>Consuelo Mendoza</t>
  </si>
  <si>
    <t>STAND BY</t>
  </si>
  <si>
    <t>Grand Total</t>
  </si>
  <si>
    <t>863-832-1276</t>
  </si>
  <si>
    <t>211 9th Ave N. Wauchula FL, 33873</t>
  </si>
  <si>
    <t>TMASHO310606</t>
  </si>
  <si>
    <t>04/15 No stress is representing this claim, on stand by until Ivan;s confirmation (CM)</t>
  </si>
  <si>
    <t>2023110024</t>
  </si>
  <si>
    <t>Adela Olivo Ryals</t>
  </si>
  <si>
    <t>863-864-9107</t>
  </si>
  <si>
    <t>INSURED</t>
  </si>
  <si>
    <t>dellaryals@gmail.com</t>
  </si>
  <si>
    <t>Southern Fidelity / FIGA</t>
  </si>
  <si>
    <t>5028 Myrick Ave Bowling Green, FL 33834</t>
  </si>
  <si>
    <t>HCV00020320955</t>
  </si>
  <si>
    <t>ER491324</t>
  </si>
  <si>
    <t>CLAIM #</t>
  </si>
  <si>
    <t>STAGE</t>
  </si>
  <si>
    <t>SENT DATE</t>
  </si>
  <si>
    <t>Frito Theodore</t>
  </si>
  <si>
    <t>ASKED B.SPOL</t>
  </si>
  <si>
    <t>001-00-455683</t>
  </si>
  <si>
    <t>04/25 Sent to closed claims as per Ivan request (CM)</t>
  </si>
  <si>
    <t>Denial</t>
  </si>
  <si>
    <t xml:space="preserve">Larry Wilkie </t>
  </si>
  <si>
    <t>001-00-470130</t>
  </si>
  <si>
    <t xml:space="preserve">Need to file NOI </t>
  </si>
  <si>
    <t>Raul Rodriguez</t>
  </si>
  <si>
    <t>045528455-004</t>
  </si>
  <si>
    <t>Jakey</t>
  </si>
  <si>
    <t>2023110027</t>
  </si>
  <si>
    <t>Ella McMillan</t>
  </si>
  <si>
    <t>863-410-4785</t>
  </si>
  <si>
    <t>ellamcmlln@gmail.com</t>
  </si>
  <si>
    <t>809 S Morrison Ave Fort Meade, FL 33841</t>
  </si>
  <si>
    <t>150412000187</t>
  </si>
  <si>
    <t>FL22-0144790-A322</t>
  </si>
  <si>
    <t>UPLOADED</t>
  </si>
  <si>
    <t>SENT to INS.</t>
  </si>
  <si>
    <t>DA Jamie Wright / ext 7099 / jw0225@universalproperty.com</t>
  </si>
  <si>
    <t>04/10 sent withdrawal letter to carrier and client, Peter informs this claim was settled by another PA firm (CM)</t>
  </si>
  <si>
    <t>Timestamp</t>
  </si>
  <si>
    <t>Untitled Question</t>
  </si>
  <si>
    <t>2024010030</t>
  </si>
  <si>
    <t>Kathleen Torrens (Levis)</t>
  </si>
  <si>
    <t>786-397-0207 (Levis)</t>
  </si>
  <si>
    <t>ktorrens1992@yahoo.com</t>
  </si>
  <si>
    <t>13731 SW 84th St Unit C-11 Miami, FL 33183</t>
  </si>
  <si>
    <t>988693329</t>
  </si>
  <si>
    <t>0746492842</t>
  </si>
  <si>
    <t>DA Umra Hai / 516-357-0232 / fax 866-447-4293 / FA SHAUN WEAVER (847) 686-1641 or shaun.Weaver@allstate.com / SUPERVISOR Derek 727-556-3892</t>
  </si>
  <si>
    <t>04/01 we will wait for a video (CM)</t>
  </si>
  <si>
    <r>
      <rPr>
        <rFont val="Arial"/>
        <b/>
        <color rgb="FF0ABC05"/>
      </rPr>
      <t>Settled</t>
    </r>
    <r>
      <rPr>
        <rFont val="Arial"/>
        <b/>
        <color rgb="FF00FF00"/>
      </rPr>
      <t xml:space="preserve">     </t>
    </r>
    <r>
      <rPr>
        <rFont val="Arial"/>
        <b/>
        <color rgb="FF0000FF"/>
      </rPr>
      <t>Litigation</t>
    </r>
    <r>
      <rPr>
        <rFont val="Arial"/>
        <b/>
        <color rgb="FF00FF00"/>
      </rPr>
      <t xml:space="preserve">    </t>
    </r>
    <r>
      <rPr>
        <rFont val="Arial"/>
        <b/>
        <color rgb="FFFF00FF"/>
      </rPr>
      <t xml:space="preserve">Mediation    </t>
    </r>
    <r>
      <rPr>
        <rFont val="Arial"/>
        <b/>
        <color rgb="FFFF6D01"/>
      </rPr>
      <t xml:space="preserve">NOI   </t>
    </r>
    <r>
      <rPr>
        <rFont val="Arial"/>
        <b/>
        <color rgb="FF46BDC6"/>
      </rPr>
      <t xml:space="preserve">Appraisal  </t>
    </r>
    <r>
      <rPr>
        <rFont val="Arial"/>
        <b/>
        <color rgb="FF9900FF"/>
      </rPr>
      <t>Payment Pending</t>
    </r>
  </si>
  <si>
    <t>2024050015</t>
  </si>
  <si>
    <t>Gil Perez Hawkins</t>
  </si>
  <si>
    <t>239-200-8783</t>
  </si>
  <si>
    <t>worldman7201@hotmail.com</t>
  </si>
  <si>
    <t>442 NE Van Loon Ln Cape Coral Fl 33909</t>
  </si>
  <si>
    <t>HOH617836</t>
  </si>
  <si>
    <t>SPOL UPDATES</t>
  </si>
  <si>
    <t>MISSING</t>
  </si>
  <si>
    <t>08/21 Peter says this claim is with attorneys (CM)</t>
  </si>
  <si>
    <t>INSPECTION STATUS</t>
  </si>
  <si>
    <t>STATUS</t>
  </si>
  <si>
    <t>CLIENT CALL</t>
  </si>
  <si>
    <t>Prefered com.</t>
  </si>
  <si>
    <t>Devon Dowling</t>
  </si>
  <si>
    <t>239-919-7971</t>
  </si>
  <si>
    <t>deaconblue1125@gmail.com</t>
  </si>
  <si>
    <t xml:space="preserve"> 2157 Treehaven Cir S, Fort Myers, FL 33907</t>
  </si>
  <si>
    <t>2MR043918702</t>
  </si>
  <si>
    <t>00201556692</t>
  </si>
  <si>
    <t>Darrius Marzette 800-652-1262 ext 4018402 / 770-763-1000</t>
  </si>
  <si>
    <t>05/01 Sarah sent to the client a settlement check (CM)</t>
  </si>
  <si>
    <t>10/12 Sent inspection letter. (DE)</t>
  </si>
  <si>
    <t>na</t>
  </si>
  <si>
    <t>Pete</t>
  </si>
  <si>
    <t>Yusimi Nunez</t>
  </si>
  <si>
    <t>305-798-5548</t>
  </si>
  <si>
    <t>yusyrealtor@gmail.com</t>
  </si>
  <si>
    <t>2024030002</t>
  </si>
  <si>
    <t>8605 SW 160th St Palmetto Bay Ave, Miami, FL 33157</t>
  </si>
  <si>
    <t>Oak Park Villas of Brevard Condominium Association Inc</t>
  </si>
  <si>
    <t>4783464</t>
  </si>
  <si>
    <t>001-00-450729</t>
  </si>
  <si>
    <t>Travis Gardner 321-313-3310</t>
  </si>
  <si>
    <t>gggred42@gmail.com</t>
  </si>
  <si>
    <t>Velocity Risk Underwriters</t>
  </si>
  <si>
    <t xml:space="preserve">Trevis Brown / 888-621-9910 ext 21000 </t>
  </si>
  <si>
    <t>03/28 Peter will file a NOI (CM)</t>
  </si>
  <si>
    <t>10/23 Sent inspection letter. PP / DONE</t>
  </si>
  <si>
    <t>3600 Dairy Road Titusville, FL 32796</t>
  </si>
  <si>
    <t>2019-809942-05</t>
  </si>
  <si>
    <t>SDA24057930</t>
  </si>
  <si>
    <t>Josh</t>
  </si>
  <si>
    <t>Julio Forbes</t>
  </si>
  <si>
    <t>239-645-3075</t>
  </si>
  <si>
    <t>jafeevans12@gmail.com</t>
  </si>
  <si>
    <t>8513 Beacon St, Fort Myers, FL 33907</t>
  </si>
  <si>
    <t>04/15/23</t>
  </si>
  <si>
    <t>1505-1400-5986</t>
  </si>
  <si>
    <t>FL22-0136560-A322</t>
  </si>
  <si>
    <t>UPLOADED Uni/Front</t>
  </si>
  <si>
    <t>WAITING INFO</t>
  </si>
  <si>
    <t>📧</t>
  </si>
  <si>
    <t>FA Jamie Right / (954) 958‑1200 ext: 7099 / (954) 302‑1531</t>
  </si>
  <si>
    <t>03/28 Peter informs that there are pending payments (CM)</t>
  </si>
  <si>
    <t>11/9 Sent Reinspection letter -PP</t>
  </si>
  <si>
    <t>n/a</t>
  </si>
  <si>
    <t>⌛</t>
  </si>
  <si>
    <t>Sonya Gonzalez / sonya.gonzalez@sedgwick.com</t>
  </si>
  <si>
    <t xml:space="preserve">Ivan </t>
  </si>
  <si>
    <t>06/12 Ivan says to stand by on this one (CM)</t>
  </si>
  <si>
    <t>Christina Maglione</t>
  </si>
  <si>
    <t>239-234-8175</t>
  </si>
  <si>
    <t>tina3k2005@yahoo.com</t>
  </si>
  <si>
    <t>859 Bedford Dr., Lehigh Acres, FL 33974</t>
  </si>
  <si>
    <t>INSPECTION</t>
  </si>
  <si>
    <t>05352956</t>
  </si>
  <si>
    <t>001-00-451894</t>
  </si>
  <si>
    <t>AWD</t>
  </si>
  <si>
    <t>REINSPECTION</t>
  </si>
  <si>
    <t xml:space="preserve">James Perez / 888-621-9910 ext 21456 / </t>
  </si>
  <si>
    <t>05/08 called the client to look fo for the plumbing invoice, she didn;t answer (CM)</t>
  </si>
  <si>
    <t>10/17 Sent inspection letter. (DE)</t>
  </si>
  <si>
    <t xml:space="preserve">Client on Stand by </t>
  </si>
  <si>
    <t>Christian Aguirre</t>
  </si>
  <si>
    <t>305-720-0931</t>
  </si>
  <si>
    <t>aguirre.christian07@gmail.com</t>
  </si>
  <si>
    <t>5201 SW 31ST AVE APT 245 Fort Lauderdale, FL 33312</t>
  </si>
  <si>
    <t>05423202-3</t>
  </si>
  <si>
    <t>001-00-440632</t>
  </si>
  <si>
    <t>New IA &amp; Policy</t>
  </si>
  <si>
    <t>Jamie Black 561-452-5855 / 888-621-9910 ext 70020 NEW DA Melany Blend</t>
  </si>
  <si>
    <t>10/23 Sent inspection letter. PP</t>
  </si>
  <si>
    <t>Yohandry Nunez</t>
  </si>
  <si>
    <t xml:space="preserve">786-322-9088 </t>
  </si>
  <si>
    <t>yohandry8@hotmail.com</t>
  </si>
  <si>
    <t>6210 SW 163RD PL, Miami, FL 33193</t>
  </si>
  <si>
    <t>02660111-1</t>
  </si>
  <si>
    <t>001-00-452994</t>
  </si>
  <si>
    <t>Jeannea Spence / 888-621-9910 ext 21011</t>
  </si>
  <si>
    <t>10/24 Sent inspection letter. PP</t>
  </si>
  <si>
    <t>ENGINEERING INSPECTION</t>
  </si>
  <si>
    <t>Pete/Alex</t>
  </si>
  <si>
    <t>Cefie Metayer</t>
  </si>
  <si>
    <t>863-832-2302</t>
  </si>
  <si>
    <t>metayer132@gmail.com</t>
  </si>
  <si>
    <t>802 Sally PL, Wauchula, FL 33873</t>
  </si>
  <si>
    <t>1501-1503-0457</t>
  </si>
  <si>
    <t>FL22-0141809-A322</t>
  </si>
  <si>
    <t>RECORDED STATEMENT</t>
  </si>
  <si>
    <t>New IA Report</t>
  </si>
  <si>
    <t>Robert Osborn / ext 7053 / ro0229@universalproperty.com</t>
  </si>
  <si>
    <t>06/04 sent settlement release to carrier (CM)</t>
  </si>
  <si>
    <t>10/26 Waiting to have a DA assigned. (DE) / Docs on CP</t>
  </si>
  <si>
    <t>ROOF INSPECTION</t>
  </si>
  <si>
    <t>Anthony Nova</t>
  </si>
  <si>
    <t>786-975-3079</t>
  </si>
  <si>
    <t>anthonynova56@yahoo.com</t>
  </si>
  <si>
    <t>11450 SW 185th ST, Miami, FL 33157</t>
  </si>
  <si>
    <t>04950930-2</t>
  </si>
  <si>
    <t>001-00-453412</t>
  </si>
  <si>
    <t>LEAK INSPECTION</t>
  </si>
  <si>
    <t>Davi Lowry / 888-621-9910 ext 21236</t>
  </si>
  <si>
    <t>02/12 asked I&amp;P how to proceed now that it's been 10 bussiness days since we submitted the NOI (CM)</t>
  </si>
  <si>
    <t>SCHEDULED FOR 11/14</t>
  </si>
  <si>
    <t>PHONE CALL</t>
  </si>
  <si>
    <t>Linda Sandoval</t>
  </si>
  <si>
    <t>2024020013</t>
  </si>
  <si>
    <t>863-773-7800</t>
  </si>
  <si>
    <t>lindasandoval71@gmail.com</t>
  </si>
  <si>
    <t xml:space="preserve">Claire Gladley </t>
  </si>
  <si>
    <t>207 Rust Ave Wauchula, FL 33873</t>
  </si>
  <si>
    <t>592-067-352</t>
  </si>
  <si>
    <t>FL22-0157017-A322</t>
  </si>
  <si>
    <t>863-712-2976</t>
  </si>
  <si>
    <t>UMPIRE APPRAISAL</t>
  </si>
  <si>
    <t>cglad2002@yahoo.com</t>
  </si>
  <si>
    <t>Henry Wimp / 954-958-1200 / hw1206@universalproperty.com</t>
  </si>
  <si>
    <t>05/20 sent settlement release to carrier, asked Perry to upload on claims path (CM)</t>
  </si>
  <si>
    <t>11/3 Docs on CP. (DE)</t>
  </si>
  <si>
    <t>NA</t>
  </si>
  <si>
    <t>1031 Beach Lane, Winter Haven Fl 33880</t>
  </si>
  <si>
    <t>TMASHO330200</t>
  </si>
  <si>
    <t>LITIGATION / MSPG</t>
  </si>
  <si>
    <t>4392837</t>
  </si>
  <si>
    <t>Kathleen Judy Whaley</t>
  </si>
  <si>
    <t>863-781-7736</t>
  </si>
  <si>
    <t>jase12jaylin13@gmail.com</t>
  </si>
  <si>
    <t>326 Heard Bridge RD Wauchula, FL 33873</t>
  </si>
  <si>
    <t>AGH-0325955</t>
  </si>
  <si>
    <t>CHO00169311</t>
  </si>
  <si>
    <t>WAITING IA to sent</t>
  </si>
  <si>
    <t>Policy</t>
  </si>
  <si>
    <t>James Curd / 225-435-2183</t>
  </si>
  <si>
    <t>02/08 sent to carrier settlement release notarized (CM)</t>
  </si>
  <si>
    <t>Sent inspection letter. 11/6 (DE) / SCHEDULED FOR 11/14</t>
  </si>
  <si>
    <t>Vivian Carey</t>
  </si>
  <si>
    <t>863-832-4961</t>
  </si>
  <si>
    <t>mrc.blc114@gmail.com</t>
  </si>
  <si>
    <t>114 Pennsylvania Avenue Wauchula, FL 33873</t>
  </si>
  <si>
    <t>1504-1100-8515</t>
  </si>
  <si>
    <t>FL23-0138902-A322</t>
  </si>
  <si>
    <t>Angela Mattingly / Work: 678-619-0263 ext: 2017330 / Mobile: 908-224-7330/ angela.mattingly@us.crawco.com</t>
  </si>
  <si>
    <t>William Miller / wm0423@universalproperty.com / ext 6639 (CM)</t>
  </si>
  <si>
    <t>04/04 sent the settlement release to carrier and client (CM)</t>
  </si>
  <si>
    <t>02/07 mediator asked for dec page, send it (CM)</t>
  </si>
  <si>
    <t>06/12 stand by (CM)</t>
  </si>
  <si>
    <t>Jose Santos Olmos Jr</t>
  </si>
  <si>
    <t>863-781-5892</t>
  </si>
  <si>
    <t>427 3rd St E Zolfo Springs, FL 33890</t>
  </si>
  <si>
    <t>TMASDW316645</t>
  </si>
  <si>
    <t>Lynn Rothenhausler 866-641-7922  lynn.rothenhausler@us.crawco.com</t>
  </si>
  <si>
    <t>04/25 Peter send the notarized release, carrier says is going to send the payment  (CM)</t>
  </si>
  <si>
    <t>Not sent yet. (DE)</t>
  </si>
  <si>
    <t>Gregoria Naranjo</t>
  </si>
  <si>
    <t>863-222-1251</t>
  </si>
  <si>
    <t>saragosanaranjo13@gmail.com</t>
  </si>
  <si>
    <t>3015 Hickory CT Zolfo Springs, FL 33890</t>
  </si>
  <si>
    <t>AGD283455</t>
  </si>
  <si>
    <t>CDP-00169348</t>
  </si>
  <si>
    <t>Alain Guerra / 727-353-8352 ext 308 / aguerra@telaclaims.com</t>
  </si>
  <si>
    <t>05/09 Peter will file NOI (cm)</t>
  </si>
  <si>
    <t>7/11 Inscpetion letter sent. (DE) / SCHEDULED FOR 12/6</t>
  </si>
  <si>
    <t>Samuel Dela Torre</t>
  </si>
  <si>
    <t>863-781-0707/Casandra 863-832-4598</t>
  </si>
  <si>
    <t>delatorrerentals@live.com</t>
  </si>
  <si>
    <t>Aspen</t>
  </si>
  <si>
    <t>817 E Main St. Wauchula, FL 33873</t>
  </si>
  <si>
    <t>PB2270189314</t>
  </si>
  <si>
    <t>Allen Lockhart / allen.lockhart@associatedclaimsinc.com / 704-718-2806</t>
  </si>
  <si>
    <t>05/21 Ivan made an offer (CM)</t>
  </si>
  <si>
    <t>12/29 Sent inspection letter. (DE)</t>
  </si>
  <si>
    <t>503 South Florida Ave. Wauchula, FL 33873</t>
  </si>
  <si>
    <t>AGD289682</t>
  </si>
  <si>
    <t>CDP-00154999</t>
  </si>
  <si>
    <t>Jeanne Escher / 888-237-9375 ext 653 / jescher@ccadjust.com</t>
  </si>
  <si>
    <t>Sent Reinspection letter 11/6 -PP</t>
  </si>
  <si>
    <t>Jacob</t>
  </si>
  <si>
    <t>675 Chamberlain Blvd Wauchula, FL 33873</t>
  </si>
  <si>
    <t>P009763257</t>
  </si>
  <si>
    <t>Shaliea Blackmon / sblackmon@thig.com / 888-461-6908 x 0201</t>
  </si>
  <si>
    <t>06/24 received a letter in wich they acknoledge the SPOL, sent  to Pas (CM)</t>
  </si>
  <si>
    <t>2024050003</t>
  </si>
  <si>
    <t>Patricia Sigala</t>
  </si>
  <si>
    <t>863-245-7195</t>
  </si>
  <si>
    <t>Pathy66@icloud.com</t>
  </si>
  <si>
    <t>342 Rainey Blvd Wauchula, FL 33873</t>
  </si>
  <si>
    <t>03/05 / 1:00pm
Christopher Sokalski - 954-448-0578 / sokalclaims@gmail.com</t>
  </si>
  <si>
    <t>P000259092</t>
  </si>
  <si>
    <t>255338</t>
  </si>
  <si>
    <t>6/6/22</t>
  </si>
  <si>
    <t>Donna 386-261-9828</t>
  </si>
  <si>
    <t>06/05 Joshua will correct the DOL (CM)</t>
  </si>
  <si>
    <t>4719 Doyle Parker Ave Bowling Green, FL 33834</t>
  </si>
  <si>
    <t>TMASDW316606</t>
  </si>
  <si>
    <t>Lynn Rothenhausler (610) 871-3743 lynn.rothenhausler@us.crawco.com</t>
  </si>
  <si>
    <t>03/11 left a VM and emailed to DA asking for the check of this claim (CM)</t>
  </si>
  <si>
    <t>11/8 Sent inspection letter. PP / SCHEDULED FOR 12/5</t>
  </si>
  <si>
    <t>706 East Oak St #708 Wauchula, FL 33873</t>
  </si>
  <si>
    <t>07707441-2</t>
  </si>
  <si>
    <t>001-00-454936</t>
  </si>
  <si>
    <t>DA Jan Yeackley 866-411-2742 ext 21073 / FA Thomas Carter 352-653-5080</t>
  </si>
  <si>
    <t>11/7 Sent inspection letter. PP / SCHEDULED FOR 11/28</t>
  </si>
  <si>
    <t>710 East Oak St #712 Wauchula, FL 33873</t>
  </si>
  <si>
    <t>07707448-2</t>
  </si>
  <si>
    <t>11/20 / 10:00am
Michael Turpin / 954-997-3335 / mturpin@claimsquestions.com</t>
  </si>
  <si>
    <t>001-00-454991</t>
  </si>
  <si>
    <t>Deborah Martin / 888-621-9910 ext 70175</t>
  </si>
  <si>
    <t>11/7 Sent inspection letter. PP</t>
  </si>
  <si>
    <t>2023110038</t>
  </si>
  <si>
    <t>02/29 / 2pm - NOT PERFORMED
Mediator Stacy Bressler / sbressler@aol.com / cell (954) 557-5526 / (954) 797-3889</t>
  </si>
  <si>
    <t>Maria Suarez</t>
  </si>
  <si>
    <t>863-245-8889</t>
  </si>
  <si>
    <t>Joshua/David</t>
  </si>
  <si>
    <t>12/15 / 2pm</t>
  </si>
  <si>
    <t>Cipriano Antonio &amp; Petra Rivera</t>
  </si>
  <si>
    <t>863-781-6265 / 863-781-6812</t>
  </si>
  <si>
    <t>Msntvn97@gmail.com</t>
  </si>
  <si>
    <t>leosuarez863@gmail.com</t>
  </si>
  <si>
    <t>Lloyds of London</t>
  </si>
  <si>
    <t>302 North 10th Avenue Wauchula, FL 33873</t>
  </si>
  <si>
    <t>TMASHO313101</t>
  </si>
  <si>
    <t>Tokio Marine Highland</t>
  </si>
  <si>
    <t>311 Keaton Rd Wauchula, FL 33873</t>
  </si>
  <si>
    <t>Angela Mattingly / 678-619-0263 ext: 2017330 / 908-224-7330 / angela.mattingly@us.crawco.com / FA  David Willette</t>
  </si>
  <si>
    <t>WLH0007031379</t>
  </si>
  <si>
    <t>04/09 Sarah sent to the client a settlement check (CM)</t>
  </si>
  <si>
    <t>CULL-22-006863</t>
  </si>
  <si>
    <t>Joshua/Jakey</t>
  </si>
  <si>
    <t>Tyler Letchworth</t>
  </si>
  <si>
    <t>863-512-1764</t>
  </si>
  <si>
    <t>tylerletchworth96@gmail.com</t>
  </si>
  <si>
    <t>101 S 3rd Ave Wauchula, FL 33873</t>
  </si>
  <si>
    <t>UHF30794550409</t>
  </si>
  <si>
    <t>RUPCIC02901</t>
  </si>
  <si>
    <t>Lavonia Nelson/  (678) 287-5488 / lnelson@agfgroup.org</t>
  </si>
  <si>
    <t>04/25 Lavonia said that a paument has been issued, as this claim is settled(CM)</t>
  </si>
  <si>
    <t>11/09 Inspection letter sent. (DE)</t>
  </si>
  <si>
    <t>PENDING</t>
  </si>
  <si>
    <t xml:space="preserve">Maria Cervantes </t>
  </si>
  <si>
    <t>863-832-1948</t>
  </si>
  <si>
    <t>mariacervantes51510@gmail.com</t>
  </si>
  <si>
    <t>3062 Brantwood Dr Zolfo Springs, FL 33890</t>
  </si>
  <si>
    <t>0926221693</t>
  </si>
  <si>
    <t>7005131145-1</t>
  </si>
  <si>
    <t>Erika Longstreet 616-956-2031</t>
  </si>
  <si>
    <t>06/26 carrier has informed they sent the check for 14 (CM)</t>
  </si>
  <si>
    <t>20/11 Inspection letter sent. (DE)</t>
  </si>
  <si>
    <t>Hazel Bea / (800) 627-7601 Ext. 4053 / Hazel.Bea@PreciseAdjustments.com</t>
  </si>
  <si>
    <t>07/08 sent to closed claims, Ivan informed we can not represent the client (CM)</t>
  </si>
  <si>
    <t>Genaro Martinez</t>
  </si>
  <si>
    <t>863-245-8049</t>
  </si>
  <si>
    <t>genaromartinezignacio@gmail.com</t>
  </si>
  <si>
    <t>311 Georgia St Wauchula FL 33873</t>
  </si>
  <si>
    <t>TMASHO308290</t>
  </si>
  <si>
    <t>951-566-4166 Brendan KirkPatrick brkirk@us.crawco.com</t>
  </si>
  <si>
    <t>03/11 called DA and asked for the check of this claim, told me they will send it tomorrow or the day after (CM)</t>
  </si>
  <si>
    <t>Sent Reinspection letter 11/10-PP</t>
  </si>
  <si>
    <t>John Vandiver</t>
  </si>
  <si>
    <t>863-832-8820</t>
  </si>
  <si>
    <t>vandivercody653@gmail.com</t>
  </si>
  <si>
    <t>4921 Doyle Parker Ave Bowling Green, FL 33834</t>
  </si>
  <si>
    <t>UHF51759480009</t>
  </si>
  <si>
    <t>22FL00196270</t>
  </si>
  <si>
    <t>10/30 / 2:00pm
Dorian</t>
  </si>
  <si>
    <t>Darrin Smith /  (678) 502-2264 / dasmith@agfgroup.org</t>
  </si>
  <si>
    <t>05/21 sent an email confirming DA's inquiries (CM)</t>
  </si>
  <si>
    <t>11/10 Inspection letter sent. (DE) / SCHEDULED FOR 12/6</t>
  </si>
  <si>
    <t>754-252-0552 Claire</t>
  </si>
  <si>
    <t>fritotheodore@yahoo.com</t>
  </si>
  <si>
    <t>674 SW College Park Rd. Port Lucie FL, 34953</t>
  </si>
  <si>
    <t>07612968-1</t>
  </si>
  <si>
    <t>Hurricane</t>
  </si>
  <si>
    <t>FA Jim Roth 225-229-7071 / Margaret Williams/ 888-621-9910 ext. 21541</t>
  </si>
  <si>
    <t>02/12 sent all docs to lawyer (CM)</t>
  </si>
  <si>
    <t>11/13 Inspection letter sent. PP</t>
  </si>
  <si>
    <t>Jonathan Martinez</t>
  </si>
  <si>
    <t>863-445-4910</t>
  </si>
  <si>
    <t>jonathanmartinez61011@gmail.com</t>
  </si>
  <si>
    <t>4431 Dixiana Dr, Bowling Green, FL 33834</t>
  </si>
  <si>
    <t>07451681-1</t>
  </si>
  <si>
    <t>001-00-355952</t>
  </si>
  <si>
    <t>Krystie Johnson Bohannon 866-411-2742 ext 4700</t>
  </si>
  <si>
    <t>05/20 followed up on SPOL with the client as per citizens request, asked Perry to take care of this one as we are on litigation (CM)</t>
  </si>
  <si>
    <t>11/14 Inspection letter sent. PP</t>
  </si>
  <si>
    <t xml:space="preserve">Maria Olmos </t>
  </si>
  <si>
    <t>863-832-3833</t>
  </si>
  <si>
    <t>janie_68@hotmail.com</t>
  </si>
  <si>
    <t>207 Tangerine St Bowling Green FL 33834</t>
  </si>
  <si>
    <t>59-KR-9227-1</t>
  </si>
  <si>
    <t>59-59C8-55F</t>
  </si>
  <si>
    <t>Mi’Tuan Burney (404)257-7666 / mituan.burney.vacn78@statefarm.com</t>
  </si>
  <si>
    <t>09/01 / 1pm - Not scheduled by me</t>
  </si>
  <si>
    <t>Yordany Nunez</t>
  </si>
  <si>
    <t>305-343-7399</t>
  </si>
  <si>
    <t>yordanynunez@hotmail.com</t>
  </si>
  <si>
    <t>1230 NE 89 ST Miami, FL 33138</t>
  </si>
  <si>
    <t>ER73947857</t>
  </si>
  <si>
    <t>Sara Shefkiu saranda.shefkiu@zurichna.com 404-851-3626</t>
  </si>
  <si>
    <t>11/22 Inspection letter sent. PP</t>
  </si>
  <si>
    <t>2023110036</t>
  </si>
  <si>
    <t>Amber Westberry</t>
  </si>
  <si>
    <t>Michael Kontomanolis</t>
  </si>
  <si>
    <t>516-547-2732</t>
  </si>
  <si>
    <t>mk20nite@yahoo.com</t>
  </si>
  <si>
    <t>13884 SW 122nd CT Miami, FL 33186</t>
  </si>
  <si>
    <t>07266377-2</t>
  </si>
  <si>
    <t>001-00-456928</t>
  </si>
  <si>
    <t>863-245-5652</t>
  </si>
  <si>
    <t>awestbe2@gmail.com</t>
  </si>
  <si>
    <t>Tracy Fleming-Holder / 904-420-0213 / tracy.flemingholder@citizensfla.com</t>
  </si>
  <si>
    <t>11/17 Inspection letter sent. (DE)</t>
  </si>
  <si>
    <t>411 E Oak St Wauchula, FL 33873</t>
  </si>
  <si>
    <t>59-CU-U031-0</t>
  </si>
  <si>
    <t>Sandra Bass</t>
  </si>
  <si>
    <t>863-285-8987</t>
  </si>
  <si>
    <t>carlabass31@gmail.com</t>
  </si>
  <si>
    <t>5959T468X</t>
  </si>
  <si>
    <t>Universal North America Insurance Company</t>
  </si>
  <si>
    <t>613 E Hickory Ln Fort Meade, FL 33841</t>
  </si>
  <si>
    <t>UIIH0000039042-16</t>
  </si>
  <si>
    <t>00000006833</t>
  </si>
  <si>
    <t>Charles Rourk / 888-877-0770 ext 6645 / crourk@uihna.com</t>
  </si>
  <si>
    <t>06/27 Ivan is asking 25k to settled (CM)</t>
  </si>
  <si>
    <t>01/31 Inspection letter sent. (CM)</t>
  </si>
  <si>
    <t>spoke 07/02</t>
  </si>
  <si>
    <t>PHONE</t>
  </si>
  <si>
    <t>Arnulfo Armijo</t>
  </si>
  <si>
    <t>863-999-1623 (Martha Armijo - wife)</t>
  </si>
  <si>
    <t>arminova89@gmail.com</t>
  </si>
  <si>
    <t>Ben Hills / 678-935-3088</t>
  </si>
  <si>
    <t>1130 Sand Mountain Rd Fort Meade, FL 33841</t>
  </si>
  <si>
    <t>TMASHO300074</t>
  </si>
  <si>
    <t>07/16 Peter sent to closed claims (CM)</t>
  </si>
  <si>
    <t>12/4 / 1:30pm
Michael Stiles / 972-404-6371 / michaelo.stiles@gmail.com</t>
  </si>
  <si>
    <t>New Claim</t>
  </si>
  <si>
    <t>Brendan Kirkpatrick / 866-641-7922 / brkirk@us.crawco.com</t>
  </si>
  <si>
    <t>05/09 Peter will file a NOI (CM)</t>
  </si>
  <si>
    <t>29/11 Inspection letter sent. -PP</t>
  </si>
  <si>
    <t>Latoya Solomon</t>
  </si>
  <si>
    <t>863-205-2553</t>
  </si>
  <si>
    <t>latoyasolomon55@gmail.com</t>
  </si>
  <si>
    <t>702 S Oak Ave Fort Meade, FL 33841</t>
  </si>
  <si>
    <t>1504-2200-2186</t>
  </si>
  <si>
    <t>FL23-0140285-A322</t>
  </si>
  <si>
    <t>BRYAN KIMBROUGH / EXT 7062 / 954-654-3514 /rk0117@universalproperty.com (CM)</t>
  </si>
  <si>
    <t>03/14 sent the signed and notarized release form. (CM)</t>
  </si>
  <si>
    <t>23/11 Inspection letter sent. PP</t>
  </si>
  <si>
    <t>Keith Mosley</t>
  </si>
  <si>
    <t>863-661-2799</t>
  </si>
  <si>
    <t>monel212@aol.com</t>
  </si>
  <si>
    <t>217 7th St SE Fort Meade, FL 33841</t>
  </si>
  <si>
    <t>59KK02327</t>
  </si>
  <si>
    <t>59-59L2-28Z</t>
  </si>
  <si>
    <t>DA Danelle Stephens / phone 770-418-5663</t>
  </si>
  <si>
    <t>06/12 Ivan filed NOI (CM)</t>
  </si>
  <si>
    <t>Juan Correa</t>
  </si>
  <si>
    <t>786-369-9724 (wife Stephanie)</t>
  </si>
  <si>
    <t>mstephaniecorrea4@gmail.com</t>
  </si>
  <si>
    <t>2450 SW 85th Ave. Miramar, FL 33025</t>
  </si>
  <si>
    <t>07048804-2</t>
  </si>
  <si>
    <t>001-00-458224</t>
  </si>
  <si>
    <t>DA Karen Perry / 888 621 9910 ext 21270/ FA Marcos Gonzalez (CM)</t>
  </si>
  <si>
    <t>05/09 Peter will file a NOI waiting on retainer (CM)</t>
  </si>
  <si>
    <t>23/11 Inspection letter sent.</t>
  </si>
  <si>
    <t>Raul Perez &amp; Mileidy Hernandez</t>
  </si>
  <si>
    <t>305-224-2164</t>
  </si>
  <si>
    <t>raul.suchel@gmail.com</t>
  </si>
  <si>
    <t>05/16 / 2:00pm
Myra Bennett Torres / 305-442-4445 / mbtorreslaw@gmail.com</t>
  </si>
  <si>
    <t>505 NW 108th Ter. Pembroke Pines, FL 33026</t>
  </si>
  <si>
    <t>150117043217</t>
  </si>
  <si>
    <t>FL23-0140954-A322</t>
  </si>
  <si>
    <t>Henry Wimp / (954) 686‑6535 / hw1206@universalproperty.com. (DE)</t>
  </si>
  <si>
    <t>05/09 Peter sent the retainer form (CM)</t>
  </si>
  <si>
    <t>12/01 Inspection letter sent.</t>
  </si>
  <si>
    <t>David Santiago</t>
  </si>
  <si>
    <t>863-328-0116</t>
  </si>
  <si>
    <t>santiagodavid085@gmail.com</t>
  </si>
  <si>
    <t>American Traditions Insurance Company</t>
  </si>
  <si>
    <t>225 Keeton Rd Wauchula, FL 33873</t>
  </si>
  <si>
    <t>MUM122446</t>
  </si>
  <si>
    <t>AM150898</t>
  </si>
  <si>
    <t>Mike Strain / 866-270-8430 EXT.0063 / ATICClaims@westpointuw.com</t>
  </si>
  <si>
    <t>02/13 received the NOI response from the liability adjuster (CM)</t>
  </si>
  <si>
    <t>30/11 Inspection letter sent. (DE)</t>
  </si>
  <si>
    <t>Luis Bruno Gomez</t>
  </si>
  <si>
    <t>863-535-7826</t>
  </si>
  <si>
    <t>luisbruno1989@yahoo.com</t>
  </si>
  <si>
    <t>717 Sally Wauchula FL 33873</t>
  </si>
  <si>
    <t>AGH0374526</t>
  </si>
  <si>
    <t>CHO-00169730</t>
  </si>
  <si>
    <t>Jordan Woods / anthony.woods@ryzeclaims.com / (888) 898-7993</t>
  </si>
  <si>
    <t>03/21 Uploaded litigation retainer form - NOI (CM)</t>
  </si>
  <si>
    <t>29/11 Inspection letter sent. PP</t>
  </si>
  <si>
    <t>07/03 Asked Jakey to confirm on the last informatio with the client, Jakey said he is waiting on the client's decision (CM)</t>
  </si>
  <si>
    <t>29/11 Inspection letter sent. (DE)</t>
  </si>
  <si>
    <t>client recently updated 07/03</t>
  </si>
  <si>
    <t>11/14 / 9:30am
Luis Morejon / luis.adjuster@gmail.com 305-495-0843</t>
  </si>
  <si>
    <t>Castadero &amp; Sara Hudnell</t>
  </si>
  <si>
    <t>863-559-0110</t>
  </si>
  <si>
    <t>hudnell1@aol.com</t>
  </si>
  <si>
    <t>869 North kunkle Ave Fort Meade, FL 33841</t>
  </si>
  <si>
    <t>1501-1200-4737</t>
  </si>
  <si>
    <t>FL23-0141189-A322</t>
  </si>
  <si>
    <t>Henry Wimp / 954-958-1200 ext 6262 - (954) 686‑6535 / hw1206@universalproperty.com</t>
  </si>
  <si>
    <t>03/20 sent settlement release to DA (CM)</t>
  </si>
  <si>
    <t>1/12 Inspection letter sent. PP</t>
  </si>
  <si>
    <t>Teresa &amp; Eliseo Salas</t>
  </si>
  <si>
    <t>863-448-2170</t>
  </si>
  <si>
    <t>salas.eliseo@yahoo.com</t>
  </si>
  <si>
    <t>State farm</t>
  </si>
  <si>
    <t>665 Hanchey Rd Wauchula, FL 33873</t>
  </si>
  <si>
    <t>59-CN-N569-5</t>
  </si>
  <si>
    <t>59-39T1-67S</t>
  </si>
  <si>
    <t>Amanda Granderson / (404) 257-7741</t>
  </si>
  <si>
    <t>2024060010</t>
  </si>
  <si>
    <t>04/26 Peter asked Perry to filed NOI (CM)</t>
  </si>
  <si>
    <t>12/5 reinspection letter sent. PP</t>
  </si>
  <si>
    <t>Jacob S</t>
  </si>
  <si>
    <t>Christopher Fawley</t>
  </si>
  <si>
    <t>863-444-1816</t>
  </si>
  <si>
    <t>slim0629@gmail.com</t>
  </si>
  <si>
    <t>502 NE 6th St Meade, FL 33841</t>
  </si>
  <si>
    <t>P001701443</t>
  </si>
  <si>
    <t>02/09 - 11am
Victor Zengler / 754-368-2966 / victor.zengler@baysideadjusters.com</t>
  </si>
  <si>
    <t>Holly Franklin / HFranklin@securityfirstflorida.com / 386-868-1531</t>
  </si>
  <si>
    <t>06/06 mediation done</t>
  </si>
  <si>
    <t>04/25 - 1:00pm
Shaun H. Malvin /  954-628-3939 / shaun@avid.law</t>
  </si>
  <si>
    <t>Marisa Dawson</t>
  </si>
  <si>
    <t>863-344-2567</t>
  </si>
  <si>
    <t>holamarisa7@gmail.com</t>
  </si>
  <si>
    <t>24 N Cleveland Ave, Fort Meade FL 33841</t>
  </si>
  <si>
    <t>AGD10427707</t>
  </si>
  <si>
    <t>CDP-00169870</t>
  </si>
  <si>
    <t>Nicholas Leggio / 813-761-1405 / nicholas.leggio@RYZEclaims.com (CM)</t>
  </si>
  <si>
    <t>12/6 Inspection letter sent. PP</t>
  </si>
  <si>
    <t>RMSF000012</t>
  </si>
  <si>
    <t>7/7/22</t>
  </si>
  <si>
    <t>Andres &amp; Lidilia Bellidodeluna</t>
  </si>
  <si>
    <t>407-968-8338</t>
  </si>
  <si>
    <t>andresbellido@yahoo.com</t>
  </si>
  <si>
    <t>9736 W 34th Ave Hialeah, FL 33018</t>
  </si>
  <si>
    <t>022572347</t>
  </si>
  <si>
    <t>22572347-009</t>
  </si>
  <si>
    <t>Marianne Barker / 1-800-531-8722 x44862</t>
  </si>
  <si>
    <t>05/21 Uploaded litigation retainer form - NOI (CM)</t>
  </si>
  <si>
    <t>Lucrecia Garrett / 844-487-2287 x1714 / lgarrett@agfgroup.org</t>
  </si>
  <si>
    <t>11/14 / 5:00pm
Mac Mc Dougall / 813-892-9171 / mac.mcdougallrj@ryzeclaims.com</t>
  </si>
  <si>
    <t xml:space="preserve">James Schaill </t>
  </si>
  <si>
    <t>863-640-6169</t>
  </si>
  <si>
    <t>catherineschaill@yahoo.com</t>
  </si>
  <si>
    <t>219 N Pine Ave Fort Meade, FL 33841</t>
  </si>
  <si>
    <t>TMASHO313974</t>
  </si>
  <si>
    <t>Reopen</t>
  </si>
  <si>
    <t>01/19 / 12:00pm
Jeanne Spital / jeannespital@gmail.com</t>
  </si>
  <si>
    <t>Heidi Szekula / (951) 686-1776 / (866) 641-7922 / Heidi_Szekula@us.crawco.com</t>
  </si>
  <si>
    <t>06/12 waiting for retainer (CM)</t>
  </si>
  <si>
    <t>12/14 Inspection letter sent (DE)</t>
  </si>
  <si>
    <t>Fern Hernandez</t>
  </si>
  <si>
    <t>863-832-4044</t>
  </si>
  <si>
    <t>fernhernandez54@yahoo.com</t>
  </si>
  <si>
    <t>National Fire and Insurance Company</t>
  </si>
  <si>
    <t>1355 Grady Revell Rd, Wauchula, FL 33873</t>
  </si>
  <si>
    <t>56802864</t>
  </si>
  <si>
    <t>06/12 asked Juan the correct policy (CM)</t>
  </si>
  <si>
    <t>John Barlow</t>
  </si>
  <si>
    <t>863-245-5170</t>
  </si>
  <si>
    <t>jtbarlow1@gmail.com</t>
  </si>
  <si>
    <t>11/22 / 11:00am
Seam Anderson 561-389-8637</t>
  </si>
  <si>
    <t>185 Georgetown Loop Wuachula, FL33873</t>
  </si>
  <si>
    <t>1501-2007-2580</t>
  </si>
  <si>
    <t>03/21 / 1:00pm
Steven Michaelson / (954) 224-3802 / mediation50@gmail.com</t>
  </si>
  <si>
    <t>FL21-0126036-S121</t>
  </si>
  <si>
    <t>01/29 NO DA INFO (CM)</t>
  </si>
  <si>
    <t>06/12 asked Juan for the estimate and photos (CM)</t>
  </si>
  <si>
    <t xml:space="preserve">11/7 Docs on CP. (CM) </t>
  </si>
  <si>
    <t>SMS 04/29</t>
  </si>
  <si>
    <t>FL24-0102818-A322</t>
  </si>
  <si>
    <t>William Miller /ext 6639 / wm0423@universalproperty.com</t>
  </si>
  <si>
    <t>02/01 Uploaded inspection letter  (PP)</t>
  </si>
  <si>
    <t>Michael Reynolds / Penny Wienk</t>
  </si>
  <si>
    <t>863-241-6736</t>
  </si>
  <si>
    <t>penny.wienk539@gmail.com</t>
  </si>
  <si>
    <t>Farmers</t>
  </si>
  <si>
    <t>539 Domaris Ave, Lake Wales, FL 33853</t>
  </si>
  <si>
    <t>76540-82-31</t>
  </si>
  <si>
    <t>7006922134-1</t>
  </si>
  <si>
    <t xml:space="preserve">Elizabeth Fernandez 352-298-1828 elizabeth.fernandez1@farmersinsurance.com </t>
  </si>
  <si>
    <t>06/27 recieved a letter in which the carrier says that their position remain unchange, that they didn't agree with us on the mediation meeting (CM)</t>
  </si>
  <si>
    <t>12/14 Inspection letter sent. (DE)</t>
  </si>
  <si>
    <t>12/5 / 1:30pm
David Willette (808) 306-7865 / david_willette@us.crawco.com</t>
  </si>
  <si>
    <t>Reginald Franklin</t>
  </si>
  <si>
    <t>850-272-6754</t>
  </si>
  <si>
    <t>lmfrental@gmail.com</t>
  </si>
  <si>
    <t>901 Layton Rd Graceville, FL 32440</t>
  </si>
  <si>
    <t>1501-2106-0499</t>
  </si>
  <si>
    <t>FL23-0142385</t>
  </si>
  <si>
    <t>Isabella Gutierrez / 954 - 666‑0345 / ig0125@universalproperty.com / FA Charlie Valletto / 850-982-7603 /  aandeassc@aol.com and charlievalletto@gmail.com</t>
  </si>
  <si>
    <t>2023100004</t>
  </si>
  <si>
    <t>06/12 asked Peter to send estimate to JP (CM)</t>
  </si>
  <si>
    <t>12/14 Doc uploaded to CP. (DE)</t>
  </si>
  <si>
    <t>spoke to client 4/28</t>
  </si>
  <si>
    <t>Timothy &amp; Rebecca Meyers</t>
  </si>
  <si>
    <t>863-412-7824</t>
  </si>
  <si>
    <t>tjmeyers82@yahoo.com</t>
  </si>
  <si>
    <t>621 Shore Acres Dr Lakeland, FL 33801</t>
  </si>
  <si>
    <t>1504-1300-7397</t>
  </si>
  <si>
    <t>FL23-0142386-A322</t>
  </si>
  <si>
    <t>10/03/2023</t>
  </si>
  <si>
    <t>04/23 sent notarized settlement release to carrier (CM)</t>
  </si>
  <si>
    <t>SENT to INS</t>
  </si>
  <si>
    <t>Denial Letter</t>
  </si>
  <si>
    <t xml:space="preserve">Louis Gomez &amp; Lourdes Parra </t>
  </si>
  <si>
    <t>321-298-8238</t>
  </si>
  <si>
    <t>louisg3509@gmail.com</t>
  </si>
  <si>
    <t xml:space="preserve">Slide </t>
  </si>
  <si>
    <t xml:space="preserve">2200 Angel Rd SE Palm Bay, FL 32909 </t>
  </si>
  <si>
    <t>SJ31049201</t>
  </si>
  <si>
    <t>SL22218930</t>
  </si>
  <si>
    <t>12/6 / 3:00pm
Charles Pona / 518-281-6275 / diesel6178@aol.com</t>
  </si>
  <si>
    <t>Efstathios Giannoutsos 813-537-2254/ egiannoutsos@slideinsurance.com / 12/27 FA Grindley Williams</t>
  </si>
  <si>
    <t>07/16 Ivan sent to closed claims (CM)</t>
  </si>
  <si>
    <t>12/15 Inspection letter sent. (CM)</t>
  </si>
  <si>
    <t>04/19 / 12:00pm
Ariadne Latorre / 305-510-2033 / ariadne.latorre@gmail.com</t>
  </si>
  <si>
    <t>305-266-1761</t>
  </si>
  <si>
    <t>retrodriguez23@yahoo.com</t>
  </si>
  <si>
    <t>3096 SW 139th Ave Miramar, FL 33027</t>
  </si>
  <si>
    <t>GIC04552845590C</t>
  </si>
  <si>
    <t>045528455-4</t>
  </si>
  <si>
    <t>Gina Millan / 210-531-8722 ext 31497</t>
  </si>
  <si>
    <t>06/12 sent docs to uriarte (CM)</t>
  </si>
  <si>
    <t>12/14 Inspection letter sent. (CM)</t>
  </si>
  <si>
    <t>Ivan/Jose</t>
  </si>
  <si>
    <t>Michael Culp</t>
  </si>
  <si>
    <t>863-251-2971</t>
  </si>
  <si>
    <t>kmclyde1@aol.com</t>
  </si>
  <si>
    <t xml:space="preserve">American Tradition </t>
  </si>
  <si>
    <t>985 Kidd School Road, Mulberry, FL 33860</t>
  </si>
  <si>
    <t>ATM232533</t>
  </si>
  <si>
    <t>AM151002</t>
  </si>
  <si>
    <t>Stacey Howell / (866)270-8430 / showell@westpointuw.com (CM)</t>
  </si>
  <si>
    <t>07/03 asked Peter updates on this appraisal (CM)</t>
  </si>
  <si>
    <t>client recently updated 6/22</t>
  </si>
  <si>
    <t>Billy Engler</t>
  </si>
  <si>
    <t>863-913-4882</t>
  </si>
  <si>
    <t>englerb1937@gmail.com</t>
  </si>
  <si>
    <t>707 NW 3rd ST, Mulberry, FL 33860</t>
  </si>
  <si>
    <t>59-QE-8973-9</t>
  </si>
  <si>
    <t>5960-M773-J</t>
  </si>
  <si>
    <t>Stephany Burkes/ 404 851 5778</t>
  </si>
  <si>
    <t>04/26 Ivan asked Perry to file NOI (CM)</t>
  </si>
  <si>
    <t xml:space="preserve">David </t>
  </si>
  <si>
    <t>Florence DeZavodow</t>
  </si>
  <si>
    <t>863-450-0929</t>
  </si>
  <si>
    <t>Not scheduled by me</t>
  </si>
  <si>
    <t>sparkle_dz@yahoo.com</t>
  </si>
  <si>
    <t>726 Fairway Ave, Lakeland FL 33801</t>
  </si>
  <si>
    <t>P000432987</t>
  </si>
  <si>
    <t>Oscar Vazquez/ (386) 492-0108 / ovazquez@securityfirstflorida.com (CM)</t>
  </si>
  <si>
    <t>12/20 Inspection letter sent. (CM)</t>
  </si>
  <si>
    <t>Jose Rosales</t>
  </si>
  <si>
    <t>863-344-2306</t>
  </si>
  <si>
    <t>reyleen19@gmail.com</t>
  </si>
  <si>
    <t xml:space="preserve">American Security </t>
  </si>
  <si>
    <t>808 SE 5th St. Mulberry, FL 33860</t>
  </si>
  <si>
    <t>ALR07232841902</t>
  </si>
  <si>
    <t>00201738605</t>
  </si>
  <si>
    <t>Breanna Baker / 800-652-1262 Ext. 4039085 / 866-728-7098 / breanna.baker1@assurant.com (CM)</t>
  </si>
  <si>
    <t>06/11 received the apprasial award detailed, sent to PAs (CM)</t>
  </si>
  <si>
    <t>12/21 Inspection letter sent. (CM)</t>
  </si>
  <si>
    <t>Danielle Defelice</t>
  </si>
  <si>
    <t>863-307-5704</t>
  </si>
  <si>
    <t>ddefelice_mfhh@yahoo.com</t>
  </si>
  <si>
    <t>Statefarm</t>
  </si>
  <si>
    <t>901 Glad Rd Winter Haven Fl 33880</t>
  </si>
  <si>
    <t>59-k4-8886-6</t>
  </si>
  <si>
    <t>59-60V4-87N</t>
  </si>
  <si>
    <t>Kathy Smith / Phone: 844-458-4300 ext.  404-943-7782</t>
  </si>
  <si>
    <t>05/08 Peter filed NOI (CM)</t>
  </si>
  <si>
    <t>02/21 / 10:00am // Allen Lockhart / allen.lockhart@associatedclaimsinc.com / 
704-485-8975 -- 704-973-9303</t>
  </si>
  <si>
    <t>Jose Hernandez</t>
  </si>
  <si>
    <t>863-513-9717</t>
  </si>
  <si>
    <t>ramonhernandez0944@gmail.com</t>
  </si>
  <si>
    <t>403 Fern Rd Winter Haven, FL 33880</t>
  </si>
  <si>
    <t>MLR977183303</t>
  </si>
  <si>
    <t xml:space="preserve"> 00201551528</t>
  </si>
  <si>
    <t>2024050004</t>
  </si>
  <si>
    <t>Gary John &amp; Diane R Beaupre</t>
  </si>
  <si>
    <t xml:space="preserve">Sabrina Arnett / 800-652-1262 Ext. 4018824 </t>
  </si>
  <si>
    <t>06/11 Ivan is requesting the DA to continue with the appraisal (CM)</t>
  </si>
  <si>
    <t>863-990-4978/ 863-990-4970</t>
  </si>
  <si>
    <t>12/21 reinspection letter sent. (CM)</t>
  </si>
  <si>
    <t>spoke to client 06/17</t>
  </si>
  <si>
    <t>Roseisfishing@yahoo.com</t>
  </si>
  <si>
    <t>1500 SE Maple Dr Arcadia Fl 34266</t>
  </si>
  <si>
    <t>59-S1-2143-8</t>
  </si>
  <si>
    <t>John Cherundolo</t>
  </si>
  <si>
    <t>239-282-0430</t>
  </si>
  <si>
    <t>cherunjohn@gmail.com</t>
  </si>
  <si>
    <t>59-41K7-44J</t>
  </si>
  <si>
    <t xml:space="preserve">People’s Trust </t>
  </si>
  <si>
    <t>2917 NW 20th PL Cape Coral FL 33993</t>
  </si>
  <si>
    <t>09115190987303</t>
  </si>
  <si>
    <t>CFL22590053</t>
  </si>
  <si>
    <t>Yousy Valdes / yvaldes@pti.insure / 561-609-1000 ext 3362</t>
  </si>
  <si>
    <t>06/21 Appraisal done</t>
  </si>
  <si>
    <t>Not performed</t>
  </si>
  <si>
    <t>12/29 reinspection letter sent. (CM)</t>
  </si>
  <si>
    <t>client recently updated 07/02</t>
  </si>
  <si>
    <t>01/31 / 12:00pm</t>
  </si>
  <si>
    <t>Judy Nunez</t>
  </si>
  <si>
    <t>305-781-0205</t>
  </si>
  <si>
    <t>540 E 10th ST Hialeah, FL 33010</t>
  </si>
  <si>
    <t>02454264-7</t>
  </si>
  <si>
    <t>001-00-464183</t>
  </si>
  <si>
    <t>Tracy Fleming-Holder / 904-420-0213 / tracy.flemingholder@citizensfla.com / FA Will Lazenby 407-312-0647 wlazenby@claimsquestions.com</t>
  </si>
  <si>
    <t>04/01 Peter will file a NOI (CM)</t>
  </si>
  <si>
    <t>01/04 Inspection letter sent. (CM)</t>
  </si>
  <si>
    <t xml:space="preserve">Noel Myers / (972) 657-3197. </t>
  </si>
  <si>
    <t>Emanuel518 Enterprises LLC (Markus Khalil)</t>
  </si>
  <si>
    <t>407-929-3450</t>
  </si>
  <si>
    <t>07/17 Joshua says the client signed the settlement with Elevate PAs, confirm with the PAs if this claim is closed (CM)</t>
  </si>
  <si>
    <t>markus.buysell@gmail.com</t>
  </si>
  <si>
    <t>4750 Cypress Gardens RD, Winter Haven, FL 33884</t>
  </si>
  <si>
    <t>AGD10261310</t>
  </si>
  <si>
    <t>CDP-00147953</t>
  </si>
  <si>
    <t>Danisha Ellis / danisha.ellis@sedgwick.com / 469-896-1327</t>
  </si>
  <si>
    <t>05/22 Peter sent the retainer form (CM)</t>
  </si>
  <si>
    <t>01/10 Inspection letter sent (CM)</t>
  </si>
  <si>
    <t>Dorothy Sumpter</t>
  </si>
  <si>
    <t>941-769-3396</t>
  </si>
  <si>
    <t>dispatchtrans@yahoo.com</t>
  </si>
  <si>
    <t>UPC / FIGA</t>
  </si>
  <si>
    <t>17298 Poston Ave, Port Charlotte FL 33948</t>
  </si>
  <si>
    <t>UHV26552951001</t>
  </si>
  <si>
    <t>RMUPCIC000124</t>
  </si>
  <si>
    <t>05/09 Peter says this claim is settled(CM)</t>
  </si>
  <si>
    <t>01/09 Inspection letter sent. (CM)</t>
  </si>
  <si>
    <t xml:space="preserve">Eddy Ramos </t>
  </si>
  <si>
    <t>239-745-0472</t>
  </si>
  <si>
    <t>ramosbigman@gmail.com</t>
  </si>
  <si>
    <t>501 Brian Ave North, Lehigh acres FL 33971</t>
  </si>
  <si>
    <t>43806002-90A</t>
  </si>
  <si>
    <t>43806002-3</t>
  </si>
  <si>
    <t>Allcat /Shanda 855-925-5228 EXT 3298 / 5cb4295939x3@claims.usaa.com</t>
  </si>
  <si>
    <t>05/30 Sent to carrier the notarized release (CM)</t>
  </si>
  <si>
    <t>01/05 Inspection letter sent. (CM)</t>
  </si>
  <si>
    <t xml:space="preserve">01/10 / 12pm
Chris Chaffee / bcchaffee@gmail.com / 941-713-3809 </t>
  </si>
  <si>
    <t>Donghong Min</t>
  </si>
  <si>
    <t xml:space="preserve">423-314-9363 / - 9367 </t>
  </si>
  <si>
    <t>claramin668@gmail.com</t>
  </si>
  <si>
    <t>6186 9th Ave Cir NE Brandenton , FL 34212</t>
  </si>
  <si>
    <t>10402884</t>
  </si>
  <si>
    <t>001-00-465697</t>
  </si>
  <si>
    <t>Hurricane Idalia</t>
  </si>
  <si>
    <t>Graham Millar / 866-411-2742 ext 4041</t>
  </si>
  <si>
    <t>05/09 Peter filed NOI (CM)</t>
  </si>
  <si>
    <t>01/11 Inspection letter sent. (CM)</t>
  </si>
  <si>
    <t>05/21 / 4:30pm
Eric Morgan / 941-400-0559 / ole.ericm@gmail.com</t>
  </si>
  <si>
    <t xml:space="preserve">Jackeline Silva </t>
  </si>
  <si>
    <t>941-586-2960</t>
  </si>
  <si>
    <t>jackiesilva11@gmail.com</t>
  </si>
  <si>
    <t>6626 Brentford Rd Sarasota Fl, 34241</t>
  </si>
  <si>
    <t>901001116853</t>
  </si>
  <si>
    <t>RMUPCIC000130</t>
  </si>
  <si>
    <t>04/23 sent notarized settlement release to carrier, Lavonia says payments has been issued (CM)</t>
  </si>
  <si>
    <t xml:space="preserve">Todd Bosselman </t>
  </si>
  <si>
    <t>863-272-4972</t>
  </si>
  <si>
    <t>toddscomp2@aol.com</t>
  </si>
  <si>
    <t>1348 Honeytree Ln E Lakeland, Fl 33801</t>
  </si>
  <si>
    <t>592-565-655</t>
  </si>
  <si>
    <t>FL23-0116913-A322</t>
  </si>
  <si>
    <t>07/30 / 12:00pm
Eric Morgan / 941-400-0559 / ole.ericm@gmail.com
 Umpire Michael Ruskin</t>
  </si>
  <si>
    <t>01/12 Reinspection letter uploaded. (PP)</t>
  </si>
  <si>
    <t xml:space="preserve">Kemline and Ires Dorvil </t>
  </si>
  <si>
    <t>561-346-8661</t>
  </si>
  <si>
    <t>kemlined83@gmail.com</t>
  </si>
  <si>
    <t>Kin Insurance</t>
  </si>
  <si>
    <t>2201 Arterra Court Royal Palm Beach, FL 33411</t>
  </si>
  <si>
    <t>KIN-HO-FL-242038400</t>
  </si>
  <si>
    <t>HO-4977326</t>
  </si>
  <si>
    <t>Leak</t>
  </si>
  <si>
    <t>Waiting PA approval</t>
  </si>
  <si>
    <t>SENT TO PA</t>
  </si>
  <si>
    <t>DO &amp; SEND</t>
  </si>
  <si>
    <t xml:space="preserve">Jamie Miller / 866-204-2219 ext 1054 </t>
  </si>
  <si>
    <t>06/12 asked Juan to review the estimate and photos (CM)</t>
  </si>
  <si>
    <t>02/21 Inspection letter sent. (CM)</t>
  </si>
  <si>
    <t>client recently updated 5/28</t>
  </si>
  <si>
    <t>12/5 / 3:30pm
David Willette (808) 306-7865 / david_willette@us.crawco.com</t>
  </si>
  <si>
    <t>HO-3764375</t>
  </si>
  <si>
    <t>IN PROCESS</t>
  </si>
  <si>
    <t>Jamie Miller / 866-204-2219 ext 1054 / claims@kin.com</t>
  </si>
  <si>
    <t>05/09 Ivan sent an email to DA (CM)</t>
  </si>
  <si>
    <t>01/12 Inspection letter sent. (CM)</t>
  </si>
  <si>
    <t>2024010016</t>
  </si>
  <si>
    <t xml:space="preserve">Donald Gordon </t>
  </si>
  <si>
    <t>401-623-1145</t>
  </si>
  <si>
    <t>addygordon@icloud.com</t>
  </si>
  <si>
    <t>0736828609</t>
  </si>
  <si>
    <t>7415 Mizner Reserve Ct Lakeland Ranch, FL 34202</t>
  </si>
  <si>
    <t>06/21 Appraisal performed</t>
  </si>
  <si>
    <t>UHF35452370109</t>
  </si>
  <si>
    <t>RMUPCI00358</t>
  </si>
  <si>
    <t>Brenda and James Killen</t>
  </si>
  <si>
    <t>863-604-0361</t>
  </si>
  <si>
    <t>kayekillen@yahoo.com</t>
  </si>
  <si>
    <t>625 Shore Acres Dr Lakeland, FL 33801</t>
  </si>
  <si>
    <t>59-BP-L618-1</t>
  </si>
  <si>
    <t>8/22/22</t>
  </si>
  <si>
    <t>5939T795J</t>
  </si>
  <si>
    <t>Yesennia Rosado / (844) 458-4300 ext. 678-579-1492</t>
  </si>
  <si>
    <t>07/03 the client informed that on the estimate is not the pool, asked Juan to review the estimate (CM)</t>
  </si>
  <si>
    <t>01/12 reinspection letter sent. (CM)</t>
  </si>
  <si>
    <t>spoke to client 07/02</t>
  </si>
  <si>
    <t>11/28 / 2:00pm
Thomas Carter 352-653-5080 / thomas.carter@alliedamericanusa.com</t>
  </si>
  <si>
    <t>Annette Acosta / 904-385-4481 / aacosta2@agfgroup.org</t>
  </si>
  <si>
    <t>Breiann and Adam Dupre</t>
  </si>
  <si>
    <t>239-888-6694</t>
  </si>
  <si>
    <t>ardupre123@gmail.com</t>
  </si>
  <si>
    <t>08/21 Peter said to send to closed claims (CM)</t>
  </si>
  <si>
    <t>1719 NW 5th St Cape Coral FL 33993</t>
  </si>
  <si>
    <t>W014402757</t>
  </si>
  <si>
    <t>Both IA report</t>
  </si>
  <si>
    <t>Nichole Craggette / 724-963-3882 / claims@thig.com</t>
  </si>
  <si>
    <t>06/17 followed up on the settlement release sent to the carrier before, and send it again in aother email (CM)</t>
  </si>
  <si>
    <t>01/31 reinspection letter sent. (CM)</t>
  </si>
  <si>
    <t>12/22 / 11:00am</t>
  </si>
  <si>
    <t>Barry Serica</t>
  </si>
  <si>
    <t>941-932-0312 / 941-928-4721</t>
  </si>
  <si>
    <t>lorraines908@gmail.com</t>
  </si>
  <si>
    <t>Farmers Insurance</t>
  </si>
  <si>
    <t>323 141st Ct NE Bradenton, FL 34212</t>
  </si>
  <si>
    <t>76227-88-99</t>
  </si>
  <si>
    <t>7007051813-1</t>
  </si>
  <si>
    <t>Luis Vega Martinez / 904-698-0897</t>
  </si>
  <si>
    <t>07/08 as per letter received, asked David what info is the appraiser requesting (CM)</t>
  </si>
  <si>
    <t>01/16 Inspection letter sent. (CM)</t>
  </si>
  <si>
    <t>Spoke to client 07/02</t>
  </si>
  <si>
    <t>06/12 followed up with DA (cm)</t>
  </si>
  <si>
    <t>01/17 Inspection letter sent. (DE)</t>
  </si>
  <si>
    <t xml:space="preserve">Grace Collymore </t>
  </si>
  <si>
    <t>813-498-7324</t>
  </si>
  <si>
    <t>gcollymore@hotmail.com</t>
  </si>
  <si>
    <t xml:space="preserve">Security first </t>
  </si>
  <si>
    <t>2913 Delrose Dr N Lakeland Fl, 33805</t>
  </si>
  <si>
    <t>P000120666</t>
  </si>
  <si>
    <t xml:space="preserve">Alexander Walter /  (386) 492-0189 </t>
  </si>
  <si>
    <t>01/17 Inspection letter sent. (CM)</t>
  </si>
  <si>
    <t>Reginald Williams &amp; Cheraina Bonner</t>
  </si>
  <si>
    <t>12/19 / 11:00am
Ryan Laabs / (561) 324-4466 / ryanlaabs@hotmail.com</t>
  </si>
  <si>
    <t>941-549-0935 / 941-518-5170</t>
  </si>
  <si>
    <t>dapdaddy94@gmail.com</t>
  </si>
  <si>
    <t>6619 38th LN E Sarasota, Fl 34243</t>
  </si>
  <si>
    <t>2757173793</t>
  </si>
  <si>
    <t>01000108498</t>
  </si>
  <si>
    <t>DA Grace Thompson / 407-915-8062 / gthompson@frontlineinsurance.com FA Randy Kerns / 813-518-5700 / randy@rocklingroup.net / SPV Stephanie More  321 441 2765</t>
  </si>
  <si>
    <t>06/18 mediator provided a date for the mediation, sent to DA (CM)</t>
  </si>
  <si>
    <t>01/18 uploaded inspection letter (PP)</t>
  </si>
  <si>
    <t>Roberto Nunez</t>
  </si>
  <si>
    <t>941-681-1678</t>
  </si>
  <si>
    <t>titoav43@gmail.com</t>
  </si>
  <si>
    <t>6416 First Ave E Bradenton Fl 34208</t>
  </si>
  <si>
    <t>P002966535</t>
  </si>
  <si>
    <t>Louie LeNoir / 877-581-4862 / catclaims@securityfirstflorida.com</t>
  </si>
  <si>
    <t>04/15 uploaded the retainer form (CM)</t>
  </si>
  <si>
    <t>Takchileey Chan</t>
  </si>
  <si>
    <t>407-718-3858</t>
  </si>
  <si>
    <t>tchan@att.net</t>
  </si>
  <si>
    <t>211 Hoffman Court, Casselberry FL 32707</t>
  </si>
  <si>
    <t>80-BT-X719-0</t>
  </si>
  <si>
    <t>5961Z638D</t>
  </si>
  <si>
    <t>DA Alisia Martin (404) 851-5517</t>
  </si>
  <si>
    <t>6/12 waiting retainer (CM)</t>
  </si>
  <si>
    <t>01/18 Inspection letter sent. (CM)</t>
  </si>
  <si>
    <t>Marjorie O’neal Day</t>
  </si>
  <si>
    <t>863-709-3756</t>
  </si>
  <si>
    <t>mikerob863@gmail.com</t>
  </si>
  <si>
    <t>TAPCO</t>
  </si>
  <si>
    <t>613 N Iowa Ave Lakeland, FL 33801</t>
  </si>
  <si>
    <t>TMASHO326468</t>
  </si>
  <si>
    <t>04/11 Sarah sent the notarized release (CM)</t>
  </si>
  <si>
    <t>01/19 Inspection letter sent. (CM)</t>
  </si>
  <si>
    <t>2024080009</t>
  </si>
  <si>
    <t>Hector &amp; Elsa Padron</t>
  </si>
  <si>
    <t xml:space="preserve">Betty Weber </t>
  </si>
  <si>
    <t>352-586-6052</t>
  </si>
  <si>
    <t>georgeandbetty7172004@yahoo.com</t>
  </si>
  <si>
    <t>772-307-7879</t>
  </si>
  <si>
    <t>208 W Valerian PL Beverly Hills FL 34465</t>
  </si>
  <si>
    <t>RFH0095855</t>
  </si>
  <si>
    <t>ad4c@comcast.net</t>
  </si>
  <si>
    <t>SLIDE</t>
  </si>
  <si>
    <t xml:space="preserve">DA Johnathan Rosenbarker / 800.342.3407 x.1727 </t>
  </si>
  <si>
    <t>368 SE Tranquilla Ave. Port Saint Lucie, FL 34983</t>
  </si>
  <si>
    <t>SIC 3165463</t>
  </si>
  <si>
    <t>Tarryn Bosley</t>
  </si>
  <si>
    <t>301-582-8013</t>
  </si>
  <si>
    <t>terandolph01@gmail.com</t>
  </si>
  <si>
    <t>2258 Lake Holloway Blvd, Lakeland FL 33801</t>
  </si>
  <si>
    <t>UDV235134003</t>
  </si>
  <si>
    <t>22FL00173700</t>
  </si>
  <si>
    <t>08/10/24</t>
  </si>
  <si>
    <t>Brandy BakerPhone: (407) 545-3005 ext. 2386 Email: brbaker@agfgroup.org</t>
  </si>
  <si>
    <t>04/29 DA says he has requested for the check to be voided, he will reissue check once is voided (CM)</t>
  </si>
  <si>
    <t>01/22 Reinspection letter sent. (CM)</t>
  </si>
  <si>
    <t>CDP-00156468</t>
  </si>
  <si>
    <t xml:space="preserve">Hurricane </t>
  </si>
  <si>
    <t>Kajo Ciszek / 727-353-8352 ext 336 / 727-353-7538 / kciszek@telaclaims.com</t>
  </si>
  <si>
    <t>06/25 received an email from the client, asked via WS David to call her (CM)</t>
  </si>
  <si>
    <t>01/30 Reinspection letter sent. (CM)</t>
  </si>
  <si>
    <t>12/05
David Willette (808) 306-7865 / david_willette@us.crawco.com</t>
  </si>
  <si>
    <t xml:space="preserve">Jessie Percival </t>
  </si>
  <si>
    <t>863-660-6808</t>
  </si>
  <si>
    <t>jessiepercival9@gmail.com</t>
  </si>
  <si>
    <t>2115 Lake Holloway Blvd Lakeland FL, 33801</t>
  </si>
  <si>
    <t xml:space="preserve"> 2MR131061100</t>
  </si>
  <si>
    <t>00201749734</t>
  </si>
  <si>
    <t>Britanie McKayle / (813) 322-5282 / bmckayle@slideinsurance.com</t>
  </si>
  <si>
    <t xml:space="preserve">08/21 as per letter received by DA, this claim is closed, Peter asked to send to close claims (CM) </t>
  </si>
  <si>
    <t>DA Breanna Baker / 800-652-1262 Ext. 4039085 / breanna.baker1@assurant.com</t>
  </si>
  <si>
    <t>06/17 DA informs that we are going to continue with the appraisal (CM)</t>
  </si>
  <si>
    <t>01/22 Inspection letter sent. (CM)</t>
  </si>
  <si>
    <t>Neray Mollinedo</t>
  </si>
  <si>
    <t>863-279-2707/ 863-262-8050</t>
  </si>
  <si>
    <t>nermollinedo@gmail.com</t>
  </si>
  <si>
    <t xml:space="preserve">1623 Seneca Ave Lakeland, FL 33801 </t>
  </si>
  <si>
    <t>07682751-1</t>
  </si>
  <si>
    <t>001-00-440798</t>
  </si>
  <si>
    <t>Heather Steelman / 866-411-2742 ext 4409</t>
  </si>
  <si>
    <t>07/08 Ivan informed they are working on this claim (CM)</t>
  </si>
  <si>
    <t>spoke 05/28</t>
  </si>
  <si>
    <t>Rene Hernandez Aleman</t>
  </si>
  <si>
    <t>863-934-6360</t>
  </si>
  <si>
    <t>reneh1780@gmail.com</t>
  </si>
  <si>
    <t>02/09 / 7am
Seth Dickinson / 910-782-5973 / sethfriend500@gmail.com</t>
  </si>
  <si>
    <t>3127 Ellis Ave Lakeland, FL 33803</t>
  </si>
  <si>
    <t>05994839-2</t>
  </si>
  <si>
    <t>001-00-467927</t>
  </si>
  <si>
    <t>Nicholas Buckley / 888-621-9910 ext 21319</t>
  </si>
  <si>
    <t>01/24 Inspection letter sent. (CM)</t>
  </si>
  <si>
    <t>04/22 / 11:00am
James Chandler / (239) 732-6631 / james@jameswchandler.com</t>
  </si>
  <si>
    <t>Terry Sue Brightman-Hill</t>
  </si>
  <si>
    <t>863-640-0667</t>
  </si>
  <si>
    <t xml:space="preserve">hillterry064@gmail.com </t>
  </si>
  <si>
    <t>2702 French Ave Lakeland FL 33801</t>
  </si>
  <si>
    <t>592-728-057</t>
  </si>
  <si>
    <t>FL24-0102449-A322</t>
  </si>
  <si>
    <t>Henry Wimp / 954-958-1200 / 800-425-9113 ext 6262 / hw1206@universalproperty.com</t>
  </si>
  <si>
    <t>05/03 Sarah sent settlement release notarized (CM)</t>
  </si>
  <si>
    <t>01/29 Inspection letter sent. (PP)</t>
  </si>
  <si>
    <t>Tara Hudson-Akins</t>
  </si>
  <si>
    <t>863-877-5313</t>
  </si>
  <si>
    <t>tarahudson0076@gmail.com</t>
  </si>
  <si>
    <t>523 Belleview Ave Lakeland FL 33803</t>
  </si>
  <si>
    <t>UHF288093503</t>
  </si>
  <si>
    <t>RMUPCIC00195</t>
  </si>
  <si>
    <t>Sonya Pittman / (407) 545-3005 ext. 1345 / spittman2@agfgroup.org</t>
  </si>
  <si>
    <t>06/24 DA informs that she can't reissue the check cause it was cleared the bank, asked the PAs to contact the client and DA (CM)</t>
  </si>
  <si>
    <t>02/02 Inspection letter sent. (CM)</t>
  </si>
  <si>
    <t>Joyce Webb</t>
  </si>
  <si>
    <t>(863) 686-8316</t>
  </si>
  <si>
    <t>jhwebb16485@gmail.com</t>
  </si>
  <si>
    <t>2216 Dille St Lakeland, FL 33815</t>
  </si>
  <si>
    <t>ADM144668</t>
  </si>
  <si>
    <t>CMD00171174</t>
  </si>
  <si>
    <t>05/10 / 2:00pm
Mark Dickstein / 954-893-8000 / m.dickstein@flahurt.com</t>
  </si>
  <si>
    <t xml:space="preserve">DA Carline Estime / 813-761-1102 / Carline.estime@RYZEclaims.com / FA Nusrat Urfi / Ned.Urfi @RyzeClaims.com / 813-479-5211 </t>
  </si>
  <si>
    <t>07/08 Jakey says he informed the client to stand by for NOI response, and JD will contact her for retarp (CM)</t>
  </si>
  <si>
    <t>2024040001</t>
  </si>
  <si>
    <t>02/05 Inspection letter sent. (CM)</t>
  </si>
  <si>
    <t>Robin Beemer</t>
  </si>
  <si>
    <t>734-308-3889</t>
  </si>
  <si>
    <t>Juan V Ortiz</t>
  </si>
  <si>
    <t>863-682-0999/ 863-397-4234</t>
  </si>
  <si>
    <t>nsaintb@gmail.com</t>
  </si>
  <si>
    <t>Rkbeem@outlook.com</t>
  </si>
  <si>
    <t>Travelers of Florida</t>
  </si>
  <si>
    <t>1052 E Palmetto St, Lakeland FL 33801</t>
  </si>
  <si>
    <t>9315673546331</t>
  </si>
  <si>
    <t>I4P5915</t>
  </si>
  <si>
    <t>Avatar / FIGA</t>
  </si>
  <si>
    <t>Chris Nadau / 407-212-5369 / cjnadeau@travelers.com</t>
  </si>
  <si>
    <t>02/07 Inspection letter sent. (CM)</t>
  </si>
  <si>
    <t>3549 Vassar St, Port Charlotte, FL 33980</t>
  </si>
  <si>
    <t>HO32014043560</t>
  </si>
  <si>
    <t>Larry Wilkie</t>
  </si>
  <si>
    <t>305-942-7187</t>
  </si>
  <si>
    <t>legpromotions@gmail.com</t>
  </si>
  <si>
    <t>2421 Vineyard Cir Sanford, FL 32771</t>
  </si>
  <si>
    <t>09449011-1</t>
  </si>
  <si>
    <t>L. Nicole Stav-Roach / 866.411.2742 ext. 70640 / (954) 600-7143 / LironNicole.StavRoach@citizensfla.com</t>
  </si>
  <si>
    <t>06/12 Ivan will file NOI with uriarte (CM)</t>
  </si>
  <si>
    <t xml:space="preserve">Angel Gandara </t>
  </si>
  <si>
    <t>863-808-8500</t>
  </si>
  <si>
    <t>gandara.angel@gmail.com</t>
  </si>
  <si>
    <t>12/5 / 2:30pm
David Willette (808) 306-7865 / david_willette@us.crawco.com</t>
  </si>
  <si>
    <t>2198 Colonial Ave, Lakeland Fl 33801</t>
  </si>
  <si>
    <t>2MR07761573454</t>
  </si>
  <si>
    <t>00201757212</t>
  </si>
  <si>
    <t>Kenneth Wilkins / 800-358-0600 ext 4030172 / kenneth.wilkins@assurant.com</t>
  </si>
  <si>
    <t>05/09 Peter is still on the appraisal process (CM)</t>
  </si>
  <si>
    <t>02/09 Inspection letter sent (CM)</t>
  </si>
  <si>
    <t>Spoke 07/02</t>
  </si>
  <si>
    <t>08/21 Joshua said that the client informed that she is still waiting for approval for her new loan. Once that's done Joshua will send the correct information. (CM) /10/07 Peter asked to send to closed claims (CM)</t>
  </si>
  <si>
    <t>Daniel &amp; Denise Fowlie</t>
  </si>
  <si>
    <t>941-769-1533</t>
  </si>
  <si>
    <t>denise.fowlie@verizonwireless.com</t>
  </si>
  <si>
    <t>346 Japura St. Punta Gorda, FL 33983</t>
  </si>
  <si>
    <t>SJ31036374</t>
  </si>
  <si>
    <t>SL22205913</t>
  </si>
  <si>
    <t>Janettra McPherson / (813) 355-8071 / jmcpherson@slideinsurance.com</t>
  </si>
  <si>
    <t>07/08 received the engineer report, forwarded to PAs (CM)</t>
  </si>
  <si>
    <t xml:space="preserve">Kimberly Holder </t>
  </si>
  <si>
    <t>863-205-2154</t>
  </si>
  <si>
    <t>kkholder13@gmail.com</t>
  </si>
  <si>
    <t>201 4th St Homeland FL 33847 / PO BOX 102</t>
  </si>
  <si>
    <t>59-BY-U123-3</t>
  </si>
  <si>
    <t>59-63P8-48Q</t>
  </si>
  <si>
    <t xml:space="preserve">Jonathan Adel / 678-935-3829 </t>
  </si>
  <si>
    <t>06/05 requested mediation (CM)</t>
  </si>
  <si>
    <t>02/22 Inspection letter sent (CM)</t>
  </si>
  <si>
    <t>Amanda Harris</t>
  </si>
  <si>
    <t>407-953-0556</t>
  </si>
  <si>
    <t>amandapeaharris@gmail.com</t>
  </si>
  <si>
    <t>1324 Clyde Memorial Ave, Lakeland FL 33805</t>
  </si>
  <si>
    <t>P000173481</t>
  </si>
  <si>
    <t>Oscar Vazquez / (386) 492-0108  / ovazquez@securityfirstflorida.com</t>
  </si>
  <si>
    <t>04/11 Peter will file a NOI (CM)</t>
  </si>
  <si>
    <t>02/23 Inspection letter sent (CM)</t>
  </si>
  <si>
    <t>Leilani Moore</t>
  </si>
  <si>
    <t>863-738-4154</t>
  </si>
  <si>
    <t>juliusmoore4@yahoo.com</t>
  </si>
  <si>
    <t>634 Strain Blvd, Lakeland FL 33815</t>
  </si>
  <si>
    <t>1504-2200-4803-02</t>
  </si>
  <si>
    <t>FL23-0200303-A322</t>
  </si>
  <si>
    <t>Jamie Wright / jw0225@universalproperty.com</t>
  </si>
  <si>
    <t>06/25 requested mediation (CM)</t>
  </si>
  <si>
    <t>02/29 Inspection letter uploaded</t>
  </si>
  <si>
    <t>12/6 / 2:00pm
Amanda Bueno / 813-599-7667</t>
  </si>
  <si>
    <t>left a VM 07/02</t>
  </si>
  <si>
    <t>Schnei Hogarth</t>
  </si>
  <si>
    <t>301-609-1131</t>
  </si>
  <si>
    <t>schneihogarth@ymail.com</t>
  </si>
  <si>
    <t>1829 Optimist Dr Lakeland FL 33803</t>
  </si>
  <si>
    <t>1501-2000-3970</t>
  </si>
  <si>
    <t>FL24-0104775-A322</t>
  </si>
  <si>
    <t>04/26 / 10:00am - SETTLED BEFORE MEDIAT.
Stacey Goldstein / 954-401-5375 / ssgoldsteinesq@gmail.com</t>
  </si>
  <si>
    <t xml:space="preserve">William Miller / wm0423@universalproperty.com / ext 6639 </t>
  </si>
  <si>
    <t>05/14 sent SPOL to carrier (CM)</t>
  </si>
  <si>
    <t>02/26 Inspection letter uploaded</t>
  </si>
  <si>
    <t>Edward Randall</t>
  </si>
  <si>
    <t>518-590-4811</t>
  </si>
  <si>
    <t>igotfiveonit07@yahoo.com</t>
  </si>
  <si>
    <t>1034 Cove Ln Winter Haven, FL 33880</t>
  </si>
  <si>
    <t>FLP506083</t>
  </si>
  <si>
    <t>Matthew Barker / 440-566-9469</t>
  </si>
  <si>
    <t>06/24  sent invoice to the appraiser (CM)</t>
  </si>
  <si>
    <t>03/01 Inspection letter sent (CM)</t>
  </si>
  <si>
    <t xml:space="preserve">Sandra Mayfield </t>
  </si>
  <si>
    <t>863-698-8154</t>
  </si>
  <si>
    <t>sassygirl405@aol.com</t>
  </si>
  <si>
    <t>2225 Crystal Grove Lane, Lakeland FL 33801</t>
  </si>
  <si>
    <t>1501-1202-1227</t>
  </si>
  <si>
    <t>FL24-0105269-A322</t>
  </si>
  <si>
    <t>05/24 Sent the notarized release to the carrier (CM)</t>
  </si>
  <si>
    <t>03/04 Inspection letter UPLOADED</t>
  </si>
  <si>
    <t>2024080001</t>
  </si>
  <si>
    <t>Nereida Irizarry</t>
  </si>
  <si>
    <t>267-499-0917/ 267-258-6764</t>
  </si>
  <si>
    <t>Irizarryn733@gmail.com</t>
  </si>
  <si>
    <t>111 18TH Wahneta St W, Winter Haven FL 33880</t>
  </si>
  <si>
    <t>06833506-1</t>
  </si>
  <si>
    <t>001-00-474143</t>
  </si>
  <si>
    <t>Ketly Saint-Cyr</t>
  </si>
  <si>
    <t>Marnica JeanPierre / 888-621-9910 ext 21009</t>
  </si>
  <si>
    <t>06/06 Sent notarized SPOL to carrier (CM)</t>
  </si>
  <si>
    <t>239-313-7074</t>
  </si>
  <si>
    <t>03/04 Inspection letter sent (CM)</t>
  </si>
  <si>
    <t>Ketlysaintcyr@ymail.com</t>
  </si>
  <si>
    <t>Anna &amp; Dakota Anderson</t>
  </si>
  <si>
    <t>863-804-8969 / 863-5826740</t>
  </si>
  <si>
    <t>kotaanderson1999@gmail.com</t>
  </si>
  <si>
    <t>4530 David dr Bartow FL 33830</t>
  </si>
  <si>
    <t>3216 Willian St Fort Myers Fl 33916</t>
  </si>
  <si>
    <t>053019268</t>
  </si>
  <si>
    <t>053019268-2</t>
  </si>
  <si>
    <t>1501-1604-9325</t>
  </si>
  <si>
    <t>Anthony Vandervile / 800-531-7722 ext 40227 / 48bphvxbzhxh@claims.usaa.com</t>
  </si>
  <si>
    <t>05/09 Peter sent the retainer (CM)</t>
  </si>
  <si>
    <t>11/21 / 8:00am
Jim Roth / 225-229-7071 / jroth@lozanoadjusters.com</t>
  </si>
  <si>
    <t>03/05 inspection letter sent (CM)</t>
  </si>
  <si>
    <t>FL22-0157648-A322</t>
  </si>
  <si>
    <t>Cameron Jones</t>
  </si>
  <si>
    <t>Anastasia 352-697-1751</t>
  </si>
  <si>
    <t>cambowjones@gmail.com</t>
  </si>
  <si>
    <t>3414 E Cedar Oak Ln Dunnellon, FL 34434</t>
  </si>
  <si>
    <t>10547230</t>
  </si>
  <si>
    <t>001-00-475558</t>
  </si>
  <si>
    <t>Hail</t>
  </si>
  <si>
    <t>UPLOADED Univ/Front</t>
  </si>
  <si>
    <t>Debra Long / 561-519-0378 / 866.411.2742 ext. 53162</t>
  </si>
  <si>
    <t>07/05 Received appraisal reward signed by the appraiser (CM)</t>
  </si>
  <si>
    <t>03/13 Inspection letter sent (CM)</t>
  </si>
  <si>
    <t>12/13 - 5:45pm
Jim Roth / 225-229-7071 / jroth@lozanoadjusters.com</t>
  </si>
  <si>
    <t>Luz Favrow</t>
  </si>
  <si>
    <t>203-601-2301</t>
  </si>
  <si>
    <t>08/27 they won't assgin DA until they receive the estimate (CM)</t>
  </si>
  <si>
    <t>kevin.lugardo@gmail.com</t>
  </si>
  <si>
    <t>315 Caroline Dr, Lakeland FL 33803</t>
  </si>
  <si>
    <t>1501-2003-5398</t>
  </si>
  <si>
    <t>10/07 customer service informed that they have a notarized settlement release received on 08/31/23 (CM) / 10/07 Peter asked to send to closed claims (CM)</t>
  </si>
  <si>
    <t>FL24-0106707-A322</t>
  </si>
  <si>
    <t>06/14 sent the notarized settlement release to the carrier (CM)</t>
  </si>
  <si>
    <t>03/25 Inspection letter sent (CM)</t>
  </si>
  <si>
    <t>Javier Aguilar</t>
  </si>
  <si>
    <t>863-245-9879</t>
  </si>
  <si>
    <t>432 Lee St Bowling Green FL 33834</t>
  </si>
  <si>
    <t>59-B4-K367-9</t>
  </si>
  <si>
    <t>5964X142Z</t>
  </si>
  <si>
    <t>Bri Taylor /404-257-7559</t>
  </si>
  <si>
    <t>07/03 asked Joshua to send the estimate, the engineering inspection was perfomed on 06/24 (CM)</t>
  </si>
  <si>
    <t>04/08 Inspection letter sent (CM)</t>
  </si>
  <si>
    <t>Barrington and Conchita James</t>
  </si>
  <si>
    <t>863-682-6676</t>
  </si>
  <si>
    <t>conchitajames626@gmail.com</t>
  </si>
  <si>
    <t>03/06 / 12:00pm
Mediator: Steven Gard / steven.gard@gardmediation.com / (904) 830-1140</t>
  </si>
  <si>
    <t>Nation Wide</t>
  </si>
  <si>
    <t>1722 Staunton Ave Lakeland FL 33803</t>
  </si>
  <si>
    <t>7709HR026302</t>
  </si>
  <si>
    <t>555867-GP</t>
  </si>
  <si>
    <t>Travis Gilleland / 386-847-2804</t>
  </si>
  <si>
    <t>07/02 asked PAs how to proceed with this claim, asked Juan to send the estimate (CM)</t>
  </si>
  <si>
    <t>03/22 Inspection letter sent (CM)</t>
  </si>
  <si>
    <t>Angie</t>
  </si>
  <si>
    <t>Luis Cruz-Cedeno</t>
  </si>
  <si>
    <t>609-638-5836</t>
  </si>
  <si>
    <t>lcruzjr28@gmail.com</t>
  </si>
  <si>
    <t>2111 Smithfield PL. Lakeland FL 33801</t>
  </si>
  <si>
    <t>06586720</t>
  </si>
  <si>
    <t>001-00-338452</t>
  </si>
  <si>
    <t>David Rochha / ext 4391</t>
  </si>
  <si>
    <t>06/27 uploaded to CW the appraiser award (CM)</t>
  </si>
  <si>
    <t>03/28 Reinspection letter sent (JP)</t>
  </si>
  <si>
    <t>06/13 Joshua needs to get the right policy, remind Ivan to call joshua on 6/20 (JP)</t>
  </si>
  <si>
    <t>client recently updated 06/21</t>
  </si>
  <si>
    <t xml:space="preserve">Manzoorul Haq </t>
  </si>
  <si>
    <t>772-985-2279</t>
  </si>
  <si>
    <t>thisismhaq@gmail.com</t>
  </si>
  <si>
    <t xml:space="preserve">1802 SW Dalmatian Ave. Port Saint Lucie, FL 34953 </t>
  </si>
  <si>
    <t>07744105-2</t>
  </si>
  <si>
    <t>001-00-479130</t>
  </si>
  <si>
    <t xml:space="preserve">Windstorm </t>
  </si>
  <si>
    <t>01/10 / 10:00am
Chad Smith / 309-994-9284 - 863-232-7528</t>
  </si>
  <si>
    <t>Miriam St. Hilaire 888-621-9910 ext 21064</t>
  </si>
  <si>
    <t>mediation will be on 06/25 (CM)</t>
  </si>
  <si>
    <t>03/18 - 11:00am
Heather McArthur / polkcountymediator@gmail.com - heather@mcarthurmediation.com / 863-279-0032</t>
  </si>
  <si>
    <t>UDV 235134002</t>
  </si>
  <si>
    <t>21FL00088030</t>
  </si>
  <si>
    <t>Water</t>
  </si>
  <si>
    <t>05/22 sent settlement release to DA (CM)</t>
  </si>
  <si>
    <t>04/08 Reinspection letter sent. (CM)</t>
  </si>
  <si>
    <t>Edward &amp; Mercedes Ricardo</t>
  </si>
  <si>
    <t>305-301-0570 / 786-280-0760</t>
  </si>
  <si>
    <t>edric05@bellsouth.com</t>
  </si>
  <si>
    <t>698 SW Veronica Ave Port Saint Lucie, FL 34953</t>
  </si>
  <si>
    <t>05650433-3</t>
  </si>
  <si>
    <t>001-00-479616</t>
  </si>
  <si>
    <t>Water Damage</t>
  </si>
  <si>
    <t xml:space="preserve">Ian Holder / 866.411.2742 ext. 21240 </t>
  </si>
  <si>
    <t>06/13 asked Peter if the client did the recorded statement (CM)</t>
  </si>
  <si>
    <t>04/11 Inspection letter sent (CM)</t>
  </si>
  <si>
    <t>client recently updated 05/10</t>
  </si>
  <si>
    <t>001-00-479617</t>
  </si>
  <si>
    <t xml:space="preserve">Jamie Black 561-452-5855 / 888-621-9910 ext 70020 </t>
  </si>
  <si>
    <t>2023110042</t>
  </si>
  <si>
    <t>06/13 Ivan request Peter for the estimate  (JP)</t>
  </si>
  <si>
    <t>spoke 07/03</t>
  </si>
  <si>
    <t>John Puterbaugh</t>
  </si>
  <si>
    <t>239-841-3585</t>
  </si>
  <si>
    <t>coachjohn63@aol.com</t>
  </si>
  <si>
    <t>9185 Temple Rd E, Fort Myers, FL 33967</t>
  </si>
  <si>
    <t>HOH634395</t>
  </si>
  <si>
    <t>H108212</t>
  </si>
  <si>
    <t>12/13 / 1:00pm
Nelson Conde / 239.955.3072 / n.conde@rmcteam.com</t>
  </si>
  <si>
    <t>Michael Rockow / Mrockow@heritagepci.com / 727-362-7200 extension 7550</t>
  </si>
  <si>
    <t>06/14 DA says he believes a reinspection won't be needed, he will reach out once the investigation is finished, sent info to day (CM)</t>
  </si>
  <si>
    <t>04/11 Reinspection letter sent (CM)</t>
  </si>
  <si>
    <t>Jessie Wiggins</t>
  </si>
  <si>
    <t>863-832-2800</t>
  </si>
  <si>
    <t>Jwigginsj@hotmail.com</t>
  </si>
  <si>
    <t>955 Martin Luther King Blvd Wauchula FL 33873</t>
  </si>
  <si>
    <t>59-ee-2751-0</t>
  </si>
  <si>
    <t>5939T069B</t>
  </si>
  <si>
    <t>05/17 / 12:00pm
Christopher Smith / csmith@vertexeng.com / (786) 575-0063</t>
  </si>
  <si>
    <t>Farah Chow / 404-851-5574</t>
  </si>
  <si>
    <t>04/12 Reinspection letter sent (CM)</t>
  </si>
  <si>
    <t>Gladys Groomes</t>
  </si>
  <si>
    <t>863-529-7343</t>
  </si>
  <si>
    <t>irvingroomes@yahoo.com</t>
  </si>
  <si>
    <t>849 Chamberlain Blvd. Wauchula FL 33873</t>
  </si>
  <si>
    <t>141381790</t>
  </si>
  <si>
    <t>0690292222</t>
  </si>
  <si>
    <t>Mason Evans / (847) 226-3767</t>
  </si>
  <si>
    <t>06/13 need to call to DA, Ask for a determination letter (CM)- Ivan requested NOI</t>
  </si>
  <si>
    <t>04/15 Reinspection letter sent (JP)</t>
  </si>
  <si>
    <t>10/30 passed the deadline (CM)</t>
  </si>
  <si>
    <t>Joe and Andrew Bennet</t>
  </si>
  <si>
    <t>941-769-2099</t>
  </si>
  <si>
    <t>Dclferrentino@icloud.com</t>
  </si>
  <si>
    <t>Typ Tap</t>
  </si>
  <si>
    <t>23178 Rye Ave, Punta Gorda, FL 33980</t>
  </si>
  <si>
    <t>12-1071699-01</t>
  </si>
  <si>
    <t>12-3010957-22</t>
  </si>
  <si>
    <t>12/8 / 10:00 am
Chris Wells / 305-586-2897 / cwells@lozanoadjusters.com</t>
  </si>
  <si>
    <t>Ronnie Braddy / rbraddy@gristonclaim.com</t>
  </si>
  <si>
    <t>07/03 asked Juan to confirm the estimate so we can continue with this claim, didn't call the client to give updates because I told him on may that we were preparing the estimate (CM)</t>
  </si>
  <si>
    <t>04/16 Reinspection letter sent. (CM)</t>
  </si>
  <si>
    <t>spoke to client 05/16</t>
  </si>
  <si>
    <t>02/27 / 2:00pm
Francis X. Sexton, Jr./ (954) 394-8640</t>
  </si>
  <si>
    <t>Antonio Cabrera</t>
  </si>
  <si>
    <t>863-832-9945</t>
  </si>
  <si>
    <t>cabrera_0513@yahoo.com</t>
  </si>
  <si>
    <t>409 Pineapple St W, Bowling green, FL 33834</t>
  </si>
  <si>
    <t>1501-2203-1356</t>
  </si>
  <si>
    <t>FL22-0140776-A322</t>
  </si>
  <si>
    <t>06/27 Ivan asked to request mediation before sending the SPOL, called the client, asked him to signed and notarized the SPOL so we may continue with the mediation process (CM)</t>
  </si>
  <si>
    <t>04/22 Reinspection letter uploaded</t>
  </si>
  <si>
    <t>spoke to client 07/01</t>
  </si>
  <si>
    <t>01/09 / 3pm
Chris Wells / 305-586-2897 / cwells@lozanoadjusters.com</t>
  </si>
  <si>
    <t>Garrett Lightsey</t>
  </si>
  <si>
    <t>863-258-9593</t>
  </si>
  <si>
    <t>Gglightsey@gmail.com</t>
  </si>
  <si>
    <t>410 Ralph St Bartow FL 33830</t>
  </si>
  <si>
    <t>P010399337</t>
  </si>
  <si>
    <t>Lindsey Ellsworth / 817-526-1411 / lellsworth@thig.com</t>
  </si>
  <si>
    <t>6/13 Reference notes on 5/07. Ivan said payment pending (JP)</t>
  </si>
  <si>
    <t>David / Ivan</t>
  </si>
  <si>
    <t xml:space="preserve">Nichole Davila-Orford </t>
  </si>
  <si>
    <t>863-212-1272</t>
  </si>
  <si>
    <t>Nicholemdavila@gmail.com</t>
  </si>
  <si>
    <t>People’s Trust</t>
  </si>
  <si>
    <t>214 Pennsylvania Ave Wauchula, FL 33873</t>
  </si>
  <si>
    <t>PFL196023-09</t>
  </si>
  <si>
    <t>CFL24602078</t>
  </si>
  <si>
    <t>Camila Pohlmann / 561-609-1000, ext. 2675 / cpohlmann@pti.insure</t>
  </si>
  <si>
    <t>07/08 DA says she can increase her offer to 1.5k (CM)</t>
  </si>
  <si>
    <t>04/18 inspection letter sent. (CM)</t>
  </si>
  <si>
    <t xml:space="preserve">spoke 07/03 </t>
  </si>
  <si>
    <t>TEXT</t>
  </si>
  <si>
    <t>Elvy Chilel &amp; Juan Baltazar</t>
  </si>
  <si>
    <t>863-244-4916 &amp; 863-244-4913</t>
  </si>
  <si>
    <t>jbaltazar05@icloud.com</t>
  </si>
  <si>
    <t>602 N Mills Ave Arcadia FL 34266</t>
  </si>
  <si>
    <t>1501-2201-0864</t>
  </si>
  <si>
    <t>FL24-0113581-A322</t>
  </si>
  <si>
    <t>06/17 Perry uploaded the contract and inspection letter (CM)</t>
  </si>
  <si>
    <t>06/17 inspection letter sent. (CM)</t>
  </si>
  <si>
    <t>Pamela Ruth</t>
  </si>
  <si>
    <t>863-244-2411</t>
  </si>
  <si>
    <t>pruth288@gmail.com</t>
  </si>
  <si>
    <t>2024100008</t>
  </si>
  <si>
    <t>American integrity</t>
  </si>
  <si>
    <t>1576 SE Ohio Ave Arcadia Florida 34266</t>
  </si>
  <si>
    <t>AGD10053221</t>
  </si>
  <si>
    <t>James &amp; Sharon Theriault</t>
  </si>
  <si>
    <t>CDP-00173822</t>
  </si>
  <si>
    <t>978-880-5988</t>
  </si>
  <si>
    <t>Jimt7315@gmail.com</t>
  </si>
  <si>
    <t>American Traditions</t>
  </si>
  <si>
    <t>620 57th ave West unit 10F Bradenton, FL 34207</t>
  </si>
  <si>
    <t>AMF114507</t>
  </si>
  <si>
    <t>Ralph Hargrove /  813-358-1674 / Ralph.Hargrove@RYZEclaims.com</t>
  </si>
  <si>
    <t>07/03 asked PAs if they want us to send the estimate, photos and SPOL to the carrier as requested before by the DA(CM)</t>
  </si>
  <si>
    <t>AM155078</t>
  </si>
  <si>
    <t>05/28 Inspection letter sent (CM)</t>
  </si>
  <si>
    <t>Hurricane Milton</t>
  </si>
  <si>
    <t>left a VM 07/03</t>
  </si>
  <si>
    <t>10/09/24</t>
  </si>
  <si>
    <t>12/5 / 4:30pm
David Willette (808) 306-7865 / david_willette@us.crawco.com</t>
  </si>
  <si>
    <t>06/05 / 10:00am - 11:00am
MSPG has the info</t>
  </si>
  <si>
    <t>Lionel &amp; Maria Olvera</t>
  </si>
  <si>
    <t>863-990-4137</t>
  </si>
  <si>
    <t>mariaolvera5@icloud.com</t>
  </si>
  <si>
    <t>First Community Insurance Company</t>
  </si>
  <si>
    <t>1713 SE Apple DR Arcadia Florida 34266</t>
  </si>
  <si>
    <t>090011406962714</t>
  </si>
  <si>
    <t>24-342</t>
  </si>
  <si>
    <t>01/18 / 1:00pm
David Doughton / 305-495-2305</t>
  </si>
  <si>
    <t>10/31 sent the withdrawal letter to carrier and client (CM)</t>
  </si>
  <si>
    <t xml:space="preserve">Steven Talley / (727) 308-3707 / </t>
  </si>
  <si>
    <t>07/05 asked JP to review the IA report, before sending our estimate, asked PAs if they agree on the carriers's decision of invoking their option to repair (OTR) for the roof replacement. informed Day that Mark Kaufman, Roofing is going to contact her (CM)</t>
  </si>
  <si>
    <t>Terry L Simmons</t>
  </si>
  <si>
    <t>941-769-4459</t>
  </si>
  <si>
    <t>pclaytonsimmons@gmail.com</t>
  </si>
  <si>
    <t>716 N Mills Ave, Arcadia FL 34266</t>
  </si>
  <si>
    <t>ARK99203</t>
  </si>
  <si>
    <t>12/7 / 10:30am
Ryan Wacker / (954) 451‑1074 / rw0824@universalproperty.com</t>
  </si>
  <si>
    <t>03/08 - 1:00pm
Ida Wright / idad@iamwrightinc.com / (386) 256-7600 - (386) 405-5279</t>
  </si>
  <si>
    <t xml:space="preserve">William Marulanda / 440-620-5586 </t>
  </si>
  <si>
    <t>07/03 received determination letter and IA report, asked PAs how to proceed next (CM)</t>
  </si>
  <si>
    <t>05/21 Reinspection letter sent (CM)</t>
  </si>
  <si>
    <t>06/13 ask Joshua about this claim and the other PA firm (CM)</t>
  </si>
  <si>
    <t>05/23 Inspection letter sent (JP)</t>
  </si>
  <si>
    <t>Jonathan &amp; Elizabeth Serrano</t>
  </si>
  <si>
    <t>863-444-8319</t>
  </si>
  <si>
    <t>jonathanserr94@gmail.com</t>
  </si>
  <si>
    <t>519 N 15th Ave Arcadia FL 34266</t>
  </si>
  <si>
    <t>AGH0420527</t>
  </si>
  <si>
    <t>CHO-00143829</t>
  </si>
  <si>
    <t>01/16 / 11:30 am-12:00 pm
Derek Pizor / 727-420-5118 / teresas@beckpizorengineering.com</t>
  </si>
  <si>
    <t>Mike Epes / 469-896-1253 / Michael.Epes@sedgwick.com</t>
  </si>
  <si>
    <t>06/24 DA is following up on oue estimate, asked Juan to send it again (CM)</t>
  </si>
  <si>
    <t>05/28 Reinspection letter sent (CM)</t>
  </si>
  <si>
    <t>03/20 at 1:00pm
Victor M. Gaud / (954) 242-7187 / gaudmediation@gmail.com</t>
  </si>
  <si>
    <t>Elizabeth Garner</t>
  </si>
  <si>
    <t>863-244-8234</t>
  </si>
  <si>
    <t>Bethnegrete.bn@gmail.com</t>
  </si>
  <si>
    <t>109 Mira Flores RD Arcadia Florida 34266</t>
  </si>
  <si>
    <t>59-TR-1337-7</t>
  </si>
  <si>
    <t>5940B501G</t>
  </si>
  <si>
    <t xml:space="preserve">Jaylan Shelton / (770) 379-6499 </t>
  </si>
  <si>
    <t>6/13 sent estimate to carrier and SPOL to the client to sign and notarize (JP)</t>
  </si>
  <si>
    <t>05/28 reinspection letter sent (CM)</t>
  </si>
  <si>
    <t>01/11 / 3:30pm
Marcos Gonzalez / 786-357-9697 / mgonzalez@lozanoadjusters.com</t>
  </si>
  <si>
    <t>Brian Harris</t>
  </si>
  <si>
    <t>863-231-2405</t>
  </si>
  <si>
    <t>Jqharris1881@gmail.com</t>
  </si>
  <si>
    <t>139 Asbury St, Arcadia, FL 34266</t>
  </si>
  <si>
    <t>1501-2006-6032</t>
  </si>
  <si>
    <t>FL22-0138358-A322</t>
  </si>
  <si>
    <t>04/16 / 2:00 pm
Amber E. B. McMichael / Scheduling: 561.340.3500 / AmberMcMIchael@matrixmediation.com</t>
  </si>
  <si>
    <t>2024090001</t>
  </si>
  <si>
    <t>Once we send the estimate they will assign a DA in 7 to 10 days</t>
  </si>
  <si>
    <t>02/12 / 5:00pm
Marcos Gonzalez / 786-357-9697 / mgonzalez@lozanoadjusters.com</t>
  </si>
  <si>
    <t>06/26 asked Juan to send the estimate and picture file, as universal doesn't want to give us the DA info (CM)</t>
  </si>
  <si>
    <t>05/30 reinspection letter uploaded</t>
  </si>
  <si>
    <t>wrong number asked Juan to confirm</t>
  </si>
  <si>
    <t>Sandra Fox</t>
  </si>
  <si>
    <t xml:space="preserve">Patricia Wiggins </t>
  </si>
  <si>
    <t>863-245-4447</t>
  </si>
  <si>
    <t>239-478-1465</t>
  </si>
  <si>
    <t>Pltwiggins@yahoo.com</t>
  </si>
  <si>
    <t>209 N 10th Ave, Arcadia FL 34266</t>
  </si>
  <si>
    <t>Sandra.fox8910@gmail.com</t>
  </si>
  <si>
    <t>2MR07441643721</t>
  </si>
  <si>
    <t>00104440849</t>
  </si>
  <si>
    <t>1807 NW 2nd pl Cape Coral 33993</t>
  </si>
  <si>
    <t>UHF 345515702</t>
  </si>
  <si>
    <t>Taylor Erdeman / 800-358-0600 ext 4018814 / 866-728-7098 FA Joseph / 347-668-6027</t>
  </si>
  <si>
    <t>07/03 asked Ivan if he still want to request appraisal (CM)</t>
  </si>
  <si>
    <t>22FL00155215</t>
  </si>
  <si>
    <t>waiting fo ivan decision</t>
  </si>
  <si>
    <t xml:space="preserve">Gabriel &amp; Emma Velasquez </t>
  </si>
  <si>
    <t>01/16/22</t>
  </si>
  <si>
    <t>941-276-4943</t>
  </si>
  <si>
    <t>gabvelasquez228@gmail.com</t>
  </si>
  <si>
    <t>12/19 / 2:00pm
Carlos Fleury / (954) 678‑5682 / cf0310@universalproperty.com</t>
  </si>
  <si>
    <t>05/06 / 2:00pm
David Charlip / dcharlip@charliplawgroup.com / reception@charliplawgroup.com</t>
  </si>
  <si>
    <t>11/15 tell jakey to contact the client</t>
  </si>
  <si>
    <t xml:space="preserve">02/12 - 1:15pm
ROOF TARP / 855-313-7311 / Danilo Rivera </t>
  </si>
  <si>
    <t>12/6 / 4:30pm</t>
  </si>
  <si>
    <t>01/08 /10am
FA Steve Durand / 407-583-0556 - FA 407-574-1859</t>
  </si>
  <si>
    <t>1731 Ne Floridian CIR, Arcadia FL 34266</t>
  </si>
  <si>
    <t>1501-1400-7078</t>
  </si>
  <si>
    <t>FL22-0143328-A322</t>
  </si>
  <si>
    <t>06/07 Perry uploaded the estimate (CM)</t>
  </si>
  <si>
    <t>William Murphy</t>
  </si>
  <si>
    <t>781-941-6065</t>
  </si>
  <si>
    <t>Murphysteve244@gmail.com</t>
  </si>
  <si>
    <t>1464 NE Leisure Ave Arcadia, FL 34266</t>
  </si>
  <si>
    <t>0925209946</t>
  </si>
  <si>
    <t>7005133317-1</t>
  </si>
  <si>
    <t>Jacob Brady / 616-974-7536</t>
  </si>
  <si>
    <t>05/29 Sent docs and reinspection letter (CM)</t>
  </si>
  <si>
    <t>05/29 reinspection letter sent (CM)</t>
  </si>
  <si>
    <t>Jose Pavon</t>
  </si>
  <si>
    <t>239-895-8861</t>
  </si>
  <si>
    <t>Precisionhomems@gmail.com</t>
  </si>
  <si>
    <t>Fednat / FIGA</t>
  </si>
  <si>
    <t>2111 Canton Ave, Alva FL 33920</t>
  </si>
  <si>
    <t>FE000092341200</t>
  </si>
  <si>
    <t>HO522418454</t>
  </si>
  <si>
    <t>Dustin Semon / 800-293-2532 ext 7003</t>
  </si>
  <si>
    <t>07/03 asked David updates on this claim since the last time he said that he was coordinating a call with the client and mortgage company (CM)</t>
  </si>
  <si>
    <t>05/30 reinspection letter sent (CM)</t>
  </si>
  <si>
    <t xml:space="preserve">03/04 - 4pm
N Paskiewicz / Rep Oliver Zerod / 913-754-6430 (Cell) / oliver@zerodclaims.com </t>
  </si>
  <si>
    <t>Latonia &amp; Youseline Dale</t>
  </si>
  <si>
    <t>239-867-1983</t>
  </si>
  <si>
    <t>Lldale1976@gmail.com</t>
  </si>
  <si>
    <t>3111 12th st w Lehigh acres Fl 33971</t>
  </si>
  <si>
    <t>1501-2105-7969</t>
  </si>
  <si>
    <t>FL22-0145484-A322</t>
  </si>
  <si>
    <t>07/08 DA wrote asking for the decision on the settlement discussion that he had with Ivan, asked him via ws about this (CM)</t>
  </si>
  <si>
    <t>06/05 reinspection letter uploaded (PP)</t>
  </si>
  <si>
    <t>Ask to sign the SPOL</t>
  </si>
  <si>
    <t>2024020004</t>
  </si>
  <si>
    <t>442 NE Van Loon Ln, Cape Coral, FL 33909</t>
  </si>
  <si>
    <t>H010020251</t>
  </si>
  <si>
    <t>Vivino Millan /  813-333-9484 / vmillan@heritagepci.com</t>
  </si>
  <si>
    <t>06/18 DA asked for the SPOL again, requested a copy of the policy (CM)</t>
  </si>
  <si>
    <t xml:space="preserve">06/05 Inspection letter sent  (CM) </t>
  </si>
  <si>
    <t>Matthew Boerwinkle &amp; Jody Huffman</t>
  </si>
  <si>
    <t>217-620-6020</t>
  </si>
  <si>
    <t>Matt.boerwinkle@gmail.com</t>
  </si>
  <si>
    <t>4407 SE 19th Ave Cape Coral 33904</t>
  </si>
  <si>
    <t>7354286572</t>
  </si>
  <si>
    <t>01000084212</t>
  </si>
  <si>
    <t>Denise Caraker / 407-358-5501 /dcaraker@frontlineinsurance.com</t>
  </si>
  <si>
    <t>12/21 / 10:00am
Ryan Wacker / (954) 451‑1074 / rw0824@universalproperty.com</t>
  </si>
  <si>
    <t>07/01 new DA sent her information, asked our estimate, sent an email to Juan requesting it (CM)</t>
  </si>
  <si>
    <t>06/07 reinspection letter uploaded (PP)</t>
  </si>
  <si>
    <t>the PA is working on the estimate</t>
  </si>
  <si>
    <t>Calixto Portillo</t>
  </si>
  <si>
    <t>239-848-8687</t>
  </si>
  <si>
    <t>Wendydolphin13@gmail.com</t>
  </si>
  <si>
    <t>106 NE 9TH Pl Cape Coral FL 33909</t>
  </si>
  <si>
    <t>2MR1495753</t>
  </si>
  <si>
    <t>00201554308</t>
  </si>
  <si>
    <t>11/21 sent the withdrawal letter (CM)</t>
  </si>
  <si>
    <t>Melaku Abebe / 800-652-1262 ext 401847</t>
  </si>
  <si>
    <t>06/06 sent docs and reisnpection letter (CM)</t>
  </si>
  <si>
    <t xml:space="preserve">06/06 reinspection letter sent  (CM) </t>
  </si>
  <si>
    <t>03/01 / 4:00pm
Paul L. Kutcher / (813) 654-7285 / kutcher@paulkutcher.com</t>
  </si>
  <si>
    <t>00201798378</t>
  </si>
  <si>
    <t>Kenneth Wilkins / 800-358-0600 ext 4030172 / 866-728-7098 / kenneth.wilkins@assurant.com</t>
  </si>
  <si>
    <t>06/06 sent docs and inspection letter (CM)</t>
  </si>
  <si>
    <t xml:space="preserve">06/06 Inspection letter sent  (CM) </t>
  </si>
  <si>
    <t xml:space="preserve">Jesus Alvarez </t>
  </si>
  <si>
    <t>863-263-6462</t>
  </si>
  <si>
    <t>Luzyjesus32@hotmail.com</t>
  </si>
  <si>
    <t>1684 SE Tangelo Dr, Arcadia FL 34266</t>
  </si>
  <si>
    <t>06220532-1</t>
  </si>
  <si>
    <t>001-00-383840</t>
  </si>
  <si>
    <t>Avan Kuo / 904-803-2878</t>
  </si>
  <si>
    <t>07/01 asked PAs to contact the DA, to discuss about the roof (CM)</t>
  </si>
  <si>
    <t>Cynthia &amp; Loern Jones</t>
  </si>
  <si>
    <t>352-212-2135</t>
  </si>
  <si>
    <t>cindy.leon.jones@gmail.com</t>
  </si>
  <si>
    <t>9354 W Chata PL. Crystal River, FL 34428</t>
  </si>
  <si>
    <t>W013833307</t>
  </si>
  <si>
    <t>George Torres / 800-342-3407 ext 1215</t>
  </si>
  <si>
    <t>07/01 asked Ivan to call the client, as per her request, sent the our estimate to her, and asked to send her driver's license (CM)</t>
  </si>
  <si>
    <t xml:space="preserve">06/07 Inspection letter sent  (CM) </t>
  </si>
  <si>
    <t>04/26 / 02:00pm
Gary Feder, President / (305) 667-7100 (cannot receive text), or (305) 670-9888 / CPA1miami@aol.com</t>
  </si>
  <si>
    <t>Brandy and Daniel Hand</t>
  </si>
  <si>
    <t>941-661-4970</t>
  </si>
  <si>
    <t>Brandee_fl@yahoo.com</t>
  </si>
  <si>
    <t>1760 SE Peach Dr Arcadia FL 34266</t>
  </si>
  <si>
    <t>UHV2965225</t>
  </si>
  <si>
    <t>RMUPCIC000397</t>
  </si>
  <si>
    <t>Suzanne Buchanan / 904-539-5879 / sbuchanan@agfgroup.org</t>
  </si>
  <si>
    <t>06/26 asked DA the claim# (CM)</t>
  </si>
  <si>
    <t xml:space="preserve">06/10 Inspection letter sent  (CM) </t>
  </si>
  <si>
    <t>Rose Paul</t>
  </si>
  <si>
    <t>239-244-6777</t>
  </si>
  <si>
    <t>Stepharha1@gmail.com</t>
  </si>
  <si>
    <t>Lloyds of London / Orchid</t>
  </si>
  <si>
    <t>3808 Fourth St Sw Lehigh Acres, FL 33976</t>
  </si>
  <si>
    <t>OUA119338760</t>
  </si>
  <si>
    <t xml:space="preserve">77194-RRI </t>
  </si>
  <si>
    <t>Richard Ricketts / 800-487-1263 ext 273 / richard.ricketts@blairandco.net</t>
  </si>
  <si>
    <t>06/26 contacted customer service to find out about this claim, they said that they lost the email, so they are now going to send the information to orchid (CM)</t>
  </si>
  <si>
    <t xml:space="preserve">06/13 reinspection letter sent  (CM) </t>
  </si>
  <si>
    <t xml:space="preserve">Rose Paul </t>
  </si>
  <si>
    <t xml:space="preserve">77007-RRI </t>
  </si>
  <si>
    <t>06/14 informed the FA, Day's contact, asked him wich is the claim # (CM)</t>
  </si>
  <si>
    <t xml:space="preserve">06/13 Inspection letter sent  (CM) </t>
  </si>
  <si>
    <t>Michael &amp; Kelli Ogrady</t>
  </si>
  <si>
    <t>352-422-4550</t>
  </si>
  <si>
    <t>mwog1951@gmail.com</t>
  </si>
  <si>
    <t>1361 S BROOKFIELD DR LECANTO, FL 34461</t>
  </si>
  <si>
    <t>971 695 936</t>
  </si>
  <si>
    <t>0758342299</t>
  </si>
  <si>
    <t>06/11 Sent docs and inspection letter (CM)</t>
  </si>
  <si>
    <t xml:space="preserve">06/11 Inspection letter sent  (CM) </t>
  </si>
  <si>
    <t>David M.</t>
  </si>
  <si>
    <t>02/05 / 10:00am
Donan Engineering / Call 01/15 to get Engineer info</t>
  </si>
  <si>
    <t>2024080010</t>
  </si>
  <si>
    <t>Susan &amp; Michael Bunting</t>
  </si>
  <si>
    <t>321-914-8768</t>
  </si>
  <si>
    <t>Llordssoth@yahoo.com</t>
  </si>
  <si>
    <t xml:space="preserve">06/06/ 2:00pm
Scott R. Toner / (727) 465-3652 / </t>
  </si>
  <si>
    <t>Florida Peninsula</t>
  </si>
  <si>
    <t>3516 W Roundtree DR. Cocoa, FL 32926</t>
  </si>
  <si>
    <t>FPH5395879-02</t>
  </si>
  <si>
    <t>FPI243354</t>
  </si>
  <si>
    <t>Michael Hollowell / 561-646-4053 ./ 888-408-9472 / michael.hollowell@fpclaimservices.com</t>
  </si>
  <si>
    <t>07/08 carrier is requesting the plumbing invoice to continue with the claim process, asked Ivan via ws (CM)</t>
  </si>
  <si>
    <t>David F./Ivan</t>
  </si>
  <si>
    <t>Hamlet &amp; Mildre Felix</t>
  </si>
  <si>
    <t>352-560-1471</t>
  </si>
  <si>
    <t>felixhmsh@hotmail.com</t>
  </si>
  <si>
    <t>172 W Staggerbush Path, Beverlyhills, FL 34465</t>
  </si>
  <si>
    <t>P000202005</t>
  </si>
  <si>
    <t>Melinda Gudmundsson / 386-244-9551 / melinda.gudmundsson@securityfirstflorida.com</t>
  </si>
  <si>
    <t>04/17 / 12:00pm
Holly Franklin / 877-581-4862</t>
  </si>
  <si>
    <t>07/03 Received a denial letter, asked how to proceed next (CM)</t>
  </si>
  <si>
    <t>CFL22580807</t>
  </si>
  <si>
    <t>Carl Watson</t>
  </si>
  <si>
    <t>863-244-4550</t>
  </si>
  <si>
    <t>Cronaldowatson@yahoo.com</t>
  </si>
  <si>
    <t>308 N mills Ave Arcadia Fl 34266</t>
  </si>
  <si>
    <t>KIN-HO-FL-162204628</t>
  </si>
  <si>
    <t>HO-4855275</t>
  </si>
  <si>
    <t>04/04/22</t>
  </si>
  <si>
    <t xml:space="preserve">Sasha Bramwell / 866-204-2219 / claims@kin.com </t>
  </si>
  <si>
    <t>06/26 received the previous determination letter, and the previous IA report, sent to PAs, asked if they want to request mediation, also asked Jakey to review the estimate sent by JP (CM)</t>
  </si>
  <si>
    <t xml:space="preserve">06/18 reinspection letter sent  (CM) </t>
  </si>
  <si>
    <t>12/12 / 12:00pm
Nusrat Urfi “Ned” / Ned.Urfi@ryzeclaims.com / 813-479-5211</t>
  </si>
  <si>
    <t>06/21 DA inform that this claim is paid and settled (CM)</t>
  </si>
  <si>
    <t xml:space="preserve">Michael Chesser / mchesser@pti.insure / 561-609-1000 ext 3248 </t>
  </si>
  <si>
    <t>02/16 / 12:00pm
Laila Gonzalez Frank / 305 826-1774 / lailas@fgbkc.com</t>
  </si>
  <si>
    <t>12/10 sent the withdrawal letter as per Peter request (CM)</t>
  </si>
  <si>
    <t>Mu Ying Wu</t>
  </si>
  <si>
    <t>917-929-7092</t>
  </si>
  <si>
    <t>Zhangs1107@gmail.com</t>
  </si>
  <si>
    <t>525 N mills Ave, Arcadia Fl 34266</t>
  </si>
  <si>
    <t>HOH699229</t>
  </si>
  <si>
    <t>HO10021O22</t>
  </si>
  <si>
    <t>Rolando Roomes / 727.362.7200, ext 7463 / rroomes@heritagepci.com</t>
  </si>
  <si>
    <t>07/02 DA informs he will request an inspection (CM)</t>
  </si>
  <si>
    <t xml:space="preserve">06/20 inspection letter sent  (CM) </t>
  </si>
  <si>
    <t>863-244-1992</t>
  </si>
  <si>
    <t>arcadialady54@gmail.com</t>
  </si>
  <si>
    <t>122 N Hernando Ave Arcadia FL 34266</t>
  </si>
  <si>
    <t>0731297-5</t>
  </si>
  <si>
    <t xml:space="preserve">Tanya Rogers / 866.411.2742 ext. 21126 </t>
  </si>
  <si>
    <t>06/25 asked Juan the estimate and photos as per DA request (CM)</t>
  </si>
  <si>
    <t xml:space="preserve">06/20 reinspection letter sent  (CM) </t>
  </si>
  <si>
    <t>Andrew and Amy Garner</t>
  </si>
  <si>
    <t>863-990-7470</t>
  </si>
  <si>
    <t>Drewb1964@icloud.com</t>
  </si>
  <si>
    <t>241 N Roger’s Ave Arcadia FL 34266</t>
  </si>
  <si>
    <t>59-PS-9196-4</t>
  </si>
  <si>
    <t>59-39Z5-88B</t>
  </si>
  <si>
    <t>06/26 asked Juan to send the scope to file the claim (CM)</t>
  </si>
  <si>
    <t xml:space="preserve">07/01 reinspection letter sent  (CM) </t>
  </si>
  <si>
    <t>Robert Hairston</t>
  </si>
  <si>
    <t>941-286-3166</t>
  </si>
  <si>
    <t>Roberthairston1123@gmail.com</t>
  </si>
  <si>
    <t>1135 SW Rainbow Ave, Arcadia Fl 34266</t>
  </si>
  <si>
    <t>592-184-864</t>
  </si>
  <si>
    <t>FL24-0114154-A322</t>
  </si>
  <si>
    <t>06/26 Perry uploaded the docs (CM)</t>
  </si>
  <si>
    <t>06/26 inspection letter uploaded (PP)</t>
  </si>
  <si>
    <t>12/18 / 10:00am
Paul Mules / 368-873-8743 / pmules.vas@gmail.com</t>
  </si>
  <si>
    <t>Sherman Blandin</t>
  </si>
  <si>
    <t>(863) 263-8117</t>
  </si>
  <si>
    <t>312 E Gibson st Arcadia Fl 34266</t>
  </si>
  <si>
    <t>MLR21027212493</t>
  </si>
  <si>
    <t>07/01 Tried to contact customer service several times, but the call disconnects, so send an email to re open this claim (CM)</t>
  </si>
  <si>
    <t xml:space="preserve">03/20 / 10:00am
Theodore Bayer / 305 670 6300 / trblawcenter@gmail.com
</t>
  </si>
  <si>
    <t>Colby &amp; Sarah Woppman</t>
  </si>
  <si>
    <t>863-231-2011</t>
  </si>
  <si>
    <t>Sarahwoppman@yahoo.com</t>
  </si>
  <si>
    <t>5717 SW Shores Ave Arcadia 34266</t>
  </si>
  <si>
    <t>AGH0312772</t>
  </si>
  <si>
    <t>CHO00149076</t>
  </si>
  <si>
    <t xml:space="preserve"> Mario Madrigal  / mmadrigal@telaclaims.com /  727.353.8352 EXT: 321 </t>
  </si>
  <si>
    <t>07/08 DA is asking for our estimate, asked for it to Juan, and respond to DA requesting time to complete it, asked for the policy and gave Day's info in case they need a reinspection (CM)</t>
  </si>
  <si>
    <t>Christine Routson</t>
  </si>
  <si>
    <t>863-993-5550</t>
  </si>
  <si>
    <t>Christinerouston61@gmail.com</t>
  </si>
  <si>
    <t>2268 SE Shady Cir, Arcadia FL 34266</t>
  </si>
  <si>
    <t>0657528815</t>
  </si>
  <si>
    <t>7007792960-1</t>
  </si>
  <si>
    <t>07/01 Sent docs and inspection letter (CM)</t>
  </si>
  <si>
    <t xml:space="preserve">07/01 inspection letter sent  (CM) </t>
  </si>
  <si>
    <t>Julio F Calderon Campo</t>
  </si>
  <si>
    <t>863-303-9753</t>
  </si>
  <si>
    <t>Juliofcalderon72@icloud.com</t>
  </si>
  <si>
    <t>Homeowner Choice</t>
  </si>
  <si>
    <t>1501 SE Tangelo Dr, Arcadia FL 34266</t>
  </si>
  <si>
    <t>HCPC-HO3-494252-4</t>
  </si>
  <si>
    <t>07/05 FA sent his avialability for the inspection, forwarded to Day (CM)</t>
  </si>
  <si>
    <t>Christopher &amp; Carlotta Stephenson</t>
  </si>
  <si>
    <t>(941)628-3848</t>
  </si>
  <si>
    <t>carlas4@comcast.net</t>
  </si>
  <si>
    <t>Progressive Flood</t>
  </si>
  <si>
    <t>14442 Bridgeview Lane, Port Charlotte, FL 33953</t>
  </si>
  <si>
    <t>0FLD369220</t>
  </si>
  <si>
    <t>Flood</t>
  </si>
  <si>
    <t>07/01 asked Ivan to confirm the policy number and the carrier, Progressive doesn't find this client on their system (CM)</t>
  </si>
  <si>
    <t xml:space="preserve">06/27 reinspection letter sent  (CM) </t>
  </si>
  <si>
    <t>12/20 / 10:00am
George Butcher / george.butcher@us.crawco.com / 941-759-7313</t>
  </si>
  <si>
    <t>Guilaine Guillaume</t>
  </si>
  <si>
    <t>954-995-1938</t>
  </si>
  <si>
    <t>gguilla81@gmail.com</t>
  </si>
  <si>
    <t>1498 Sw Dimperio Ave, Port Saint Lucie, FL 34953</t>
  </si>
  <si>
    <t>79-CT-T-766-6</t>
  </si>
  <si>
    <t>59-70C5-29P</t>
  </si>
  <si>
    <t>01/17 / 10:30am
Luis Torres / 689-500-6311</t>
  </si>
  <si>
    <t>07/08 received a call from the carrier, they were asking about the loss, informed Ivan's phone number (CM)</t>
  </si>
  <si>
    <t>Jaime Rivera</t>
  </si>
  <si>
    <t>863-245-7856</t>
  </si>
  <si>
    <t>jaime.rivera86322@gmail.com</t>
  </si>
  <si>
    <t>5022 Doyle Parker Ave Bowling Green, FL 33834</t>
  </si>
  <si>
    <t>1501-2200-8986</t>
  </si>
  <si>
    <t>FL24-0114921-A322</t>
  </si>
  <si>
    <t>07/08 Perry uploaded docs (CM)</t>
  </si>
  <si>
    <t>07/08 Perry uploaded inspection letter (CM)</t>
  </si>
  <si>
    <t>Gabriella Bollman and Angelica Ansley</t>
  </si>
  <si>
    <t>239-470-5171</t>
  </si>
  <si>
    <t>gabbibollman1215@gmail.com</t>
  </si>
  <si>
    <t>Jakey, Joshua</t>
  </si>
  <si>
    <t>2024100023</t>
  </si>
  <si>
    <t xml:space="preserve">Diane Edwards </t>
  </si>
  <si>
    <t>941-228-0730</t>
  </si>
  <si>
    <t>Prpledi@yahoo.com</t>
  </si>
  <si>
    <t>857 Bedford Dr. Lehigh Acres, FL 33974</t>
  </si>
  <si>
    <t>06811167</t>
  </si>
  <si>
    <t xml:space="preserve">1352 mackeral ave Sarasota, FL 34237 </t>
  </si>
  <si>
    <t>001-00-491940</t>
  </si>
  <si>
    <t>HPW011174</t>
  </si>
  <si>
    <t>H010033789</t>
  </si>
  <si>
    <t>Pamela Dockett / 888-621-9910 ext. 70595</t>
  </si>
  <si>
    <t>07/03 received the ROR, asked Day to schedule the recorded statement, asked Ivan to send estimate and pictures as per DA request (CM)</t>
  </si>
  <si>
    <t xml:space="preserve">07/02 inspection letter sent  (CM) </t>
  </si>
  <si>
    <t>Elda Torres &amp; Elda Chamale</t>
  </si>
  <si>
    <t>239-357-6338</t>
  </si>
  <si>
    <t>Lisset2430@gmail.com</t>
  </si>
  <si>
    <t>1003 Chapel Ave, Lehigh Acres, FL 33971</t>
  </si>
  <si>
    <t>SJ31098072</t>
  </si>
  <si>
    <t>SL22214801</t>
  </si>
  <si>
    <t>07/02 sent docs, and reinspection letter (CM)</t>
  </si>
  <si>
    <t xml:space="preserve">07/02 reinspection letter sent  (CM) </t>
  </si>
  <si>
    <t>Regina Sheppard / 813-797-3468 x7694</t>
  </si>
  <si>
    <t>11/22 DA is following up on the withdrawal letter (CM)</t>
  </si>
  <si>
    <t>CLOSED CLAIMS</t>
  </si>
  <si>
    <t>1230 NE 89th ST, Miami, FL 33138</t>
  </si>
  <si>
    <t>08776228-1</t>
  </si>
  <si>
    <t>001-00-453004</t>
  </si>
  <si>
    <t>Gwendolyn Moore / 866-411-2742 ext 4319</t>
  </si>
  <si>
    <t>12/4 Asked Pete who he should schedule the inspection, Citizens or Builders. (DE)</t>
  </si>
  <si>
    <t>spoke to client 11/9</t>
  </si>
  <si>
    <t>Ruben Lee Olmos Jr</t>
  </si>
  <si>
    <t>863-324-6036</t>
  </si>
  <si>
    <t>smore1023@icloud.com</t>
  </si>
  <si>
    <t>612 E Palmetto ST Wauchula, FL 33873</t>
  </si>
  <si>
    <t>09995167-1</t>
  </si>
  <si>
    <t>12/4 Juan says that they've ve given up on pursuing this claim. (DE)</t>
  </si>
  <si>
    <t>IMF Bigger to Better LLC</t>
  </si>
  <si>
    <t>1507-2300-0246</t>
  </si>
  <si>
    <t>Joshua/ David</t>
  </si>
  <si>
    <t>DUPLICATE CLAIME</t>
  </si>
  <si>
    <t>Jackeline Copeland / 904-407-3544</t>
  </si>
  <si>
    <t>02/20 / 12:00pm
Jomo Walters / (954) 361‑1839 - (954) 958‑1200 ext: 6611 / jw1008@universalproperty.com</t>
  </si>
  <si>
    <t>client DECEASED</t>
  </si>
  <si>
    <t>02/01 reinspection letter (CM)</t>
  </si>
  <si>
    <t>waiting for update</t>
  </si>
  <si>
    <t xml:space="preserve">11/10 Inspection letter sent. (DE) </t>
  </si>
  <si>
    <t>client recently updated 2/26</t>
  </si>
  <si>
    <t>05/22 / 2:00pm	
Elizabeth Fernandez 352-298-1828 elizabeth.fernandez1@farmersinsurance.com</t>
  </si>
  <si>
    <t>06/27 / 11:00am
Andrew J. McFeeley / (877) 623-3353 - Text (321) 521-3030 / McFeeleyMediations@outlook.com</t>
  </si>
  <si>
    <t>client recently updated 3/25</t>
  </si>
  <si>
    <t>05/17 / 3:30pm
DA Elizabeth Fernandez 352-298-1828 elizabeth.fernandez1@farmersinsurance.com</t>
  </si>
  <si>
    <t>01/31 Resent inspection letter. (DE)</t>
  </si>
  <si>
    <t>spoke to client 3/25</t>
  </si>
  <si>
    <t>17/11 Inspection letter sent. (DE)</t>
  </si>
  <si>
    <t>client recently update 3/26</t>
  </si>
  <si>
    <t>02/02
Charlie Valletto / 850-982-7603 / aandeassc@aol.com - charlievalletto@gmail.com</t>
  </si>
  <si>
    <t>2023100010</t>
  </si>
  <si>
    <t>Tyler Miller</t>
  </si>
  <si>
    <t>330-275-7272</t>
  </si>
  <si>
    <t>tylermiller4040@gmail.com</t>
  </si>
  <si>
    <t>101 Ingles Way, Wauchula, FL 33873</t>
  </si>
  <si>
    <t>02/26 Inspection letter sent. (CM)</t>
  </si>
  <si>
    <t>03/19 - 9:00am
Isabella Gutierrez / (954) 666‑0345 / ig0125@universalproperty.com</t>
  </si>
  <si>
    <t>07942538</t>
  </si>
  <si>
    <t>client recently updated 4/28</t>
  </si>
  <si>
    <t>06/05 asked Joshua to get it from the insured (CM)</t>
  </si>
  <si>
    <t xml:space="preserve"> reinspection letter </t>
  </si>
  <si>
    <t>01/23 asked Peter to confirm the status of the claim (CM)</t>
  </si>
  <si>
    <t>01/09 / 10:00am
Ryan Wacker / 954-451-1074</t>
  </si>
  <si>
    <t>04/04 / 3:30pm
Herb Fried / hfried@friedandfried.com /</t>
  </si>
  <si>
    <t>lender-backed insurance</t>
  </si>
  <si>
    <t>12/21 / 3:00 pm
Mark Solazzo / (321) 795-2635 / msolazzo@compassadjusting.com</t>
  </si>
  <si>
    <t>FORCE PLACED INSURANCE</t>
  </si>
  <si>
    <t>02/01 - 9:30am
Erin E. Njubi - Coordinator / On-site Engineer: Carlos Morales, PE</t>
  </si>
  <si>
    <t>Louisa Marie Eugene</t>
  </si>
  <si>
    <t>863-585-5846</t>
  </si>
  <si>
    <t>Proctor Loan Protector</t>
  </si>
  <si>
    <t>3001 Ave K NW Winter Haven, FL 33881</t>
  </si>
  <si>
    <t>lnm0005961lpi</t>
  </si>
  <si>
    <t>NG4103503</t>
  </si>
  <si>
    <t>01/31 Follow up on how to proceed with the mortage issue and his own PA office. (DE)</t>
  </si>
  <si>
    <t>Sent Reinspection letter 12/6 -PP</t>
  </si>
  <si>
    <t xml:space="preserve">Federico &amp; Maria Mata </t>
  </si>
  <si>
    <t>863-605-0787</t>
  </si>
  <si>
    <t>feomcn@gmail.com</t>
  </si>
  <si>
    <t>Arch</t>
  </si>
  <si>
    <t>1855 Kissingen Ave, Bartow FL 33830</t>
  </si>
  <si>
    <t>ARH000006280097</t>
  </si>
  <si>
    <t>02/06  This policy is a Lender’s Force-Placed Mortgage Hazard Insurance policy. asked Pa how to proceed (CM)</t>
  </si>
  <si>
    <t>left VM 1/29</t>
  </si>
  <si>
    <t>Maria Montejo y Miguel Sariol</t>
  </si>
  <si>
    <t>505-415-9241</t>
  </si>
  <si>
    <t>martha.sariol@gmail.com</t>
  </si>
  <si>
    <t>Great American Insurance</t>
  </si>
  <si>
    <t>4020 N Edgewater Cir LaBelle, FL 33935</t>
  </si>
  <si>
    <t>2024010029</t>
  </si>
  <si>
    <t>E452852</t>
  </si>
  <si>
    <t>Edward Apanowicz</t>
  </si>
  <si>
    <t>01/17 asked Juan to correct the policy# to file the claim (it has the same as Melvin Thomas) PP</t>
  </si>
  <si>
    <t>941-240-6391</t>
  </si>
  <si>
    <t>Martha Belmares</t>
  </si>
  <si>
    <t>01/11 / 10:00 am
Brent Buckendall / 772-643-2816 / TEXT - brentbuckendall.dahl@msn,com</t>
  </si>
  <si>
    <t>863-448-3950</t>
  </si>
  <si>
    <t>belmaresmartha114@gmail.com</t>
  </si>
  <si>
    <t>5165 Martin Luther King DR Bowling Green, FL 33834</t>
  </si>
  <si>
    <t>E414838</t>
  </si>
  <si>
    <t>04/18 / 1:00pm
Elwood Watts / elwood.slk@gmail.com / 954-294-9830</t>
  </si>
  <si>
    <t>Greg McGuire 513-412-9466/ gsmcguire@gaig.com</t>
  </si>
  <si>
    <t>02/22 received the prior estimate, this is a mortage force-placed insurance, DA says this claim is closed, sent docs to PAs, asked how to proceed (CM)</t>
  </si>
  <si>
    <t>06/11 / 1:00pm
Valerie Prottsman / (239) 790-SNLL (7655)</t>
  </si>
  <si>
    <t>Sent Reinspection letter 12/4 -PP</t>
  </si>
  <si>
    <t>e.apanowicz@gmail.com</t>
  </si>
  <si>
    <t>1327 Gerona Ter North Port, FL 34286</t>
  </si>
  <si>
    <t>Melvin Thomas</t>
  </si>
  <si>
    <t>863-409-2240</t>
  </si>
  <si>
    <t>melvin863@gmail.com</t>
  </si>
  <si>
    <t>523 S Oak Ave Fort Meade, FL 33841</t>
  </si>
  <si>
    <t>W013819208</t>
  </si>
  <si>
    <t>836-766372</t>
  </si>
  <si>
    <t>Anna Hernandez / (866) 476-8399 / mtgclm01@swbc.com</t>
  </si>
  <si>
    <t>04/02 received a payment from the insurance to the mortgage company, asked PAs how to proceed (CM)</t>
  </si>
  <si>
    <t>Southwest Business Corporation / 866-476-8399 /</t>
  </si>
  <si>
    <t>3300418751</t>
  </si>
  <si>
    <t>Luisa M. Figueredo</t>
  </si>
  <si>
    <t>786-277-3113</t>
  </si>
  <si>
    <t>National Fire &amp; Marine Inc Co.</t>
  </si>
  <si>
    <t>11760 SW 184 St Miami, FL 33177</t>
  </si>
  <si>
    <t>PFI10528107</t>
  </si>
  <si>
    <t>04/01 stand by there is a problem cause is a lender backed insurance (CM)</t>
  </si>
  <si>
    <t>01/30 Inspection letter sent. (CM)</t>
  </si>
  <si>
    <t>LENDER PLACED INS</t>
  </si>
  <si>
    <t>01/10 / 2:00 pm
Nick Hurley / zamyadjusting@yahoo.com / 813-817-4949</t>
  </si>
  <si>
    <t>Somer Vansickler / 850-739-0518 / svansickler@thig.com</t>
  </si>
  <si>
    <t>03/19 / 3:30pm
Phalecia Sanders / (321) 417-0640 / phalecia@pjsconsultinggroup.com</t>
  </si>
  <si>
    <t>02/21 Ivan says to put this claim on stand by (CM)</t>
  </si>
  <si>
    <t>05/22 / 10:00am
Jeff Spiot / jeff@superiorclaims.net / 727-417-1902</t>
  </si>
  <si>
    <t>Not sent yet (DE)</t>
  </si>
  <si>
    <t>02/13 Inspection letter sent (CM)</t>
  </si>
  <si>
    <t>Michael Ogrady, Kelli Ogrady</t>
  </si>
  <si>
    <t>05/08 Peter says we will represent this client (CM)</t>
  </si>
  <si>
    <t xml:space="preserve">02/19 - 12pm
Statefarm mail / Chad Smith / 863-232-7528 text </t>
  </si>
  <si>
    <t>04/26 / 12:00pm
Elizabeth Jones / (954) 395-0141 / elizabeth@pureguidancemediation.com</t>
  </si>
  <si>
    <t>01/11/2023 11;00
        Jill Quinn 01/11 11AM / jill.quinn@securityfirstflorida.com</t>
  </si>
  <si>
    <t>David F., Ivan</t>
  </si>
  <si>
    <t>2024110014</t>
  </si>
  <si>
    <t xml:space="preserve">01/11/2023 12;00
Alex / 321-444-8368 / alex@janneyroofing.com </t>
  </si>
  <si>
    <t>1/11/2023 9:00:00
Cristina / SLEUTH LEAK COMPANY / info@sleuthleakdetection.com</t>
  </si>
  <si>
    <t>DSM Holdings LLC</t>
  </si>
  <si>
    <t>561-201-1100</t>
  </si>
  <si>
    <t>dasmartin@pedimhealthcare.com</t>
  </si>
  <si>
    <t>Southern Owners</t>
  </si>
  <si>
    <t>2676 N Comanche Pt, Crystal River, FL 34429-5229</t>
  </si>
  <si>
    <t>242312-78049907-24</t>
  </si>
  <si>
    <t>300-0758924-2024</t>
  </si>
  <si>
    <t>01/16 / 12:00pm
Enroe Andre / 786-859-8689 / enroe.e.andre@ptsemail.com</t>
  </si>
  <si>
    <t>03/05 / 3:00pm
Terron Reeder-Williams / (813) 607-1017 / terron.reederwilliams@ryzeclaims.com</t>
  </si>
  <si>
    <t>PENDING, Day</t>
  </si>
  <si>
    <t>800-437-0598 / Florida Casualty and property claim brench / flcp.clm@aoins.com</t>
  </si>
  <si>
    <t>12/23 Peter ask to send to clisd claims (CM)</t>
  </si>
  <si>
    <t xml:space="preserve">01/23 / 10:00am
Chad Smith / 863-232-7528 / </t>
  </si>
  <si>
    <t xml:space="preserve">03/21 / 3:00pm
Chuck Fightmaster / hcctherapy@outlook.com </t>
  </si>
  <si>
    <t>01/16 / 12:00pm
Andre Beukes / andre.b.beukes@ptsemail.com / (813)-335-6474</t>
  </si>
  <si>
    <t>05/01 / 12:00 pm
Andre Beukes / andre.b.beukes@ptsemail.com / (813)-335-6474</t>
  </si>
  <si>
    <t>02/08 / 9:00am
Derald Slack / 561-609-1000 ext. # 2616 / dslack@pti.insure</t>
  </si>
  <si>
    <t>05/21 / 12:00pm
Janet Silverstein / 561-609-1000 Ext. 2817 / jsilverstein@pti.insure</t>
  </si>
  <si>
    <t>02/06 - 1:30pm
Will Lazenby / 407-312-0647 / wlazenby@claimsquestions.com</t>
  </si>
  <si>
    <t>02/21 - 3:00pm
Will Lazenby / 407-312-0647 / wlazenby@claimsquestions.com</t>
  </si>
  <si>
    <t>Ivan, David F.</t>
  </si>
  <si>
    <t>2024110015</t>
  </si>
  <si>
    <t>2686 N Comanche Pt, Crystal River, FL 34429-5229</t>
  </si>
  <si>
    <t xml:space="preserve">02/22 - 1:00pm
Christopher McCoy / bodhiclaims@gmail.com / 407.454.4117 </t>
  </si>
  <si>
    <t>11/15 Received an info regarding this claim, sent to PAs, didn't understand (CM)</t>
  </si>
  <si>
    <t>03/04 / 12:00pm
Anthony Watts / 941-330-5806 / awatts@eigrestoration.com</t>
  </si>
  <si>
    <t>05/13 / 12:00pm
Hubert L. Grimes / Hgrimes@montslaw.com / 386-238-9229</t>
  </si>
  <si>
    <t>01/16 / 2:00pm
James / 772-475-6532</t>
  </si>
  <si>
    <t>05/06 / 3:30pm
Joey Graganella / joeyg@capsclaims.com / 850-322-8545</t>
  </si>
  <si>
    <t>02/02 / 11:30am
Aaron Jackson / 888-621-9910 ext 70083 / aaron.jackson@citizensfla.com</t>
  </si>
  <si>
    <t>04/09 / 1:00pm
Sharon Dudley / 410-227-3907 / SharonK@monumental.law</t>
  </si>
  <si>
    <t>02/26 / 1:30pm
Ken Turner / ianclaimskenturner@gmail.com / 941-724-9525</t>
  </si>
  <si>
    <t>04/15/ 11:00am
Paul E. Liles / pelesq@gmail.com / (239) 872-5481</t>
  </si>
  <si>
    <t>Ivan, Juan</t>
  </si>
  <si>
    <t>2024110017</t>
  </si>
  <si>
    <t>Stephen &amp; Robin Ruggiero</t>
  </si>
  <si>
    <t>941-586-2226</t>
  </si>
  <si>
    <t>Ruggierose@aol.com</t>
  </si>
  <si>
    <t>03/13 / 12:30pm
Seema Thadhani / sthadhanimediation@gmail.com / Cell/Text: (562) 284-7694</t>
  </si>
  <si>
    <t>2671 Novus PL. Sarasota, FL 34237</t>
  </si>
  <si>
    <t>00539257790A</t>
  </si>
  <si>
    <t>005392577-801</t>
  </si>
  <si>
    <t>03/06 / 3:30pm
Cory Thomas / 561-260-9642 / cory.thomas@burtonclaimservice.com</t>
  </si>
  <si>
    <t>Craig Ortiz/ 800-5318722 ext 20896 / 3j7qvkm4jl8pw@claims.usaa.com</t>
  </si>
  <si>
    <t>01/14 Peter asking me to put this claim under the closed claims (CM)</t>
  </si>
  <si>
    <t>03/27 / 4:00pm
Jamie Miller /  866-204-2219 Phone Ext: 1054 / team@claim.kin.com</t>
  </si>
  <si>
    <t>04/10 - Afternoon
Kristina Adkins / kristina@sleuthleakdetection.com / 800-329-5325</t>
  </si>
  <si>
    <t>03/13 / 3:00pm 
Sachi Nelson / 720-844-2862 / snelson@keystoneexperts.com - Enginn Hugo Adriazola</t>
  </si>
  <si>
    <t>06/21 / 11:00am
Victor Gatell / 954-444-9916 / blgatell@outlook.com</t>
  </si>
  <si>
    <t>Joshua, David M.</t>
  </si>
  <si>
    <t>04/03 / 1:00pm
Crystal Christmas Byars / (309)994-6921 / crystal.christmasbyars.l39r@statefarm.com</t>
  </si>
  <si>
    <t>2024100009</t>
  </si>
  <si>
    <t>03/13 / 10am
Brian Maskol / 772-285-0572 / brian@sdfgroupinc.com</t>
  </si>
  <si>
    <t>941-448-3655</t>
  </si>
  <si>
    <t>Suncoastmikef@yahoo.com</t>
  </si>
  <si>
    <t>620 57th Ave W Lot i6, Bradenton FL 34207</t>
  </si>
  <si>
    <t>04/16 / 12:00pm
Adam David Patton / 863.225.3550 / adam@pattonlawpa.com or pattonlawpa@gmail.com</t>
  </si>
  <si>
    <t>HPM006003</t>
  </si>
  <si>
    <t>02/02 / 1:00pm
Luis Vega Martinez / 904-698-0897 / luis.vegamartinez@farmersinsurance.com</t>
  </si>
  <si>
    <t>04/10 /  2:30pm
Dan Lanford / claimsmanagerlcc@gmail.com / 251-490-5599</t>
  </si>
  <si>
    <t>PENDING, Caro</t>
  </si>
  <si>
    <t>Laura Herrera  / 727-499-7627  / Lherrera@heritagepci.com</t>
  </si>
  <si>
    <t>01/28 Joshua said that the client doesn't want more money (CM)</t>
  </si>
  <si>
    <t>01/30 - 10am
Jill Quinn / jill.quinn@securityfirstflorida.com / 386-451-0262</t>
  </si>
  <si>
    <t>03/18 / 2:30pm
Gary Feder / (305) 670-9888 / CPA1miami@aol.com</t>
  </si>
  <si>
    <t xml:space="preserve">01/30 - 9am
Kennedy Steele / 813.596.4887 / kennedy@edgewoodeng.com / Edgewood Engineering </t>
  </si>
  <si>
    <t>02/13 - 12:00pm 
Alex Marinas / 321-444-8368 / alex@janneyroofing.com</t>
  </si>
  <si>
    <t>02/01 - 1:00pm
FA Randy Kerns / 813-518-5700 / randy@rocklingroup.net</t>
  </si>
  <si>
    <t>07/03 / 12:00pm
Agustin "Gus" Perez-Cervera / (305) 321-5402 / gusperezlaw@gmail.com</t>
  </si>
  <si>
    <t>02/08 - 11:30am
FA Randy Kerns / 813-518-5700 / randy@rocklingroup.net</t>
  </si>
  <si>
    <t xml:space="preserve">03/26 / 12:00pm
Terry Butler / 321.340.4820 / tbutler@frontlineinsurance.com </t>
  </si>
  <si>
    <t>02/02 - 11am
Adrian Miciano / 386-242-2384 / adrian.miciano@securityfirstflorida.com</t>
  </si>
  <si>
    <t>05/21 / 11:00am
Reuben Lores / 786-286-1222 / rlores@hotmail.com</t>
  </si>
  <si>
    <t>2025030001</t>
  </si>
  <si>
    <t>Randolph Smith</t>
  </si>
  <si>
    <t>708-715-2770</t>
  </si>
  <si>
    <t>Nancy52@msn.com</t>
  </si>
  <si>
    <t xml:space="preserve">02/02 - 1:00pm
Roof Inspector Drew Murray / 316.993.3423 / drew@baldwinroofing.com </t>
  </si>
  <si>
    <t>Frontline</t>
  </si>
  <si>
    <t xml:space="preserve">521 Fairhope Dr, Apollo Beach, FL 33572 </t>
  </si>
  <si>
    <t>1375530085</t>
  </si>
  <si>
    <t>03/25 / 1:00pm
Arthur Whitfield / (866)787-8676 Ext. 3659 / statefarmfireclaims@statefarm.com</t>
  </si>
  <si>
    <t>03/05 Juan asked me to send the withdrawal letter, as the client doesn't want to proceed with the claim, the client have heart issues and Juan doesn't want anyone to call him, sent to the client and uploaded to frontline's portal (CM)</t>
  </si>
  <si>
    <t>03/01 / 10am
David Willette (808) 306-7865 / david_willette@us.crawco.com</t>
  </si>
  <si>
    <t>02/06 - Done (not organized by me)
Jerry / 352-247-6843</t>
  </si>
  <si>
    <t>05/07 / 12:00pm
Víctor Martínez Reyes / 863 808 8585 / v.mareyes@gmail.com</t>
  </si>
  <si>
    <t>03/07 / 12:30pm
Karen Friedel / Geohazards Engineerinh / 352-371-7243 / admin@geohazards.com</t>
  </si>
  <si>
    <t>02/28 - 12:30pm
Johnathan Rosenbarker / claims@thig.com / 800.342.3407 x.1727</t>
  </si>
  <si>
    <t>2023110028</t>
  </si>
  <si>
    <t>06/07 / 11:00am
Patrick J. Mastronardo / 407-252-6704 / Vee703@aol.com</t>
  </si>
  <si>
    <t>01/25 - 11:30am
Enroe Andre / 786-859-8689 / enroe.e.andre@ptsemail.com</t>
  </si>
  <si>
    <t>Keith Stewart / (863) 651-4454 keith.stewart@ryzeclaims.com</t>
  </si>
  <si>
    <t>01/30 - 2:30pm.
Lance Tanner / 251-610-8375 / christopher.tanner@alliedamericanusa.com</t>
  </si>
  <si>
    <t>04/15 / 3:30pm
James Williams / mediatorjim@jowpllc.com / 813-716-6785</t>
  </si>
  <si>
    <t>01/31 - 3:30pm
Kiara / 813-862-1651 / 888-621-9910 ext 21522</t>
  </si>
  <si>
    <t>02/21 / 12:00pm
Benjamin Deutschmann / (954) 526‑5232 / bd0824@universalproperty.com</t>
  </si>
  <si>
    <t>04/22 / 3:00pm
Gregory S. Glasser /  gglasser@ljglegal.com / 786-724-2600 | C. 305-613-0030| D. 786-310-2810</t>
  </si>
  <si>
    <t>2023120013</t>
  </si>
  <si>
    <t>02/15 - 1:30pm
Nusrat Urfi “Ned” / Ned.Urfi@ryzeclaims.com / 813-479-5211</t>
  </si>
  <si>
    <t>04/02 - 2:00pm
Christine M. Hansen / 561-503-7561 / cmvhansenmls@gmail.com</t>
  </si>
  <si>
    <t>02/08 - 12:00pm
Chris Nadeau / cel 407-212-5369 / 866.381.7249 / cjnadeau@travelers.com</t>
  </si>
  <si>
    <t>02/14 / 10:00am
Brad Crowson 813-334-6359; bcrowson@tierraeng.com</t>
  </si>
  <si>
    <t>02/28 / 12:00pm
Jud Johnson / 772-349-9685 / Citizens mail</t>
  </si>
  <si>
    <t>06/04 / 2:00pm
Max Karyo / 561-368-0111 / adr@karyolegal.com</t>
  </si>
  <si>
    <t>Liron Nicole Stav-Roach / (954) 600-7143 / LironNicole.StavRoach@citizensfla.com</t>
  </si>
  <si>
    <t>2024010011</t>
  </si>
  <si>
    <t>02/29 / 2:00pm
Earlanne Ford / 863-287-7029 / earlanne.m.ford@ptsemail.com</t>
  </si>
  <si>
    <t>04/24 / 3:30pm
Tyrone Stanton / tyrone.stanton@ptsemail.com / 352-552-2471
2ND PART APPRAISAL * 06/10 / 1:00pm
Kelly Ehritz - Keith Stewart - keith.stewart@ryceclaims.com / 863-618-5366</t>
  </si>
  <si>
    <t>06/18 / 12:30pm
Lynn Edwards / Cell: (904) 955-9498 / Office: (904) 342-7654 / lynn@edwardsclaimsconsultants.com</t>
  </si>
  <si>
    <t>06/18 / 12:30pm
Jordan Ruiz / 407-583-0556 / claims@pcs-fl.com</t>
  </si>
  <si>
    <t xml:space="preserve">03/06 / 1:30pm 
Chad Smith / 863-232-7528 / </t>
  </si>
  <si>
    <t>06/26 / 12:00pm
Robert A. Kasky, Esq. (954-658-3577</t>
  </si>
  <si>
    <t>02/29- 12:00pm
Jason Young / (386) 451-0320 / JYoung@securityfirstflorida.com</t>
  </si>
  <si>
    <t>02/26 - 1:30pm
Marcos / 863-585-6255 / Dantzler Group</t>
  </si>
  <si>
    <t>03/04 - 9am
Michelle Pressley / michelle@sleuthleakdetection.com</t>
  </si>
  <si>
    <t>03/08 / 12:00pm
Benjamin Deutschmann / (954) 526‑5232 / bd0824@universalproperty.com</t>
  </si>
  <si>
    <t>06/26 REQUESTED</t>
  </si>
  <si>
    <t>2023110025</t>
  </si>
  <si>
    <t>836743370</t>
  </si>
  <si>
    <t>03/15 - 10am
Benjamin Deutschmann / (954) 526‑5232 / bd0824@universalproperty.com</t>
  </si>
  <si>
    <t>08/13 / 2:00pm
Maria Torres / (305) 444-1701 / mtorres@diamondmediationfl.com</t>
  </si>
  <si>
    <t>03/12 / 3:30pm
Robert Copeland /  813.943.3898 /  rcopeland.vas@gmail.com</t>
  </si>
  <si>
    <t>05/16 at 12pm
Sarah Hannah-Spurlock / sarah@sagemediationllc.com / 954-998-2492</t>
  </si>
  <si>
    <t>06/04 / 3:45pm
Dale Wiseman / 772-834-1949 / dwiseman917@gmail.com</t>
  </si>
  <si>
    <t>04/09 / 12;:00pm
DA Matthew E Barker / 440-566-9469</t>
  </si>
  <si>
    <t>2023110023</t>
  </si>
  <si>
    <t>03/15 / 11:45am
Michael Bacigalupo / 504-957-3687 / Michael.Bacigalupo@Ryzeclaims.com</t>
  </si>
  <si>
    <t>06/25 / 2:30pm
Amy Wolpert / amywolpert@gmail.com / 561-701-0880</t>
  </si>
  <si>
    <t>03/15 / 10:30am
Michael Bacigalupo / 504-957-3687 / Michael.Bacigalupo@Ryzeclaims.com</t>
  </si>
  <si>
    <t>03/12 - 12:00pm
James Jennings / (772) 475-6532 / zorason82@gmail.com</t>
  </si>
  <si>
    <t>03/15 - 10:30am
Reinhard Biebricher / 352-574-2127</t>
  </si>
  <si>
    <t>04/25 / 11:00am
Greg Henry / ghenry@claimsquestions.com / 727-992-9448</t>
  </si>
  <si>
    <t>03/18 / 4:30pm
Debra Long / 561-519-0378</t>
  </si>
  <si>
    <t>04/03 / 10:30am
David Legget / david@coastaladj.com / 863-206-5407</t>
  </si>
  <si>
    <t>06/04 / 12:30pm
Josh Hurwitz / (904)231-8988 / Joshhurwitz@floridamediationhub.com</t>
  </si>
  <si>
    <t>2024010002</t>
  </si>
  <si>
    <t>06/24 /12:00pm
Daniel Williams / 239-922-0830 / daniel.williams@usforensic.com</t>
  </si>
  <si>
    <t>04/15 / 11:00am
Serguei Diaz / 888-300-0642</t>
  </si>
  <si>
    <t>05/13 / 5:30pm
Oliver Zerod / 913-754-6430 / admin@zerodclaims.com</t>
  </si>
  <si>
    <t>2024010004</t>
  </si>
  <si>
    <t>04/18 / 1:30pm
Tom Lally / 443-857-1692 / 772-345-1742 / tomlally1113@gmail.com</t>
  </si>
  <si>
    <t xml:space="preserve">06/25 / 12:00pm
Renier Diaz de la Portilla / mediations@gonetaxes.com / </t>
  </si>
  <si>
    <t>04/11 / 2:00pm
Miriam St. Hilaire 888-621-9910 ext 21064</t>
  </si>
  <si>
    <t>8/30/23</t>
  </si>
  <si>
    <t>12/20 Peter informs that the client doesn't want to go to litigation (CM)</t>
  </si>
  <si>
    <t>04/29 / 3:30pm
Devlin / 561-729-7339</t>
  </si>
  <si>
    <t>05/21 / 1:00pm
Ian Holder / 866.411.2742 ext. 21240</t>
  </si>
  <si>
    <t>Ivan, Jose P.</t>
  </si>
  <si>
    <t>2023100001</t>
  </si>
  <si>
    <t>04/17 / 1:00pm
Orlando Castillo / (786) 556-7543 / Orlando.Castillo@Citizensfla.com</t>
  </si>
  <si>
    <t>07/11 / 12:00pm
Maxine Rolle / Rollemediations@hotmail.com</t>
  </si>
  <si>
    <t>05/08 / 12:00pm
Jamie Black / 561-452-5855 cell / 888-621-9910 ext 70020</t>
  </si>
  <si>
    <t>03/05 Sarah informs settled (CM)</t>
  </si>
  <si>
    <t>Sent</t>
  </si>
  <si>
    <t>SYNCED (10/8/2026)</t>
  </si>
  <si>
    <t>2023100002</t>
  </si>
  <si>
    <t>05/29 / 1:30pm
Lynn S. Waterman/ / (305) 775-4799 / lynn@mediationfirstflorida.com</t>
  </si>
  <si>
    <t>02/05 Peter asked me to move to closed claims (CM)</t>
  </si>
  <si>
    <t>Litigation</t>
  </si>
  <si>
    <t>07/10 / 11:00am
Sam Woodard / 941-661-2313 / spwj2u@aol.com</t>
  </si>
  <si>
    <t>PAs</t>
  </si>
  <si>
    <t>06/11 / 2:00pm
Maria Torres / (305) 444-1701 / mtorres@diamondmediationfl.com</t>
  </si>
  <si>
    <t>2023100003</t>
  </si>
  <si>
    <t xml:space="preserve">UPLOADED </t>
  </si>
  <si>
    <t>04/25 / 1:00pm
Tim Bowman / 321.205.6186 / tbadjuster@gmail.com</t>
  </si>
  <si>
    <t>05/09 / 5:30pm
Aaron Breneman / 561-821-4457 / 561-609-1000 ext. #2624 / Abreneman@pti.insure</t>
  </si>
  <si>
    <t>2023100005</t>
  </si>
  <si>
    <t>8-24-23</t>
  </si>
  <si>
    <t xml:space="preserve">06/26 / 5:00pm
Erik Knudsen / (941) 979-2699 / </t>
  </si>
  <si>
    <t>SYNCED (Already exists)</t>
  </si>
  <si>
    <t>06/28 */ 11:00am -1:00pm
Joey / 228-238-4671 / Hancock</t>
  </si>
  <si>
    <t xml:space="preserve">06/18 / 2:00pm
Ryan Byrd / 601-342-0212 / ryan@maverickias.com </t>
  </si>
  <si>
    <t>07/12 / 2:00pm - 3:00om
Mark Kaufman / 941-426-5241 / cs@mkroof.com - email - Brianna Gallagher</t>
  </si>
  <si>
    <t>2023100006</t>
  </si>
  <si>
    <t>06/20 / 3:00pm
Zachary Polke  / 203-598-6675 / Zachary.Polke@RYZEclaims.com</t>
  </si>
  <si>
    <t>04/20 Peter asked me to send to close claims as per MSPG info (CM)</t>
  </si>
  <si>
    <t>SYNCED (2026-10-08)</t>
  </si>
  <si>
    <t>2023100008</t>
  </si>
  <si>
    <t>06/12 / 2:00pm
Joe Bufalini / 347-668-6027 / joeadjuster71@gmail.com</t>
  </si>
  <si>
    <t>2023100009</t>
  </si>
  <si>
    <t>04/16 Case settled and AOS approved; awaiting revised release to address missing MSPG on one check and AOB language (CM)</t>
  </si>
  <si>
    <t>Ivancho</t>
  </si>
  <si>
    <t>07/15 / 12:00pm
Vinny Millan/ 813-333-9484 / vmillan@heritagepci.com</t>
  </si>
  <si>
    <t>2023110002</t>
  </si>
  <si>
    <t>07/03 / 2:00pm
Reno Aguilar / 727-515-3007 - text</t>
  </si>
  <si>
    <t>06/26 / 10:30am
Jared / 352-247-6843 / Preciseia@outlook.com</t>
  </si>
  <si>
    <t>07/12 / 12:30pm
Jalissa Brown / (813) 283 9784 / jbrown@sdii-global.com // Engineer: Michael Blaise  (303) 854-8493</t>
  </si>
  <si>
    <t>07/09 / 1:00pm
Organized by Juan</t>
  </si>
  <si>
    <t>07/09 / 12:00-2:00pm
DONAN ENGINEERING COMPANY /  Elodie Fofana /  888-407-5224 x282</t>
  </si>
  <si>
    <t>2023110003</t>
  </si>
  <si>
    <t>07/02 / 2:00pm
Jonathan Amato / 754-305-1302 / jon.amato@burtonclaimservice.com</t>
  </si>
  <si>
    <t>06/26 / 3:00:00 PM
FA Mike Hollowell / 561-646-4053 ./ (866) 549-9672</t>
  </si>
  <si>
    <t>06/26 / 12:00:00 PM
Joe Danna / 386-405-8674 / joe.danna@securityfirstflorida.com</t>
  </si>
  <si>
    <t>2023100012</t>
  </si>
  <si>
    <t>07/30 received a letter, about a payment for 35k on tis claim, asked I&amp;P (CM)</t>
  </si>
  <si>
    <t>Steve Cinelli / 813-390-2636</t>
  </si>
  <si>
    <t>06/26 / 3:00pm
Heather Frase / 561-291-5158 / dhpclaimsservice@gmail.com</t>
  </si>
  <si>
    <t>2023110004</t>
  </si>
  <si>
    <t>4342463</t>
  </si>
  <si>
    <t xml:space="preserve">Erik Knudsen / (941) 979-2699 / </t>
  </si>
  <si>
    <t>Enroe Andre / 786-859-8689 / enroe.e.andre@ptsemail.com</t>
  </si>
  <si>
    <t>2023110005</t>
  </si>
  <si>
    <t>(863) 273-9670 / 863-222-1714</t>
  </si>
  <si>
    <t>05/08 Ivancho followed up with MSPG on the status of the settlement check (CM)</t>
  </si>
  <si>
    <t xml:space="preserve">DA Peter Luciano 727-403-3425 </t>
  </si>
  <si>
    <t>07/16 / between 11:00am - 1:00pm
Hancock claims / 770-569-1669 / Joseph C. 228-238-4671</t>
  </si>
  <si>
    <t>07/11 / 11:00am
Keith Hopkins  / 254-644-0645 / keithhopkinstrans@gmail.com</t>
  </si>
  <si>
    <t>2023100011</t>
  </si>
  <si>
    <t>07/16 - 2pm / 07/19 -10am or 2pm
Michael Razey / 772-812-9434 / TEXT LUNES</t>
  </si>
  <si>
    <t>03/31 Sarah informs settled (CM)</t>
  </si>
  <si>
    <t>Settled</t>
  </si>
  <si>
    <t>07/16 / 11:00am
Conrad Cooper / 727-967-8133 / ccooper@claimsquestions.com</t>
  </si>
  <si>
    <t>2023110006</t>
  </si>
  <si>
    <t xml:space="preserve">07/18-19-20 afternoon
Mike Quarto / (813) 505-4241 / michael.j.quarto@ptsemail.com
07/29 </t>
  </si>
  <si>
    <t>11/19 Sarah informs setted (CM)</t>
  </si>
  <si>
    <t>2023110007</t>
  </si>
  <si>
    <t>3300443797</t>
  </si>
  <si>
    <t>11/05 As per Peter instructions asked Ivan to contact the client to collect the umpire fees (CM)</t>
  </si>
  <si>
    <t>2023110008</t>
  </si>
  <si>
    <t>2023110009</t>
  </si>
  <si>
    <t>NOT PERFORMED 03/04
Gary Kettring / (941) 302-6018 - Cell / mediationsrq@yahoo.com</t>
  </si>
  <si>
    <t>04/16 Iván asked me to send to closed claims (CM)</t>
  </si>
  <si>
    <t>2023110010</t>
  </si>
  <si>
    <t>David Willette (808) 306-7865 / david_willette@us.crawco.com</t>
  </si>
  <si>
    <t>2023110011</t>
  </si>
  <si>
    <t>4359211</t>
  </si>
  <si>
    <t>2023110012</t>
  </si>
  <si>
    <t>2023110013</t>
  </si>
  <si>
    <t>2023110014</t>
  </si>
  <si>
    <t>4051586</t>
  </si>
  <si>
    <t>2023110016</t>
  </si>
  <si>
    <t>09/12 received info that they sent by mistake a check for $150, they are asking us to send it back to them that money, sent to Sarah, Ivan and Peter (CM)</t>
  </si>
  <si>
    <t>2023110017</t>
  </si>
  <si>
    <t>11-10-22</t>
  </si>
  <si>
    <t>Uriarte Law Group, informed that the case has been dismissed, and the file for this claim has been closed, informed Iván, sent it to closed claims</t>
  </si>
  <si>
    <t>2023110018</t>
  </si>
  <si>
    <t>10/18 Wilber is asking Ivan about this claim, informed Ivan to call him via WS (CM)</t>
  </si>
  <si>
    <t>2023110019</t>
  </si>
  <si>
    <t>11/12 Ivancho informs this has been settled in September (CM)</t>
  </si>
  <si>
    <t>2023100013</t>
  </si>
  <si>
    <t>yordanynunez80@gmail.com</t>
  </si>
  <si>
    <t>1230 NE 89 ST Miami, FL 33138 (6790 SW 105th Ave Miami 33173)</t>
  </si>
  <si>
    <t>5630102305</t>
  </si>
  <si>
    <t>05/07 Sarah informs settled (CM)</t>
  </si>
  <si>
    <t>2023110021</t>
  </si>
  <si>
    <t>2023110022</t>
  </si>
  <si>
    <t>09/17 received the payment letter for this claim sent to PAs (CM)</t>
  </si>
  <si>
    <t>2023110026</t>
  </si>
  <si>
    <t>4351462</t>
  </si>
  <si>
    <t>02/26 Sarah informs we were paid on this (CM)</t>
  </si>
  <si>
    <t>2023110029</t>
  </si>
  <si>
    <t>2023110030</t>
  </si>
  <si>
    <t>Sarah</t>
  </si>
  <si>
    <t>2023110031</t>
  </si>
  <si>
    <t xml:space="preserve">2450 SW 85th Ave. Miramar, FL 33025 </t>
  </si>
  <si>
    <t>05/08 called to customer service, the DA preciously assigned is not longer with Citizens, a spv will call me back, they have the information that the check was reissued yesterday (CM)</t>
  </si>
  <si>
    <t>2023110032</t>
  </si>
  <si>
    <t>08/21 Ivan says he has settled (CM)</t>
  </si>
  <si>
    <t>2023110033</t>
  </si>
  <si>
    <t>03/17 a deposition is being schduled for 07/22/25, cc'd Day to schedule it for Iván (CM)</t>
  </si>
  <si>
    <t>2023110035</t>
  </si>
  <si>
    <t xml:space="preserve">901-245-4404 / Jordan Woods / anthony.woods@ryzeclaims.com / (888) 898-7993 / dcrouch@aii.com </t>
  </si>
  <si>
    <t>10/29 DA infoms that they are waiting from the insurance company the response for the check (CM)</t>
  </si>
  <si>
    <t>2023110037</t>
  </si>
  <si>
    <t>2023110039</t>
  </si>
  <si>
    <t>2023120001</t>
  </si>
  <si>
    <t>240277</t>
  </si>
  <si>
    <t>01/15 Sarah informs settled (CM)</t>
  </si>
  <si>
    <t>2023120002</t>
  </si>
  <si>
    <t>24 N Cleveland Ave Fort Meade FL 33841</t>
  </si>
  <si>
    <t>Danielle Wilder /  (689) 257-3139 / dwilder@ottersolv.com</t>
  </si>
  <si>
    <t>2023110040</t>
  </si>
  <si>
    <t>11/19 Sarah informs settled (CM)</t>
  </si>
  <si>
    <t>2023120004</t>
  </si>
  <si>
    <t>catherineschaill@yahoo.com, gatorlass@peoplepc.com</t>
  </si>
  <si>
    <t>05/02 Sarah informs settled (CM)</t>
  </si>
  <si>
    <t>2023110041</t>
  </si>
  <si>
    <t>07/06/21</t>
  </si>
  <si>
    <t>Carolina Hernandez / W): (954) 958‑1200 ext: 6335 / ch0712@universalproperty.com</t>
  </si>
  <si>
    <t>08/02 Sarah sent the executed release to the carrier (CM)</t>
  </si>
  <si>
    <t>2023110043</t>
  </si>
  <si>
    <t>185 Georgetown Loop Wuachula, FL 33873</t>
  </si>
  <si>
    <t>2023120005</t>
  </si>
  <si>
    <t>09/28/22</t>
  </si>
  <si>
    <t>2023120003</t>
  </si>
  <si>
    <t>Reginaldfranklin324@gmail.com</t>
  </si>
  <si>
    <t>11/29/23</t>
  </si>
  <si>
    <t>Mathew Goldman / (954) 958-1200 - 6845/ Supervisor: Timothy Ryan ext 6209 / tmr1969@universalproperty.com</t>
  </si>
  <si>
    <t>2023120006</t>
  </si>
  <si>
    <t>2023120007</t>
  </si>
  <si>
    <t>2023120008</t>
  </si>
  <si>
    <t>05/06 Sarah informs the check is through iink procces (CM)</t>
  </si>
  <si>
    <t>2023120009</t>
  </si>
  <si>
    <t>02/05 Day sent the email to the clients, Peter and Iván are deciding on the next step (CM)</t>
  </si>
  <si>
    <t>Pend Pay</t>
  </si>
  <si>
    <t>2023120010</t>
  </si>
  <si>
    <t>2023120011</t>
  </si>
  <si>
    <t>252708</t>
  </si>
  <si>
    <t>04/15 MSPG informs Case has been settled on 3/13/26. Settlement letter sent and AOS has been approved. Pending Release (CM)</t>
  </si>
  <si>
    <t>2023120012</t>
  </si>
  <si>
    <t>01/12 Joshua will call the client to inform about the recoverable depreciation (CM)</t>
  </si>
  <si>
    <t>2023120014</t>
  </si>
  <si>
    <t>901 Glad Rd Winter Haven, FL 33880</t>
  </si>
  <si>
    <t>2023120015</t>
  </si>
  <si>
    <t>Steven Vannoy /  866-728-7098 / 800-652-1262 Ext. 4039072</t>
  </si>
  <si>
    <t>asked Joshua to confirm if he has call the client and if we should keep pushing on this one</t>
  </si>
  <si>
    <t>2023120016</t>
  </si>
  <si>
    <t>02/04 asked Juan to contact the client for the recoverable depreciation (CM)</t>
  </si>
  <si>
    <t>2024010001</t>
  </si>
  <si>
    <t>01/08 Ivancho informs that MSPG is working on the claim (CM)</t>
  </si>
  <si>
    <t>2024010003</t>
  </si>
  <si>
    <t>4750 Cypress Gardens Rd Winter Haven, FL 33884</t>
  </si>
  <si>
    <t>01/15 claim inform settled (CM)</t>
  </si>
  <si>
    <t>2023120017</t>
  </si>
  <si>
    <t>2023120018</t>
  </si>
  <si>
    <t>2024010005</t>
  </si>
  <si>
    <t>2024010006</t>
  </si>
  <si>
    <t>1348 Honeytree Ln E Lakeland, FL 33801</t>
  </si>
  <si>
    <t>03/11 Sarah sent the notarized settlement release to the carrier (CM)</t>
  </si>
  <si>
    <t>2024020005</t>
  </si>
  <si>
    <t xml:space="preserve">Kemline &amp; Ires Dorvil </t>
  </si>
  <si>
    <t>2/7/24</t>
  </si>
  <si>
    <t>03/12 call DA ask and inform that the client wants to close it (CM)</t>
  </si>
  <si>
    <t>Respond DA inquiries</t>
  </si>
  <si>
    <t>2024010007</t>
  </si>
  <si>
    <t>05/06 received the zoom link for the deposition scheduled for 07/15 through mail, send it to Day (CM)</t>
  </si>
  <si>
    <t>2024010008</t>
  </si>
  <si>
    <t>9/28/23</t>
  </si>
  <si>
    <t>11/14 all recovered (CM)</t>
  </si>
  <si>
    <t>2024010009</t>
  </si>
  <si>
    <t>Brenda &amp; James Killen</t>
  </si>
  <si>
    <t>Crystal Christmas Byars / (309)994-6921 / crystal.christmasbyars.l39r@statefarm.com</t>
  </si>
  <si>
    <t>05/13 Sarah informed that she received the check at the office (CM)</t>
  </si>
  <si>
    <t>2024010010</t>
  </si>
  <si>
    <t>Breiann &amp; Adam Dupre</t>
  </si>
  <si>
    <t>3300438094</t>
  </si>
  <si>
    <t>2024010012</t>
  </si>
  <si>
    <t>2024010013</t>
  </si>
  <si>
    <t>253116</t>
  </si>
  <si>
    <t>05/06 received the zoom link for the deposition scheduled for 07/02 through mail, send it to Day (CM)</t>
  </si>
  <si>
    <t>2024010014</t>
  </si>
  <si>
    <t>04/16 Sarah informs settled (CM)</t>
  </si>
  <si>
    <t>2024010015</t>
  </si>
  <si>
    <t>253115</t>
  </si>
  <si>
    <t>04/24 Case is moving forward with the litigation process (CM)</t>
  </si>
  <si>
    <t>2024010017</t>
  </si>
  <si>
    <t>01/08 the client didn't sign the retainer (CM)</t>
  </si>
  <si>
    <t>2024010018</t>
  </si>
  <si>
    <t>813-379-1250</t>
  </si>
  <si>
    <t>4376840</t>
  </si>
  <si>
    <t>03/05 Jakey explained to me that the mortgage has changed to HUD and it has been paid off, asked for the insurance company guidance on the next steps, informed Jakey the contact info for the HUD so the client can get the satisfaction of mortgage or release of lien to send to the carrier (CM)</t>
  </si>
  <si>
    <t>2024010019</t>
  </si>
  <si>
    <t>3300483074</t>
  </si>
  <si>
    <t>08/12/22</t>
  </si>
  <si>
    <t>11/04 Ivancho informed that this claim is paid, informed Sarah to collect our fees (CM)</t>
  </si>
  <si>
    <t>2024010020</t>
  </si>
  <si>
    <t>2024010027</t>
  </si>
  <si>
    <t>11/9/22</t>
  </si>
  <si>
    <t>2024010022</t>
  </si>
  <si>
    <t>percivaldonna999@gmail.com</t>
  </si>
  <si>
    <t>04/08 Peter will call to the last number we have (CM)</t>
  </si>
  <si>
    <t>2024010023</t>
  </si>
  <si>
    <t>Bobby Adams / 866-411-2742 ext 904-328-7492</t>
  </si>
  <si>
    <t>2024010024</t>
  </si>
  <si>
    <t>8/17/23</t>
  </si>
  <si>
    <t>2024010026</t>
  </si>
  <si>
    <t>2024020001</t>
  </si>
  <si>
    <t>2024020002</t>
  </si>
  <si>
    <t>2024020003</t>
  </si>
  <si>
    <t>02/05 Sarah will send the retainer via mail (CM)</t>
  </si>
  <si>
    <t>2024010028</t>
  </si>
  <si>
    <t>10/27/23</t>
  </si>
  <si>
    <t xml:space="preserve">L. Nicole Stav-Roach / 866.411.2742 ext. 70640 / (954) 600-7143 / LironNicole.StavRoach@citizensfla.com/ 9045204704 Renata Sumpter  </t>
  </si>
  <si>
    <t>05/06 Sarah informs we are waiting ink and mortgage to release the funds (CM)</t>
  </si>
  <si>
    <t>2022020001</t>
  </si>
  <si>
    <t>2198 Colonial Ave Lakeland, FL 33801</t>
  </si>
  <si>
    <t>11/06 Sarah informs we were paid on this (CM)</t>
  </si>
  <si>
    <t>2024020006</t>
  </si>
  <si>
    <t>04/16 MSPG informs Case has been settled in mediation. AOS approved; pending release (CM)</t>
  </si>
  <si>
    <t>2024020007</t>
  </si>
  <si>
    <t>253747</t>
  </si>
  <si>
    <t>04/16 Joshua did the inspection, asked me to remind him in 2 week to follow up on this claim (CM)</t>
  </si>
  <si>
    <t>2024020008</t>
  </si>
  <si>
    <t>mooreleilani71@gmail.com</t>
  </si>
  <si>
    <t>634 Strain Blvd Lakeland FL 33815</t>
  </si>
  <si>
    <t>Jamie Wright / jw0225@universalproperty.com / 800-425-9113 x7099</t>
  </si>
  <si>
    <t>11/15 Peter has got to an agreement on this claim (CM)</t>
  </si>
  <si>
    <t>2024020009</t>
  </si>
  <si>
    <t>1829 Optimist Dr Lakeland FL 33801</t>
  </si>
  <si>
    <t>09/20 Iván is following with DA for the JD's payment, uploaded the JD invoices in claimspath (CM)</t>
  </si>
  <si>
    <t>2024020010</t>
  </si>
  <si>
    <t>1320148-241013</t>
  </si>
  <si>
    <t>Chelsea Donaldson / 440-566-2508</t>
  </si>
  <si>
    <t>2024020011</t>
  </si>
  <si>
    <t>2024020012</t>
  </si>
  <si>
    <t>2024030001</t>
  </si>
  <si>
    <t>2024020014</t>
  </si>
  <si>
    <t>02/04/24</t>
  </si>
  <si>
    <t>Jewel Collins / 888-621-9910 ext 70694</t>
  </si>
  <si>
    <t>01/12 Ivan will call the client to inform about the recoverable depreciation (CM)</t>
  </si>
  <si>
    <t>2024030003</t>
  </si>
  <si>
    <t>2024030004</t>
  </si>
  <si>
    <t>aguilartommy9876@gmail.com</t>
  </si>
  <si>
    <t>02/19 sent the withdrawal letter (CM)</t>
  </si>
  <si>
    <t>2024030005</t>
  </si>
  <si>
    <t>01/08 Ivancho followed up with Juan on the retainer (CM)</t>
  </si>
  <si>
    <t>Pending</t>
  </si>
  <si>
    <t>Ivan, Angie</t>
  </si>
  <si>
    <t>2024030006</t>
  </si>
  <si>
    <t>2024030008</t>
  </si>
  <si>
    <t>1/15/2024</t>
  </si>
  <si>
    <t>05/08 Sarah sent an email to the client, following up on our fees (CM)</t>
  </si>
  <si>
    <t>Day</t>
  </si>
  <si>
    <t>2024030007</t>
  </si>
  <si>
    <t>1/13/21</t>
  </si>
  <si>
    <t>2024040002</t>
  </si>
  <si>
    <t>04/03/24</t>
  </si>
  <si>
    <t>04/24 claim settled at Mediation, pending AOS and release approval(CM)</t>
  </si>
  <si>
    <t>2024040003</t>
  </si>
  <si>
    <t>5201 SW 31ST Ave Apt 245 Fort Lauderdale, FL 33312</t>
  </si>
  <si>
    <t>04/10/24</t>
  </si>
  <si>
    <t>teleconference scheduled for 05/29, client and MSPG (CM)</t>
  </si>
  <si>
    <t>2024040004</t>
  </si>
  <si>
    <t>10/06/22</t>
  </si>
  <si>
    <t>2024040005</t>
  </si>
  <si>
    <t>2024040007</t>
  </si>
  <si>
    <t>000690292222</t>
  </si>
  <si>
    <t xml:space="preserve">06/13 Called MSPG and they informed the checks have been rcvd and they are being processed. The check will be rcvd in 15-20 days approximately. (DE) IP Adjusting Group LLC
</t>
  </si>
  <si>
    <t>2024040008</t>
  </si>
  <si>
    <t>Joe &amp; Andrew Bennet</t>
  </si>
  <si>
    <t>23178 Rye Ave Punta Gorda, FL 33980</t>
  </si>
  <si>
    <t>Ronnie Braddy / rbraddy@gristonclaim.com / 813-291-7419</t>
  </si>
  <si>
    <t>01/28 Sarah informs claim settled (CM)</t>
  </si>
  <si>
    <t>2024040009</t>
  </si>
  <si>
    <t>409 Pineapple St W. Bowling Green, FL 33834</t>
  </si>
  <si>
    <t>03/04 Sarah informs settled (CM)</t>
  </si>
  <si>
    <t>2024030009</t>
  </si>
  <si>
    <t>3300440850</t>
  </si>
  <si>
    <t>08/21 followed up on the release, DA responded they have sent the check (CM)</t>
  </si>
  <si>
    <t>Ivan, David M.</t>
  </si>
  <si>
    <t>2024040010</t>
  </si>
  <si>
    <t>04/14/24</t>
  </si>
  <si>
    <t>Camila Pohlmann / direct 561-783-8024 / 561-609-1000, ext. 2675 / cpohlmann@pti.insure</t>
  </si>
  <si>
    <t>10/02 Sarah informs fees recovered from the awad (CM)</t>
  </si>
  <si>
    <t>2024050001</t>
  </si>
  <si>
    <t>863-244-4916, 863-244-4913</t>
  </si>
  <si>
    <t>2024050007</t>
  </si>
  <si>
    <t>1576 SE Ohio Ave Arcadia FL 34266</t>
  </si>
  <si>
    <t>Ryan Loper / rloper@ottersolv.com / 689-262-7237</t>
  </si>
  <si>
    <t>04/24 Plaintiff provided the initial discovery responses to defendant (Cm)</t>
  </si>
  <si>
    <t>2024050006</t>
  </si>
  <si>
    <t>1713 SE Apple Dr Arcadia Florida 34266</t>
  </si>
  <si>
    <t>Steven Talley / (727) 308-3707 / CATClaims32@bankersinsurance.com</t>
  </si>
  <si>
    <t>11/05 DA is inquiring about the recoverable depreciation, Peter says that there is no recoverable as this was settled by a settlement release (CM)</t>
  </si>
  <si>
    <t>2024050002</t>
  </si>
  <si>
    <t>716 N Mills Ave Arcadia, FL 34266</t>
  </si>
  <si>
    <t>1126632</t>
  </si>
  <si>
    <t>2024050005</t>
  </si>
  <si>
    <t>Jonatan &amp; Elizabeth Serrano</t>
  </si>
  <si>
    <t>jonathamserr94@gmail.com</t>
  </si>
  <si>
    <t>519 N 15th Ave Arcadia, FL 34266</t>
  </si>
  <si>
    <t>Bamidele Ajibade / 469-896-1334 / Bamidele.Ajibade@sedgwick.com</t>
  </si>
  <si>
    <t>2024050008</t>
  </si>
  <si>
    <t>109 Mira Flores RD Arcadia, Florida 34266</t>
  </si>
  <si>
    <t>59-40B5-01G</t>
  </si>
  <si>
    <t>2024050009</t>
  </si>
  <si>
    <t>09/19 Sarah sent the settlement release notarized to the carrier (CM)</t>
  </si>
  <si>
    <t>2024050010</t>
  </si>
  <si>
    <t>209 N 10th Ave Arcadia, FL 34266</t>
  </si>
  <si>
    <t>01/15 we were paid, fees paid, missing the depreciation (CM)</t>
  </si>
  <si>
    <t>2024050011</t>
  </si>
  <si>
    <t>1731 NE Floridian Cir Arcadia, FL 34266</t>
  </si>
  <si>
    <t>10/22 Sarah informs we were paid on this claim (CM)</t>
  </si>
  <si>
    <t>2024050012</t>
  </si>
  <si>
    <t>Michael Zimmerla / michael.zimmerla@farmersinsurance.com / 913-956-8817</t>
  </si>
  <si>
    <t>04/24 Case is moving forward in the litigation process (CM)</t>
  </si>
  <si>
    <t>2024050014</t>
  </si>
  <si>
    <t>3111 12th St W Lehigh Acres, FL 33971</t>
  </si>
  <si>
    <t>10/23 payment was issued to MSPG informed Sarah to collect our fees (CM)</t>
  </si>
  <si>
    <t>2024050016</t>
  </si>
  <si>
    <t>05/31/24</t>
  </si>
  <si>
    <t>08/27 Sarah informs settled (CM)</t>
  </si>
  <si>
    <t>2024060001</t>
  </si>
  <si>
    <t>4407 SE 19th Ave Cape Coral, FL 33904</t>
  </si>
  <si>
    <t>New determination</t>
  </si>
  <si>
    <t>Tabitha Worthey / 251-607-4442 / tworthey@frontlineinsurance.com</t>
  </si>
  <si>
    <t>10/01 Client followed up on the document requested to Sarah, informed her via ws (CM)</t>
  </si>
  <si>
    <t>2024060002</t>
  </si>
  <si>
    <t>Wendydolphin13@yahoo.com</t>
  </si>
  <si>
    <t>Melaku Abebe / 800-652-1262 ext 4018847 / melaku.abebe@assurant.com</t>
  </si>
  <si>
    <t>01/23 Sarah informs that we were paid on this claim (CM)</t>
  </si>
  <si>
    <t>2024060003</t>
  </si>
  <si>
    <t>6/1/24</t>
  </si>
  <si>
    <t>01/08 Ivancho asked the status of the reatiner to Iván (CM)</t>
  </si>
  <si>
    <t>2024060004</t>
  </si>
  <si>
    <t>2024060005</t>
  </si>
  <si>
    <t>3300498823</t>
  </si>
  <si>
    <t>2/4/24</t>
  </si>
  <si>
    <t>Jorge Torres / 352.333.1215 / 800-342-3407  x1215 / jtorres@thig.com</t>
  </si>
  <si>
    <t>01/08 Iván said to Ivancho that this was a bad claim, need to ask Peter and Iván if we need to close this one (CM)</t>
  </si>
  <si>
    <t>2024050017</t>
  </si>
  <si>
    <t>Brandy &amp; Daniel Hand</t>
  </si>
  <si>
    <t>2024050018</t>
  </si>
  <si>
    <t>239-244-6777 / sister's 786-413-5146</t>
  </si>
  <si>
    <t>02/11 Rcvd a denial letter from the attorney's office. Pete and Josh cc'd and informed via ws (DE)</t>
  </si>
  <si>
    <t>Stand by</t>
  </si>
  <si>
    <t>2024060006</t>
  </si>
  <si>
    <t>11/15 Peter says claim settled (CM)</t>
  </si>
  <si>
    <t>2024050019</t>
  </si>
  <si>
    <t>Caro, SENT to CLIENT</t>
  </si>
  <si>
    <t>Eliza Neidlinger / (207) 837-4939</t>
  </si>
  <si>
    <t>01/08 ivancho sent the pandadoc (CM)</t>
  </si>
  <si>
    <t>Mediation</t>
  </si>
  <si>
    <t>2024060007</t>
  </si>
  <si>
    <t>6/5/24</t>
  </si>
  <si>
    <t>David F.</t>
  </si>
  <si>
    <t>2024060008</t>
  </si>
  <si>
    <t>255632</t>
  </si>
  <si>
    <t>11/14/22</t>
  </si>
  <si>
    <t>4/24 Case is moving forward with the litigation process(CM)</t>
  </si>
  <si>
    <t>2024060009</t>
  </si>
  <si>
    <t>308 N Mills Ave Arcadia FL 34266</t>
  </si>
  <si>
    <t>2024060011</t>
  </si>
  <si>
    <t>525 N Mills Ave Arcadia FL 34266</t>
  </si>
  <si>
    <t>H010021022</t>
  </si>
  <si>
    <t>Tim Kiernan / tkiernan@heritagepci.com / 727-362-7200 ext. 7184</t>
  </si>
  <si>
    <t>deposition was on 05/04 (CM)</t>
  </si>
  <si>
    <t>2024060012</t>
  </si>
  <si>
    <t>Melissa Spaulding / 866.411.2742 ext. 21286</t>
  </si>
  <si>
    <t>2024060013</t>
  </si>
  <si>
    <t>Andrew &amp; Amy Garner</t>
  </si>
  <si>
    <t>04/24 Pending executed release from the client informed MSPG (CM)</t>
  </si>
  <si>
    <t>2024060014</t>
  </si>
  <si>
    <t>NO DA assigned</t>
  </si>
  <si>
    <t>05/08 asked to MSPG the reason we received 10% for this claim, if the contract says 20% (CM)</t>
  </si>
  <si>
    <t>2024060015</t>
  </si>
  <si>
    <t>312 E Gibson St Arcadia, FL 34266</t>
  </si>
  <si>
    <t>00103795111</t>
  </si>
  <si>
    <t>01/26 nothing else to recover from the award, pending recoverable depreciation (CM)</t>
  </si>
  <si>
    <t>2024060016</t>
  </si>
  <si>
    <t>5717 SW Shores Ave Arcadia, FL 34266</t>
  </si>
  <si>
    <t>CHO-00149076</t>
  </si>
  <si>
    <t>10/29 Sarah informs we were paid on this claim (CM)</t>
  </si>
  <si>
    <t>2024060017</t>
  </si>
  <si>
    <t>Christineroutson61@gmail.com</t>
  </si>
  <si>
    <t>7007946877-1</t>
  </si>
  <si>
    <t>Peter Luciano / 727-403-3425/ peter.luciano@farmersinsurance.com</t>
  </si>
  <si>
    <t>08/21 Sarah informs we were paid on this (CM)</t>
  </si>
  <si>
    <t>2024050020</t>
  </si>
  <si>
    <t>Julio Calderon Campo</t>
  </si>
  <si>
    <t>942385</t>
  </si>
  <si>
    <t>Ronnie Braddy / claims@hcpci.com</t>
  </si>
  <si>
    <t xml:space="preserve">06/23 IC informs checks are going to be sent to MSPG </t>
  </si>
  <si>
    <t>2024060018</t>
  </si>
  <si>
    <t>19433-221001</t>
  </si>
  <si>
    <t>Francois Jean-Baptiste / (440) 566-8586 / francois_jean-baptiste@progressive.com</t>
  </si>
  <si>
    <t>09/08 followed up on the appeal response letter (CM)</t>
  </si>
  <si>
    <t>2024060019</t>
  </si>
  <si>
    <t>06/19/24</t>
  </si>
  <si>
    <t>Michael Razey / 772-812-9434</t>
  </si>
  <si>
    <t>2024060020</t>
  </si>
  <si>
    <t>PENDING, Ivancho</t>
  </si>
  <si>
    <t>10/13 asked the reissuance of the settlement check, Sarah is cc'd, asked her to put the task so she can follow up on the status of the check (CM)</t>
  </si>
  <si>
    <t>2024070001</t>
  </si>
  <si>
    <t>Gabriella Bollman &amp; Angelica Ansley</t>
  </si>
  <si>
    <t>Andy Andreu / 904-669-1450</t>
  </si>
  <si>
    <t>2024070002</t>
  </si>
  <si>
    <t>239-841-1680</t>
  </si>
  <si>
    <t>ent7266@yahoo.com</t>
  </si>
  <si>
    <t>1003 Chapel Ave Lehigh Acres, FL 33971</t>
  </si>
  <si>
    <t>Melissa Hernandez / 813) 937-5189 / mhernandez@slideinsurance.com</t>
  </si>
  <si>
    <t>05/11 asked Sarah for the status of this payment (CM)</t>
  </si>
  <si>
    <t>2024070003</t>
  </si>
  <si>
    <t>Immacula Atime</t>
  </si>
  <si>
    <t>239-334-8947</t>
  </si>
  <si>
    <t>neveahagy@gmail.com</t>
  </si>
  <si>
    <t>3052 Royal Palm Ave Fort Myers, FL 33901</t>
  </si>
  <si>
    <t>HPH205945</t>
  </si>
  <si>
    <t>H010022361</t>
  </si>
  <si>
    <t>Jacob Newell / (813)-725-4716 EXT:7361 / jnewell@heritagepci.com</t>
  </si>
  <si>
    <t>2024070004</t>
  </si>
  <si>
    <t>Katelynne Campbell</t>
  </si>
  <si>
    <t>352-697-3371</t>
  </si>
  <si>
    <t>kateogrady101113@gmail.com</t>
  </si>
  <si>
    <t>6045 West Woodside Cir. Crystal River, FL 34429</t>
  </si>
  <si>
    <t>2MR07761638061</t>
  </si>
  <si>
    <t>00201811423</t>
  </si>
  <si>
    <t>Mike Carson / 800-652-1262 ext 4018808 / spv Vince Wardman ext 4010130</t>
  </si>
  <si>
    <t>05/06 Sarah informs we were partially paid on this (CM)</t>
  </si>
  <si>
    <t>Appraisal completed</t>
  </si>
  <si>
    <t>2024070005</t>
  </si>
  <si>
    <t>Nicholas &amp; Martine Rochemont</t>
  </si>
  <si>
    <t>239-895-6000 &amp; 239-810-6662</t>
  </si>
  <si>
    <t>Marvinsmylove@yahoo.com</t>
  </si>
  <si>
    <t xml:space="preserve">People’s trust </t>
  </si>
  <si>
    <t>4708 Lee Blvd, Lehigh Acres FL 33971</t>
  </si>
  <si>
    <t>PFL398108-02</t>
  </si>
  <si>
    <t>CFL22590808</t>
  </si>
  <si>
    <t>Randall McGuire / rmcguire@pti.insure / (561) 291-6819 Ext. 3241</t>
  </si>
  <si>
    <t>01/08 Ivancho followed up with Joshua on the retainer (CM)</t>
  </si>
  <si>
    <t>2024070006</t>
  </si>
  <si>
    <t>Robert Reen</t>
  </si>
  <si>
    <t>413-883-1001</t>
  </si>
  <si>
    <t>Reener15rr@aol.com</t>
  </si>
  <si>
    <t>1022 SE 30th St. Cape Coral, FL 33904</t>
  </si>
  <si>
    <t>KIN-DP-FL-207018401</t>
  </si>
  <si>
    <t>HO-0007297</t>
  </si>
  <si>
    <t>Natalien Brown / 866-204-2219 Ext. 0669 / 689-319-9772</t>
  </si>
  <si>
    <t>04/21 MSPG informs that the claim was settled in mediation back in 04/06, asked for the setltement release (CM)</t>
  </si>
  <si>
    <t>2024060021</t>
  </si>
  <si>
    <t>Gerald &amp; Eva-Yee Nappi</t>
  </si>
  <si>
    <t>239-218-1253</t>
  </si>
  <si>
    <t>Evanappi@yahoo.com</t>
  </si>
  <si>
    <t>1928 SE 36th Ter Cape Coral, FL 33904</t>
  </si>
  <si>
    <t>UVH 25866050801</t>
  </si>
  <si>
    <t>RMUPCIC00415</t>
  </si>
  <si>
    <t>Donald Norred / 904-503-5806 /  dnorred@agfgroup.org / arhule2@agfgroup.org</t>
  </si>
  <si>
    <t>2024070007</t>
  </si>
  <si>
    <t xml:space="preserve">Beata Beyer </t>
  </si>
  <si>
    <t>408-605-3867</t>
  </si>
  <si>
    <t>Beata.beyer@gmail.com</t>
  </si>
  <si>
    <t>2160 Chenille Ct Venice Fl 34292</t>
  </si>
  <si>
    <t>AGH0380609</t>
  </si>
  <si>
    <t>CHO00175166</t>
  </si>
  <si>
    <t>Jennifer Dow / 813-851-4108 / jdow@ottersolv.com</t>
  </si>
  <si>
    <t>11/20 sent Sarah the settlement release for this claim and informed about the breakdown on it (CM)</t>
  </si>
  <si>
    <t>2024070008</t>
  </si>
  <si>
    <t>Sandy &amp; Lori Helmdach</t>
  </si>
  <si>
    <t>352-302-0733</t>
  </si>
  <si>
    <t>amipropertypreservationservice@gmail.com</t>
  </si>
  <si>
    <t>4442 North Saddle Dr. Beverly Hills FL, 34465</t>
  </si>
  <si>
    <t>AGH302507</t>
  </si>
  <si>
    <t>CHO00175168</t>
  </si>
  <si>
    <t>Gil Gushin / (813) 308-4725 / Gil.Gushin@ryzeclaims.com</t>
  </si>
  <si>
    <t>02/09 Peter asked me to send to stand by claims (CM)</t>
  </si>
  <si>
    <t>Take a decision</t>
  </si>
  <si>
    <t>2024080002</t>
  </si>
  <si>
    <t>Christina Suntai</t>
  </si>
  <si>
    <t>239-466-7278</t>
  </si>
  <si>
    <t>Christinasuntai@gmail.com</t>
  </si>
  <si>
    <t>800 N Entrada Dr Fort Myers 33919</t>
  </si>
  <si>
    <t>PFL149710-08</t>
  </si>
  <si>
    <t>CFL22592934</t>
  </si>
  <si>
    <t>Billy Rice / 561-295-7696 ext. 3765 / brice@pti.insure</t>
  </si>
  <si>
    <t>03/12 Iván asked to move to closed claims (CM)</t>
  </si>
  <si>
    <t>Ivan, Jakey</t>
  </si>
  <si>
    <t>2024080003</t>
  </si>
  <si>
    <t>Anita McCloskey</t>
  </si>
  <si>
    <t>239-478-6065</t>
  </si>
  <si>
    <t>acm.fl@hotmail.com</t>
  </si>
  <si>
    <t>2826 SE 19 Ave Cape Coral, FL 33904</t>
  </si>
  <si>
    <t>SJ31083702</t>
  </si>
  <si>
    <t>SL22209385</t>
  </si>
  <si>
    <t>Geralyn Johnson / 727-617-2899 / Gjohnson@slideincurance.com</t>
  </si>
  <si>
    <t>12/19 Peter is waiting on the client call (CM)</t>
  </si>
  <si>
    <t>2024080004</t>
  </si>
  <si>
    <t xml:space="preserve">David McClaim </t>
  </si>
  <si>
    <t>239-878-2068</t>
  </si>
  <si>
    <t>ciera.catuccio4@gmail.com</t>
  </si>
  <si>
    <t>2124 Dover Ave Fort Myers, FL 33907</t>
  </si>
  <si>
    <t>UHV243013811</t>
  </si>
  <si>
    <t>22FL00186430</t>
  </si>
  <si>
    <t>Emily Bowers / (904) 539-5879 / ebowers@agfgroup.org</t>
  </si>
  <si>
    <t>06/06 Sarah informed settled (CM)</t>
  </si>
  <si>
    <t>2024080005</t>
  </si>
  <si>
    <t>Kevin Smith</t>
  </si>
  <si>
    <t>239-229-6782</t>
  </si>
  <si>
    <t>nivekd1@ymail.com</t>
  </si>
  <si>
    <t>5314 BYGONE ST LEHIGH ACRES, FL 33971</t>
  </si>
  <si>
    <t>06225592 - 3</t>
  </si>
  <si>
    <t>001-00-500031</t>
  </si>
  <si>
    <t>Gary Cooper / 866.411.2742 ext. 60982</t>
  </si>
  <si>
    <t>03/05 Sarah informed settled (CM)</t>
  </si>
  <si>
    <t>2024080006</t>
  </si>
  <si>
    <t>Tracy Olin</t>
  </si>
  <si>
    <t>772-453-0576</t>
  </si>
  <si>
    <t>Dallasgirltray@aol.com</t>
  </si>
  <si>
    <t>US Coastal Property &amp; Casualty Insurance Comp.</t>
  </si>
  <si>
    <t>1475 33rd Ave. SW Vero Beach FL 32968</t>
  </si>
  <si>
    <t>11061958 - 1</t>
  </si>
  <si>
    <t>Alexandra Sorbo / (866) 482-5246, ext. 101 / asorbo@harborclaims.com</t>
  </si>
  <si>
    <t>2024080007</t>
  </si>
  <si>
    <t xml:space="preserve">Trenell Robinson </t>
  </si>
  <si>
    <t>917-455-2127</t>
  </si>
  <si>
    <t>Trenell.robinson@yahoo.com</t>
  </si>
  <si>
    <t>3014 41st ST SW Lehigh Acres FL 33976</t>
  </si>
  <si>
    <t>0810655-5</t>
  </si>
  <si>
    <t>001-00-367076</t>
  </si>
  <si>
    <t>Marbelis Irizarri / 888-621-9910 ext 221191</t>
  </si>
  <si>
    <t>2024080008</t>
  </si>
  <si>
    <t>Kerri &amp; William Koblentz</t>
  </si>
  <si>
    <t>863-513-6660 / 863-513-6665</t>
  </si>
  <si>
    <t>Kkoblentz@yahoo.com</t>
  </si>
  <si>
    <t>6330 Presidential LN, Lakeland FL 33811</t>
  </si>
  <si>
    <t>E005467187</t>
  </si>
  <si>
    <t>Murphey Jones / 205-810-1191 / mjones@thig.com</t>
  </si>
  <si>
    <t>2024080011</t>
  </si>
  <si>
    <t>Victor Rollins</t>
  </si>
  <si>
    <t>239-910-1280</t>
  </si>
  <si>
    <t>Rollinsbuilt@comcast.net</t>
  </si>
  <si>
    <t>5730 Sw First Ct Cape Coral, FL 33914</t>
  </si>
  <si>
    <t>MLR914215804</t>
  </si>
  <si>
    <t>00201560518</t>
  </si>
  <si>
    <t>PENDING, Sarah</t>
  </si>
  <si>
    <t>Mike Carson / 800-358-0600 ext 4018808</t>
  </si>
  <si>
    <t>04/14 Sarah sent a letter in which is stated that a check for 3.6k is unclaimed, asked her if she wanted me to ask the reissuance of the check (CM)</t>
  </si>
  <si>
    <t>2024080012</t>
  </si>
  <si>
    <t xml:space="preserve">John &amp; Marleni Daiello </t>
  </si>
  <si>
    <t>863-698-4802</t>
  </si>
  <si>
    <t>John.daiello@fedinc.com</t>
  </si>
  <si>
    <t>1914 Wind Meadows Dr, Bartow FL 33830</t>
  </si>
  <si>
    <t>BFL669260-00</t>
  </si>
  <si>
    <t>CFL24603293</t>
  </si>
  <si>
    <t>Kelly Russell / KRussell@pti.insure / (561) 609-1000 ext. 4001</t>
  </si>
  <si>
    <t>04/01 a deposition will be on 08/24 (CM)</t>
  </si>
  <si>
    <t>Offer</t>
  </si>
  <si>
    <t>2024090002</t>
  </si>
  <si>
    <t>Marcus Raney</t>
  </si>
  <si>
    <t>614-202-9124</t>
  </si>
  <si>
    <t>Raneysworld@gmail.com</t>
  </si>
  <si>
    <t>7 NW 14th Ave Cape Coral, FL 33993</t>
  </si>
  <si>
    <t>12042014-1</t>
  </si>
  <si>
    <t>001-00-517091</t>
  </si>
  <si>
    <t>Hurricane Helene</t>
  </si>
  <si>
    <t>09/26/24</t>
  </si>
  <si>
    <t>Lisa McAdams-Melton / 866.411.2742 ext. 21133</t>
  </si>
  <si>
    <t>06/01 Iván informed: We will not be able to recover the depreciation. set phase as settled (CM)</t>
  </si>
  <si>
    <t>2024090004</t>
  </si>
  <si>
    <t>Tomas Planet Fucha</t>
  </si>
  <si>
    <t>813-770-8282</t>
  </si>
  <si>
    <t>Caryplanet@yahoo.com</t>
  </si>
  <si>
    <t>6502 W Clifton St Tampa, FL 33634</t>
  </si>
  <si>
    <t>FLP 531968</t>
  </si>
  <si>
    <t>1423877-241013</t>
  </si>
  <si>
    <t xml:space="preserve">Kimberly Spencer - 440-620-4116 </t>
  </si>
  <si>
    <t>03/06 the DA called and informed that the house was sold, asked Juan and he confirm that, sent the withdrawal letter (CM)</t>
  </si>
  <si>
    <t>2024090003</t>
  </si>
  <si>
    <t>Helena &amp; Todd Helbing</t>
  </si>
  <si>
    <t>813-240-9186 / 813-335-5986</t>
  </si>
  <si>
    <t>Toddhelbing@aol.com / graetehelbing@aol.com</t>
  </si>
  <si>
    <t>6729 W Clifton St Tampa, FL 33603</t>
  </si>
  <si>
    <t>HPH082014</t>
  </si>
  <si>
    <t>H010027031</t>
  </si>
  <si>
    <t>Matthew Seoane / 401-495-6059 / GWClaimsReplies@heritagepci.com</t>
  </si>
  <si>
    <t>10/13 remind Sarah to collect the fees, asked her to set the task to collect the fees (CM)</t>
  </si>
  <si>
    <t>2024100001</t>
  </si>
  <si>
    <t>Donna Michelle Maidlow</t>
  </si>
  <si>
    <t>352-302-2785</t>
  </si>
  <si>
    <t>msmaidlow@yahoo.com</t>
  </si>
  <si>
    <t>3729 W Augusta Path Lecanto, FL 34461</t>
  </si>
  <si>
    <t>PFL399752-05</t>
  </si>
  <si>
    <t>CFL24604237</t>
  </si>
  <si>
    <t>Alexis Torres / 561-349-7963, ext. 3297 / atorres@pti.insure</t>
  </si>
  <si>
    <t>2024100002</t>
  </si>
  <si>
    <t>Mayol Gutierrez</t>
  </si>
  <si>
    <t>352-535-7141</t>
  </si>
  <si>
    <t>Mayolg@yahoo.com</t>
  </si>
  <si>
    <t>5225 N Alabaster Dr. Hernando FL 34442</t>
  </si>
  <si>
    <t>07694949</t>
  </si>
  <si>
    <t>001-00-519868</t>
  </si>
  <si>
    <t xml:space="preserve">Sarandon Finkley / 866.411.2742 ext. 21348 </t>
  </si>
  <si>
    <t>10/23 Sarah informs settled (CM)</t>
  </si>
  <si>
    <t>2024100003</t>
  </si>
  <si>
    <t>001-00-529755</t>
  </si>
  <si>
    <t>Brett Rhodes / 954-579-6691</t>
  </si>
  <si>
    <t>2024100004</t>
  </si>
  <si>
    <t>Slide</t>
  </si>
  <si>
    <t>SIC3161135</t>
  </si>
  <si>
    <t>202410008630</t>
  </si>
  <si>
    <t>Kelly Rankins / 602-753-5766 / krankins@slideinsurance.com</t>
  </si>
  <si>
    <t>2024100005</t>
  </si>
  <si>
    <t>Chandler Maidlow</t>
  </si>
  <si>
    <t>352-746-1855</t>
  </si>
  <si>
    <t>C.maidlow@gmail.com</t>
  </si>
  <si>
    <t>3728 W Augusta Path Lecanto, FL 34461</t>
  </si>
  <si>
    <t>1501-2105-5277</t>
  </si>
  <si>
    <t>FL24-0132361-K524</t>
  </si>
  <si>
    <t xml:space="preserve">Trisha Hutchinson / 800-470-0599/ 800-425-9113 ext 6575 noioffer@universalproperty.com </t>
  </si>
  <si>
    <t>07/10 Sarah sent the release to the carrier (CM)</t>
  </si>
  <si>
    <t>2024100006</t>
  </si>
  <si>
    <t>Miguel Mendez</t>
  </si>
  <si>
    <t>727-688-9031</t>
  </si>
  <si>
    <t>mmasek18@gmail.com</t>
  </si>
  <si>
    <t>13056 Sun Rd. Brooksville, FL 34613</t>
  </si>
  <si>
    <t>06092706-2</t>
  </si>
  <si>
    <t>001-00-522984</t>
  </si>
  <si>
    <t>JP, SENT to CLIENT</t>
  </si>
  <si>
    <t>Desilee Bain / 866.411.2742 ext. 21597</t>
  </si>
  <si>
    <t>02/26 DA informed back in 02/10 that there won't be any more payment (CM)</t>
  </si>
  <si>
    <t>2024100007</t>
  </si>
  <si>
    <t>863-686-8316</t>
  </si>
  <si>
    <t>KIN-MH-FL-252538618</t>
  </si>
  <si>
    <t>HO-3734814</t>
  </si>
  <si>
    <t xml:space="preserve">Tory Warren / 689-312-9493 </t>
  </si>
  <si>
    <t>08/27 Sarah informs fees pending (CM)</t>
  </si>
  <si>
    <t>Myers, Ivan</t>
  </si>
  <si>
    <t>2024100010</t>
  </si>
  <si>
    <t>Pierre &amp; Shirlaine Caty</t>
  </si>
  <si>
    <t>954-716-1444</t>
  </si>
  <si>
    <t>Caty70pierre@gmail.com</t>
  </si>
  <si>
    <t>1032 NW Bayshore BLVD. Port Saint Lucie, Fl 34983</t>
  </si>
  <si>
    <t>10163505</t>
  </si>
  <si>
    <t>001-00-549271</t>
  </si>
  <si>
    <t>Melinda London / 888-621-9910 ext 21222</t>
  </si>
  <si>
    <t>2024100011</t>
  </si>
  <si>
    <t>Prosper Bocaille &amp; Dazilia Pierre</t>
  </si>
  <si>
    <t>954-865-6297</t>
  </si>
  <si>
    <t>pbocaille@gmail.com</t>
  </si>
  <si>
    <t>319 SE Fallon Dr. Port Saint Lucie, FL 34983</t>
  </si>
  <si>
    <t>11784615</t>
  </si>
  <si>
    <t>001-00-542574</t>
  </si>
  <si>
    <t>David M., Joshua</t>
  </si>
  <si>
    <t>2024100012</t>
  </si>
  <si>
    <t>941-226-2475</t>
  </si>
  <si>
    <t>Ticktoken@aol.com</t>
  </si>
  <si>
    <t>2111 20th Street CT W Bradenton, FL 34205</t>
  </si>
  <si>
    <t>08504844</t>
  </si>
  <si>
    <t xml:space="preserve">Alonzo Smith / 813-291-7436 </t>
  </si>
  <si>
    <t>08/07 Sarah sent the notarized release to carrier (CM)</t>
  </si>
  <si>
    <t>2024100013</t>
  </si>
  <si>
    <t xml:space="preserve">Selma Garcia </t>
  </si>
  <si>
    <t>941-822-1222</t>
  </si>
  <si>
    <t>Djalgarcia@yahoo.com</t>
  </si>
  <si>
    <t>SafePoint</t>
  </si>
  <si>
    <t>2211 26th St W Bradenton, FL 34205</t>
  </si>
  <si>
    <t>SFLD0297894-07</t>
  </si>
  <si>
    <t>68493</t>
  </si>
  <si>
    <t>Sarah, SENT to CLIENT</t>
  </si>
  <si>
    <t>Emil Mendez / 813-488-0283 / emendez@safepointins.com</t>
  </si>
  <si>
    <t>Joshua, Hector</t>
  </si>
  <si>
    <t>2024100014</t>
  </si>
  <si>
    <t xml:space="preserve">Beth Ann Southerns </t>
  </si>
  <si>
    <t>941-518-1106</t>
  </si>
  <si>
    <t>Bann1605@gmail.com</t>
  </si>
  <si>
    <t>1605 29th St W Bradenton, FL 34205</t>
  </si>
  <si>
    <t>HCPC-HO3-343571-13</t>
  </si>
  <si>
    <t>947670</t>
  </si>
  <si>
    <t>10/10/24</t>
  </si>
  <si>
    <t xml:space="preserve">Frantz Goenssaist / 813-355-5358 </t>
  </si>
  <si>
    <t>deposition will be 07/01 (CM)</t>
  </si>
  <si>
    <t>2024100015</t>
  </si>
  <si>
    <t>Acia64@yahoo.com</t>
  </si>
  <si>
    <t>W015731643</t>
  </si>
  <si>
    <t>William Paul / 850-329-0156 / wpaul@thig.com</t>
  </si>
  <si>
    <t>06/19 Sarah informs settled (CM)</t>
  </si>
  <si>
    <t>2024100016</t>
  </si>
  <si>
    <t>857-919-7411</t>
  </si>
  <si>
    <t>Juliocesar0325@gmail.com</t>
  </si>
  <si>
    <t>3207 Eagle St Sarasota, FL 34235</t>
  </si>
  <si>
    <t>02412105-8</t>
  </si>
  <si>
    <t xml:space="preserve">Ronya Nalley / 866.411.2742 ext. 21551 / </t>
  </si>
  <si>
    <t>2024100017</t>
  </si>
  <si>
    <t xml:space="preserve">Brandon Schnitzler </t>
  </si>
  <si>
    <t>813-285-8932</t>
  </si>
  <si>
    <t>Schnitzlerbro@gmail.com</t>
  </si>
  <si>
    <t>1310 NE 1st St Mulberry FL 33860</t>
  </si>
  <si>
    <t>321485890A</t>
  </si>
  <si>
    <t xml:space="preserve">032148158–800 </t>
  </si>
  <si>
    <t xml:space="preserve">Lauren Ramirez / 855-925-8722 ext 3098  </t>
  </si>
  <si>
    <t>2024100018</t>
  </si>
  <si>
    <t>Chanit Tia Castle</t>
  </si>
  <si>
    <t>954-558-2922</t>
  </si>
  <si>
    <t>Tcact10@gmail.com</t>
  </si>
  <si>
    <t>1812 N Conrad Ave Sarasota, FL 34234</t>
  </si>
  <si>
    <t>1501-2100-8522</t>
  </si>
  <si>
    <t>FL24-0136232-K524</t>
  </si>
  <si>
    <t>SENT to CLIENT, Ivancho</t>
  </si>
  <si>
    <t xml:space="preserve"> Rafael Endes / 954-958-1200 ext 6819 / re0811@universalproperty.com </t>
  </si>
  <si>
    <t>03/27 Enviromental called an asked to send an email requesting the reissuance of the check for 2.4k (CM)</t>
  </si>
  <si>
    <t>2024100019</t>
  </si>
  <si>
    <t>Luz &amp; Jose Rincon</t>
  </si>
  <si>
    <t>954-479-4489</t>
  </si>
  <si>
    <t>Luzstellarincon@hotmail.com</t>
  </si>
  <si>
    <t>1941 NW 85th Ter, Gainesville, FL 32606</t>
  </si>
  <si>
    <t>SIC3068899</t>
  </si>
  <si>
    <t>9/26/24</t>
  </si>
  <si>
    <t>Jodi Spilotras / 813-937-5191 / jspilotras@slideinsurance.com // Manager Torr Gillyard / tgillyard@slideinsurance.com</t>
  </si>
  <si>
    <t>05/06 DA informs that they paid already the tre removal, informed Peter (CM)</t>
  </si>
  <si>
    <t>2024100020</t>
  </si>
  <si>
    <t>941-217-9194</t>
  </si>
  <si>
    <t>Amorrisonsrq@gmail.com</t>
  </si>
  <si>
    <t>1006 Southern Pine Ln Sarasota, FL 34243</t>
  </si>
  <si>
    <t>10638409</t>
  </si>
  <si>
    <t>Ann Nieman /  260-214-8856 / 866.411.2742 ext. 21041</t>
  </si>
  <si>
    <t>2024100021</t>
  </si>
  <si>
    <t>239-248-6599</t>
  </si>
  <si>
    <t>Jason.pellett@yahoo.com</t>
  </si>
  <si>
    <t>Progressive Home</t>
  </si>
  <si>
    <t>15782 High Bell Place Bradenton, FL 34212</t>
  </si>
  <si>
    <t>FLW014414(NH3)</t>
  </si>
  <si>
    <t xml:space="preserve"> Gail Sibble / 440-620-5857</t>
  </si>
  <si>
    <t>07/29 DA called and informed he is issuing a payment for $120.81, recoverable depreciation, informed Peter (CM)</t>
  </si>
  <si>
    <t>2024100022</t>
  </si>
  <si>
    <t>941-400-9534</t>
  </si>
  <si>
    <t>Maria.aguila.realtor@gmail.com</t>
  </si>
  <si>
    <t>SageSure</t>
  </si>
  <si>
    <t>15753 High Bell Place Bradenton, FL 34212</t>
  </si>
  <si>
    <t>FLRF58944500</t>
  </si>
  <si>
    <t>Day, SENT to CLIENT</t>
  </si>
  <si>
    <t>Jami Upton / 850-852-1498</t>
  </si>
  <si>
    <t>2024100024</t>
  </si>
  <si>
    <t>Battallion Insurance LLC</t>
  </si>
  <si>
    <t>352-354-7777</t>
  </si>
  <si>
    <t>Peacejoy4u@yahoo.com</t>
  </si>
  <si>
    <t>7781 N Carl G Rose Hwy. Hernando, FL 34442</t>
  </si>
  <si>
    <t>ACP BP013210627632</t>
  </si>
  <si>
    <t>099403-GQ</t>
  </si>
  <si>
    <t>Tamara Britford / 480-365-2593 / tamara.britford@nationwide.com</t>
  </si>
  <si>
    <t>04/24 Ivancho informs MSPG is working on discovery responses (CM)</t>
  </si>
  <si>
    <t>2024100025</t>
  </si>
  <si>
    <t>Beata Beyer</t>
  </si>
  <si>
    <t>408-605-7055</t>
  </si>
  <si>
    <t>Monikabeyer88@gmail.com</t>
  </si>
  <si>
    <t>5751 Windy Bay Ter Mokomis Fl 34275</t>
  </si>
  <si>
    <t>KIN-DP-FL-233041141</t>
  </si>
  <si>
    <t>HO-4716689</t>
  </si>
  <si>
    <t>Raelene Bencivenga / 689-407-8906</t>
  </si>
  <si>
    <t>10/02 Sarah sent the our invoice to the client (CM)</t>
  </si>
  <si>
    <t>2024100026</t>
  </si>
  <si>
    <t>Carol Doran</t>
  </si>
  <si>
    <t>941-296-5545</t>
  </si>
  <si>
    <t>Caroldoran1957@gmail.com</t>
  </si>
  <si>
    <t>413 N Dodge Ave Sarasota, FL 34237</t>
  </si>
  <si>
    <t>SJ30241489</t>
  </si>
  <si>
    <t>202410016041</t>
  </si>
  <si>
    <t>Sonja Rogers / 540-617-0220 / FA Billy Pkering / 877-372-5795 - srodgers@slideinsurance.com</t>
  </si>
  <si>
    <t>2024100027</t>
  </si>
  <si>
    <t xml:space="preserve">Beverly Felton </t>
  </si>
  <si>
    <t>239-895-5073</t>
  </si>
  <si>
    <t>Beverlyfelton5@gmail.com</t>
  </si>
  <si>
    <t>3244 Willin St Fort Myers, FL 33916</t>
  </si>
  <si>
    <t>07973565</t>
  </si>
  <si>
    <t>001-00-564700</t>
  </si>
  <si>
    <t>10/14/24</t>
  </si>
  <si>
    <t>Alejandro Casey / 866.411.2742 ext. 21462 / 786-260-8580</t>
  </si>
  <si>
    <t>01/08 ivancho sent the pandadoc again to the client as it was expired (CM)</t>
  </si>
  <si>
    <t>2024100028</t>
  </si>
  <si>
    <t xml:space="preserve">Addlish Harmon </t>
  </si>
  <si>
    <t>239-839-5665</t>
  </si>
  <si>
    <t>mslish239@gmail.com</t>
  </si>
  <si>
    <t>1670 Heiman Ave Fort Myers, FL 33905</t>
  </si>
  <si>
    <t>05444529-4</t>
  </si>
  <si>
    <t>001-00-564713</t>
  </si>
  <si>
    <t>Ellen Bostron / 888-621-9910 ext 21137 / Ellen.Bostrom@citizensfla.com</t>
  </si>
  <si>
    <t>2024100029</t>
  </si>
  <si>
    <t>941-896-2931</t>
  </si>
  <si>
    <t>Victoriapompey@gmail.com</t>
  </si>
  <si>
    <t>2741 21st St Sarasota, FL 34234</t>
  </si>
  <si>
    <t>09943686-2</t>
  </si>
  <si>
    <t>Kenneth Adams / (254) 813-6253</t>
  </si>
  <si>
    <t>2024100030</t>
  </si>
  <si>
    <t>941-755-5986 / 931-214-4349</t>
  </si>
  <si>
    <t>sharles733@gmail.com</t>
  </si>
  <si>
    <t>6619 38th LN E Sarasota, FL 34243</t>
  </si>
  <si>
    <t>11192122</t>
  </si>
  <si>
    <t>Adina Decker / 866.411.2742 ext. 21272</t>
  </si>
  <si>
    <t>04/16 Sarah informs settled (CM</t>
  </si>
  <si>
    <t>Gregory, Peter</t>
  </si>
  <si>
    <t>2024100031</t>
  </si>
  <si>
    <t>Julita Warwood</t>
  </si>
  <si>
    <t>772-595-2124</t>
  </si>
  <si>
    <t>Hasranahg@gmail.com</t>
  </si>
  <si>
    <t>5509 Killarney Ave Fort Pierce, FL 34951</t>
  </si>
  <si>
    <t>12267283</t>
  </si>
  <si>
    <t>001-00-564754</t>
  </si>
  <si>
    <t xml:space="preserve">Amber Goldman / 866.411.2742 ext. 53321 NEW: Donald Dunaway , 8886219910 ext 70691 </t>
  </si>
  <si>
    <t>2024100032</t>
  </si>
  <si>
    <t>Lanio Louis</t>
  </si>
  <si>
    <t>954-638-8155</t>
  </si>
  <si>
    <t>Lewis35501@outlook.com</t>
  </si>
  <si>
    <t>301 NW Hogan St Port Saint Lucie, FL 34983</t>
  </si>
  <si>
    <t>SIC3113633</t>
  </si>
  <si>
    <t>202410014709</t>
  </si>
  <si>
    <t>Michael Werneth / 727-354-6912  / mwerneth@slideinsurance.com</t>
  </si>
  <si>
    <t>06/03 Sarah sent the notarize release to the carrier (CM)</t>
  </si>
  <si>
    <t>2024100033</t>
  </si>
  <si>
    <t>727-742-0103</t>
  </si>
  <si>
    <t>Courtneybcca@yahoo.ca</t>
  </si>
  <si>
    <t>410 Normandy Rd Madeira Beach, FL 33708</t>
  </si>
  <si>
    <t>11879675-1</t>
  </si>
  <si>
    <t>Marie Mitchell / 888-621-9910 ext 70841</t>
  </si>
  <si>
    <t>05/06 Sarah informs Fees Pending. She is waiting for the mortgage to release funds (CM)</t>
  </si>
  <si>
    <t>2024100034</t>
  </si>
  <si>
    <t>Liovanni Hilaire</t>
  </si>
  <si>
    <t>561-644-6405</t>
  </si>
  <si>
    <t>LBHILAIRE@yahoo.com</t>
  </si>
  <si>
    <t>6505 Bayard Rd, Fort Pierce, FL 34951</t>
  </si>
  <si>
    <t>MP7004650</t>
  </si>
  <si>
    <t>LL03315112</t>
  </si>
  <si>
    <t>Day, NOTARIZE SARAH</t>
  </si>
  <si>
    <t>JANET CALLAHAN / 817.690.3714 / jcallahan@proctorlp.com</t>
  </si>
  <si>
    <t>04/02 Peter asked to move this one to close claims via email, informed about the pending invoices for JD, they are not going to pay JD  (CM)</t>
  </si>
  <si>
    <t>2024100035</t>
  </si>
  <si>
    <t>Dayron Enamorado</t>
  </si>
  <si>
    <t xml:space="preserve">352-464-0759 </t>
  </si>
  <si>
    <t>dayronenamorado906@gmail.com</t>
  </si>
  <si>
    <t>1158 Summer Star Dr. Riverview, FL 33579</t>
  </si>
  <si>
    <t>1501-2005-9873</t>
  </si>
  <si>
    <t>FL24-0137738-K524</t>
  </si>
  <si>
    <t>FA Seth Meebleman / 954-958-1200 ext 7128 / sn0310@universalproperty.com</t>
  </si>
  <si>
    <t>2024100037</t>
  </si>
  <si>
    <t>Louis S Gomez &amp; Lourdes Parra</t>
  </si>
  <si>
    <t>561-215-3370</t>
  </si>
  <si>
    <t>2200 Angel Rd SE Palm Bay, FL 32909-6454</t>
  </si>
  <si>
    <t xml:space="preserve">        Jaterica Davis-Williams / (561) 767- 8430 / jawilliams@slideinsurance.com</t>
  </si>
  <si>
    <t>11/19 Sarah informed settled (CM)</t>
  </si>
  <si>
    <t>2024100038</t>
  </si>
  <si>
    <t>Juan de Castro</t>
  </si>
  <si>
    <t>305-810-9529</t>
  </si>
  <si>
    <t>Chojuan30@hotmail.com</t>
  </si>
  <si>
    <t>11461 Sw 104th St Miami, FL 33176</t>
  </si>
  <si>
    <t>W012856510</t>
  </si>
  <si>
    <t>Amy Alvear / 888.461.6908  Ext.0564</t>
  </si>
  <si>
    <t>07/14 MSPG informs they sent the check to the office on 07/11, informed the client and Sarah (CM)</t>
  </si>
  <si>
    <t>2024100039</t>
  </si>
  <si>
    <t>Jose Julian Colon</t>
  </si>
  <si>
    <t>727-645-2661</t>
  </si>
  <si>
    <t>Colonjulian30@yahoo.com</t>
  </si>
  <si>
    <t>603 14th St E Palmetto, FL 34221</t>
  </si>
  <si>
    <t>MIP-RCH-02111-00</t>
  </si>
  <si>
    <t>00104612687</t>
  </si>
  <si>
    <t>Daniel Vasconcelos / 800-358-0600 ext 4030152/daniel.vasconcelos@assurant.com</t>
  </si>
  <si>
    <t>2024100041</t>
  </si>
  <si>
    <t>John Charles Hoelzer</t>
  </si>
  <si>
    <t>516-574-9821</t>
  </si>
  <si>
    <t>Thehoelzerhaus36@gmail.com</t>
  </si>
  <si>
    <t>525 Centre St Palmetto, FL 34221</t>
  </si>
  <si>
    <t>08882201</t>
  </si>
  <si>
    <t>001-00-529941</t>
  </si>
  <si>
    <t>Prince Nimoh / 866-411-2742 ext 4414</t>
  </si>
  <si>
    <t>2024100040</t>
  </si>
  <si>
    <t>(863) 244-4550</t>
  </si>
  <si>
    <t>KINHOFL162204628</t>
  </si>
  <si>
    <t>HO-4117392</t>
  </si>
  <si>
    <t>10/22/24</t>
  </si>
  <si>
    <t>Coral McMinn / 689-210-6707</t>
  </si>
  <si>
    <t>02/05 Peter informed that we have estate (we have money on this) (CM)</t>
  </si>
  <si>
    <t>2024100042</t>
  </si>
  <si>
    <t xml:space="preserve">Sara Edixon </t>
  </si>
  <si>
    <t>941-773-0646</t>
  </si>
  <si>
    <t>Saratipton611@gmail.com</t>
  </si>
  <si>
    <t>432 49th ST W Palmetto FL 34221</t>
  </si>
  <si>
    <t>FPH3010804-00</t>
  </si>
  <si>
    <t>FPI249916</t>
  </si>
  <si>
    <t xml:space="preserve">Marilyn Scelfo / (866) 549-9672  </t>
  </si>
  <si>
    <t>03/26 Sarah informs settled (CM)</t>
  </si>
  <si>
    <t>Jose P., Ivan</t>
  </si>
  <si>
    <t>2024100043</t>
  </si>
  <si>
    <t>Lawrence Miller</t>
  </si>
  <si>
    <t>772-332-7244</t>
  </si>
  <si>
    <t>LarryMiller641@gmail.com</t>
  </si>
  <si>
    <t>6601 Hulda Dr. Fort Pierce, FL 34951</t>
  </si>
  <si>
    <t>04712976</t>
  </si>
  <si>
    <t>001-00-569635</t>
  </si>
  <si>
    <t>Grant Gelina / 866.411.2742 ext. 21069</t>
  </si>
  <si>
    <t>04/29 Sarah informs settled (CM)</t>
  </si>
  <si>
    <t>Peter, Gregory</t>
  </si>
  <si>
    <t>2024100044</t>
  </si>
  <si>
    <t>Kenneth M Lagassey</t>
  </si>
  <si>
    <t>772-828-6467</t>
  </si>
  <si>
    <t>Kennylagassey88@gmail.com</t>
  </si>
  <si>
    <t>7102 Kenwood Rd. Fort Pierce, FL 34951</t>
  </si>
  <si>
    <t>MLR21149639940</t>
  </si>
  <si>
    <t>00201852454</t>
  </si>
  <si>
    <t>2024100045</t>
  </si>
  <si>
    <t>Fredy Garcia &amp; Jesus Castro Luna</t>
  </si>
  <si>
    <t>863-801-2314</t>
  </si>
  <si>
    <t>Garciaf9363@gmail.com</t>
  </si>
  <si>
    <t>7101 Kenwood Rd. Fort Pierce, FL 34951.</t>
  </si>
  <si>
    <t>MIPRCH0077600</t>
  </si>
  <si>
    <t>00104700327</t>
  </si>
  <si>
    <t>Hurricane MIlton</t>
  </si>
  <si>
    <t>Jay Crawley / 800-652-1262 Ext. 4030861 / spv lori.gross@assurant.com ext 401011</t>
  </si>
  <si>
    <t>08/28 received a payment letter for the award, recovering depreciation is still missing, they paid for the O&amp;L (CM)</t>
  </si>
  <si>
    <t>2024100046</t>
  </si>
  <si>
    <t>Guerra Properties LLC</t>
  </si>
  <si>
    <t>Michael@guerrausa.com</t>
  </si>
  <si>
    <t>3956 S Floral Ter Inverness, FL 34452</t>
  </si>
  <si>
    <t>08970031-2</t>
  </si>
  <si>
    <t>001-00-569891</t>
  </si>
  <si>
    <t>Amber Goldman / 866.411.2742 ext. 53321</t>
  </si>
  <si>
    <t>2024100047</t>
  </si>
  <si>
    <t>Idiolexys Alvarez Torres</t>
  </si>
  <si>
    <t>941-822-6573</t>
  </si>
  <si>
    <t>Idioalvarez@gmail.com</t>
  </si>
  <si>
    <t>3309 6th Ave W Palmetto, FL 34221</t>
  </si>
  <si>
    <t>08301658-2</t>
  </si>
  <si>
    <t>001-00-550038</t>
  </si>
  <si>
    <t>Shelby Dierlam / 866-411-2742 ext 4490</t>
  </si>
  <si>
    <t>2024100048</t>
  </si>
  <si>
    <t>Dacelin &amp; Antonette St Martin</t>
  </si>
  <si>
    <t>dstmartin@pedimhealthcare.com</t>
  </si>
  <si>
    <t>419 NW 8th Ave. Crystal River, FL 34428</t>
  </si>
  <si>
    <t>AGD30523232</t>
  </si>
  <si>
    <t>CDP-00185070</t>
  </si>
  <si>
    <t xml:space="preserve">Tony Lopez / 727-353-8352 Ext. 307 / tlopez@telaclaims.com </t>
  </si>
  <si>
    <t>03/09 Ivancho informs that a IFS resubmitted correctlly by MSPG (CM)</t>
  </si>
  <si>
    <t>2024100049</t>
  </si>
  <si>
    <t>Jamila Mcgee</t>
  </si>
  <si>
    <t>786-288-6142</t>
  </si>
  <si>
    <t>McGee.j25377@gmail.com</t>
  </si>
  <si>
    <t>6608 Deleon Ave Fort Pierce, FL 34951</t>
  </si>
  <si>
    <t>1501-2007-0789</t>
  </si>
  <si>
    <t>FL24-0139304-k524</t>
  </si>
  <si>
    <t>Patrick Chichester / (954) 526‑4645 / ptc3369@universalproperty.com</t>
  </si>
  <si>
    <t>2024100050</t>
  </si>
  <si>
    <t>Mailis Gonzalez</t>
  </si>
  <si>
    <t>352-586-2712</t>
  </si>
  <si>
    <t>mailis_gonzalez@yahoo.com</t>
  </si>
  <si>
    <t>9625 North Ojus Dr Tampa, FL 33617</t>
  </si>
  <si>
    <t>HOH670382</t>
  </si>
  <si>
    <t>H010035066</t>
  </si>
  <si>
    <t>Tyler Burke / 813-499-9348 / tburke@heritagepci.com</t>
  </si>
  <si>
    <t>2024100052</t>
  </si>
  <si>
    <t>Francisco Castro</t>
  </si>
  <si>
    <t>772-267-7573</t>
  </si>
  <si>
    <t>mayjavjan04@gmail.com</t>
  </si>
  <si>
    <t xml:space="preserve">VYRD </t>
  </si>
  <si>
    <t>2861 SE Ironton Ave Port Saint Lucie, FL 34953</t>
  </si>
  <si>
    <t>715602</t>
  </si>
  <si>
    <t>013507</t>
  </si>
  <si>
    <t>Todd Cantrell / (727) 218-1795 / tcantrell@fks-insurance.com</t>
  </si>
  <si>
    <t>2024100051</t>
  </si>
  <si>
    <t>Diana Josue</t>
  </si>
  <si>
    <t>772-332-2343</t>
  </si>
  <si>
    <t>dianadjosue@hotmail.com</t>
  </si>
  <si>
    <t>2601 Arnold Ct. Fort Pierce, FL 34946</t>
  </si>
  <si>
    <t>SOIH0900516</t>
  </si>
  <si>
    <t>65579</t>
  </si>
  <si>
    <t xml:space="preserve">Cris Berry / 727-742-2271 </t>
  </si>
  <si>
    <t>2024100053</t>
  </si>
  <si>
    <t>Seddrick &amp; Donna Dixon</t>
  </si>
  <si>
    <t>772-924-5010</t>
  </si>
  <si>
    <t>sldixon531@aol.com</t>
  </si>
  <si>
    <t>6704 Deleon Ave. Fort Pierce, FL 34951</t>
  </si>
  <si>
    <t>HOH624105</t>
  </si>
  <si>
    <t>H010032983</t>
  </si>
  <si>
    <t>John Schabert / 813-725-4403 / jschabert@heritagepci.com</t>
  </si>
  <si>
    <t>2024100054</t>
  </si>
  <si>
    <t xml:space="preserve">Dadda Holdings LLC </t>
  </si>
  <si>
    <t>229 NE 5th ST. Crystal River, FL 34429</t>
  </si>
  <si>
    <t>BCVBR117254</t>
  </si>
  <si>
    <t>79258PMC</t>
  </si>
  <si>
    <t>Penny McDaniel / 800-487-1263 ext 212/ Penny.McDaniel@blairandco.net</t>
  </si>
  <si>
    <t>2024110001</t>
  </si>
  <si>
    <t xml:space="preserve">3399 E Gulf To Lake HWY. Inverness, FL 34453 </t>
  </si>
  <si>
    <t>79280PMC</t>
  </si>
  <si>
    <t>2024110002</t>
  </si>
  <si>
    <t>3553 E Suzie LN. Inverness, FL 34452</t>
  </si>
  <si>
    <t>79281PMC</t>
  </si>
  <si>
    <t>2024110003</t>
  </si>
  <si>
    <t xml:space="preserve">Alfredo Fley </t>
  </si>
  <si>
    <t>646-453-9854</t>
  </si>
  <si>
    <t>Alfredofley@yahoo.com</t>
  </si>
  <si>
    <t>836 Golf Dr Venice Fl 34285</t>
  </si>
  <si>
    <t>1505-1400-0847</t>
  </si>
  <si>
    <t>FL24-0136600-K324</t>
  </si>
  <si>
    <t>Christopher Anders / 954-958-1205 ext 6132    ca0507@universalproperty.com</t>
  </si>
  <si>
    <t>01/22 Sarah informs settled via payroll (CM)</t>
  </si>
  <si>
    <t>2024100055</t>
  </si>
  <si>
    <t>Lyle Dorr</t>
  </si>
  <si>
    <t>941-405-8661</t>
  </si>
  <si>
    <t>ldorr3131@gmail.com</t>
  </si>
  <si>
    <t>1401 28th St W Bradenton FL 34205</t>
  </si>
  <si>
    <t>06993168</t>
  </si>
  <si>
    <t>001-00-521606</t>
  </si>
  <si>
    <t>PENDING, JP</t>
  </si>
  <si>
    <t>Tanya Rogers / 866.411.2742 ext. 21126</t>
  </si>
  <si>
    <t>02/26 asked Iván if he was able to get a contact information for the client's relatives, he cpuldn't (CM)</t>
  </si>
  <si>
    <t>Appraisal</t>
  </si>
  <si>
    <t>2024110004</t>
  </si>
  <si>
    <t>941-504-6000/941-932-7729</t>
  </si>
  <si>
    <t>Coyad@ankoproducts.com</t>
  </si>
  <si>
    <t>13632 4th Ave NE Bradenton Fl 34212</t>
  </si>
  <si>
    <t>PKG701546751</t>
  </si>
  <si>
    <t>LeDalia Rhoden / 888.929.4222 / flstormclaims@acg.aaa.com / lrhoden@acg.aaa.com</t>
  </si>
  <si>
    <t>Ivan, Joshua</t>
  </si>
  <si>
    <t>2024110005</t>
  </si>
  <si>
    <t>Ivan Belyy</t>
  </si>
  <si>
    <t>941-412-6106</t>
  </si>
  <si>
    <t>ivanbelyyjr@gmail.com</t>
  </si>
  <si>
    <t>265 E Seminole Dr. Venice, FL 34293</t>
  </si>
  <si>
    <t>OH-823775187</t>
  </si>
  <si>
    <t>11000000272</t>
  </si>
  <si>
    <t>DA :ALISON RIVERA / 3212496094/ arivera@openinsurance.com - FA: coy burruel 5202373863/ coyburruel@yahoo.com</t>
  </si>
  <si>
    <t>04/02 the client received the settlement check, informed Sarah (CM)</t>
  </si>
  <si>
    <t>2024110006</t>
  </si>
  <si>
    <t>Kennard Ramdowe</t>
  </si>
  <si>
    <t>772-203-1894</t>
  </si>
  <si>
    <t>Kma782112@live.com</t>
  </si>
  <si>
    <t>401 NW Hibiscus St, Port St. Lucie, FL 34983</t>
  </si>
  <si>
    <t>80-CQ-F520-9</t>
  </si>
  <si>
    <t>5975D864K</t>
  </si>
  <si>
    <t>Jeremiah Franklin / jeremiah.franklin.vaem6l@statefarm.com / 866-787-8676 ext. 19643</t>
  </si>
  <si>
    <t>03/10 Ivancho informed that MSPG says that the mediation report was received (CM)</t>
  </si>
  <si>
    <t>Dadda Holdings LLC</t>
  </si>
  <si>
    <t>1907 HWY 44 West Inverness, FL 34453</t>
  </si>
  <si>
    <t>ACPBP013087255156</t>
  </si>
  <si>
    <t>142093GQ</t>
  </si>
  <si>
    <t>Joseph J Jacobs / 614-435-3623 / JACOBJ13@nationwide.com</t>
  </si>
  <si>
    <t>04/20 received the engineer report and the denial is still standing, sent it to MSPG (CM)</t>
  </si>
  <si>
    <t>2024110008</t>
  </si>
  <si>
    <t>3927 N Lecanto HWY. Beverly Hills, FL 34465</t>
  </si>
  <si>
    <t>2024110009</t>
  </si>
  <si>
    <t>514 W Noble Ave. Williston, FL 32696</t>
  </si>
  <si>
    <t>2024100056</t>
  </si>
  <si>
    <t>courtneybcca@yahoo.ca</t>
  </si>
  <si>
    <t>1905 47th ST S. Saint Petersburg, FL 33711</t>
  </si>
  <si>
    <t>05547315-4</t>
  </si>
  <si>
    <t>07/08 the client informed that she received the check, cc'd Sarah so she can collect our fees (CM)</t>
  </si>
  <si>
    <t>2024100057</t>
  </si>
  <si>
    <t>4644 14th Ave S. Saint Petersburg, FL 33711</t>
  </si>
  <si>
    <t>05192330-4</t>
  </si>
  <si>
    <t>Olu Olakunle / 866.411.2742 ext. 5166</t>
  </si>
  <si>
    <t>07/23 DA and Peter this claim doesn;t have recoverable depreciation, informed the client (CM)</t>
  </si>
  <si>
    <t>2024100058</t>
  </si>
  <si>
    <t>Juanita Salinas</t>
  </si>
  <si>
    <t>941-592-0543</t>
  </si>
  <si>
    <t>Juanitasalinasjj@gmail.com</t>
  </si>
  <si>
    <t>712 18th Avenue Dr W Palmetto, FL 34221</t>
  </si>
  <si>
    <t>1501-2300-6016</t>
  </si>
  <si>
    <t>FL24-0141880-K524</t>
  </si>
  <si>
    <t>Gregory Boruch / ext 7030 / 954-804-2692 / gb0426@universalproperty.com</t>
  </si>
  <si>
    <t>2024100059</t>
  </si>
  <si>
    <t>Joshua Burroughs</t>
  </si>
  <si>
    <t>941-400-7096</t>
  </si>
  <si>
    <t>pa@qhool.com</t>
  </si>
  <si>
    <t>514 Saint Andrews Dr Sarasota, FL 34243</t>
  </si>
  <si>
    <t>MLR07449163399</t>
  </si>
  <si>
    <t>00104724107</t>
  </si>
  <si>
    <t>05/06 Sarah has the check, she received yesterday, she will move with the fees (CM)</t>
  </si>
  <si>
    <t>Angie, Ivan</t>
  </si>
  <si>
    <t>2024110010</t>
  </si>
  <si>
    <t>April D. Hunt</t>
  </si>
  <si>
    <t>585-353-5928</t>
  </si>
  <si>
    <t>Aprilhunt132@outlook.com</t>
  </si>
  <si>
    <t>6505 Santa Clara Blvd. Fort Pierce, FL 34951</t>
  </si>
  <si>
    <t>12-1139169-03</t>
  </si>
  <si>
    <t>12-3026688-24</t>
  </si>
  <si>
    <t>Natalie Banner - 813-355-5370 / nbanner@hcpci.com</t>
  </si>
  <si>
    <t>2024110011</t>
  </si>
  <si>
    <t>Gerardo Salas Dugarte</t>
  </si>
  <si>
    <t>301-820-2394</t>
  </si>
  <si>
    <t>Salas.gerardo4@gmail.com</t>
  </si>
  <si>
    <t>1410 SE Manth Ln. Port Saint Lucie, FL 34983</t>
  </si>
  <si>
    <t>11791834</t>
  </si>
  <si>
    <t>001-00-548885</t>
  </si>
  <si>
    <t>Jerry Arnold / 866.411.2742 ext. 70253</t>
  </si>
  <si>
    <t>2024110012</t>
  </si>
  <si>
    <t>5726 11TH Ave S Unit A, Gulfport FL, 33707</t>
  </si>
  <si>
    <t>13188618-1</t>
  </si>
  <si>
    <t>Sherrice Baines / 866.411.2742 ext. 70137</t>
  </si>
  <si>
    <t>03/20 Sarah informs settled (CM)</t>
  </si>
  <si>
    <t>2024110013</t>
  </si>
  <si>
    <t>919 16th Ave N St Petersburg, FL 33704</t>
  </si>
  <si>
    <t>10673104-2</t>
  </si>
  <si>
    <t>Jessee B Meade / 866-411-2742 x4235 / Jessee.Meade@citizensfla.com</t>
  </si>
  <si>
    <t>2024110016</t>
  </si>
  <si>
    <t>25050 W Newberry Road Newberry, FL 32669</t>
  </si>
  <si>
    <t>79378PMC</t>
  </si>
  <si>
    <t>2024100060</t>
  </si>
  <si>
    <t>Monica Marticorena</t>
  </si>
  <si>
    <t>786-414-4788</t>
  </si>
  <si>
    <t>leanineleven@gmail.com</t>
  </si>
  <si>
    <t>7002 Georges Rd Fort Pierce, FL 34951</t>
  </si>
  <si>
    <t>12738530</t>
  </si>
  <si>
    <t>001-00-579445</t>
  </si>
  <si>
    <t>Jennifer Hutto / 866-411-2742 ext 4592 / spv Eddy Lofton / 866-411-2742 ext 5714</t>
  </si>
  <si>
    <t>05/19 on the mediation, we couldn't get more money, peter asked to send to close claims (CM)</t>
  </si>
  <si>
    <t>2024110018</t>
  </si>
  <si>
    <t>Aaron &amp; Danielle Goldberg</t>
  </si>
  <si>
    <t>941-402-5477</t>
  </si>
  <si>
    <t>Aarongoldberg1989@verizon.net</t>
  </si>
  <si>
    <t>15131 Las Olas Pl Bradenton, FL 34212</t>
  </si>
  <si>
    <t>SIC3201622</t>
  </si>
  <si>
    <t>202410007418</t>
  </si>
  <si>
    <t>Daylan Brice / 813-793-8673 / dbrice@slideinsurance.com</t>
  </si>
  <si>
    <t>2024110019</t>
  </si>
  <si>
    <t xml:space="preserve">Constance Cloutier </t>
  </si>
  <si>
    <t>401-323-3373</t>
  </si>
  <si>
    <t>cloutierd@seekonkschools.org</t>
  </si>
  <si>
    <t xml:space="preserve">Amica Mutual </t>
  </si>
  <si>
    <t>200 Marlin Dr Punta Gorda FL 33950</t>
  </si>
  <si>
    <t>65070921FP</t>
  </si>
  <si>
    <t>60010402119</t>
  </si>
  <si>
    <t>Patrick Abrahamsen / 800-242-6422, ext. 21711 / PABRAHAMSEN@amica.com</t>
  </si>
  <si>
    <t>08/19 DA informs they have issued the settlement check (CM)</t>
  </si>
  <si>
    <t>2024110020</t>
  </si>
  <si>
    <t>772-782-4279</t>
  </si>
  <si>
    <t>michydamian@gmail.com</t>
  </si>
  <si>
    <t>1855 SW Fears Ave. Port Saint Lucie, FL 34953</t>
  </si>
  <si>
    <t>22899477 90 A</t>
  </si>
  <si>
    <t>8/16/24</t>
  </si>
  <si>
    <t>JP, ASKED B.SPOL</t>
  </si>
  <si>
    <t>Daniel Farman / 904-227-9261 / 3j75bk3x82b9w@claims.usaa.com</t>
  </si>
  <si>
    <t>05/06 Sarah has the check, she will call the client (CM)</t>
  </si>
  <si>
    <t>2024110021</t>
  </si>
  <si>
    <t>Jonathan Miller</t>
  </si>
  <si>
    <t>954-854-0575</t>
  </si>
  <si>
    <t>Jonamiller01@gmail.com</t>
  </si>
  <si>
    <t>1749 Cedar Mont Loop Poinciana, FL 34759</t>
  </si>
  <si>
    <t>SIC3187630</t>
  </si>
  <si>
    <t>202410014820</t>
  </si>
  <si>
    <t>Dion Jones / 813-937-5049 / djones@slideinsurance.com</t>
  </si>
  <si>
    <t>2024120001</t>
  </si>
  <si>
    <t>Shannon &amp; Jerica Rogers</t>
  </si>
  <si>
    <t>941-920-5454</t>
  </si>
  <si>
    <t>Rogerssh@gmail.com</t>
  </si>
  <si>
    <t>2604 Floyd St Sarasota, FL 34239</t>
  </si>
  <si>
    <t>1501-2006-2546</t>
  </si>
  <si>
    <t>FL24-0129460-K524</t>
  </si>
  <si>
    <t>Brian Connor / bc0718@univeralproperty.com / 800-425-9113 ext 6273</t>
  </si>
  <si>
    <t>05/20 sent the notarized settlement release to carrier (CM)</t>
  </si>
  <si>
    <t>2024120002</t>
  </si>
  <si>
    <t>022899477-802</t>
  </si>
  <si>
    <t>Leonel DeLeon / 210-531-8722 ext. 41149 / 3j75bk3x825vz@claims.usaa.com</t>
  </si>
  <si>
    <t>05/08 Sarah sent an email to client, collecting our fees (CM)</t>
  </si>
  <si>
    <t>2024120004</t>
  </si>
  <si>
    <t>Melitta Thornton</t>
  </si>
  <si>
    <t>772-801-8676</t>
  </si>
  <si>
    <t>melittathornton82@gmail.com</t>
  </si>
  <si>
    <t>4027 41st SQ Vero Beach, FL 32967</t>
  </si>
  <si>
    <t>1501-1504-0363</t>
  </si>
  <si>
    <t>FL24-0132444-K524</t>
  </si>
  <si>
    <t>Zachari Romeo / 954-958-1200 ext 7155 / zr1103@universalproperty.com / 772-562-9664</t>
  </si>
  <si>
    <t>04/24 DA sent the payment (CM)</t>
  </si>
  <si>
    <t>2024120005</t>
  </si>
  <si>
    <t>James Stuberfield</t>
  </si>
  <si>
    <t>772-925-2436</t>
  </si>
  <si>
    <t>stuberfield45321@gmail.com</t>
  </si>
  <si>
    <t>4037 41st Sq Vero Beach, FL 32967</t>
  </si>
  <si>
    <t>KIN-DP-FL110952818</t>
  </si>
  <si>
    <t>HO-4926070</t>
  </si>
  <si>
    <t xml:space="preserve">Latrice Hawthorne /  689-260-6604 / </t>
  </si>
  <si>
    <t>04/28 Client received the check (CM)</t>
  </si>
  <si>
    <t>2024120006</t>
  </si>
  <si>
    <t>rogerssh@gmail.com</t>
  </si>
  <si>
    <t>1866 Marcia St Sarasota, FL 34231</t>
  </si>
  <si>
    <t>10637396</t>
  </si>
  <si>
    <t>Elsie Lusk / 866.411.2742 ext. 60101</t>
  </si>
  <si>
    <t>2024110022</t>
  </si>
  <si>
    <t>941-345-6474</t>
  </si>
  <si>
    <t>lfbns1@aol.com</t>
  </si>
  <si>
    <t>2610 Loma Linda St Sarasota, FL 34239</t>
  </si>
  <si>
    <t>SIC3017789</t>
  </si>
  <si>
    <t>Stacey Penrod / spenrod@slideinsurance.com / 727-339-1247</t>
  </si>
  <si>
    <t>05/05 asked Sarah to contact the client as he was asking some info about link, so he can send the signed settlement release, the DA is following up on it (CM)</t>
  </si>
  <si>
    <t>2024120007</t>
  </si>
  <si>
    <t xml:space="preserve">Dharmesh &amp; Minal Patel </t>
  </si>
  <si>
    <t>216-926-8965</t>
  </si>
  <si>
    <t>Pateldk71@yahoo.com</t>
  </si>
  <si>
    <t>454 Grand Vista Blvd Bradenton FL 34212</t>
  </si>
  <si>
    <t>SOIH7302358</t>
  </si>
  <si>
    <t>64051</t>
  </si>
  <si>
    <t>Ignacio Hidalgo / ignacio.hidalgo@southernoak.com / 727-638-6571</t>
  </si>
  <si>
    <t>2024120008</t>
  </si>
  <si>
    <t>Vijay Dass</t>
  </si>
  <si>
    <t>407-692-8432</t>
  </si>
  <si>
    <t>variashton@yahoo.com</t>
  </si>
  <si>
    <t>5100 Paleo Pines Cir. Fort Pierce, FL 34951</t>
  </si>
  <si>
    <t>06141206</t>
  </si>
  <si>
    <t>001-00-531806</t>
  </si>
  <si>
    <t xml:space="preserve">Marbelis Iirizarry / 888-621-9910  x 21191 </t>
  </si>
  <si>
    <t>2024120009</t>
  </si>
  <si>
    <t>Germaine Burgett</t>
  </si>
  <si>
    <t>941-812-4735</t>
  </si>
  <si>
    <t>Gembo123@aol.com</t>
  </si>
  <si>
    <t>15618 Rose Grove Dr Bradenton FL 34212</t>
  </si>
  <si>
    <t>FLA354748</t>
  </si>
  <si>
    <t>1456339</t>
  </si>
  <si>
    <t>Andrew J. Hill / 440-910-0218 / Andrew_J_Hill@progressive.com</t>
  </si>
  <si>
    <t>04/29 Peter asked to send to close claims (CM)</t>
  </si>
  <si>
    <t>Jose P.</t>
  </si>
  <si>
    <t>2024120010</t>
  </si>
  <si>
    <t>Arnetha Robinson-Miles</t>
  </si>
  <si>
    <t>772-501-1067</t>
  </si>
  <si>
    <t>4118 39th Drive Vero Beach, FL 32967</t>
  </si>
  <si>
    <t>1501-2001-1082</t>
  </si>
  <si>
    <t>FL24-0145580-K524</t>
  </si>
  <si>
    <t xml:space="preserve">        Robert Gorman / (954) 666‑0221 / rg1003@universalproperty.com</t>
  </si>
  <si>
    <t>2024120011</t>
  </si>
  <si>
    <t>Ky &amp; Tin Nguyen</t>
  </si>
  <si>
    <t>863-326-8888</t>
  </si>
  <si>
    <t>Kynguyen1016@gmail.com</t>
  </si>
  <si>
    <t>152 Lake Roy DR. Winter Haven, FL 33884</t>
  </si>
  <si>
    <t>AGD10486497</t>
  </si>
  <si>
    <t>CDP-00185032</t>
  </si>
  <si>
    <t xml:space="preserve">Carline Estime / 813-761-1102 / Carline.estime@RYZEclaims.com </t>
  </si>
  <si>
    <t>04/01 Sarah sent the notarized release to the carrier (CM)</t>
  </si>
  <si>
    <t>2024120012</t>
  </si>
  <si>
    <t>Shatavia Clark</t>
  </si>
  <si>
    <t>321-557-7187</t>
  </si>
  <si>
    <t>Clark.shatavia@yahoo.com</t>
  </si>
  <si>
    <t>436 Larino Road SW Palm Bay, FL 32908</t>
  </si>
  <si>
    <t>12-1086285-03</t>
  </si>
  <si>
    <t>12-3029396-24</t>
  </si>
  <si>
    <t>Alonzo Smith / 813-291-7436 / asmith@gristonclaim.com</t>
  </si>
  <si>
    <t>04/16 MSPG informs Coordinating a meet and confer (awaiting for defenant confirmation) (CM)</t>
  </si>
  <si>
    <t>2024120013</t>
  </si>
  <si>
    <t>Lionel Brooks</t>
  </si>
  <si>
    <t>772-812-1775</t>
  </si>
  <si>
    <t>lionel34953@yahoo.com</t>
  </si>
  <si>
    <t>3141 SW Curcuma St. Port Saint Lucie, FL 34953</t>
  </si>
  <si>
    <t>SIC3139635</t>
  </si>
  <si>
    <t>202412019279</t>
  </si>
  <si>
    <t xml:space="preserve">Raven Rodrigues / 813-345-2868 </t>
  </si>
  <si>
    <t>2024120014</t>
  </si>
  <si>
    <t>Lucresha Robinson Reeves</t>
  </si>
  <si>
    <t>772-216-5062</t>
  </si>
  <si>
    <t>Lucreshareeves@gmail.com</t>
  </si>
  <si>
    <t>6804 Santa Clara Blvd. Fort Pierce, FL 34951</t>
  </si>
  <si>
    <t>2847240472</t>
  </si>
  <si>
    <t>01000125656</t>
  </si>
  <si>
    <t>Noemi Texidor / nTexidor@flhi.com / 321.249.1370 /  407.444.5224</t>
  </si>
  <si>
    <t>04/30 DA informs that the invoice that she previously sent should be covered by the client only as this is the half owed to the umpire (CM)</t>
  </si>
  <si>
    <t>2024120015</t>
  </si>
  <si>
    <t>William Dean</t>
  </si>
  <si>
    <t>352-727-2087</t>
  </si>
  <si>
    <t>billy.dean456@gmail.com</t>
  </si>
  <si>
    <t>4816 SE Capstan Ave Stuart, FL 34997</t>
  </si>
  <si>
    <t>1501-1904-8564</t>
  </si>
  <si>
    <t>FL24-0138922-K524</t>
  </si>
  <si>
    <t>not assigned yet</t>
  </si>
  <si>
    <t>10/13 Followed up with MSPG on the status of the check. Asked Sarah to put the task so she can follow up on the status of the check with MSPG(CM)</t>
  </si>
  <si>
    <t>2024120016</t>
  </si>
  <si>
    <t xml:space="preserve">Jason &amp; Ashely Bolema </t>
  </si>
  <si>
    <t>941-809-3183</t>
  </si>
  <si>
    <t>Jasonbolema@aol.com</t>
  </si>
  <si>
    <t>327 Gris Sky Ln Bradenton, FL 34212</t>
  </si>
  <si>
    <t>AGH0029944</t>
  </si>
  <si>
    <t>CHO-00182868</t>
  </si>
  <si>
    <t>09/09/24</t>
  </si>
  <si>
    <t xml:space="preserve">Anuoluwa Olutayo / 689-257-3139 / AOlutayo@ottersolv.com  / john.raynor@ameradjust.com </t>
  </si>
  <si>
    <t>2024120017</t>
  </si>
  <si>
    <t>Shana Junior</t>
  </si>
  <si>
    <t>813-817-8665</t>
  </si>
  <si>
    <t>shana24@gmail.com</t>
  </si>
  <si>
    <t>4305 Cinemark Ct Mulberry, FL 33860</t>
  </si>
  <si>
    <t>KIN-DP-FL-116443926</t>
  </si>
  <si>
    <t>HO-4637280</t>
  </si>
  <si>
    <t>04/20 Peter informed that he will have to speak with MSPG about this, but it will take some time as the client has another claim (CM)</t>
  </si>
  <si>
    <t>2024120018</t>
  </si>
  <si>
    <t>Maria Bove</t>
  </si>
  <si>
    <t>727-492-2379</t>
  </si>
  <si>
    <t>inesbove@gmail.com</t>
  </si>
  <si>
    <t>VYRD</t>
  </si>
  <si>
    <t>10485 Lucaya Dr Tampa, FL 33647</t>
  </si>
  <si>
    <t>013718</t>
  </si>
  <si>
    <t>12/08/24</t>
  </si>
  <si>
    <t>Chad Altman / chad.altman@vyrd.co / 813-896-0415</t>
  </si>
  <si>
    <t>2024120019</t>
  </si>
  <si>
    <t>Julio Herrera</t>
  </si>
  <si>
    <t>516-429-5408</t>
  </si>
  <si>
    <t>annychavarria@gmail.com</t>
  </si>
  <si>
    <t>3558 Silver Lace #29 Boynton Beach, FL 33436</t>
  </si>
  <si>
    <t>1503-1803-9722</t>
  </si>
  <si>
    <t>FL25-0100095</t>
  </si>
  <si>
    <t>12/15/24</t>
  </si>
  <si>
    <t>Derek Lee / 954-958-1200 ext 7137 / dl0728@universalproperty.com</t>
  </si>
  <si>
    <t>05/08 DA informed that they have requested the reissuance of the check, waiting the managment to review it (CM)</t>
  </si>
  <si>
    <t>2024120020</t>
  </si>
  <si>
    <t>Catile &amp; Marie Alcide</t>
  </si>
  <si>
    <t>772-359-7356</t>
  </si>
  <si>
    <t>alcidecatile@gmail.com</t>
  </si>
  <si>
    <t>780 NW Floresta Dr Port Saint Lucie, FL 34983</t>
  </si>
  <si>
    <t>12-1080953-03</t>
  </si>
  <si>
    <t>12-3029400-24</t>
  </si>
  <si>
    <t>Jill Urbanske / 813-355-5322 / jUrbanske@gristonclaim.com</t>
  </si>
  <si>
    <t>05/05 DA sent the release, Ivancho sent it to MSPG (CM)</t>
  </si>
  <si>
    <t>2025010001</t>
  </si>
  <si>
    <t xml:space="preserve">Marilyn George </t>
  </si>
  <si>
    <t>954-479-4914</t>
  </si>
  <si>
    <t>Indyai@aol.com</t>
  </si>
  <si>
    <t>3547 Inverrary Blvd W Lauderhill Fl 33319</t>
  </si>
  <si>
    <t>SIC3142733</t>
  </si>
  <si>
    <t>202501020238</t>
  </si>
  <si>
    <t>A/C</t>
  </si>
  <si>
    <t>01/05/25</t>
  </si>
  <si>
    <t xml:space="preserve">Christian Cunningham / 813-402-8344 / ccunningham@slideinsurance.com </t>
  </si>
  <si>
    <t>09/29 Sarah sent the ACH form (CM)</t>
  </si>
  <si>
    <t>2025010002</t>
  </si>
  <si>
    <t>950116</t>
  </si>
  <si>
    <t>12/31/24</t>
  </si>
  <si>
    <t>Maggie Daniels / 877 235- 5076/ mdaniels@hcpci.com</t>
  </si>
  <si>
    <t>08/05 the mediation resulted in impasse, the client was paid on a previous claim for the kitchen, ivan asked me to send to close claims (CM)</t>
  </si>
  <si>
    <t>2025010003</t>
  </si>
  <si>
    <t>Murielle Guillaume</t>
  </si>
  <si>
    <t>772-267-4149</t>
  </si>
  <si>
    <t>murgui17@yahoo.com</t>
  </si>
  <si>
    <t>2033 SW Fears Ave. Port Saint Lucie, FL 34953</t>
  </si>
  <si>
    <t>KIN-HO-FL-166228816</t>
  </si>
  <si>
    <t>HO-3922335</t>
  </si>
  <si>
    <t>Scottie Lackland / 689-268-1877</t>
  </si>
  <si>
    <t>Iván is going to speak with the lawyer about this claim on 09/30 (CM)</t>
  </si>
  <si>
    <t>2025010004</t>
  </si>
  <si>
    <t>Patricia Treece</t>
  </si>
  <si>
    <t>772-971-7650</t>
  </si>
  <si>
    <t>chriswunderhill@gmail.com</t>
  </si>
  <si>
    <t>329 NW Concord Dr. Port Saint Lucie FL 34983</t>
  </si>
  <si>
    <t>CNVXHO000583</t>
  </si>
  <si>
    <t>4567704</t>
  </si>
  <si>
    <t>John Ruber / 866-641-7922 / 412-720-5600 / John_ruber@us.crawco.com</t>
  </si>
  <si>
    <t>05/05 followed up on the status of this claim with Chris (CM)</t>
  </si>
  <si>
    <t>2025010005</t>
  </si>
  <si>
    <t>Thayna M. Pluviose</t>
  </si>
  <si>
    <t>561-814-1416</t>
  </si>
  <si>
    <t>mjoseph@simplycareservices.com</t>
  </si>
  <si>
    <t>1652 SW McAllister Ln. Port St. Lucie, FL 34953</t>
  </si>
  <si>
    <t>04854565</t>
  </si>
  <si>
    <t>001-00-590210</t>
  </si>
  <si>
    <t>Paul Benoit / 904-557-1245</t>
  </si>
  <si>
    <t>2025010006</t>
  </si>
  <si>
    <t>786-501-0203</t>
  </si>
  <si>
    <t xml:space="preserve">melinda.isabel@yahoo.com </t>
  </si>
  <si>
    <t>5303 Eagle Dr Fort Pierce, FL 34951</t>
  </si>
  <si>
    <t>12409067</t>
  </si>
  <si>
    <t>Jerrico Stubblefield / 888-621-9910 x 60180</t>
  </si>
  <si>
    <t>05/06 Sarah followed up on the status of the payment with Melinda (cM)</t>
  </si>
  <si>
    <t>2024120021</t>
  </si>
  <si>
    <t>765-894-3568</t>
  </si>
  <si>
    <t>Lukewheat@icloud.com</t>
  </si>
  <si>
    <t>715 Ixora Ave Ellenton, FL, 34222</t>
  </si>
  <si>
    <t>12933240-1</t>
  </si>
  <si>
    <t>Yanet Bazan / 866.411.2742 ext. 21407</t>
  </si>
  <si>
    <t>asked Juan to confirm if he has call the client and if we should keep pushing on this one</t>
  </si>
  <si>
    <t>2025010007</t>
  </si>
  <si>
    <t>Hector &amp; Frances Rodriguez</t>
  </si>
  <si>
    <t>407-844-4733</t>
  </si>
  <si>
    <t>rickrodriguez@aol.com</t>
  </si>
  <si>
    <t>2806 Hardwood Court Kissimmee, FL 34744</t>
  </si>
  <si>
    <t>742860</t>
  </si>
  <si>
    <t>13834</t>
  </si>
  <si>
    <t>01/19/25</t>
  </si>
  <si>
    <t>Dan Auld / (727) 275-9435 / dauld@fks-insurance.com</t>
  </si>
  <si>
    <t>Chris / Joshua</t>
  </si>
  <si>
    <t>2025010008</t>
  </si>
  <si>
    <t xml:space="preserve">Celso Mendez </t>
  </si>
  <si>
    <t>813-679-3589</t>
  </si>
  <si>
    <t>Celso.mendez@yahoo.com</t>
  </si>
  <si>
    <t xml:space="preserve">Centauri </t>
  </si>
  <si>
    <t>2113 Song Sparrow Ct Ruskin FL 33570</t>
  </si>
  <si>
    <t>D2LG04X0312808</t>
  </si>
  <si>
    <t>M32478</t>
  </si>
  <si>
    <t>Margie Heimbach / 941-870-0204 x279 / mheimbach@lilypadins.com</t>
  </si>
  <si>
    <t>Sarah informs settled</t>
  </si>
  <si>
    <t>2025010009</t>
  </si>
  <si>
    <t>836 Golf Dr Venice, FL 34285</t>
  </si>
  <si>
    <t>FL25-0103699-J424</t>
  </si>
  <si>
    <t>Hurricane Debby</t>
  </si>
  <si>
    <t>08/05/24</t>
  </si>
  <si>
    <t>Kevin Charaff / kc0825@universalproperty.com / ext 7145 / DA: Derick Garcia / 954-9581200 ext 6544 / dg0627@universalproperty.com</t>
  </si>
  <si>
    <t>2025010010</t>
  </si>
  <si>
    <t>773-858-0315</t>
  </si>
  <si>
    <t>Johnluvsbaby@gmail.com</t>
  </si>
  <si>
    <t xml:space="preserve">2225 Unity Village Dr Ruskin, FL 33570 </t>
  </si>
  <si>
    <t>11246800-2</t>
  </si>
  <si>
    <t>Robert Savary II / 866.411.2742 ext. 53118</t>
  </si>
  <si>
    <t>05/01 asked Joshua for the roof invoice (CM)</t>
  </si>
  <si>
    <t>2025010011</t>
  </si>
  <si>
    <t xml:space="preserve"> 719-648-9504</t>
  </si>
  <si>
    <t>ddiehl2010@gmail.com</t>
  </si>
  <si>
    <t>1102 Sable CV Ruskin, FL 33570</t>
  </si>
  <si>
    <t>2MR160393502</t>
  </si>
  <si>
    <t>Mike Carson /  800-358-0600  x 4018808</t>
  </si>
  <si>
    <t>05/13 follow up next week on the status of the payment with Sarah first (CM)</t>
  </si>
  <si>
    <t>2025010012</t>
  </si>
  <si>
    <t>941-704-8493</t>
  </si>
  <si>
    <t>Robbie.robles94@gmail.com</t>
  </si>
  <si>
    <t>504 50th Ave Ter W Bradenton FL 34207</t>
  </si>
  <si>
    <t>ATM206946</t>
  </si>
  <si>
    <t>Rashida Hawthorne / (866)270-8430 / rhawthorne@westpointuw.com</t>
  </si>
  <si>
    <t>2025020001</t>
  </si>
  <si>
    <t>Joseph &amp; Wilza Metellus</t>
  </si>
  <si>
    <t>941-301-1981/ 941-807-7061</t>
  </si>
  <si>
    <t>Wametellus@gmail.com</t>
  </si>
  <si>
    <t>5612 25th St W Bradenton, FL 34207</t>
  </si>
  <si>
    <t>HCPC-HO3-370211-13</t>
  </si>
  <si>
    <t>950537</t>
  </si>
  <si>
    <t>01/31/2025</t>
  </si>
  <si>
    <t>Lauren Beaty / lbeaty@hcpci.com / 813.355.5386</t>
  </si>
  <si>
    <t>08/14 DA informs she has requested the payment of the settlement check (CM)</t>
  </si>
  <si>
    <t>2025020002</t>
  </si>
  <si>
    <t>Sylonie Graham</t>
  </si>
  <si>
    <t>561-299-7868</t>
  </si>
  <si>
    <t>sylonie.graham@gmail.com</t>
  </si>
  <si>
    <t>Spinnaker</t>
  </si>
  <si>
    <t>1856 SW Fears Ave Port Saint Lucie, FL 34953</t>
  </si>
  <si>
    <t>86307283</t>
  </si>
  <si>
    <t>MSIH-00000967</t>
  </si>
  <si>
    <t>Lisa Crutcher 260-231-2494 / 800-968-4456 / ppa.support@alacritysolutions.com</t>
  </si>
  <si>
    <t>2025010013</t>
  </si>
  <si>
    <t>Barrington &amp; Conchita James</t>
  </si>
  <si>
    <t>306263GQ</t>
  </si>
  <si>
    <t>10/18/23</t>
  </si>
  <si>
    <t>Jason Boney / 833-530-2423 ext 11420</t>
  </si>
  <si>
    <t>06/26 we will continue with the 2022 claim only (CM)</t>
  </si>
  <si>
    <t>2025010014</t>
  </si>
  <si>
    <t>306285-GQ</t>
  </si>
  <si>
    <t>01/15/22</t>
  </si>
  <si>
    <t>NyAundria Martin / 866-425-9200 x15647</t>
  </si>
  <si>
    <t>2024100061</t>
  </si>
  <si>
    <t>Bruce Cohen</t>
  </si>
  <si>
    <t>210-324-6735</t>
  </si>
  <si>
    <t>bj.cohen@yahoo.com</t>
  </si>
  <si>
    <t>1820 SW Citadel Ave Port Saint Lucie FL 34953</t>
  </si>
  <si>
    <t>FPH3-000158841</t>
  </si>
  <si>
    <t>01000119714</t>
  </si>
  <si>
    <t>Charles Ellis / 321-293-1029 ext. 1389 / cellis@frontlineinsurance.com</t>
  </si>
  <si>
    <t>08/12 Sarah informed that they have received the check, not necessary to be reissuded the 20k check (CM)</t>
  </si>
  <si>
    <t>2025020003</t>
  </si>
  <si>
    <t>Daniel Croce</t>
  </si>
  <si>
    <t>716-725-1484</t>
  </si>
  <si>
    <t>dinocroce85@hotmail.com</t>
  </si>
  <si>
    <t>1206 Chesterfield Ave Ruskin, FL 33570</t>
  </si>
  <si>
    <t>P006721911</t>
  </si>
  <si>
    <t>3300541475</t>
  </si>
  <si>
    <t>Josh Keatley / 800.342.3407 ex.1570</t>
  </si>
  <si>
    <t>08/02 client is looking for updates regarding the check (CM)</t>
  </si>
  <si>
    <t>2025020004</t>
  </si>
  <si>
    <t>Robert J Heerdt</t>
  </si>
  <si>
    <t>813-344-8066</t>
  </si>
  <si>
    <t>David.heerdt@gmail.com</t>
  </si>
  <si>
    <t>1522 Harbor Blue St Ruskin FL 33570</t>
  </si>
  <si>
    <t>P000300530</t>
  </si>
  <si>
    <t>665128</t>
  </si>
  <si>
    <t>Tammy Rabb / (386)261-9816 / tammy.rabb@securityfirstflorida.com</t>
  </si>
  <si>
    <t>07/28 Joshua asked to send to closed claims (CM)</t>
  </si>
  <si>
    <t>2025020005</t>
  </si>
  <si>
    <t>Lisa Cleghorn</t>
  </si>
  <si>
    <t>941-565-4989</t>
  </si>
  <si>
    <t>Wlvsroses@gmail.com</t>
  </si>
  <si>
    <t>6710 36th Ave E Lot 151 Palmetto FL 34221</t>
  </si>
  <si>
    <t xml:space="preserve">MMF107121 </t>
  </si>
  <si>
    <t>AM157910</t>
  </si>
  <si>
    <t>Nicole Woodall-Hamilton / nwoodallhamilton@westpointuw.com / 866-270-8430  EXT. 0110</t>
  </si>
  <si>
    <t>07/28 DA informs that the settlement check has been issued for processing (CM)</t>
  </si>
  <si>
    <t>2025020006</t>
  </si>
  <si>
    <t>Suzy Comellas</t>
  </si>
  <si>
    <t>813-408-3996</t>
  </si>
  <si>
    <t>suzy1213@yahoo.com</t>
  </si>
  <si>
    <t>18301 Timberlan Dr. Lutz, FL 33549</t>
  </si>
  <si>
    <t>720831</t>
  </si>
  <si>
    <t>013909</t>
  </si>
  <si>
    <t>02/05/25</t>
  </si>
  <si>
    <t>01/15 Sarah informs claim settled (CM)</t>
  </si>
  <si>
    <t>2025020007</t>
  </si>
  <si>
    <t>503-381-0501</t>
  </si>
  <si>
    <t>jpmotter@gmail.com</t>
  </si>
  <si>
    <t>6710 36th Ave E Lot 221 Palmetto, FL 34221</t>
  </si>
  <si>
    <t>11558555</t>
  </si>
  <si>
    <t>John Herndon / John.Herndon@citizensfla.com</t>
  </si>
  <si>
    <t>08/18 asked for the payment letter on this claim, to verify if we have pending payments to recover, no additional payment to recover(CM)</t>
  </si>
  <si>
    <t>2025020008</t>
  </si>
  <si>
    <t>Matthew &amp; Jennifer Morse</t>
  </si>
  <si>
    <t>757-450-4902</t>
  </si>
  <si>
    <t>jennifermarie440@yahoo.com</t>
  </si>
  <si>
    <t>7614 S West Shore Blvd. Tampa, FL 33616</t>
  </si>
  <si>
    <t>1924021210</t>
  </si>
  <si>
    <t>01000123624</t>
  </si>
  <si>
    <t>Angela Green / 744-5224 ext. 7713 / agreen@frontlineinsurance.com</t>
  </si>
  <si>
    <t>01/15 we collected our fees (CM)</t>
  </si>
  <si>
    <t>2025020009</t>
  </si>
  <si>
    <t>Suzanne &amp; Jerry Comellas</t>
  </si>
  <si>
    <t>013954</t>
  </si>
  <si>
    <t>09/30 Sarah informs fees pending (CM)</t>
  </si>
  <si>
    <t>2025020010</t>
  </si>
  <si>
    <t xml:space="preserve">Karen McEvoy </t>
  </si>
  <si>
    <t>941-724-1385</t>
  </si>
  <si>
    <t>Kkmcevoy2@gmail.com</t>
  </si>
  <si>
    <t xml:space="preserve">367 Tierra Verde Way Bradenton FL 34212 </t>
  </si>
  <si>
    <t>P012216012</t>
  </si>
  <si>
    <t>261444</t>
  </si>
  <si>
    <t>Clay Myers / (386) 868-1622 / Clay.Myers@securityfirstflorida.com</t>
  </si>
  <si>
    <t>05/12 Ivancho will refile the NOI (CM)</t>
  </si>
  <si>
    <t>2025020011</t>
  </si>
  <si>
    <t xml:space="preserve">Priscilla &amp; Murid Partaw </t>
  </si>
  <si>
    <t>813-369-3444</t>
  </si>
  <si>
    <t>Priscilla.Partaw@gmail.com</t>
  </si>
  <si>
    <t>4420 W Iowa Ave Tampa, FL 33616</t>
  </si>
  <si>
    <t>AGH0097573</t>
  </si>
  <si>
    <t>CHO-00190296</t>
  </si>
  <si>
    <t>Nisrine Smith /  689.257.3181 / NSmith@ottersolv.com</t>
  </si>
  <si>
    <t>2025020012</t>
  </si>
  <si>
    <t>Miranda Mattingly</t>
  </si>
  <si>
    <t>316-371-0913/316-209-5708</t>
  </si>
  <si>
    <t>Mirandaliz@gmail.com</t>
  </si>
  <si>
    <t>6710 36th Ave E Lot 202 Palmetto FL 34221</t>
  </si>
  <si>
    <t>04557730-5</t>
  </si>
  <si>
    <t>001-00-596557</t>
  </si>
  <si>
    <t>Charles E Brown JR / 866-411-2742 ext 4162</t>
  </si>
  <si>
    <t>04/10 due to policy restrictions, Peter asked to move to closed claims (CM)</t>
  </si>
  <si>
    <t>2025030002</t>
  </si>
  <si>
    <t>Natali Figueredo</t>
  </si>
  <si>
    <t>813-568-0463/813-344-7023</t>
  </si>
  <si>
    <t>natisoler92@gmail.com</t>
  </si>
  <si>
    <t>4523 Dreisler ST Tampa FL 33634</t>
  </si>
  <si>
    <t>13938374</t>
  </si>
  <si>
    <t>001-00-596885</t>
  </si>
  <si>
    <t>Natisha Dycus / 941-263-3525</t>
  </si>
  <si>
    <t>04/29 Sent the withdrawal letter (CM)</t>
  </si>
  <si>
    <t>2025030003</t>
  </si>
  <si>
    <t>813-526-9765</t>
  </si>
  <si>
    <t xml:space="preserve"> Gigigiralt@gmail.com</t>
  </si>
  <si>
    <t>6711 W Clifton St Tampa FL 33634</t>
  </si>
  <si>
    <t>03289966</t>
  </si>
  <si>
    <t>001-00-950116</t>
  </si>
  <si>
    <t xml:space="preserve">Kayla A Hilton, 866-411-2742 x5633 </t>
  </si>
  <si>
    <t>04/18 cancel this claim, and closed the claim (CM)</t>
  </si>
  <si>
    <t>2025030004</t>
  </si>
  <si>
    <t>Robin Williams Anthony</t>
  </si>
  <si>
    <t>941-323-4716</t>
  </si>
  <si>
    <t>Sancas04@yahoo.com</t>
  </si>
  <si>
    <t>504 Powder View Dr Ruskin, FL 33570</t>
  </si>
  <si>
    <t>12122530</t>
  </si>
  <si>
    <t>001-00-597315</t>
  </si>
  <si>
    <t>Jaime Swain / 866-411-2742 Ext. 5622 / Jaime.Swain@citizensfla.com</t>
  </si>
  <si>
    <t>2025030005</t>
  </si>
  <si>
    <t xml:space="preserve">Joseph Hambrick </t>
  </si>
  <si>
    <t xml:space="preserve">561-262-4581 </t>
  </si>
  <si>
    <t>jhambrick222@gmail.com</t>
  </si>
  <si>
    <t>3273 SW Hambrick St Port Saint Lucie, FL 34953</t>
  </si>
  <si>
    <t>016648461-90A</t>
  </si>
  <si>
    <t>016648461-802</t>
  </si>
  <si>
    <t>10/08/24</t>
  </si>
  <si>
    <t xml:space="preserve">Timothy Calhoun / 470-786-3130 / 3j7chh59b8cvz@claims.usaa.com </t>
  </si>
  <si>
    <t>2025030006</t>
  </si>
  <si>
    <t xml:space="preserve">Chad Santoro </t>
  </si>
  <si>
    <t>813-734-0322</t>
  </si>
  <si>
    <t>Sherry.scott7@yahoo.com</t>
  </si>
  <si>
    <t>518 Flame Tree Dr, Apollo Beach, FL 33572</t>
  </si>
  <si>
    <t>617579</t>
  </si>
  <si>
    <t>949727</t>
  </si>
  <si>
    <t>Tyler Keith / 888-475-0222  Ext. 5399 / tkeith@gristonclaim.com</t>
  </si>
  <si>
    <t>04/18 Peter asked me to send this to close claims, and to open for helene (CM)</t>
  </si>
  <si>
    <t>2025030007</t>
  </si>
  <si>
    <t xml:space="preserve">Rubye Lee Gordon </t>
  </si>
  <si>
    <t>863-660-1447</t>
  </si>
  <si>
    <t>rubyegordon5923@gmail.com</t>
  </si>
  <si>
    <t xml:space="preserve">2441 Dakota Rock Dr, Ruskin, FL 33570 </t>
  </si>
  <si>
    <t>P000310337</t>
  </si>
  <si>
    <t>260052</t>
  </si>
  <si>
    <t>Alison Rorick / 386-492-0063 / alison.rorick@securityfirstflorida.com</t>
  </si>
  <si>
    <t>04/07 ivancho informed that the client hasn't signed informed Juan(CM)</t>
  </si>
  <si>
    <t>2025030008</t>
  </si>
  <si>
    <t>813 850 6020</t>
  </si>
  <si>
    <t>Jasonl.gordon@gmail.com</t>
  </si>
  <si>
    <t>1502 21St St SE Ruskin, FL 33570</t>
  </si>
  <si>
    <t>11209168</t>
  </si>
  <si>
    <t>Seth Decker / 888-621-9910 ext 21246</t>
  </si>
  <si>
    <t>08/18 Spoke with client, he informed he has received the check, we are not included, asked Sarah to call him (CM)</t>
  </si>
  <si>
    <t>2025030009</t>
  </si>
  <si>
    <t>John Martin</t>
  </si>
  <si>
    <t>772-801-1093</t>
  </si>
  <si>
    <t>martin23s@yahoo.com</t>
  </si>
  <si>
    <t>3105 Kingsley DR. Fort Pierce, FL 34946</t>
  </si>
  <si>
    <t>SOIH0030929</t>
  </si>
  <si>
    <t>64997</t>
  </si>
  <si>
    <t>Cris Berry / 727-742-2271 / chris.berry@southernoak.com</t>
  </si>
  <si>
    <t>05/08 Sarah sent the notarized release to the carrier (CM)</t>
  </si>
  <si>
    <t>2025030010</t>
  </si>
  <si>
    <t>Archie Sanders</t>
  </si>
  <si>
    <t>813-508-3668</t>
  </si>
  <si>
    <t>Archie222413@gmail.com</t>
  </si>
  <si>
    <t>323 Flamingo Dr Apollo Beach, FL 33572</t>
  </si>
  <si>
    <t>FPH4146838-09</t>
  </si>
  <si>
    <t>FPI251023</t>
  </si>
  <si>
    <t xml:space="preserve">Josh Saxon /  (866) 549-9672 </t>
  </si>
  <si>
    <t>03/12 Sarah informed settled (CM)</t>
  </si>
  <si>
    <t>2025030011</t>
  </si>
  <si>
    <t>Julissa Jimenez</t>
  </si>
  <si>
    <t>941-705-1862</t>
  </si>
  <si>
    <t>Jjulissa875@gmail.com</t>
  </si>
  <si>
    <t>220 21st ST W Palmetto FL, 34221</t>
  </si>
  <si>
    <t>11975394</t>
  </si>
  <si>
    <t>001-00-560613</t>
  </si>
  <si>
    <t>Christopher Van Doren - 888-621-9910 ext 60062</t>
  </si>
  <si>
    <t>10/14 Client called, she received the reissue check, informed Sarah (CM)</t>
  </si>
  <si>
    <t>2025030012</t>
  </si>
  <si>
    <t>Andrew Dove-Rivers</t>
  </si>
  <si>
    <t>656-200-8767</t>
  </si>
  <si>
    <t>Andrew.rivers520@gmail.com</t>
  </si>
  <si>
    <t>11417 Bridge Pine Dr, Riverview, FL 33569</t>
  </si>
  <si>
    <t>KIN-DP-FL-158895093</t>
  </si>
  <si>
    <t>HO-4500135</t>
  </si>
  <si>
    <t>Evan Garrett / 689-265-5721</t>
  </si>
  <si>
    <t>02/18 Sarah informs settled (CM)</t>
  </si>
  <si>
    <t>2025030013</t>
  </si>
  <si>
    <t xml:space="preserve"> 740-819-8001</t>
  </si>
  <si>
    <t>Robert.risch@verizon.net</t>
  </si>
  <si>
    <t>611 Washita Stone Dr. Ruskin, FL 33570</t>
  </si>
  <si>
    <t>07392966</t>
  </si>
  <si>
    <t>Henly Sori / 866.411.2742 ext. 21350</t>
  </si>
  <si>
    <t>05/06 Sarah followed up yesterday with Juan, as the check is with the mortgage (CM)</t>
  </si>
  <si>
    <t>2025030014</t>
  </si>
  <si>
    <t>Melissa Miranda</t>
  </si>
  <si>
    <t xml:space="preserve"> 305-431-6080</t>
  </si>
  <si>
    <t>melissa.e.miranda@gmail.com</t>
  </si>
  <si>
    <t>13917 SW 84 ST. Miami, FL 33183</t>
  </si>
  <si>
    <t>13572048</t>
  </si>
  <si>
    <t>001-00-599544</t>
  </si>
  <si>
    <t>03/19/25</t>
  </si>
  <si>
    <t>Juan Perez / 866.411.2742 ext. 21502</t>
  </si>
  <si>
    <t>2025030015</t>
  </si>
  <si>
    <t>Michelle Tingling</t>
  </si>
  <si>
    <t>772-607-3172</t>
  </si>
  <si>
    <t>Whisrico11@gmail.com</t>
  </si>
  <si>
    <t>1566 SW Jacksonville Ave. Port Saint Lucie FL 34953</t>
  </si>
  <si>
    <t>04803783</t>
  </si>
  <si>
    <t>001-00-599548</t>
  </si>
  <si>
    <t xml:space="preserve">Daniel Fulton / Daniel.Fulton@citizensfla.com /  888-621-9910  x21562 / Ketric Patton </t>
  </si>
  <si>
    <t>A Deposition will be on 03/03 (CM)</t>
  </si>
  <si>
    <t>2025030016</t>
  </si>
  <si>
    <t>813-531-1267</t>
  </si>
  <si>
    <t>Ritovaldez22@gmail.com</t>
  </si>
  <si>
    <t>2427 Crestview RD Wimauma ,FL 33598</t>
  </si>
  <si>
    <t>MLR001326604</t>
  </si>
  <si>
    <t>Melaku Abebe / 800-652-1262 ext 401847/ melaku.abebe@assurant.com</t>
  </si>
  <si>
    <t>05/06 Sarah has the collateral, the client is not answering (CM)</t>
  </si>
  <si>
    <t>2025030017</t>
  </si>
  <si>
    <t xml:space="preserve">Jose Flores &amp; Angie Gallegos </t>
  </si>
  <si>
    <t>813-812-0038</t>
  </si>
  <si>
    <t>Gizmo.flores130@gmail.com/
agallegos9380@yahoo.com</t>
  </si>
  <si>
    <t>5143 Bishop Rd. Wimauma, FL 33598</t>
  </si>
  <si>
    <t>AGH0083327</t>
  </si>
  <si>
    <t>CHO-00190985</t>
  </si>
  <si>
    <t xml:space="preserve">John Gulledge / 813-512-6653 / jgulledge@aii.com </t>
  </si>
  <si>
    <t>05/06 Client has to sign the check through ink (CM)</t>
  </si>
  <si>
    <t>2025030018</t>
  </si>
  <si>
    <t>813 -778-1967</t>
  </si>
  <si>
    <t>brett_257@msn.com</t>
  </si>
  <si>
    <t xml:space="preserve">1002 Circle DR Ruskin, FL 33570 </t>
  </si>
  <si>
    <t>12223345</t>
  </si>
  <si>
    <t>Tana Hester / 866.411.2742 ext. 60083</t>
  </si>
  <si>
    <t>2025030019</t>
  </si>
  <si>
    <t xml:space="preserve">Maria A Herrera </t>
  </si>
  <si>
    <t>813-491-4036</t>
  </si>
  <si>
    <t>Olgaherrera1@yahoo.com/
aracelivasquez98@gmail.com</t>
  </si>
  <si>
    <t>5308 Ruth Morris Rd Wimauma FL 33598</t>
  </si>
  <si>
    <t>KIN-MH-FL-105009338</t>
  </si>
  <si>
    <t>HO-3178753</t>
  </si>
  <si>
    <t>Kendal Low /  689.265.4945 / 866.204.2219</t>
  </si>
  <si>
    <t>2025030020</t>
  </si>
  <si>
    <t>Junior Mauger</t>
  </si>
  <si>
    <t>561-317-0652</t>
  </si>
  <si>
    <t>Maugerj73@gmail.com</t>
  </si>
  <si>
    <t>3231 SW Crumpacker ST Port Saint Lucie, FL 34953</t>
  </si>
  <si>
    <t>13239273-1</t>
  </si>
  <si>
    <t>001-00-600606</t>
  </si>
  <si>
    <t>Roxana Colongo / 866.411.2742 ext. 21058</t>
  </si>
  <si>
    <t>2025040001</t>
  </si>
  <si>
    <t>813-270-1920</t>
  </si>
  <si>
    <t>jerrymasters96@gmail.com</t>
  </si>
  <si>
    <t>713 Parsons ST SW Ruskin FL 33570</t>
  </si>
  <si>
    <t>2MR019241004</t>
  </si>
  <si>
    <t>08/18 informed Sarah that we were not included on the check, asked her to contact the client to collect our fees (CM)</t>
  </si>
  <si>
    <t>2025040002</t>
  </si>
  <si>
    <t>Sarandon Finkley / 888.621.9910 ext. 21348</t>
  </si>
  <si>
    <t>01/15 we were paid, fees paid, missing the O&amp;L (CM)</t>
  </si>
  <si>
    <t>2024120022</t>
  </si>
  <si>
    <t>jrenee18@yahoo.com</t>
  </si>
  <si>
    <t>12-3019795-23</t>
  </si>
  <si>
    <t>04/26/23</t>
  </si>
  <si>
    <t>Jill Urbanske  / 813-355-5322 / jUrbanske@gristonclaim.com</t>
  </si>
  <si>
    <t>06/26 Peter informs we will continue with the 2024 claim (CM)</t>
  </si>
  <si>
    <t>2025040003</t>
  </si>
  <si>
    <t xml:space="preserve">Barbara Walton </t>
  </si>
  <si>
    <t>michaelwalton391@gmail.com/
slackbeverly35@gmail.com</t>
  </si>
  <si>
    <t>1903 Marilyn Ave Brandenton FL 34207</t>
  </si>
  <si>
    <t>170976</t>
  </si>
  <si>
    <t>948819</t>
  </si>
  <si>
    <t>Susan Mays / 813-355-5340</t>
  </si>
  <si>
    <t>05/06 followed up on the settlement check, DA sent the check to the client on 04/22, informed Sarah  (CM)</t>
  </si>
  <si>
    <t>2025040004</t>
  </si>
  <si>
    <t xml:space="preserve">Alba Rivera </t>
  </si>
  <si>
    <t>813-585-0243</t>
  </si>
  <si>
    <t>Riveraalba@gmail.com</t>
  </si>
  <si>
    <t>7605 Tangle Brook Blvd Gibsonton FL 33534</t>
  </si>
  <si>
    <t>H3FL000193012</t>
  </si>
  <si>
    <t>202412019945</t>
  </si>
  <si>
    <t>Tri Le / 515-724-7537 / tle@slideinsurance.com</t>
  </si>
  <si>
    <t>10/09 Sarah sent the notarized release to the carrier (CM)</t>
  </si>
  <si>
    <t>2025040005</t>
  </si>
  <si>
    <t>Geraldine Kidd</t>
  </si>
  <si>
    <t>727-906-5514</t>
  </si>
  <si>
    <t>Geralginekidd55@gmail.com</t>
  </si>
  <si>
    <t>2303 11th St S Saint Petersburg FL 33705</t>
  </si>
  <si>
    <t>2MR221901101</t>
  </si>
  <si>
    <t>00201898754</t>
  </si>
  <si>
    <t xml:space="preserve">Jennifer Solazzo / 800-652-1262 </t>
  </si>
  <si>
    <t>This is a duplicate for the 10/14/24</t>
  </si>
  <si>
    <t>2025040006</t>
  </si>
  <si>
    <t xml:space="preserve">Nydia Aponte </t>
  </si>
  <si>
    <t>813-516-8339</t>
  </si>
  <si>
    <t>kayspanky40@gmail.com</t>
  </si>
  <si>
    <t>Monarch</t>
  </si>
  <si>
    <t>7632 Tangle Rush Dr. Gibsonton, FL 33534</t>
  </si>
  <si>
    <t>GH-0000021114-11</t>
  </si>
  <si>
    <t>HO0525431714</t>
  </si>
  <si>
    <t>John Harris / evjharris@evolvclaims.com</t>
  </si>
  <si>
    <t>07/16 Peter left a vm to the client, asked to send to close claims (CM)</t>
  </si>
  <si>
    <t>2025040007</t>
  </si>
  <si>
    <t>Altard Altes Dieuveuil</t>
  </si>
  <si>
    <t>813-542-8018 / 656-210-0540</t>
  </si>
  <si>
    <t>Advil@brighthouse.com</t>
  </si>
  <si>
    <t>Safe Harbor Insurance</t>
  </si>
  <si>
    <t>11239 Southwind Lake Dr Gibsonton, FL 33534</t>
  </si>
  <si>
    <t>SHB0008653</t>
  </si>
  <si>
    <t>2024002597</t>
  </si>
  <si>
    <t xml:space="preserve">        Andrew J. Marsman / (866) 482-5246, ext. 130 </t>
  </si>
  <si>
    <t>06/12 Sarah informs claim settled (CM)</t>
  </si>
  <si>
    <t>2025040008</t>
  </si>
  <si>
    <t>Desperine Blake</t>
  </si>
  <si>
    <t>914-312-0822</t>
  </si>
  <si>
    <t>remadiva@gmail.com</t>
  </si>
  <si>
    <t>1890 SW Dalmatian Ave. Port Saint Lucie, FL 34953</t>
  </si>
  <si>
    <t>MLR- 21149737709</t>
  </si>
  <si>
    <t>00104869936</t>
  </si>
  <si>
    <t>Jay Crawley / (800) 652-1262 ext 4030861</t>
  </si>
  <si>
    <t>2025040009</t>
  </si>
  <si>
    <t>949726</t>
  </si>
  <si>
    <t>Latoya LaPointe / 813-355-5394 / llapointe@gristonclaim.com</t>
  </si>
  <si>
    <t>06/11 sent to Close claims, Iván tols me if Juan wants to close it, we should (CM)</t>
  </si>
  <si>
    <t>2025040010</t>
  </si>
  <si>
    <t>7605 Tangle Brook Blvd Gibsonton, FL 33534</t>
  </si>
  <si>
    <t>202504024948</t>
  </si>
  <si>
    <t>04/23/25</t>
  </si>
  <si>
    <t>Josh Haller / 813-656-1937 / jhaller@slideinsurance.com</t>
  </si>
  <si>
    <t>05/06 Joshua will call the client, she told him that she was going to send the check today (CM)</t>
  </si>
  <si>
    <t>2025040011</t>
  </si>
  <si>
    <t>(951)472-1981</t>
  </si>
  <si>
    <t>MELODIEMCKISICK@gmail.com</t>
  </si>
  <si>
    <t>11536 Tangle Creek BLVD Gibsonton Fl 33534</t>
  </si>
  <si>
    <t>05643673</t>
  </si>
  <si>
    <t>Collin Peay / 888-621-9910 ext 21380</t>
  </si>
  <si>
    <t>2025040012</t>
  </si>
  <si>
    <t>Nam Nguyen</t>
  </si>
  <si>
    <t>713-385-6166</t>
  </si>
  <si>
    <t>Jon2mai@yahoo.com</t>
  </si>
  <si>
    <t>536 Flame Tree Dr Apollo Beach FL 33572</t>
  </si>
  <si>
    <t>06604477</t>
  </si>
  <si>
    <t>001-00-578695</t>
  </si>
  <si>
    <t>Yolanda Mitchem / 866.411.2742 ext. 21230</t>
  </si>
  <si>
    <t>2025040013</t>
  </si>
  <si>
    <t xml:space="preserve">2313 15th Ave S Saint Petersberg FL 33712 </t>
  </si>
  <si>
    <t>05054719</t>
  </si>
  <si>
    <t>Edward Sloan / 866-411-2742 ext 5908 / Edward.Sloan@citizensfla.com</t>
  </si>
  <si>
    <t>2025040014</t>
  </si>
  <si>
    <t>HO-0005019</t>
  </si>
  <si>
    <t>Wind</t>
  </si>
  <si>
    <t>03/15/22</t>
  </si>
  <si>
    <t xml:space="preserve">Sasha Bramweoll / 689-888-6911 </t>
  </si>
  <si>
    <t>2025050001</t>
  </si>
  <si>
    <t>813-270-6420</t>
  </si>
  <si>
    <t>Lorenzo.becky@yahoo.com</t>
  </si>
  <si>
    <t>2041 Park Village Dr Ruskin FL 33570</t>
  </si>
  <si>
    <t>21C105112000</t>
  </si>
  <si>
    <t xml:space="preserve">Shiree Woods / 800-358-0600 Ext. 4030595 </t>
  </si>
  <si>
    <t>05/06 Sarah informs that we were paid, we need to collect for juan (CM)</t>
  </si>
  <si>
    <t>2025050002</t>
  </si>
  <si>
    <t>813-438-9542/ 813-438-9514</t>
  </si>
  <si>
    <t>Verovero0301@gmail.com</t>
  </si>
  <si>
    <t xml:space="preserve">1114 Coastal Hammock Ave Ruskin FL 33570  </t>
  </si>
  <si>
    <t>FLA453718</t>
  </si>
  <si>
    <t>William Marulanda / 440-620-5586</t>
  </si>
  <si>
    <t>03/26 Sarah informs settled, there is still pending 2k for the umpire (CM)</t>
  </si>
  <si>
    <t>2025050003</t>
  </si>
  <si>
    <t>Pedro Gonzalez</t>
  </si>
  <si>
    <t>954-305-9405</t>
  </si>
  <si>
    <t>catherinejimenez41@yahoo.com / gonzalezpedro330@yahoo.com</t>
  </si>
  <si>
    <t>731 Arizona Ave Fort Lauderdale, FL 33312</t>
  </si>
  <si>
    <t>10950565</t>
  </si>
  <si>
    <t>DP2506000109</t>
  </si>
  <si>
    <t>5/06/25</t>
  </si>
  <si>
    <t xml:space="preserve"> Al Sturkiy 9043025155. Ext 2222</t>
  </si>
  <si>
    <t>2025050004</t>
  </si>
  <si>
    <t>Renee Jones</t>
  </si>
  <si>
    <t>727-481-7807</t>
  </si>
  <si>
    <t>1425 67th Ave S St Petersburg, FL 33705</t>
  </si>
  <si>
    <t>HPH144336</t>
  </si>
  <si>
    <t>HO10035070</t>
  </si>
  <si>
    <t>Jennifer Capehart / 813-582-3657 / jcapehart@heritagepci.com</t>
  </si>
  <si>
    <t>10/07 sent the withdrawal letter, as client and Peter request (CM)</t>
  </si>
  <si>
    <t>2025050005</t>
  </si>
  <si>
    <t xml:space="preserve">Jerry Adams </t>
  </si>
  <si>
    <t>941-225-9013 / 941-538-8036</t>
  </si>
  <si>
    <t>Phatti1@hotmail.com</t>
  </si>
  <si>
    <t>2705 3rd Ave E Palmetto FL 34221</t>
  </si>
  <si>
    <t>1504-2100-5217</t>
  </si>
  <si>
    <t>FL24-0136803-K524</t>
  </si>
  <si>
    <t>Robert Gorman / 954-958-1200 ext 6646 /  954-666-0221 / rg1003@universalproperty.com / SPV Barbie Gonzales / 954-958-1200 ext 7266 / bg0309@universalproperty.com</t>
  </si>
  <si>
    <t>04/23 Peter informed me that he is still working on this claim (CM)</t>
  </si>
  <si>
    <t>2025050006</t>
  </si>
  <si>
    <t>Geraldinekidd55@gmail.com</t>
  </si>
  <si>
    <t>00201892541</t>
  </si>
  <si>
    <t>2025050007</t>
  </si>
  <si>
    <t xml:space="preserve">Andrea Destowet </t>
  </si>
  <si>
    <t>727-422-1602</t>
  </si>
  <si>
    <t>Destowet1@yahoo.com</t>
  </si>
  <si>
    <t>1088 62nd Pl S Saint Petersburg FL 33705</t>
  </si>
  <si>
    <t>05605242-4</t>
  </si>
  <si>
    <t>001-00-606224</t>
  </si>
  <si>
    <t>Kenneth Walker / 866-411-2742 ext 5999 / 251-317-3754</t>
  </si>
  <si>
    <t>04/07 ivancho filed NOI with MSPG (CM)</t>
  </si>
  <si>
    <t>2025050008</t>
  </si>
  <si>
    <t>Brittany V. Gonzalez</t>
  </si>
  <si>
    <t>863-600-6603</t>
  </si>
  <si>
    <t>Brittany.gonzalez22@yahoo.com</t>
  </si>
  <si>
    <t>4898 Myrtle View Dr N Mulberry FL 33860</t>
  </si>
  <si>
    <t>W019698656</t>
  </si>
  <si>
    <t>3300506493</t>
  </si>
  <si>
    <t xml:space="preserve">Ashlin Scott / 888.461.6908 x 0312 </t>
  </si>
  <si>
    <t>04/08 Sarah informs settled, the client informs there is still pending payment (CM)</t>
  </si>
  <si>
    <t>2025050009</t>
  </si>
  <si>
    <t>Jessica Murrell</t>
  </si>
  <si>
    <t>941-932-2529</t>
  </si>
  <si>
    <t>Jmurrell91@outlook.com</t>
  </si>
  <si>
    <t>2210 13th Ave E Palmetto FL 34221</t>
  </si>
  <si>
    <t>SJ31126693</t>
  </si>
  <si>
    <t>202410012693</t>
  </si>
  <si>
    <t>Jasmine Preyere / jpreyere@slideinsurance.com / 813-369-5963</t>
  </si>
  <si>
    <t>09/29 the settlement check has been issued, informed the DA (CM)</t>
  </si>
  <si>
    <t>2025060001</t>
  </si>
  <si>
    <t>Erne Pierre</t>
  </si>
  <si>
    <t>305-744-1879</t>
  </si>
  <si>
    <t>Ernepierre@yahoo.com</t>
  </si>
  <si>
    <t>Integon</t>
  </si>
  <si>
    <t>4268 SW Whitebread Rd. Port Saint Lucie FL, 34953</t>
  </si>
  <si>
    <t>7007-0002</t>
  </si>
  <si>
    <t>250451152</t>
  </si>
  <si>
    <t>Victoria White / 800-211-4533 ext 85819 / Victoria.White@ngic.com</t>
  </si>
  <si>
    <t>05/06 Sarah informed, The client will send the money (CM)</t>
  </si>
  <si>
    <t>2025060002</t>
  </si>
  <si>
    <t>Abdullah &amp; Sanah Toom</t>
  </si>
  <si>
    <t>772-834-9275</t>
  </si>
  <si>
    <t>Abdultoom@aol.com</t>
  </si>
  <si>
    <t>3358 SW Ludlow St Port Saint Lucie FL 34953</t>
  </si>
  <si>
    <t>FPH3-000142398</t>
  </si>
  <si>
    <t>01000138821</t>
  </si>
  <si>
    <t>RALEIGH VAN HORN / 321.558.7872 / 877.744.5224 Ext: 7872 / rvanhorn@frontlineinsurance.com FA: Tom Malano, 732-598-5992</t>
  </si>
  <si>
    <t>03/19 invancho informs MSPG informs DA that they will proceed with litigation (CM)</t>
  </si>
  <si>
    <t>2025060003</t>
  </si>
  <si>
    <t>Robert &amp; Donna Alderman</t>
  </si>
  <si>
    <t>772-302-0258</t>
  </si>
  <si>
    <t>bobby4horses@yahoo.com</t>
  </si>
  <si>
    <t>6702 Fort Walton Ave, Fort Pierce, FL 34951</t>
  </si>
  <si>
    <t>02756704</t>
  </si>
  <si>
    <t>001-00-523602</t>
  </si>
  <si>
    <t>Nicole Henk / 866.411.2742 ext. 60018</t>
  </si>
  <si>
    <t>02/25 Sarah informs settled (CM)</t>
  </si>
  <si>
    <t>2025060004</t>
  </si>
  <si>
    <t xml:space="preserve">Jennifer Spencer </t>
  </si>
  <si>
    <t>813-235-3703</t>
  </si>
  <si>
    <t>Drjenniferspencer@outlook.com</t>
  </si>
  <si>
    <t>1102 Fennel Green Dr Seffner FL 33584</t>
  </si>
  <si>
    <t>F113030</t>
  </si>
  <si>
    <t>836-792025</t>
  </si>
  <si>
    <t>Greg Mcguire / 513-412-9466 / gsmcguire@gaig.com</t>
  </si>
  <si>
    <t>08/18 DA sent a letter, saying this claim is closed, Iván said we can't do anything, asked Joshua to inform the client (CM)</t>
  </si>
  <si>
    <t>2025060005</t>
  </si>
  <si>
    <t>Steven Salomon &amp; Kim Tram</t>
  </si>
  <si>
    <t>813-734-5553</t>
  </si>
  <si>
    <t>lord.salomon@yahoo.com</t>
  </si>
  <si>
    <t xml:space="preserve">1769 Rita ST Sarasota FL 34231 </t>
  </si>
  <si>
    <t>79-CL-K634-5</t>
  </si>
  <si>
    <t>5986K843N</t>
  </si>
  <si>
    <t>Darrell James / 309-766-2693</t>
  </si>
  <si>
    <t>03/19 Ivancho informs MSPG working on initial disclosures from defendant`s (CM)</t>
  </si>
  <si>
    <t>2025060006</t>
  </si>
  <si>
    <t>Brian Bunich</t>
  </si>
  <si>
    <t>913-238-0624</t>
  </si>
  <si>
    <t>Officerbjb@yahoo.com</t>
  </si>
  <si>
    <t>11527 Weston Course Loop Riverview Fl 33579</t>
  </si>
  <si>
    <t>59CQA2625</t>
  </si>
  <si>
    <t>5975S330R</t>
  </si>
  <si>
    <t>Katie Mundwiler / 844-458-4300</t>
  </si>
  <si>
    <t>2025060007</t>
  </si>
  <si>
    <t xml:space="preserve">Terance Douglas </t>
  </si>
  <si>
    <t>813-893-4014</t>
  </si>
  <si>
    <t>Graziellacarlet@yahoo.it</t>
  </si>
  <si>
    <t>11812 Gilmerton DR Riverview FL 33579</t>
  </si>
  <si>
    <t>818-855-0779</t>
  </si>
  <si>
    <t>01000123062</t>
  </si>
  <si>
    <t>Diane Piercy / 877-744-5224 ext 8168</t>
  </si>
  <si>
    <t>05/01 Leeban is working on the negotiation (CM)</t>
  </si>
  <si>
    <t>2024060022</t>
  </si>
  <si>
    <t>Michael Kelly</t>
  </si>
  <si>
    <t>954-274-1606 / 786-985-9000</t>
  </si>
  <si>
    <t>Napbizop@gmail.com</t>
  </si>
  <si>
    <t>3871 SW Chaffin St. Port Saint Lucie FL, 34953</t>
  </si>
  <si>
    <t>09182532</t>
  </si>
  <si>
    <t>001-00-528108</t>
  </si>
  <si>
    <t>Mary Clementi / 866.411.2742 ext. 21560</t>
  </si>
  <si>
    <t>05/06 Sarah informs settled (CM)</t>
  </si>
  <si>
    <t>2025070001</t>
  </si>
  <si>
    <t>Wanise Antoine</t>
  </si>
  <si>
    <t>561-574-5847</t>
  </si>
  <si>
    <t>Wanise.antoine74@gmail.com</t>
  </si>
  <si>
    <t>2981 SW Collings Dr Port Saint Lucie FL 34953</t>
  </si>
  <si>
    <t>12753876-1</t>
  </si>
  <si>
    <t>001-00-610732</t>
  </si>
  <si>
    <t>John Herndon / 866.411.2742 ext. 70381</t>
  </si>
  <si>
    <t>01/22 Sarah informs settled, pending rec. dep (CM)</t>
  </si>
  <si>
    <t>2025070002</t>
  </si>
  <si>
    <t>FL22-0158926-A522</t>
  </si>
  <si>
    <t>11/10/22</t>
  </si>
  <si>
    <t>2025070003</t>
  </si>
  <si>
    <t>Ralph &amp; Patricia Foster</t>
  </si>
  <si>
    <t>772-538-2381 / 772-532-2255</t>
  </si>
  <si>
    <t>ralfco15@yahoo.com</t>
  </si>
  <si>
    <t xml:space="preserve">Typ Tap </t>
  </si>
  <si>
    <t>6706 Deland Ave. Fort Pierce, FL 34951</t>
  </si>
  <si>
    <t>16-6115799-01</t>
  </si>
  <si>
    <t>16-2910530-24</t>
  </si>
  <si>
    <t>Basil Riley / 813-355-5387</t>
  </si>
  <si>
    <t>2024050013</t>
  </si>
  <si>
    <t>2MR07442127168</t>
  </si>
  <si>
    <t>00104537193</t>
  </si>
  <si>
    <t>Felicia Ross / 800-652-1262 Ext. 4018850</t>
  </si>
  <si>
    <t>10/28 Informed Joshua that the client didnn't have a mortgage when the loss occured, he will have to call to the mortgage company (CM)</t>
  </si>
  <si>
    <t>Waiting Determ</t>
  </si>
  <si>
    <t>2025080001</t>
  </si>
  <si>
    <t xml:space="preserve">Timothy Pickens </t>
  </si>
  <si>
    <t>772-530-6291</t>
  </si>
  <si>
    <t>Ezpickens1@yahoo.com</t>
  </si>
  <si>
    <t>3261 SW Constellation RD Port Saint Lucie FL 34953</t>
  </si>
  <si>
    <t>12-1063057-04</t>
  </si>
  <si>
    <t>12-3026439-24</t>
  </si>
  <si>
    <t>Daisy Princesa / 813-355-5312 / dprincesa@gristonclaim.com</t>
  </si>
  <si>
    <t>2025070004</t>
  </si>
  <si>
    <t>2025080002</t>
  </si>
  <si>
    <t>Luke Hogan</t>
  </si>
  <si>
    <t>352-566-3790</t>
  </si>
  <si>
    <t>Lukeyyh1993@gmail.com</t>
  </si>
  <si>
    <t>1642 E Artesian LN Citrus Springs, FL 34434</t>
  </si>
  <si>
    <t>AGD30561092</t>
  </si>
  <si>
    <t>CDP-00195698</t>
  </si>
  <si>
    <t>08/15/25</t>
  </si>
  <si>
    <t>Annette Horn / (248) 605‑2074 / ahorn@raphaelandassociates.com</t>
  </si>
  <si>
    <t>04/27 followed up on the status of the reissued check (CM)</t>
  </si>
  <si>
    <t>2025090001</t>
  </si>
  <si>
    <t>Jessica Moore</t>
  </si>
  <si>
    <t>941-870-2596</t>
  </si>
  <si>
    <t>Jesfreeinchrist@gmail.com</t>
  </si>
  <si>
    <t>3218 Ave A W Bradenton FL 34205</t>
  </si>
  <si>
    <t>07527728</t>
  </si>
  <si>
    <t>001-00-611528</t>
  </si>
  <si>
    <t>Jan Yeackley / 866.411.2742 x21073</t>
  </si>
  <si>
    <t>05/06 the client informed Sarah that she is going to send the collateral check (CM)</t>
  </si>
  <si>
    <t>2025100001</t>
  </si>
  <si>
    <t>Nathanie Hyppolite</t>
  </si>
  <si>
    <t>786-512-2306</t>
  </si>
  <si>
    <t xml:space="preserve">nathanieh@yahoo.com </t>
  </si>
  <si>
    <t>7624 Dilido Blvd Miramar, FL 33023</t>
  </si>
  <si>
    <t>12-1042842</t>
  </si>
  <si>
    <t>12-3033110-25</t>
  </si>
  <si>
    <t>9/24/25</t>
  </si>
  <si>
    <t>Maggie Daniels / 813 -849-9555 / MDaniels@gristonclaim.com</t>
  </si>
  <si>
    <t>MSPG</t>
  </si>
  <si>
    <t>2025100002</t>
  </si>
  <si>
    <t xml:space="preserve">12-3029752-25 </t>
  </si>
  <si>
    <t>04/15 Followed up with Peter on the plumber's call (CM)</t>
  </si>
  <si>
    <t>2025100003</t>
  </si>
  <si>
    <t>Ruth Dodson</t>
  </si>
  <si>
    <t>772-812-9471</t>
  </si>
  <si>
    <t>rd2134mm@gmail.com</t>
  </si>
  <si>
    <t>2134 SE Carnation RD Port Saint Lucie FL 34952</t>
  </si>
  <si>
    <t>07843769-4</t>
  </si>
  <si>
    <t>001-00-620911</t>
  </si>
  <si>
    <t>10/09/2024</t>
  </si>
  <si>
    <t>Alisson Aparicio Lopez / 866.411.2742 ext. 53333</t>
  </si>
  <si>
    <t>umpire will be 05/20 (cm)</t>
  </si>
  <si>
    <t>2025110001</t>
  </si>
  <si>
    <t xml:space="preserve">Tennison Hubbard </t>
  </si>
  <si>
    <t>703-362-2488</t>
  </si>
  <si>
    <t>Pianoman.hubbard@gmail.com</t>
  </si>
  <si>
    <t>9188 Cove Point Cir Boynton Beach FL 33472</t>
  </si>
  <si>
    <t>BFL617626-07</t>
  </si>
  <si>
    <t>CFL25609170</t>
  </si>
  <si>
    <t>Hail Storm</t>
  </si>
  <si>
    <t>05/05/2025</t>
  </si>
  <si>
    <t>Jessica Myles / 561 609-1000 Ext. 2973 / jmyles@pti.insure</t>
  </si>
  <si>
    <t>04/20 Ivancho is waiting for a confirmation from Joshua or Peter (CM)</t>
  </si>
  <si>
    <t>2025120001</t>
  </si>
  <si>
    <t>Rashik Adhikari</t>
  </si>
  <si>
    <t>646-455-8555</t>
  </si>
  <si>
    <t>rashik.adhikari@gmail.com</t>
  </si>
  <si>
    <t>5104 Matanzas Ave Fort Pierce, FL 34946</t>
  </si>
  <si>
    <t>12290012-2</t>
  </si>
  <si>
    <t>001-00-625733</t>
  </si>
  <si>
    <t>12/14/2025</t>
  </si>
  <si>
    <t>05/06 Sarah will call the client to collec our fees for the appraisal (CM)</t>
  </si>
  <si>
    <t>2025120002</t>
  </si>
  <si>
    <t>Jessica Paul and Joseph Metellus</t>
  </si>
  <si>
    <t>941-681-6231</t>
  </si>
  <si>
    <t>josephmetellus@yahoo.com</t>
  </si>
  <si>
    <t>418 Vine Cliff St Ruskin, FL 33570</t>
  </si>
  <si>
    <t>SIC3081786</t>
  </si>
  <si>
    <t>202512035561</t>
  </si>
  <si>
    <t>12/15/2025</t>
  </si>
  <si>
    <t>Alexis Bowman / 727-617-2861 / abowman@slideinsurance.com</t>
  </si>
  <si>
    <t>04/21 this claim is not good, as per Joshua info we are not moving forward, sent it to close claims (CM)</t>
  </si>
  <si>
    <t>2025120003</t>
  </si>
  <si>
    <t>Thomas DeRiso</t>
  </si>
  <si>
    <t>732-522-0350</t>
  </si>
  <si>
    <t>jb2canapa@aol.com</t>
  </si>
  <si>
    <t>4462 SW Bemini Cir N, Palm City, FL 34990</t>
  </si>
  <si>
    <t>W015225677</t>
  </si>
  <si>
    <t>3300565430</t>
  </si>
  <si>
    <t>12/23/2025</t>
  </si>
  <si>
    <t>Brianna Campbell /800.342.3407 ext 1717 / b1campbell@thig.com</t>
  </si>
  <si>
    <t>03/23 asked to DA a copy of the release and to confirm if the prior payment was consider as the settlement release payment, DA sent the breakdown, there is 1k for environmental, sent to Sarah, cc'd Ivancho (CM)</t>
  </si>
  <si>
    <t>2026010001</t>
  </si>
  <si>
    <t>CFL25610170</t>
  </si>
  <si>
    <t>09/08/2025</t>
  </si>
  <si>
    <t>Alena Gresham / (561)292-5241 Ext. 3773 / agresham@pti.insure</t>
  </si>
  <si>
    <t>2026010002</t>
  </si>
  <si>
    <t xml:space="preserve">BFL617626-07
</t>
  </si>
  <si>
    <t>CFL24602722</t>
  </si>
  <si>
    <t>06/12/2024</t>
  </si>
  <si>
    <t xml:space="preserve">2026020001
</t>
  </si>
  <si>
    <t>Elizabeth Lopez</t>
  </si>
  <si>
    <t>(305) 322-0113</t>
  </si>
  <si>
    <t>lizzylopez928@yahoo.com</t>
  </si>
  <si>
    <t>14451 SW 160th CT Miami, FL 33196-6432</t>
  </si>
  <si>
    <t>59-CL-R331-9</t>
  </si>
  <si>
    <t>59-96N1-89H</t>
  </si>
  <si>
    <t>Plumbing Leak</t>
  </si>
  <si>
    <t>02/09/2026</t>
  </si>
  <si>
    <t>Al Nuñez / 309-994-2285 / al.nunez.cqel@statefarm.com</t>
  </si>
  <si>
    <t>05/15 mediation was an impasse, client signed the retainer, sent it to Ivancho (CM)</t>
  </si>
  <si>
    <t>2026020002</t>
  </si>
  <si>
    <t>Anabel Sanchez Acosta &amp; Danny Batista</t>
  </si>
  <si>
    <t>210-324-9706</t>
  </si>
  <si>
    <t>anabel.sa95@gmail.com</t>
  </si>
  <si>
    <t>Vyrd</t>
  </si>
  <si>
    <t>2353 SW 130th Ter Miramar, FL 33027</t>
  </si>
  <si>
    <t>765541</t>
  </si>
  <si>
    <t>15038</t>
  </si>
  <si>
    <t>02/10/2026</t>
  </si>
  <si>
    <t>Jacob Bashor / jacob.bashor@vyrd.co / (813) 896-0259 - 266-411-2742 ext 21073</t>
  </si>
  <si>
    <t>04/30 received the engineer report and the determination, not coverage, informed Iván asked him the estimate (CM)</t>
  </si>
  <si>
    <t>2026020003</t>
  </si>
  <si>
    <t xml:space="preserve">Jose Medina Romero &amp; Melissa Perez Rodriguez </t>
  </si>
  <si>
    <t>817-703-4150</t>
  </si>
  <si>
    <t>jose.medina993@gmail.com</t>
  </si>
  <si>
    <t xml:space="preserve">2142 SE Holland St Port St Lucie, FL 34952 </t>
  </si>
  <si>
    <t>06986478 - 4</t>
  </si>
  <si>
    <t>001-00-621044</t>
  </si>
  <si>
    <t>10/05/2025</t>
  </si>
  <si>
    <t>Christopher Polk / 866-411-2742 ext 60037</t>
  </si>
  <si>
    <t>03/31 sent the withdrawal letter as per Iván request (CM)</t>
  </si>
  <si>
    <t>2026020004</t>
  </si>
  <si>
    <t>Erika Betancourt &amp; Jose Montenegro</t>
  </si>
  <si>
    <t>786-282-9529</t>
  </si>
  <si>
    <t xml:space="preserve">ebeta@bellsouth.net </t>
  </si>
  <si>
    <t xml:space="preserve">Monarch National Ins.
</t>
  </si>
  <si>
    <t xml:space="preserve">3541 sw 127th ave Miami, FL 33175 </t>
  </si>
  <si>
    <t xml:space="preserve">CH-0000071164-00 
</t>
  </si>
  <si>
    <t>HO0526439356</t>
  </si>
  <si>
    <t>02/16/2026</t>
  </si>
  <si>
    <t xml:space="preserve"> Joel Rachel /  800.293.2532 ext 6196 / jrachel@hpmanaging.com</t>
  </si>
  <si>
    <t>04/16 Sarah informs Fees pending. In the iink process, almost settled (CM)</t>
  </si>
  <si>
    <t>2026020005</t>
  </si>
  <si>
    <t>Jerry &amp; Suzy Comellas</t>
  </si>
  <si>
    <t xml:space="preserve">suzy1213@yahoo.com </t>
  </si>
  <si>
    <t>18301 Timberlan DR Lutz, FL 33549</t>
  </si>
  <si>
    <t xml:space="preserve">720831 </t>
  </si>
  <si>
    <t>15082</t>
  </si>
  <si>
    <t>Chuck Place / 727.624.2323 / lloyd.place@vyrd.co</t>
  </si>
  <si>
    <t>05/12 received the determination and engineer report, sent to JP, asked him to coordinate with the PA, sent it to Iván as well (CM)</t>
  </si>
  <si>
    <t>2026030001</t>
  </si>
  <si>
    <t>Michelle Fletcher</t>
  </si>
  <si>
    <t>917-340-8445</t>
  </si>
  <si>
    <t>fletcher.92@gmail.com</t>
  </si>
  <si>
    <t>10956 Brickside Ct Riverview, FL 33579</t>
  </si>
  <si>
    <t>KIN-CO-FL -180028206</t>
  </si>
  <si>
    <t>HO-3027009</t>
  </si>
  <si>
    <t>12/28/2024</t>
  </si>
  <si>
    <t>05/01 Joshua and Peter asked me to close the claim (CM)</t>
  </si>
  <si>
    <t>2026030002</t>
  </si>
  <si>
    <t>2353 SW 130TH Ter Miramar, FL 33027</t>
  </si>
  <si>
    <t>15149</t>
  </si>
  <si>
    <t>AWD Kitchen</t>
  </si>
  <si>
    <t>04/22 left a vm and emailed to the DA asking to move forward on this claim (CM)</t>
  </si>
  <si>
    <t>2026030003</t>
  </si>
  <si>
    <t>Larry Wilson</t>
  </si>
  <si>
    <t>786-488-2417</t>
  </si>
  <si>
    <t xml:space="preserve">        larrywilson0617@gmail.com</t>
  </si>
  <si>
    <t>813 Upland Ave SE, Palm Bay, FL 32909</t>
  </si>
  <si>
    <t>ATH1130335</t>
  </si>
  <si>
    <t>AH146724</t>
  </si>
  <si>
    <t>03/15/2026</t>
  </si>
  <si>
    <t>05/06 DA offered 24k in new money to settled, Iván will call tomorrow to the client (CM)</t>
  </si>
  <si>
    <t>2026030004</t>
  </si>
  <si>
    <t>Dulivert Mauricette &amp; Cezilia Pierre</t>
  </si>
  <si>
    <t>754-245-1140</t>
  </si>
  <si>
    <t>Pbocaille@gmail.com / dazipierre@icloud.com</t>
  </si>
  <si>
    <t>931 SW 70th Way North Lauderdale, FL 33068</t>
  </si>
  <si>
    <t>FPH300745403</t>
  </si>
  <si>
    <t>FPI260223-00</t>
  </si>
  <si>
    <t>03/26/2026</t>
  </si>
  <si>
    <t>Rick Pericles / 561-954-3757 / claims@floridapeninsula.com</t>
  </si>
  <si>
    <t>04/08 received the determination letter, they are issuing a payment for 10k and if they do the repairs, they can send and addtional for $2531 (CM)</t>
  </si>
  <si>
    <t>2026040001</t>
  </si>
  <si>
    <t>Pbocaille@gmail.com / dulivertm@gmail.com</t>
  </si>
  <si>
    <t>FPI260283-00</t>
  </si>
  <si>
    <t>12/12/2025</t>
  </si>
  <si>
    <t xml:space="preserve">Timothy Boykin / (866) 549-9672  </t>
  </si>
  <si>
    <t>05/18 DA sent an email, confirming that there is no coverage on this claim, sent action item (CM)</t>
  </si>
  <si>
    <t>2026040002</t>
  </si>
  <si>
    <t>Pbocaille@gmail.com</t>
  </si>
  <si>
    <t>FPI260362-00</t>
  </si>
  <si>
    <t xml:space="preserve">Marisol Alvarez / (866) 549-9672  </t>
  </si>
  <si>
    <t>04/27 sent the release to Prosper as his request (CM)</t>
  </si>
  <si>
    <t>2026040003</t>
  </si>
  <si>
    <t>Flor Gaviria</t>
  </si>
  <si>
    <t>786-295-8775</t>
  </si>
  <si>
    <t>fwgc2@yahoo.com</t>
  </si>
  <si>
    <t>​17620 NW 77TH CT HIALEAH, FL 33015</t>
  </si>
  <si>
    <t>00284743</t>
  </si>
  <si>
    <t>202604041485</t>
  </si>
  <si>
    <t>04/07/2026</t>
  </si>
  <si>
    <t>Lisa Perron / lperron@slideinsurance.com / 813-687-8453</t>
  </si>
  <si>
    <t>Engineer inspection will be 05/12 (CM)</t>
  </si>
  <si>
    <t>2026040004</t>
  </si>
  <si>
    <t>Miriam Trimarchi</t>
  </si>
  <si>
    <t>786-356-1590</t>
  </si>
  <si>
    <t>Wonderfulbeauty77@gmail.com</t>
  </si>
  <si>
    <t>11760 SW 171ST TER MIAMI, FL 33177</t>
  </si>
  <si>
    <t>​SIC3349784</t>
  </si>
  <si>
    <t>202604042036</t>
  </si>
  <si>
    <t>04/29/2026</t>
  </si>
  <si>
    <t>Bianca Bradley / (727) 614-0542 / bbradley@slideinsurance.com</t>
  </si>
  <si>
    <t>05/12 received the IA report and determination, informed to Iván, he was going to do the estimate with JP, sent it to JP as wll (CM)</t>
  </si>
  <si>
    <t>2026050004</t>
  </si>
  <si>
    <t>Kelsey &amp; Bernardo Cardenal</t>
  </si>
  <si>
    <t xml:space="preserve">561-884-0384 </t>
  </si>
  <si>
    <t>kelsey.cardenal@gmail.com</t>
  </si>
  <si>
    <t>660 Arambola Cir N Apt 106B Coconut Creek, FL 33066</t>
  </si>
  <si>
    <t>79-CU-S225-0</t>
  </si>
  <si>
    <t>590D1R166</t>
  </si>
  <si>
    <t>Plumbing Failure</t>
  </si>
  <si>
    <t>5/15/2026</t>
  </si>
  <si>
    <t>2026060001</t>
  </si>
  <si>
    <t xml:space="preserve">Jose Ossa &amp; Edilma Arroyave </t>
  </si>
  <si>
    <t>786-838-2135</t>
  </si>
  <si>
    <t>Jessicaossa@live.com</t>
  </si>
  <si>
    <t>6705 SW 27th Ct Miramar, FL 33023</t>
  </si>
  <si>
    <t>1501-1505-2788</t>
  </si>
  <si>
    <t>FL26-0108691</t>
  </si>
  <si>
    <t>Earthquake</t>
  </si>
  <si>
    <t>6/8/2026</t>
  </si>
  <si>
    <t>Ivan, Peter</t>
  </si>
  <si>
    <t>2026080001</t>
  </si>
  <si>
    <t>Claridad Valverde / Jose Garcia</t>
  </si>
  <si>
    <t>786-346-7167</t>
  </si>
  <si>
    <t>CValverde17@aol.com</t>
  </si>
  <si>
    <t>10100 E Calusa Club Dr Miami, FL 33186</t>
  </si>
  <si>
    <t>SIC3369748</t>
  </si>
  <si>
    <t>202605043557</t>
  </si>
  <si>
    <t>05/28/2026</t>
  </si>
  <si>
    <t>Teisha Peelar / 813-345-2871 / tpeelar@slideinsurance.com</t>
  </si>
  <si>
    <t>Welcome</t>
  </si>
  <si>
    <t>2026080002</t>
  </si>
  <si>
    <t>Jude &amp; Marie Mentor</t>
  </si>
  <si>
    <t>561-932-2868</t>
  </si>
  <si>
    <t>rachmentor@hotmail.com</t>
  </si>
  <si>
    <t>17725 61st PL N Loxahatchee, FL 33470</t>
  </si>
  <si>
    <t>1501-1501-5840</t>
  </si>
  <si>
    <t>FL26-0113162</t>
  </si>
  <si>
    <t>Wind/Hail</t>
  </si>
  <si>
    <t>08/20/2026</t>
  </si>
  <si>
    <t>Miles Coleman / mc1001@universalproperty.com / (800) 425-9113 ext 6951</t>
  </si>
  <si>
    <t>2026080003</t>
  </si>
  <si>
    <t>Mary Ellen Mieras</t>
  </si>
  <si>
    <t>5617921660 / 5613711864</t>
  </si>
  <si>
    <t>Waterbiz@bellsouth.net</t>
  </si>
  <si>
    <t>7161 Mandarin Blvd. Loxahatchee FL, 33470</t>
  </si>
  <si>
    <t>W015492709</t>
  </si>
  <si>
    <t>3300586807</t>
  </si>
  <si>
    <t xml:space="preserve">Jorge Torres / </t>
  </si>
  <si>
    <t>2026080004</t>
  </si>
  <si>
    <t>Tommy &amp; Bettye Kuhn</t>
  </si>
  <si>
    <t>561-792-1737</t>
  </si>
  <si>
    <t>BETTYEKUHN16@gmail.com</t>
  </si>
  <si>
    <t>17562 68th St N Loxahatchee, FL 33470</t>
  </si>
  <si>
    <t>79-E5-2457-6</t>
  </si>
  <si>
    <t>59-0N7J-316</t>
  </si>
  <si>
    <t>SYNCED (2026-10-09)</t>
  </si>
  <si>
    <t>2026080005</t>
  </si>
  <si>
    <t>561-884-0384 / 561-302-7275 (mom)</t>
  </si>
  <si>
    <t>59-0N4W-485</t>
  </si>
  <si>
    <t>08/23/2026</t>
  </si>
  <si>
    <t>2026080006</t>
  </si>
  <si>
    <t>SIC3418650</t>
  </si>
  <si>
    <t>202608048936</t>
  </si>
  <si>
    <t>08/29/2026</t>
  </si>
  <si>
    <t xml:space="preserve">Miracle Miggs / 727-614-0357 / mmiggs@slideinsurance.com </t>
  </si>
  <si>
    <t>2026080007</t>
  </si>
  <si>
    <t xml:space="preserve">Tina Johnson </t>
  </si>
  <si>
    <t>(850) 554-6538</t>
  </si>
  <si>
    <t>tina.johnson1774@gmail.com</t>
  </si>
  <si>
    <t>Cypress</t>
  </si>
  <si>
    <t>5755 Ml Strm Wy, Milton, FL 32571</t>
  </si>
  <si>
    <t>IFH4056780-00</t>
  </si>
  <si>
    <t>26CFL200297487</t>
  </si>
  <si>
    <t>Lightning Strike</t>
  </si>
  <si>
    <t>08/24/2026</t>
  </si>
  <si>
    <t>Anthony Satira / 904-414-4638 / asatira@cypressig.com</t>
  </si>
  <si>
    <t>202609050061</t>
  </si>
  <si>
    <t>2026090002</t>
  </si>
  <si>
    <t>Ryan Fogel</t>
  </si>
  <si>
    <t>954-242-6609</t>
  </si>
  <si>
    <t>R_fogel14@yahoo.com</t>
  </si>
  <si>
    <t>17523 71ST LN N LOXAHATCHEE, FL 33470</t>
  </si>
  <si>
    <t>SIC3176658</t>
  </si>
  <si>
    <t>202609050195</t>
  </si>
  <si>
    <t>08/13/2026</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</si>
</sst>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d/yyyy"/>
    <numFmt numFmtId="166" formatCode="m/d/yy"/>
    <numFmt numFmtId="167" formatCode="mm/dd/yyyy"/>
    <numFmt numFmtId="168" formatCode="m-d-yy"/>
    <numFmt numFmtId="169" formatCode="mm/dd/yy"/>
    <numFmt numFmtId="170" formatCode="m/d/yyyy"/>
    <numFmt numFmtId="171" formatCode="mm/dd"/>
  </numFmts>
  <fonts count="100">
    <font>
      <sz val="10.0"/>
      <color rgb="FF000000"/>
      <name val="Arial"/>
      <scheme val="minor"/>
    </font>
    <font>
      <b/>
      <sz val="12.0"/>
      <color rgb="FF000000"/>
      <name val="Arial"/>
    </font>
    <font>
      <b/>
      <sz val="12.0"/>
      <color rgb="FF0000FF"/>
      <name val="Arial"/>
    </font>
    <font>
      <color rgb="FF000000"/>
      <name val="Arial"/>
    </font>
    <font>
      <b/>
      <i/>
      <u/>
      <color rgb="FF000000"/>
      <name val="Arial"/>
    </font>
    <font>
      <color theme="1"/>
      <name val="Arial"/>
      <scheme val="minor"/>
    </font>
    <font>
      <b/>
      <i/>
      <u/>
      <color rgb="FF000000"/>
      <name val="Arial"/>
    </font>
    <font>
      <color rgb="FF0000FF"/>
      <name val="Arial"/>
    </font>
    <font>
      <b/>
      <i/>
      <u/>
      <color rgb="FF000000"/>
      <name val="Arial"/>
    </font>
    <font>
      <sz val="11.0"/>
      <color rgb="FF0000FF"/>
      <name val="Arial"/>
    </font>
    <font>
      <color theme="1"/>
      <name val="Roboto"/>
    </font>
    <font>
      <color theme="1"/>
      <name val="Arial"/>
    </font>
    <font>
      <color rgb="FF2A0E27"/>
      <name val="Roboto"/>
    </font>
    <font>
      <color rgb="FF434343"/>
      <name val="Roboto"/>
    </font>
    <font>
      <b/>
      <color rgb="FF000000"/>
      <name val="Arial"/>
    </font>
    <font>
      <color rgb="FF222222"/>
      <name val="Roboto"/>
    </font>
    <font>
      <color rgb="FF000000"/>
      <name val="Arial"/>
      <scheme val="minor"/>
    </font>
    <font>
      <sz val="12.0"/>
      <color rgb="FF000000"/>
      <name val="Arial"/>
    </font>
    <font>
      <color rgb="FF000000"/>
      <name val="Roboto"/>
    </font>
    <font>
      <color rgb="FF434343"/>
      <name val="Arial"/>
    </font>
    <font>
      <color rgb="FF381434"/>
      <name val="Roboto"/>
    </font>
    <font>
      <u/>
      <color rgb="FF000000"/>
      <name val="Arial"/>
      <scheme val="minor"/>
    </font>
    <font>
      <sz val="11.0"/>
      <color rgb="FF000000"/>
      <name val="Arial"/>
    </font>
    <font>
      <b/>
      <sz val="11.0"/>
      <color theme="1"/>
      <name val="Arial"/>
    </font>
    <font>
      <b/>
      <color theme="1"/>
      <name val="Arial"/>
    </font>
    <font>
      <b/>
      <color rgb="FF00FF00"/>
      <name val="Arial"/>
    </font>
    <font>
      <sz val="9.0"/>
      <color rgb="FF000000"/>
      <name val="&quot;Google Sans Mono&quot;"/>
    </font>
    <font>
      <color rgb="FF0000FF"/>
      <name val="Arial"/>
      <scheme val="minor"/>
    </font>
    <font>
      <color rgb="FF0ABC05"/>
      <name val="Arial"/>
      <scheme val="minor"/>
    </font>
    <font>
      <color rgb="FF351C75"/>
      <name val="Arial"/>
      <scheme val="minor"/>
    </font>
    <font>
      <color rgb="FF9900FF"/>
      <name val="Arial"/>
      <scheme val="minor"/>
    </font>
    <font>
      <color rgb="FFFF00FF"/>
      <name val="Arial"/>
      <scheme val="minor"/>
    </font>
    <font>
      <color rgb="FF1155CC"/>
      <name val="Arial"/>
      <scheme val="minor"/>
    </font>
    <font>
      <color rgb="FFCC4125"/>
      <name val="Arial"/>
      <scheme val="minor"/>
    </font>
    <font>
      <color rgb="FF674EA7"/>
      <name val="Arial"/>
      <scheme val="minor"/>
    </font>
    <font>
      <u/>
      <color rgb="FF9900FF"/>
      <name val="Arial"/>
      <scheme val="minor"/>
    </font>
    <font>
      <color rgb="FF990000"/>
      <name val="Arial"/>
      <scheme val="minor"/>
    </font>
    <font>
      <color rgb="FF783F04"/>
      <name val="Arial"/>
      <scheme val="minor"/>
    </font>
    <font>
      <color rgb="FF134F5C"/>
      <name val="Arial"/>
      <scheme val="minor"/>
    </font>
    <font>
      <color rgb="FFFF6D01"/>
      <name val="Arial"/>
      <scheme val="minor"/>
    </font>
    <font>
      <color theme="8"/>
      <name val="Arial"/>
      <scheme val="minor"/>
    </font>
    <font>
      <u/>
      <color rgb="FFFF6D01"/>
      <name val="Arial"/>
      <scheme val="minor"/>
    </font>
    <font>
      <b/>
      <sz val="12.0"/>
      <color theme="1"/>
      <name val="Montserrat"/>
    </font>
    <font>
      <b/>
      <sz val="12.0"/>
      <color rgb="FF0000FF"/>
      <name val="Montserrat"/>
    </font>
    <font>
      <b/>
      <sz val="12.0"/>
      <color rgb="FF000000"/>
      <name val="Montserrat"/>
    </font>
    <font>
      <b/>
      <sz val="12.0"/>
      <color rgb="FF351C75"/>
      <name val="Montserrat"/>
    </font>
    <font>
      <b/>
      <sz val="12.0"/>
      <color rgb="FFFF00FF"/>
      <name val="Montserrat"/>
    </font>
    <font>
      <b/>
      <sz val="12.0"/>
      <color rgb="FF1155CC"/>
      <name val="Montserrat"/>
    </font>
    <font>
      <b/>
      <sz val="12.0"/>
      <color rgb="FFCC4125"/>
      <name val="Montserrat"/>
    </font>
    <font>
      <b/>
      <sz val="12.0"/>
      <color rgb="FF674EA7"/>
      <name val="Montserrat"/>
    </font>
    <font>
      <b/>
      <sz val="12.0"/>
      <color rgb="FF990000"/>
      <name val="Montserrat"/>
    </font>
    <font>
      <b/>
      <sz val="12.0"/>
      <color rgb="FF783F04"/>
      <name val="Montserrat"/>
    </font>
    <font>
      <b/>
      <sz val="12.0"/>
      <color rgb="FF6AA84F"/>
      <name val="Montserrat"/>
    </font>
    <font>
      <b/>
      <sz val="12.0"/>
      <color rgb="FF134F5C"/>
      <name val="Montserrat"/>
    </font>
    <font>
      <b/>
      <sz val="12.0"/>
      <color rgb="FF06B898"/>
      <name val="Montserrat"/>
    </font>
    <font>
      <sz val="10.0"/>
      <color rgb="FFFF6D01"/>
      <name val="Arial"/>
      <scheme val="minor"/>
    </font>
    <font>
      <color rgb="FF0ABC05"/>
      <name val="Arial"/>
    </font>
    <font>
      <color rgb="FFFF6D01"/>
      <name val="Arial"/>
    </font>
    <font>
      <color rgb="FF46BDC6"/>
      <name val="Arial"/>
      <scheme val="minor"/>
    </font>
    <font>
      <color rgb="FF46BDC6"/>
      <name val="Arial"/>
    </font>
    <font>
      <color theme="8"/>
      <name val="Arial"/>
    </font>
    <font>
      <sz val="10.0"/>
      <color rgb="FF9900FF"/>
      <name val="Arial"/>
      <scheme val="minor"/>
    </font>
    <font>
      <u/>
      <color theme="1"/>
      <name val="Arial"/>
      <scheme val="minor"/>
    </font>
    <font>
      <color theme="9"/>
      <name val="Arial"/>
      <scheme val="minor"/>
    </font>
    <font>
      <color rgb="FF6FA8DC"/>
      <name val="Arial"/>
      <scheme val="minor"/>
    </font>
    <font>
      <color theme="4"/>
      <name val="Arial"/>
      <scheme val="minor"/>
    </font>
    <font>
      <color rgb="FF4285F4"/>
      <name val="Arial"/>
      <scheme val="minor"/>
    </font>
    <font>
      <color rgb="FF4A86E8"/>
      <name val="Arial"/>
      <scheme val="minor"/>
    </font>
    <font>
      <color rgb="FFFF00FF"/>
      <name val="Arial"/>
    </font>
    <font>
      <color rgb="FF9900FF"/>
      <name val="Arial"/>
    </font>
    <font>
      <b/>
      <color theme="1"/>
      <name val="Arial"/>
      <scheme val="minor"/>
    </font>
    <font>
      <u/>
      <color theme="1"/>
      <name val="Arial"/>
      <scheme val="minor"/>
    </font>
    <font>
      <color rgb="FF222222"/>
      <name val="Arial"/>
    </font>
    <font>
      <u/>
      <color theme="1"/>
      <name val="Arial"/>
      <scheme val="minor"/>
    </font>
    <font>
      <b/>
      <color rgb="FFFF0000"/>
      <name val="Arial"/>
      <scheme val="minor"/>
    </font>
    <font>
      <color rgb="FFFF0000"/>
      <name val="Arial"/>
      <scheme val="minor"/>
    </font>
    <font>
      <u/>
      <color rgb="FFFF00FF"/>
      <name val="Arial"/>
      <scheme val="minor"/>
    </font>
    <font>
      <color rgb="FFFF0000"/>
      <name val="Arial"/>
    </font>
    <font>
      <color rgb="FFCC0000"/>
      <name val="Arial"/>
      <scheme val="minor"/>
    </font>
    <font>
      <color rgb="FF11734B"/>
      <name val="Roboto"/>
    </font>
    <font>
      <color rgb="FF473821"/>
      <name val="Roboto"/>
    </font>
    <font>
      <color rgb="FF753800"/>
      <name val="Roboto"/>
    </font>
    <font>
      <color rgb="FFFFCFC9"/>
      <name val="Roboto"/>
    </font>
    <font>
      <color rgb="FF0A53A8"/>
      <name val="Roboto"/>
    </font>
    <font>
      <color rgb="FFFFC8AA"/>
      <name val="Roboto"/>
    </font>
    <font>
      <b/>
      <color rgb="FF000000"/>
      <name val="Arial"/>
      <scheme val="minor"/>
    </font>
    <font>
      <u/>
      <color rgb="FF000000"/>
      <name val="Arial"/>
      <scheme val="minor"/>
    </font>
    <font>
      <sz val="10.0"/>
      <color rgb="FF351C75"/>
      <name val="Arial"/>
    </font>
    <font>
      <sz val="9.0"/>
      <color rgb="FF351C75"/>
      <name val="Arial"/>
    </font>
    <font>
      <u/>
      <color theme="1"/>
      <name val="Arial"/>
      <scheme val="minor"/>
    </font>
    <font>
      <sz val="9.0"/>
      <color rgb="FF1F1F1F"/>
      <name val="&quot;Google Sans&quot;"/>
    </font>
    <font>
      <sz val="7.0"/>
      <color rgb="FF000000"/>
      <name val="Arial"/>
      <scheme val="minor"/>
    </font>
    <font>
      <sz val="10.0"/>
      <color rgb="FF000000"/>
      <name val="Roboto"/>
    </font>
    <font>
      <sz val="10.0"/>
      <color rgb="FF222222"/>
      <name val="Roboto"/>
    </font>
    <font>
      <sz val="10.0"/>
      <color rgb="FF000000"/>
      <name val="Arial"/>
    </font>
    <font>
      <color rgb="FF222222"/>
      <name val="Arial"/>
      <scheme val="minor"/>
    </font>
    <font>
      <color rgb="FF215A6C"/>
      <name val="Roboto"/>
    </font>
    <font>
      <color rgb="FFB10202"/>
      <name val="Roboto"/>
    </font>
    <font>
      <u/>
      <color rgb="FF000000"/>
      <name val="Arial"/>
      <scheme val="minor"/>
    </font>
    <font>
      <sz val="10.0"/>
      <color rgb="FF1F1F1F"/>
      <name val="Roboto"/>
    </font>
  </fonts>
  <fills count="29">
    <fill>
      <patternFill patternType="none"/>
    </fill>
    <fill>
      <patternFill patternType="lightGray"/>
    </fill>
    <fill>
      <patternFill patternType="solid">
        <fgColor rgb="FFFFFFFF"/>
        <bgColor rgb="FFFFFFFF"/>
      </patternFill>
    </fill>
    <fill>
      <patternFill patternType="solid">
        <fgColor rgb="FFE0F2FE"/>
        <bgColor rgb="FFE0F2FE"/>
      </patternFill>
    </fill>
    <fill>
      <patternFill patternType="solid">
        <fgColor theme="0"/>
        <bgColor theme="0"/>
      </patternFill>
    </fill>
    <fill>
      <patternFill patternType="solid">
        <fgColor rgb="FF0000FF"/>
        <bgColor rgb="FF0000FF"/>
      </patternFill>
    </fill>
    <fill>
      <patternFill patternType="solid">
        <fgColor theme="7"/>
        <bgColor theme="7"/>
      </patternFill>
    </fill>
    <fill>
      <patternFill patternType="solid">
        <fgColor rgb="FFFFF2CC"/>
        <bgColor rgb="FFFFF2CC"/>
      </patternFill>
    </fill>
    <fill>
      <patternFill patternType="solid">
        <fgColor rgb="FFFF0000"/>
        <bgColor rgb="FFFF0000"/>
      </patternFill>
    </fill>
    <fill>
      <patternFill patternType="solid">
        <fgColor theme="8"/>
        <bgColor theme="8"/>
      </patternFill>
    </fill>
    <fill>
      <patternFill patternType="solid">
        <fgColor rgb="FFD9D9D9"/>
        <bgColor rgb="FFD9D9D9"/>
      </patternFill>
    </fill>
    <fill>
      <patternFill patternType="solid">
        <fgColor rgb="FFFFFF00"/>
        <bgColor rgb="FFFFFF00"/>
      </patternFill>
    </fill>
    <fill>
      <patternFill patternType="solid">
        <fgColor rgb="FF134F5C"/>
        <bgColor rgb="FF134F5C"/>
      </patternFill>
    </fill>
    <fill>
      <patternFill patternType="solid">
        <fgColor rgb="FFF4CCCC"/>
        <bgColor rgb="FFF4CCCC"/>
      </patternFill>
    </fill>
    <fill>
      <patternFill patternType="solid">
        <fgColor rgb="FFF1C232"/>
        <bgColor rgb="FFF1C232"/>
      </patternFill>
    </fill>
    <fill>
      <patternFill patternType="solid">
        <fgColor rgb="FFEAD1DC"/>
        <bgColor rgb="FFEAD1DC"/>
      </patternFill>
    </fill>
    <fill>
      <patternFill patternType="solid">
        <fgColor rgb="FF00FFFF"/>
        <bgColor rgb="FF00FFFF"/>
      </patternFill>
    </fill>
    <fill>
      <patternFill patternType="solid">
        <fgColor rgb="FF1C4587"/>
        <bgColor rgb="FF1C4587"/>
      </patternFill>
    </fill>
    <fill>
      <patternFill patternType="solid">
        <fgColor rgb="FF0B5394"/>
        <bgColor rgb="FF0B5394"/>
      </patternFill>
    </fill>
    <fill>
      <patternFill patternType="solid">
        <fgColor rgb="FFD9EAD3"/>
        <bgColor rgb="FFD9EAD3"/>
      </patternFill>
    </fill>
    <fill>
      <patternFill patternType="solid">
        <fgColor rgb="FFFF9900"/>
        <bgColor rgb="FFFF9900"/>
      </patternFill>
    </fill>
    <fill>
      <patternFill patternType="solid">
        <fgColor rgb="FFFFE599"/>
        <bgColor rgb="FFFFE599"/>
      </patternFill>
    </fill>
    <fill>
      <patternFill patternType="solid">
        <fgColor rgb="FFD9D2E9"/>
        <bgColor rgb="FFD9D2E9"/>
      </patternFill>
    </fill>
    <fill>
      <patternFill patternType="solid">
        <fgColor rgb="FFCCCCCC"/>
        <bgColor rgb="FFCCCCCC"/>
      </patternFill>
    </fill>
    <fill>
      <patternFill patternType="solid">
        <fgColor rgb="FFB7B7B7"/>
        <bgColor rgb="FFB7B7B7"/>
      </patternFill>
    </fill>
    <fill>
      <patternFill patternType="solid">
        <fgColor rgb="FFF6F8F9"/>
        <bgColor rgb="FFF6F8F9"/>
      </patternFill>
    </fill>
    <fill>
      <patternFill patternType="solid">
        <fgColor rgb="FFE6B8AF"/>
        <bgColor rgb="FFE6B8AF"/>
      </patternFill>
    </fill>
    <fill>
      <patternFill patternType="solid">
        <fgColor rgb="FFD5A6BD"/>
        <bgColor rgb="FFD5A6BD"/>
      </patternFill>
    </fill>
    <fill>
      <patternFill patternType="solid">
        <fgColor rgb="FF6D9EEB"/>
        <bgColor rgb="FF6D9EEB"/>
      </patternFill>
    </fill>
  </fills>
  <borders count="6">
    <border/>
    <border>
      <left style="thin">
        <color rgb="FFFFFFFF"/>
      </left>
      <right style="thin">
        <color rgb="FFFFFFFF"/>
      </right>
      <top style="thin">
        <color rgb="FFFFFFFF"/>
      </top>
      <bottom style="thin">
        <color rgb="FFFFFFFF"/>
      </bottom>
    </border>
    <border>
      <left style="thin">
        <color rgb="FF4A535C"/>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EAD1DC"/>
      </left>
      <right style="thin">
        <color rgb="FFEAD1DC"/>
      </right>
      <top style="thin">
        <color rgb="FFEAD1DC"/>
      </top>
      <bottom style="thin">
        <color rgb="FFEAD1DC"/>
      </bottom>
    </border>
    <border>
      <left style="thin">
        <color rgb="FFFFFFFF"/>
      </left>
      <right style="thin">
        <color rgb="FF4A535C"/>
      </right>
      <top style="thin">
        <color rgb="FFFFFFFF"/>
      </top>
      <bottom style="thin">
        <color rgb="FFFFFFFF"/>
      </bottom>
    </border>
  </borders>
  <cellStyleXfs count="1">
    <xf borderId="0" fillId="0" fontId="0" numFmtId="0" applyAlignment="1" applyFont="1"/>
  </cellStyleXfs>
  <cellXfs count="66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readingOrder="0" vertical="bottom"/>
    </xf>
    <xf borderId="0" fillId="2" fontId="1" numFmtId="0" xfId="0" applyAlignment="1" applyFill="1" applyFont="1">
      <alignment horizontal="center" vertical="bottom"/>
    </xf>
    <xf borderId="0" fillId="2" fontId="2" numFmtId="0" xfId="0" applyAlignment="1" applyFill="1" applyFont="1">
      <alignment horizontal="center" readingOrder="0" vertical="bottom"/>
    </xf>
    <xf borderId="0" fillId="0" fontId="3" numFmtId="0" xfId="0" applyAlignment="1" applyFont="1">
      <alignment horizontal="center" vertical="bottom"/>
    </xf>
    <xf borderId="0" fillId="2" fontId="4" numFmtId="0" xfId="0" applyAlignment="1" applyFill="1" applyFont="1">
      <alignment vertical="bottom"/>
    </xf>
    <xf borderId="0" fillId="0" fontId="5" numFmtId="0" xfId="0" applyAlignment="1" applyFont="1">
      <alignment horizontal="center" readingOrder="0"/>
    </xf>
    <xf borderId="0" fillId="2" fontId="3" numFmtId="0" xfId="0" applyAlignment="1" applyFill="1" applyFont="1">
      <alignment horizontal="center" vertical="bottom"/>
    </xf>
    <xf borderId="0" fillId="2" fontId="6" numFmtId="0" xfId="0" applyAlignment="1" applyFill="1" applyFont="1">
      <alignment readingOrder="0" vertical="bottom"/>
    </xf>
    <xf borderId="0" fillId="2" fontId="7" numFmtId="0" xfId="0" applyAlignment="1" applyFill="1" applyFont="1">
      <alignment horizontal="center" readingOrder="0" vertical="bottom"/>
    </xf>
    <xf borderId="0" fillId="2" fontId="8" numFmtId="0" xfId="0" applyAlignment="1" applyFill="1" applyFont="1">
      <alignment vertical="bottom"/>
    </xf>
    <xf borderId="0" fillId="0" fontId="3" numFmtId="0" xfId="0" applyAlignment="1" applyFont="1">
      <alignment horizontal="center" readingOrder="0" vertical="bottom"/>
    </xf>
    <xf borderId="0" fillId="2" fontId="3" numFmtId="0" xfId="0" applyAlignment="1" applyFill="1" applyFont="1">
      <alignment vertical="bottom"/>
    </xf>
    <xf borderId="0" fillId="2" fontId="9" numFmtId="0" xfId="0" applyAlignment="1" applyFill="1" applyFont="1">
      <alignment horizontal="center" readingOrder="0" vertical="bottom"/>
    </xf>
    <xf borderId="0" fillId="2" fontId="9" numFmtId="0" xfId="0" applyAlignment="1" applyFill="1" applyFont="1">
      <alignment horizontal="center" vertical="bottom"/>
    </xf>
    <xf borderId="0" fillId="2" fontId="3" numFmtId="0" xfId="0" applyAlignment="1" applyFill="1" applyFont="1">
      <alignment readingOrder="0" vertical="bottom"/>
    </xf>
    <xf borderId="0" fillId="0" fontId="5" numFmtId="0" xfId="0" applyAlignment="1" applyFont="1">
      <alignment horizontal="center"/>
    </xf>
    <xf borderId="0" fillId="2" fontId="7" numFmtId="0" xfId="0" applyAlignment="1" applyFill="1" applyFont="1">
      <alignment horizontal="center" vertical="bottom"/>
    </xf>
    <xf borderId="0" fillId="2" fontId="7" numFmtId="0" xfId="0" applyAlignment="1" applyFill="1" applyFont="1">
      <alignment vertical="bottom"/>
    </xf>
    <xf borderId="0" fillId="2" fontId="3" numFmtId="0" xfId="0" applyAlignment="1" applyFill="1" applyFont="1">
      <alignment horizontal="center" readingOrder="0" vertical="bottom"/>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2" fontId="3" numFmtId="0" xfId="0" applyAlignment="1" applyFill="1" applyFont="1">
      <alignment vertical="bottom"/>
    </xf>
    <xf borderId="0" fillId="0" fontId="5" numFmtId="0" xfId="0" applyAlignment="1" applyFont="1">
      <alignment readingOrder="0" shrinkToFit="0" vertical="center" wrapText="0"/>
    </xf>
    <xf borderId="1" fillId="2" fontId="10" numFmtId="49" xfId="0" applyAlignment="1" applyBorder="1" applyFill="1" applyFont="1" applyNumberFormat="1">
      <alignment horizontal="center" shrinkToFit="0" vertical="center" wrapText="0"/>
    </xf>
    <xf borderId="0" fillId="2" fontId="10" numFmtId="0" xfId="0" applyAlignment="1" applyFill="1" applyFont="1">
      <alignment shrinkToFit="0" vertical="center" wrapText="0"/>
    </xf>
    <xf borderId="0" fillId="2" fontId="5" numFmtId="0" xfId="0" applyAlignment="1" applyFill="1" applyFont="1">
      <alignment readingOrder="0"/>
    </xf>
    <xf borderId="0" fillId="0" fontId="7" numFmtId="0" xfId="0" applyAlignment="1" applyFont="1">
      <alignment horizontal="center" readingOrder="0" vertical="bottom"/>
    </xf>
    <xf borderId="0" fillId="0" fontId="11" numFmtId="0" xfId="0" applyAlignment="1" applyFont="1">
      <alignment shrinkToFit="0" vertical="bottom" wrapText="0"/>
    </xf>
    <xf borderId="1" fillId="2" fontId="10" numFmtId="49" xfId="0" applyAlignment="1" applyBorder="1" applyFill="1" applyFont="1" applyNumberFormat="1">
      <alignment horizontal="center" shrinkToFit="0" vertical="bottom" wrapText="0"/>
    </xf>
    <xf borderId="0" fillId="2" fontId="10" numFmtId="0" xfId="0" applyAlignment="1" applyFill="1" applyFont="1">
      <alignment shrinkToFit="0" vertical="bottom" wrapText="0"/>
    </xf>
    <xf borderId="0" fillId="0" fontId="11" numFmtId="0" xfId="0" applyAlignment="1" applyFont="1">
      <alignment vertical="bottom"/>
    </xf>
    <xf borderId="0" fillId="2" fontId="7" numFmtId="0" xfId="0" applyAlignment="1" applyFill="1" applyFont="1">
      <alignment readingOrder="0" vertical="bottom"/>
    </xf>
    <xf borderId="1" fillId="2" fontId="12" numFmtId="49" xfId="0" applyAlignment="1" applyBorder="1" applyFill="1" applyFont="1" applyNumberFormat="1">
      <alignment horizontal="center" shrinkToFit="0" vertical="bottom" wrapText="0"/>
    </xf>
    <xf borderId="1" fillId="2" fontId="11" numFmtId="49" xfId="0" applyAlignment="1" applyBorder="1" applyFill="1" applyFont="1" applyNumberFormat="1">
      <alignment horizontal="center" shrinkToFit="0" vertical="bottom" wrapText="0"/>
    </xf>
    <xf borderId="0" fillId="2" fontId="11" numFmtId="0" xfId="0" applyAlignment="1" applyFill="1" applyFont="1">
      <alignment shrinkToFit="0" vertical="bottom" wrapText="0"/>
    </xf>
    <xf borderId="1" fillId="2" fontId="13" numFmtId="49" xfId="0" applyAlignment="1" applyBorder="1" applyFill="1" applyFont="1" applyNumberFormat="1">
      <alignment horizontal="center" shrinkToFit="0" vertical="bottom" wrapText="0"/>
    </xf>
    <xf borderId="0" fillId="2" fontId="13" numFmtId="0" xfId="0" applyAlignment="1" applyFill="1" applyFont="1">
      <alignment shrinkToFit="0" vertical="bottom" wrapText="0"/>
    </xf>
    <xf borderId="0" fillId="0" fontId="14" numFmtId="49" xfId="0" applyAlignment="1" applyFont="1" applyNumberFormat="1">
      <alignment horizontal="center" readingOrder="0" shrinkToFit="0" vertical="center" wrapText="0"/>
    </xf>
    <xf borderId="0" fillId="2" fontId="3" numFmtId="0" xfId="0" applyAlignment="1" applyFill="1" applyFont="1">
      <alignment readingOrder="0" vertical="bottom"/>
    </xf>
    <xf borderId="1" fillId="2" fontId="15" numFmtId="49" xfId="0" applyAlignment="1" applyBorder="1" applyFill="1" applyFont="1" applyNumberFormat="1">
      <alignment horizontal="center" shrinkToFit="0" vertical="bottom" wrapText="0"/>
    </xf>
    <xf borderId="0" fillId="2" fontId="15" numFmtId="0" xfId="0" applyAlignment="1" applyFill="1" applyFont="1">
      <alignment shrinkToFit="0" vertical="bottom" wrapText="0"/>
    </xf>
    <xf borderId="0" fillId="0" fontId="14" numFmtId="49" xfId="0" applyAlignment="1" applyFont="1" applyNumberFormat="1">
      <alignment horizontal="center" readingOrder="0" shrinkToFit="0" vertical="center" wrapText="0"/>
    </xf>
    <xf borderId="0" fillId="0" fontId="14" numFmtId="49" xfId="0" applyAlignment="1" applyFont="1" applyNumberFormat="1">
      <alignment horizontal="center" readingOrder="0" shrinkToFit="0" vertical="center" wrapText="0"/>
    </xf>
    <xf borderId="0" fillId="3" fontId="14" numFmtId="49" xfId="0" applyAlignment="1" applyFill="1" applyFont="1" applyNumberFormat="1">
      <alignment horizontal="center" readingOrder="0" shrinkToFit="0" vertical="center" wrapText="0"/>
    </xf>
    <xf borderId="0" fillId="0" fontId="7" numFmtId="164" xfId="0" applyAlignment="1" applyFont="1" applyNumberFormat="1">
      <alignment readingOrder="0" vertical="bottom"/>
    </xf>
    <xf borderId="0" fillId="0" fontId="16" numFmtId="0" xfId="0" applyAlignment="1" applyFont="1">
      <alignment horizontal="center" readingOrder="0" shrinkToFit="0" vertical="center" wrapText="0"/>
    </xf>
    <xf borderId="0" fillId="0" fontId="3" numFmtId="49" xfId="0" applyAlignment="1" applyFont="1" applyNumberFormat="1">
      <alignment horizontal="center" readingOrder="0" shrinkToFit="0" vertical="bottom" wrapText="0"/>
    </xf>
    <xf borderId="0" fillId="0" fontId="3" numFmtId="49" xfId="0" applyAlignment="1" applyFont="1" applyNumberFormat="1">
      <alignment horizontal="center" shrinkToFit="0" vertical="bottom" wrapText="0"/>
    </xf>
    <xf borderId="0" fillId="2" fontId="3" numFmtId="49" xfId="0" applyAlignment="1" applyFill="1" applyFont="1" applyNumberFormat="1">
      <alignment horizontal="center" shrinkToFit="0" vertical="bottom" wrapText="0"/>
    </xf>
    <xf borderId="0" fillId="2" fontId="3" numFmtId="49" xfId="0" applyAlignment="1" applyFill="1" applyFont="1" applyNumberFormat="1">
      <alignment horizontal="center" shrinkToFit="0" vertical="bottom" wrapText="0"/>
    </xf>
    <xf borderId="1" fillId="2" fontId="11" numFmtId="0" xfId="0" applyAlignment="1" applyBorder="1" applyFill="1" applyFont="1">
      <alignment horizontal="center" shrinkToFit="0" vertical="bottom" wrapText="0"/>
    </xf>
    <xf borderId="0" fillId="2" fontId="3" numFmtId="0" xfId="0" applyAlignment="1" applyFill="1" applyFont="1">
      <alignment horizontal="center" readingOrder="0" shrinkToFit="0" vertical="bottom" wrapText="0"/>
    </xf>
    <xf borderId="0" fillId="0" fontId="3" numFmtId="0" xfId="0" applyAlignment="1" applyFont="1">
      <alignment vertical="bottom"/>
    </xf>
    <xf borderId="0" fillId="0" fontId="7" numFmtId="0" xfId="0" applyAlignment="1" applyFont="1">
      <alignment vertical="bottom"/>
    </xf>
    <xf borderId="0" fillId="0" fontId="3" numFmtId="0" xfId="0" applyAlignment="1" applyFont="1">
      <alignment horizontal="center" shrinkToFit="0" vertical="bottom" wrapText="0"/>
    </xf>
    <xf borderId="0" fillId="0" fontId="3" numFmtId="49" xfId="0" applyAlignment="1" applyFont="1" applyNumberFormat="1">
      <alignment horizontal="center" readingOrder="0" shrinkToFit="0" vertical="bottom" wrapText="0"/>
    </xf>
    <xf borderId="0" fillId="0" fontId="3" numFmtId="0" xfId="0" applyAlignment="1" applyFont="1">
      <alignment horizontal="center" readingOrder="0" shrinkToFit="0" vertical="bottom" wrapText="0"/>
    </xf>
    <xf borderId="0" fillId="2" fontId="17" numFmtId="0" xfId="0" applyAlignment="1" applyFill="1" applyFont="1">
      <alignment vertical="bottom"/>
    </xf>
    <xf borderId="0" fillId="0" fontId="5" numFmtId="0" xfId="0" applyAlignment="1" applyFont="1">
      <alignment horizontal="center" readingOrder="0" shrinkToFit="0" vertical="center" wrapText="0"/>
    </xf>
    <xf borderId="0" fillId="0" fontId="11" numFmtId="0" xfId="0" applyAlignment="1" applyFont="1">
      <alignment readingOrder="0" shrinkToFit="0" vertical="bottom" wrapText="0"/>
    </xf>
    <xf borderId="0" fillId="2" fontId="10" numFmtId="0" xfId="0" applyAlignment="1" applyFill="1" applyFont="1">
      <alignment readingOrder="0" shrinkToFit="0" vertical="bottom" wrapText="0"/>
    </xf>
    <xf borderId="0" fillId="2" fontId="18" numFmtId="0" xfId="0" applyAlignment="1" applyFill="1" applyFont="1">
      <alignment vertical="bottom"/>
    </xf>
    <xf borderId="0" fillId="2" fontId="12" numFmtId="0" xfId="0" applyAlignment="1" applyFill="1" applyFont="1">
      <alignment readingOrder="0" shrinkToFit="0" vertical="bottom" wrapText="0"/>
    </xf>
    <xf borderId="0" fillId="0" fontId="16" numFmtId="49" xfId="0" applyAlignment="1" applyFont="1" applyNumberFormat="1">
      <alignment horizontal="center" readingOrder="0" shrinkToFit="0" vertical="center" wrapText="0"/>
    </xf>
    <xf borderId="0" fillId="2" fontId="16" numFmtId="0" xfId="0" applyAlignment="1" applyFill="1" applyFont="1">
      <alignment horizontal="center" shrinkToFit="0" vertical="center" wrapText="0"/>
    </xf>
    <xf borderId="0" fillId="2" fontId="16" numFmtId="0" xfId="0" applyAlignment="1" applyFill="1" applyFont="1">
      <alignment horizontal="center" readingOrder="0" shrinkToFit="0" vertical="center" wrapText="0"/>
    </xf>
    <xf borderId="0" fillId="2" fontId="16" numFmtId="0" xfId="0" applyAlignment="1" applyFill="1" applyFont="1">
      <alignment horizontal="center" shrinkToFit="0" vertical="center" wrapText="0"/>
    </xf>
    <xf borderId="1" fillId="2" fontId="19" numFmtId="49" xfId="0" applyAlignment="1" applyBorder="1" applyFill="1" applyFont="1" applyNumberFormat="1">
      <alignment horizontal="center" shrinkToFit="0" vertical="bottom" wrapText="0"/>
    </xf>
    <xf borderId="0" fillId="2" fontId="16" numFmtId="49" xfId="0" applyAlignment="1" applyFill="1" applyFont="1" applyNumberFormat="1">
      <alignment horizontal="center" readingOrder="0" shrinkToFit="0" vertical="center" wrapText="0"/>
    </xf>
    <xf borderId="0" fillId="2" fontId="16" numFmtId="0" xfId="0" applyAlignment="1" applyFill="1" applyFont="1">
      <alignment horizontal="center" readingOrder="0" shrinkToFit="0" vertical="center" wrapText="0"/>
    </xf>
    <xf borderId="0" fillId="2" fontId="10" numFmtId="49" xfId="0" applyAlignment="1" applyFill="1" applyFont="1" applyNumberFormat="1">
      <alignment horizontal="center" readingOrder="0" shrinkToFit="0" vertical="center" wrapText="0"/>
    </xf>
    <xf borderId="0" fillId="2" fontId="11" numFmtId="0" xfId="0" applyAlignment="1" applyFill="1" applyFont="1">
      <alignment readingOrder="0" shrinkToFit="0" vertical="bottom" wrapText="0"/>
    </xf>
    <xf borderId="1" fillId="2" fontId="20" numFmtId="49" xfId="0" applyAlignment="1" applyBorder="1" applyFill="1" applyFont="1" applyNumberFormat="1">
      <alignment horizontal="center" shrinkToFit="0" vertical="center" wrapText="0"/>
    </xf>
    <xf borderId="0" fillId="2" fontId="16" numFmtId="49" xfId="0" applyAlignment="1" applyFill="1" applyFont="1" applyNumberFormat="1">
      <alignment horizontal="center" readingOrder="0" shrinkToFit="0" vertical="center" wrapText="0"/>
    </xf>
    <xf borderId="1" fillId="2" fontId="12" numFmtId="49" xfId="0" applyAlignment="1" applyBorder="1" applyFill="1" applyFont="1" applyNumberFormat="1">
      <alignment horizontal="center" shrinkToFit="0" vertical="center" wrapText="0"/>
    </xf>
    <xf borderId="0" fillId="2" fontId="12" numFmtId="0" xfId="0" applyAlignment="1" applyFill="1" applyFont="1">
      <alignment readingOrder="0" shrinkToFit="0" vertical="center" wrapText="0"/>
    </xf>
    <xf borderId="0" fillId="2" fontId="10" numFmtId="49" xfId="0" applyAlignment="1" applyFill="1" applyFont="1" applyNumberFormat="1">
      <alignment horizontal="center" shrinkToFit="0" vertical="bottom" wrapText="0"/>
    </xf>
    <xf borderId="0" fillId="0" fontId="16" numFmtId="49" xfId="0" applyAlignment="1" applyFont="1" applyNumberFormat="1">
      <alignment horizontal="center" shrinkToFit="0" vertical="center" wrapText="0"/>
    </xf>
    <xf borderId="0" fillId="0" fontId="21" numFmtId="49" xfId="0" applyAlignment="1" applyFont="1" applyNumberFormat="1">
      <alignment horizontal="center" readingOrder="0" shrinkToFit="0" vertical="center" wrapText="0"/>
    </xf>
    <xf borderId="0" fillId="2" fontId="22" numFmtId="0" xfId="0" applyAlignment="1" applyFill="1" applyFont="1">
      <alignment horizontal="center" readingOrder="0" shrinkToFit="0" vertical="center" wrapText="0"/>
    </xf>
    <xf borderId="0" fillId="0" fontId="5" numFmtId="49" xfId="0" applyFont="1" applyNumberFormat="1"/>
    <xf borderId="0" fillId="0" fontId="5" numFmtId="0" xfId="0" applyFont="1"/>
    <xf borderId="0" fillId="0" fontId="23" numFmtId="0" xfId="0" applyAlignment="1" applyFont="1">
      <alignment horizontal="center" readingOrder="0" shrinkToFit="0" vertical="bottom" wrapText="0"/>
    </xf>
    <xf borderId="0" fillId="0" fontId="23" numFmtId="0" xfId="0" applyAlignment="1" applyFont="1">
      <alignment horizontal="center" vertical="bottom"/>
    </xf>
    <xf borderId="0" fillId="0" fontId="11" numFmtId="0" xfId="0" applyAlignment="1" applyFont="1">
      <alignment horizontal="center" readingOrder="0" shrinkToFit="0" vertical="bottom" wrapText="0"/>
    </xf>
    <xf borderId="0" fillId="0" fontId="11" numFmtId="165" xfId="0" applyAlignment="1" applyFont="1" applyNumberFormat="1">
      <alignment horizontal="center" readingOrder="0" shrinkToFit="0" vertical="bottom" wrapText="0"/>
    </xf>
    <xf borderId="0" fillId="0" fontId="11" numFmtId="49" xfId="0" applyAlignment="1" applyFont="1" applyNumberFormat="1">
      <alignment horizontal="center" readingOrder="0" shrinkToFit="0" vertical="bottom" wrapText="0"/>
    </xf>
    <xf borderId="0" fillId="0" fontId="11" numFmtId="0" xfId="0" applyAlignment="1" applyFont="1">
      <alignment readingOrder="0" vertical="bottom"/>
    </xf>
    <xf borderId="0" fillId="0" fontId="5" numFmtId="0" xfId="0" applyAlignment="1" applyFont="1">
      <alignment horizontal="center" readingOrder="0" shrinkToFit="0" vertical="center" wrapText="0"/>
    </xf>
    <xf borderId="0" fillId="0" fontId="5" numFmtId="0" xfId="0" applyAlignment="1" applyFont="1">
      <alignment horizontal="center" shrinkToFit="0" vertical="center" wrapText="0"/>
    </xf>
    <xf borderId="0" fillId="0" fontId="5" numFmtId="165" xfId="0" applyAlignment="1" applyFont="1" applyNumberFormat="1">
      <alignment horizontal="center" shrinkToFit="0" vertical="center" wrapText="0"/>
    </xf>
    <xf borderId="0" fillId="0" fontId="11" numFmtId="49" xfId="0" applyAlignment="1" applyFont="1" applyNumberFormat="1">
      <alignment horizontal="center" shrinkToFit="0" vertical="bottom" wrapText="0"/>
    </xf>
    <xf borderId="0" fillId="0" fontId="5" numFmtId="49" xfId="0" applyAlignment="1" applyFont="1" applyNumberFormat="1">
      <alignment horizontal="center" shrinkToFit="0" vertical="center" wrapText="0"/>
    </xf>
    <xf borderId="0" fillId="2" fontId="3" numFmtId="49" xfId="0" applyAlignment="1" applyFill="1" applyFont="1" applyNumberFormat="1">
      <alignment horizontal="center"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2" fontId="3" numFmtId="0" xfId="0" applyAlignment="1" applyFill="1" applyFont="1">
      <alignment horizontal="center" readingOrder="0" shrinkToFit="0" vertical="center" wrapText="0"/>
    </xf>
    <xf borderId="0" fillId="0" fontId="24" numFmtId="0" xfId="0" applyAlignment="1" applyFont="1">
      <alignment horizontal="center" readingOrder="0" vertical="bottom"/>
    </xf>
    <xf borderId="0" fillId="0" fontId="25" numFmtId="0" xfId="0" applyAlignment="1" applyFont="1">
      <alignment horizontal="center" readingOrder="0" vertical="bottom"/>
    </xf>
    <xf borderId="0" fillId="0" fontId="11" numFmtId="49" xfId="0" applyAlignment="1" applyFont="1" applyNumberFormat="1">
      <alignment vertical="bottom"/>
    </xf>
    <xf borderId="0" fillId="0" fontId="11" numFmtId="0" xfId="0" applyAlignment="1" applyFont="1">
      <alignment vertical="bottom"/>
    </xf>
    <xf borderId="0" fillId="0" fontId="11" numFmtId="164" xfId="0" applyAlignment="1" applyFont="1" applyNumberFormat="1">
      <alignment vertical="bottom"/>
    </xf>
    <xf borderId="0" fillId="0" fontId="11" numFmtId="10" xfId="0" applyAlignment="1" applyFont="1" applyNumberFormat="1">
      <alignment vertical="bottom"/>
    </xf>
    <xf borderId="0" fillId="0" fontId="5" numFmtId="0" xfId="0" applyAlignment="1" applyFont="1">
      <alignment horizontal="center" vertical="center"/>
    </xf>
    <xf borderId="0" fillId="0" fontId="24" numFmtId="0" xfId="0" applyAlignment="1" applyFont="1">
      <alignment horizontal="center" vertical="bottom"/>
    </xf>
    <xf borderId="0" fillId="2" fontId="26" numFmtId="0" xfId="0" applyAlignment="1" applyFill="1" applyFont="1">
      <alignment horizontal="center" vertical="center"/>
    </xf>
    <xf borderId="0" fillId="0" fontId="24" numFmtId="49" xfId="0" applyAlignment="1" applyFont="1" applyNumberFormat="1">
      <alignment horizontal="center" vertical="bottom"/>
    </xf>
    <xf borderId="0" fillId="0" fontId="14" numFmtId="0" xfId="0" applyAlignment="1" applyFont="1">
      <alignment horizontal="center" readingOrder="0" vertical="bottom"/>
    </xf>
    <xf borderId="0" fillId="0" fontId="27" numFmtId="0" xfId="0" applyAlignment="1" applyFont="1">
      <alignment horizontal="center" readingOrder="0" vertical="center"/>
    </xf>
    <xf borderId="0" fillId="0" fontId="28" numFmtId="0" xfId="0" applyAlignment="1" applyFont="1">
      <alignment horizontal="center" readingOrder="0" vertical="center"/>
    </xf>
    <xf borderId="0" fillId="0" fontId="29" numFmtId="0" xfId="0" applyAlignment="1" applyFont="1">
      <alignment horizontal="center" vertical="center"/>
    </xf>
    <xf borderId="0" fillId="0" fontId="30" numFmtId="0" xfId="0" applyAlignment="1" applyFont="1">
      <alignment horizontal="center" readingOrder="0"/>
    </xf>
    <xf borderId="0" fillId="4" fontId="30" numFmtId="0" xfId="0" applyAlignment="1" applyFill="1" applyFont="1">
      <alignment horizontal="center" readingOrder="0"/>
    </xf>
    <xf borderId="0" fillId="0" fontId="11" numFmtId="0" xfId="0" applyAlignment="1" applyFont="1">
      <alignment vertical="center"/>
    </xf>
    <xf borderId="0" fillId="0" fontId="31" numFmtId="0" xfId="0" applyAlignment="1" applyFont="1">
      <alignment horizontal="center" vertical="center"/>
    </xf>
    <xf borderId="0" fillId="0" fontId="32" numFmtId="0" xfId="0" applyAlignment="1" applyFont="1">
      <alignment horizontal="center" vertical="center"/>
    </xf>
    <xf borderId="0" fillId="0" fontId="33" numFmtId="0" xfId="0" applyAlignment="1" applyFont="1">
      <alignment horizontal="center" vertical="center"/>
    </xf>
    <xf borderId="0" fillId="0" fontId="34" numFmtId="0" xfId="0" applyAlignment="1" applyFont="1">
      <alignment horizontal="center" vertical="center"/>
    </xf>
    <xf borderId="0" fillId="0" fontId="35" numFmtId="0" xfId="0" applyAlignment="1" applyFont="1">
      <alignment horizontal="center" readingOrder="0"/>
    </xf>
    <xf borderId="0" fillId="0" fontId="36" numFmtId="0" xfId="0" applyAlignment="1" applyFont="1">
      <alignment horizontal="center" vertical="center"/>
    </xf>
    <xf borderId="0" fillId="0" fontId="30" numFmtId="49" xfId="0" applyAlignment="1" applyFont="1" applyNumberFormat="1">
      <alignment horizontal="center" readingOrder="0"/>
    </xf>
    <xf quotePrefix="1" borderId="0" fillId="0" fontId="30" numFmtId="0" xfId="0" applyAlignment="1" applyFont="1">
      <alignment horizontal="center" readingOrder="0"/>
    </xf>
    <xf borderId="0" fillId="0" fontId="30" numFmtId="166" xfId="0" applyAlignment="1" applyFont="1" applyNumberFormat="1">
      <alignment horizontal="center" readingOrder="0"/>
    </xf>
    <xf borderId="0" fillId="0" fontId="37" numFmtId="0" xfId="0" applyAlignment="1" applyFont="1">
      <alignment horizontal="center" vertical="center"/>
    </xf>
    <xf borderId="0" fillId="0" fontId="38" numFmtId="0" xfId="0" applyAlignment="1" applyFont="1">
      <alignment horizontal="center" vertical="center"/>
    </xf>
    <xf borderId="0" fillId="2" fontId="30" numFmtId="0" xfId="0" applyAlignment="1" applyFill="1" applyFont="1">
      <alignment horizontal="center" readingOrder="0"/>
    </xf>
    <xf borderId="0" fillId="0" fontId="30" numFmtId="0" xfId="0" applyAlignment="1" applyFont="1">
      <alignment horizontal="center"/>
    </xf>
    <xf borderId="0" fillId="2" fontId="39" numFmtId="0" xfId="0" applyAlignment="1" applyFill="1" applyFont="1">
      <alignment horizontal="center" readingOrder="0"/>
    </xf>
    <xf borderId="0" fillId="0" fontId="39" numFmtId="0" xfId="0" applyAlignment="1" applyFont="1">
      <alignment horizontal="center" readingOrder="0"/>
    </xf>
    <xf borderId="0" fillId="0" fontId="40" numFmtId="0" xfId="0" applyAlignment="1" applyFont="1">
      <alignment horizontal="center" readingOrder="0"/>
    </xf>
    <xf borderId="0" fillId="0" fontId="41" numFmtId="0" xfId="0" applyAlignment="1" applyFont="1">
      <alignment horizontal="center" readingOrder="0"/>
    </xf>
    <xf borderId="0" fillId="0" fontId="39" numFmtId="49" xfId="0" applyAlignment="1" applyFont="1" applyNumberFormat="1">
      <alignment horizontal="center" readingOrder="0"/>
    </xf>
    <xf borderId="0" fillId="0" fontId="39" numFmtId="166" xfId="0" applyAlignment="1" applyFont="1" applyNumberFormat="1">
      <alignment horizontal="center" readingOrder="0"/>
    </xf>
    <xf borderId="0" fillId="0" fontId="42" numFmtId="49" xfId="0" applyAlignment="1" applyFont="1" applyNumberFormat="1">
      <alignment horizontal="center" vertical="center"/>
    </xf>
    <xf borderId="0" fillId="0" fontId="39" numFmtId="0" xfId="0" applyAlignment="1" applyFont="1">
      <alignment horizontal="center"/>
    </xf>
    <xf borderId="0" fillId="0" fontId="28" numFmtId="0" xfId="0" applyAlignment="1" applyFont="1">
      <alignment horizontal="center" readingOrder="0"/>
    </xf>
    <xf borderId="0" fillId="0" fontId="28" numFmtId="49" xfId="0" applyAlignment="1" applyFont="1" applyNumberFormat="1">
      <alignment horizontal="center" readingOrder="0"/>
    </xf>
    <xf borderId="0" fillId="0" fontId="28" numFmtId="166" xfId="0" applyAlignment="1" applyFont="1" applyNumberFormat="1">
      <alignment horizontal="center" readingOrder="0"/>
    </xf>
    <xf borderId="0" fillId="2" fontId="43" numFmtId="0" xfId="0" applyAlignment="1" applyFill="1" applyFont="1">
      <alignment horizontal="center" readingOrder="0" vertical="center"/>
    </xf>
    <xf borderId="0" fillId="0" fontId="28" numFmtId="0" xfId="0" applyAlignment="1" applyFont="1">
      <alignment horizontal="center"/>
    </xf>
    <xf borderId="0" fillId="2" fontId="44" numFmtId="0" xfId="0" applyAlignment="1" applyFill="1" applyFont="1">
      <alignment horizontal="center" readingOrder="0" vertical="center"/>
    </xf>
    <xf borderId="0" fillId="0" fontId="45" numFmtId="0" xfId="0" applyAlignment="1" applyFont="1">
      <alignment horizontal="center" readingOrder="0" vertical="center"/>
    </xf>
    <xf borderId="0" fillId="0" fontId="5" numFmtId="49" xfId="0" applyAlignment="1" applyFont="1" applyNumberFormat="1">
      <alignment horizontal="center" readingOrder="0"/>
    </xf>
    <xf borderId="0" fillId="0" fontId="16" numFmtId="0" xfId="0" applyAlignment="1" applyFont="1">
      <alignment horizontal="center" shrinkToFit="0" vertical="center" wrapText="0"/>
    </xf>
    <xf borderId="0" fillId="0" fontId="5" numFmtId="167" xfId="0" applyAlignment="1" applyFont="1" applyNumberFormat="1">
      <alignment horizontal="center" readingOrder="0"/>
    </xf>
    <xf borderId="0" fillId="2" fontId="42" numFmtId="0" xfId="0" applyAlignment="1" applyFill="1" applyFont="1">
      <alignment horizontal="center" vertical="center"/>
    </xf>
    <xf borderId="0" fillId="5" fontId="5" numFmtId="0" xfId="0" applyAlignment="1" applyFill="1" applyFont="1">
      <alignment horizontal="center" readingOrder="0"/>
    </xf>
    <xf borderId="0" fillId="0" fontId="46" numFmtId="0" xfId="0" applyAlignment="1" applyFont="1">
      <alignment horizontal="center" readingOrder="0" vertical="center"/>
    </xf>
    <xf borderId="0" fillId="0" fontId="28" numFmtId="168" xfId="0" applyAlignment="1" applyFont="1" applyNumberFormat="1">
      <alignment horizontal="center" readingOrder="0"/>
    </xf>
    <xf borderId="0" fillId="0" fontId="47" numFmtId="0" xfId="0" applyAlignment="1" applyFont="1">
      <alignment horizontal="center" readingOrder="0" vertical="center"/>
    </xf>
    <xf borderId="0" fillId="0" fontId="48" numFmtId="0" xfId="0" applyAlignment="1" applyFont="1">
      <alignment horizontal="center" readingOrder="0" vertical="center"/>
    </xf>
    <xf borderId="0" fillId="0" fontId="49" numFmtId="0" xfId="0" applyAlignment="1" applyFont="1">
      <alignment horizontal="center" readingOrder="0" vertical="center"/>
    </xf>
    <xf borderId="0" fillId="0" fontId="27" numFmtId="0" xfId="0" applyAlignment="1" applyFont="1">
      <alignment horizontal="center" readingOrder="0"/>
    </xf>
    <xf borderId="0" fillId="0" fontId="50" numFmtId="0" xfId="0" applyAlignment="1" applyFont="1">
      <alignment horizontal="center" readingOrder="0" vertical="center"/>
    </xf>
    <xf borderId="0" fillId="0" fontId="27" numFmtId="49" xfId="0" applyAlignment="1" applyFont="1" applyNumberFormat="1">
      <alignment horizontal="center" readingOrder="0"/>
    </xf>
    <xf borderId="0" fillId="0" fontId="27" numFmtId="166" xfId="0" applyAlignment="1" applyFont="1" applyNumberFormat="1">
      <alignment horizontal="center" readingOrder="0"/>
    </xf>
    <xf borderId="0" fillId="0" fontId="51" numFmtId="0" xfId="0" applyAlignment="1" applyFont="1">
      <alignment horizontal="center" readingOrder="0" vertical="center"/>
    </xf>
    <xf borderId="0" fillId="0" fontId="27" numFmtId="0" xfId="0" applyAlignment="1" applyFont="1">
      <alignment horizontal="center"/>
    </xf>
    <xf borderId="0" fillId="0" fontId="52" numFmtId="0" xfId="0" applyAlignment="1" applyFont="1">
      <alignment horizontal="center" readingOrder="0" vertical="center"/>
    </xf>
    <xf borderId="0" fillId="2" fontId="28" numFmtId="0" xfId="0" applyAlignment="1" applyFill="1" applyFont="1">
      <alignment horizontal="center" readingOrder="0"/>
    </xf>
    <xf borderId="0" fillId="0" fontId="53" numFmtId="0" xfId="0" applyAlignment="1" applyFont="1">
      <alignment horizontal="center" readingOrder="0" vertical="center"/>
    </xf>
    <xf borderId="0" fillId="0" fontId="54" numFmtId="0" xfId="0" applyAlignment="1" applyFont="1">
      <alignment horizontal="center" readingOrder="0" vertical="center"/>
    </xf>
    <xf borderId="0" fillId="0" fontId="42" numFmtId="0" xfId="0" applyAlignment="1" applyFont="1">
      <alignment horizontal="center" vertical="center"/>
    </xf>
    <xf borderId="0" fillId="2" fontId="5" numFmtId="0" xfId="0" applyAlignment="1" applyFill="1" applyFont="1">
      <alignment horizontal="center" shrinkToFit="0" vertical="center" wrapText="1"/>
    </xf>
    <xf borderId="0" fillId="2" fontId="5" numFmtId="49" xfId="0" applyAlignment="1" applyFill="1" applyFont="1" applyNumberFormat="1">
      <alignment horizontal="center" shrinkToFit="0" vertical="center" wrapText="1"/>
    </xf>
    <xf borderId="0" fillId="0" fontId="40" numFmtId="49" xfId="0" applyAlignment="1" applyFont="1" applyNumberFormat="1">
      <alignment horizontal="center" readingOrder="0"/>
    </xf>
    <xf borderId="0" fillId="0" fontId="40" numFmtId="166" xfId="0" applyAlignment="1" applyFont="1" applyNumberFormat="1">
      <alignment horizontal="center" readingOrder="0"/>
    </xf>
    <xf borderId="0" fillId="4" fontId="40" numFmtId="0" xfId="0" applyAlignment="1" applyFill="1" applyFont="1">
      <alignment horizontal="center" readingOrder="0"/>
    </xf>
    <xf borderId="0" fillId="0" fontId="40" numFmtId="0" xfId="0" applyAlignment="1" applyFont="1">
      <alignment horizontal="center"/>
    </xf>
    <xf borderId="0" fillId="2" fontId="11" numFmtId="0" xfId="0" applyAlignment="1" applyFill="1" applyFont="1">
      <alignment horizontal="center" vertical="bottom"/>
    </xf>
    <xf borderId="0" fillId="2" fontId="11" numFmtId="0" xfId="0" applyAlignment="1" applyFill="1" applyFont="1">
      <alignment horizontal="center" readingOrder="0" vertical="bottom"/>
    </xf>
    <xf borderId="0" fillId="2" fontId="27" numFmtId="0" xfId="0" applyAlignment="1" applyFill="1" applyFont="1">
      <alignment horizontal="center" shrinkToFit="0" vertical="center" wrapText="1"/>
    </xf>
    <xf borderId="0" fillId="2" fontId="11" numFmtId="49" xfId="0" applyAlignment="1" applyFill="1" applyFont="1" applyNumberFormat="1">
      <alignment horizontal="center" readingOrder="0" vertical="bottom"/>
    </xf>
    <xf borderId="0" fillId="2" fontId="11" numFmtId="166" xfId="0" applyAlignment="1" applyFill="1" applyFont="1" applyNumberFormat="1">
      <alignment horizontal="center" vertical="bottom"/>
    </xf>
    <xf borderId="0" fillId="2" fontId="28" numFmtId="0" xfId="0" applyAlignment="1" applyFill="1" applyFont="1">
      <alignment horizontal="center" readingOrder="0" shrinkToFit="0" vertical="center" wrapText="1"/>
    </xf>
    <xf borderId="0" fillId="2" fontId="11" numFmtId="0" xfId="0" applyAlignment="1" applyFill="1" applyFont="1">
      <alignment readingOrder="0" vertical="bottom"/>
    </xf>
    <xf borderId="0" fillId="2" fontId="29" numFmtId="0" xfId="0" applyAlignment="1" applyFill="1" applyFont="1">
      <alignment horizontal="center" shrinkToFit="0" vertical="center" wrapText="1"/>
    </xf>
    <xf borderId="0" fillId="2" fontId="5" numFmtId="0" xfId="0" applyAlignment="1" applyFill="1" applyFont="1">
      <alignment horizontal="center" readingOrder="0"/>
    </xf>
    <xf borderId="0" fillId="2" fontId="11" numFmtId="0" xfId="0" applyAlignment="1" applyFill="1" applyFont="1">
      <alignment horizontal="center" readingOrder="0" vertical="bottom"/>
    </xf>
    <xf borderId="0" fillId="2" fontId="11" numFmtId="0" xfId="0" applyAlignment="1" applyFill="1" applyFont="1">
      <alignment vertical="bottom"/>
    </xf>
    <xf borderId="0" fillId="0" fontId="55" numFmtId="0" xfId="0" applyAlignment="1" applyFont="1">
      <alignment horizontal="center" readingOrder="0"/>
    </xf>
    <xf borderId="0" fillId="2" fontId="56" numFmtId="0" xfId="0" applyAlignment="1" applyFill="1" applyFont="1">
      <alignment horizontal="center" shrinkToFit="0" vertical="center" wrapText="1"/>
    </xf>
    <xf borderId="0" fillId="2" fontId="57" numFmtId="0" xfId="0" applyAlignment="1" applyFill="1" applyFont="1">
      <alignment horizontal="center" readingOrder="0" vertical="bottom"/>
    </xf>
    <xf borderId="0" fillId="0" fontId="58" numFmtId="0" xfId="0" applyAlignment="1" applyFont="1">
      <alignment horizontal="center" readingOrder="0"/>
    </xf>
    <xf borderId="0" fillId="2" fontId="31" numFmtId="0" xfId="0" applyAlignment="1" applyFill="1" applyFont="1">
      <alignment horizontal="center" readingOrder="0" shrinkToFit="0" vertical="center" wrapText="1"/>
    </xf>
    <xf borderId="0" fillId="2" fontId="59" numFmtId="0" xfId="0" applyAlignment="1" applyFill="1" applyFont="1">
      <alignment horizontal="center" readingOrder="0" vertical="bottom"/>
    </xf>
    <xf borderId="0" fillId="0" fontId="58" numFmtId="49" xfId="0" applyAlignment="1" applyFont="1" applyNumberFormat="1">
      <alignment horizontal="center" readingOrder="0"/>
    </xf>
    <xf borderId="0" fillId="0" fontId="58" numFmtId="166" xfId="0" applyAlignment="1" applyFont="1" applyNumberFormat="1">
      <alignment horizontal="center" readingOrder="0"/>
    </xf>
    <xf borderId="0" fillId="2" fontId="27" numFmtId="0" xfId="0" applyAlignment="1" applyFill="1" applyFont="1">
      <alignment horizontal="center" readingOrder="0" shrinkToFit="0" vertical="center" wrapText="1"/>
    </xf>
    <xf borderId="0" fillId="2" fontId="58" numFmtId="0" xfId="0" applyAlignment="1" applyFill="1" applyFont="1">
      <alignment horizontal="center" readingOrder="0"/>
    </xf>
    <xf borderId="0" fillId="2" fontId="56" numFmtId="0" xfId="0" applyAlignment="1" applyFill="1" applyFont="1">
      <alignment horizontal="center" readingOrder="0" shrinkToFit="0" vertical="center" wrapText="1"/>
    </xf>
    <xf borderId="0" fillId="0" fontId="58" numFmtId="0" xfId="0" applyAlignment="1" applyFont="1">
      <alignment horizontal="center"/>
    </xf>
    <xf borderId="0" fillId="2" fontId="32" numFmtId="0" xfId="0" applyAlignment="1" applyFill="1" applyFont="1">
      <alignment horizontal="center" readingOrder="0" shrinkToFit="0" vertical="center" wrapText="1"/>
    </xf>
    <xf borderId="0" fillId="2" fontId="33" numFmtId="0" xfId="0" applyAlignment="1" applyFill="1" applyFont="1">
      <alignment horizontal="center" shrinkToFit="0" vertical="center" wrapText="1"/>
    </xf>
    <xf borderId="0" fillId="2" fontId="56" numFmtId="0" xfId="0" applyAlignment="1" applyFill="1" applyFont="1">
      <alignment horizontal="center" readingOrder="0" vertical="bottom"/>
    </xf>
    <xf borderId="0" fillId="2" fontId="34" numFmtId="0" xfId="0" applyAlignment="1" applyFill="1" applyFont="1">
      <alignment horizontal="center" shrinkToFit="0" vertical="center" wrapText="1"/>
    </xf>
    <xf borderId="0" fillId="2" fontId="28" numFmtId="49" xfId="0" applyAlignment="1" applyFill="1" applyFont="1" applyNumberFormat="1">
      <alignment horizontal="center" readingOrder="0"/>
    </xf>
    <xf borderId="0" fillId="2" fontId="28" numFmtId="166" xfId="0" applyAlignment="1" applyFill="1" applyFont="1" applyNumberFormat="1">
      <alignment horizontal="center" readingOrder="0"/>
    </xf>
    <xf borderId="0" fillId="2" fontId="36" numFmtId="0" xfId="0" applyAlignment="1" applyFill="1" applyFont="1">
      <alignment horizontal="center" shrinkToFit="0" vertical="center" wrapText="1"/>
    </xf>
    <xf borderId="0" fillId="2" fontId="28" numFmtId="0" xfId="0" applyAlignment="1" applyFill="1" applyFont="1">
      <alignment horizontal="center"/>
    </xf>
    <xf borderId="0" fillId="2" fontId="37" numFmtId="0" xfId="0" applyAlignment="1" applyFill="1" applyFont="1">
      <alignment horizontal="center" shrinkToFit="0" vertical="center" wrapText="1"/>
    </xf>
    <xf borderId="0" fillId="2" fontId="40" numFmtId="0" xfId="0" applyAlignment="1" applyFill="1" applyFont="1">
      <alignment horizontal="center" readingOrder="0"/>
    </xf>
    <xf borderId="0" fillId="2" fontId="38" numFmtId="0" xfId="0" applyAlignment="1" applyFill="1" applyFont="1">
      <alignment horizontal="center" shrinkToFit="0" vertical="center" wrapText="1"/>
    </xf>
    <xf borderId="0" fillId="2" fontId="39" numFmtId="49" xfId="0" applyAlignment="1" applyFill="1" applyFont="1" applyNumberFormat="1">
      <alignment horizontal="center" readingOrder="0"/>
    </xf>
    <xf borderId="0" fillId="2" fontId="40" numFmtId="166" xfId="0" applyAlignment="1" applyFill="1" applyFont="1" applyNumberFormat="1">
      <alignment horizontal="center" readingOrder="0"/>
    </xf>
    <xf borderId="0" fillId="0" fontId="5" numFmtId="0" xfId="0" applyAlignment="1" applyFont="1">
      <alignment horizontal="center" shrinkToFit="0" vertical="center" wrapText="1"/>
    </xf>
    <xf borderId="0" fillId="2" fontId="40" numFmtId="0" xfId="0" applyAlignment="1" applyFill="1" applyFont="1">
      <alignment horizontal="center"/>
    </xf>
    <xf borderId="0" fillId="0" fontId="5" numFmtId="49" xfId="0" applyAlignment="1" applyFont="1" applyNumberFormat="1">
      <alignment horizontal="center" shrinkToFit="0" vertical="center" wrapText="1"/>
    </xf>
    <xf borderId="0" fillId="0" fontId="27" numFmtId="0" xfId="0" applyAlignment="1" applyFont="1">
      <alignment horizontal="center" readingOrder="0" shrinkToFit="0" vertical="center" wrapText="1"/>
    </xf>
    <xf borderId="0" fillId="2" fontId="60" numFmtId="0" xfId="0" applyAlignment="1" applyFill="1" applyFont="1">
      <alignment horizontal="center" readingOrder="0" vertical="bottom"/>
    </xf>
    <xf borderId="0" fillId="0" fontId="28"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56" numFmtId="0" xfId="0" applyAlignment="1" applyFont="1">
      <alignment horizontal="center" readingOrder="0" shrinkToFit="0" vertical="center" wrapText="1"/>
    </xf>
    <xf borderId="0" fillId="0" fontId="56" numFmtId="0" xfId="0" applyAlignment="1" applyFont="1">
      <alignment horizontal="center" shrinkToFit="0" vertical="center" wrapText="1"/>
    </xf>
    <xf borderId="0" fillId="0" fontId="31"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0" fontId="32" numFmtId="0" xfId="0" applyAlignment="1" applyFont="1">
      <alignment horizontal="center" shrinkToFit="0" vertical="center" wrapText="1"/>
    </xf>
    <xf borderId="0" fillId="0" fontId="33" numFmtId="0" xfId="0" applyAlignment="1" applyFont="1">
      <alignment horizontal="center" shrinkToFit="0" vertical="center" wrapText="1"/>
    </xf>
    <xf borderId="0" fillId="0" fontId="34" numFmtId="0" xfId="0" applyAlignment="1" applyFont="1">
      <alignment horizontal="center" readingOrder="0" shrinkToFit="0" vertical="center" wrapText="1"/>
    </xf>
    <xf borderId="0" fillId="0" fontId="36" numFmtId="0" xfId="0" applyAlignment="1" applyFont="1">
      <alignment horizontal="center" shrinkToFit="0" vertical="center" wrapText="1"/>
    </xf>
    <xf borderId="0" fillId="0" fontId="37" numFmtId="0" xfId="0" applyAlignment="1" applyFont="1">
      <alignment horizontal="center" shrinkToFit="0" vertical="center" wrapText="1"/>
    </xf>
    <xf borderId="0" fillId="0" fontId="28" numFmtId="0" xfId="0" applyAlignment="1" applyFont="1">
      <alignment horizontal="left" readingOrder="0"/>
    </xf>
    <xf borderId="0" fillId="0" fontId="38" numFmtId="0" xfId="0" applyAlignment="1" applyFont="1">
      <alignment horizontal="center" shrinkToFit="0" vertical="center" wrapText="1"/>
    </xf>
    <xf borderId="0" fillId="2" fontId="28" numFmtId="0" xfId="0" applyAlignment="1" applyFill="1" applyFont="1">
      <alignment horizontal="center" shrinkToFit="0" vertical="center" wrapText="1"/>
    </xf>
    <xf borderId="0" fillId="2" fontId="56" numFmtId="0" xfId="0" applyAlignment="1" applyFill="1" applyFont="1">
      <alignment horizontal="center" shrinkToFit="0" vertical="center" wrapText="1"/>
    </xf>
    <xf borderId="0" fillId="2" fontId="31" numFmtId="0" xfId="0" applyAlignment="1" applyFill="1" applyFont="1">
      <alignment horizontal="center" shrinkToFit="0" vertical="center" wrapText="1"/>
    </xf>
    <xf borderId="0" fillId="2" fontId="32" numFmtId="0" xfId="0" applyAlignment="1" applyFill="1" applyFont="1">
      <alignment horizontal="center" shrinkToFit="0" vertical="center" wrapText="1"/>
    </xf>
    <xf borderId="0" fillId="0" fontId="28" numFmtId="0" xfId="0" applyAlignment="1" applyFont="1">
      <alignment horizontal="center" shrinkToFit="0" vertical="center" wrapText="1"/>
    </xf>
    <xf borderId="0" fillId="0" fontId="31" numFmtId="0" xfId="0" applyAlignment="1" applyFont="1">
      <alignment horizontal="center" shrinkToFit="0" vertical="center" wrapText="1"/>
    </xf>
    <xf borderId="0" fillId="2" fontId="61" numFmtId="0" xfId="0" applyAlignment="1" applyFill="1" applyFont="1">
      <alignment horizontal="center" readingOrder="0"/>
    </xf>
    <xf borderId="0" fillId="0" fontId="34" numFmtId="0" xfId="0" applyAlignment="1" applyFont="1">
      <alignment horizontal="center" shrinkToFit="0" vertical="center" wrapText="1"/>
    </xf>
    <xf borderId="0" fillId="2" fontId="27" numFmtId="0" xfId="0" applyAlignment="1" applyFill="1" applyFont="1">
      <alignment horizontal="center" readingOrder="0"/>
    </xf>
    <xf borderId="0" fillId="0" fontId="27" numFmtId="168" xfId="0" applyAlignment="1" applyFont="1" applyNumberFormat="1">
      <alignment horizontal="center" readingOrder="0"/>
    </xf>
    <xf borderId="0" fillId="0" fontId="5" numFmtId="166" xfId="0" applyAlignment="1" applyFont="1" applyNumberFormat="1">
      <alignment horizontal="center" readingOrder="0"/>
    </xf>
    <xf borderId="0" fillId="6" fontId="5" numFmtId="0" xfId="0" applyAlignment="1" applyFill="1" applyFont="1">
      <alignment horizontal="center" readingOrder="0"/>
    </xf>
    <xf borderId="0" fillId="0" fontId="62" numFmtId="49" xfId="0" applyAlignment="1" applyFont="1" applyNumberFormat="1">
      <alignment horizontal="center" shrinkToFit="0" vertical="center" wrapText="1"/>
    </xf>
    <xf borderId="0" fillId="0" fontId="29" numFmtId="0" xfId="0" applyAlignment="1" applyFont="1">
      <alignment horizontal="center" shrinkToFit="0" vertical="center" wrapText="1"/>
    </xf>
    <xf borderId="0" fillId="0" fontId="16" numFmtId="49" xfId="0" applyAlignment="1" applyFont="1" applyNumberFormat="1">
      <alignment horizontal="center" readingOrder="0" shrinkToFit="0" vertical="center" wrapText="0"/>
    </xf>
    <xf borderId="0" fillId="4" fontId="28" numFmtId="0" xfId="0" applyAlignment="1" applyFill="1" applyFont="1">
      <alignment horizontal="center" readingOrder="0"/>
    </xf>
    <xf borderId="0" fillId="2" fontId="40" numFmtId="49" xfId="0" applyAlignment="1" applyFill="1" applyFont="1" applyNumberFormat="1">
      <alignment horizontal="center" readingOrder="0"/>
    </xf>
    <xf borderId="0" fillId="2" fontId="56" numFmtId="0" xfId="0" applyAlignment="1" applyFill="1" applyFont="1">
      <alignment horizontal="left" readingOrder="0"/>
    </xf>
    <xf borderId="0" fillId="0" fontId="11" numFmtId="0" xfId="0" applyAlignment="1" applyFont="1">
      <alignment horizontal="center" readingOrder="0"/>
    </xf>
    <xf borderId="0" fillId="0" fontId="5" numFmtId="169" xfId="0" applyAlignment="1" applyFont="1" applyNumberFormat="1">
      <alignment horizontal="center" readingOrder="0"/>
    </xf>
    <xf borderId="0" fillId="7" fontId="5" numFmtId="0" xfId="0" applyAlignment="1" applyFill="1" applyFont="1">
      <alignment horizontal="center" readingOrder="0"/>
    </xf>
    <xf borderId="0" fillId="0" fontId="31" numFmtId="0" xfId="0" applyAlignment="1" applyFont="1">
      <alignment horizontal="center" readingOrder="0"/>
    </xf>
    <xf borderId="0" fillId="2" fontId="31" numFmtId="0" xfId="0" applyAlignment="1" applyFill="1" applyFont="1">
      <alignment horizontal="center" readingOrder="0"/>
    </xf>
    <xf borderId="0" fillId="0" fontId="31" numFmtId="49" xfId="0" applyAlignment="1" applyFont="1" applyNumberFormat="1">
      <alignment horizontal="center" readingOrder="0"/>
    </xf>
    <xf borderId="0" fillId="0" fontId="31" numFmtId="169" xfId="0" applyAlignment="1" applyFont="1" applyNumberFormat="1">
      <alignment horizontal="center" readingOrder="0"/>
    </xf>
    <xf borderId="0" fillId="8" fontId="31" numFmtId="0" xfId="0" applyAlignment="1" applyFill="1" applyFont="1">
      <alignment horizontal="center" readingOrder="0"/>
    </xf>
    <xf borderId="0" fillId="0" fontId="31" numFmtId="0" xfId="0" applyAlignment="1" applyFont="1">
      <alignment horizontal="center"/>
    </xf>
    <xf borderId="0" fillId="9" fontId="5" numFmtId="0" xfId="0" applyAlignment="1" applyFill="1" applyFont="1">
      <alignment horizontal="center" readingOrder="0"/>
    </xf>
    <xf borderId="0" fillId="4" fontId="5" numFmtId="0" xfId="0" applyAlignment="1" applyFill="1" applyFont="1">
      <alignment horizontal="center" readingOrder="0"/>
    </xf>
    <xf borderId="0" fillId="8" fontId="58" numFmtId="0" xfId="0" applyAlignment="1" applyFill="1" applyFont="1">
      <alignment horizontal="center" readingOrder="0"/>
    </xf>
    <xf borderId="0" fillId="10" fontId="30" numFmtId="0" xfId="0" applyAlignment="1" applyFill="1" applyFont="1">
      <alignment horizontal="center"/>
    </xf>
    <xf borderId="0" fillId="0" fontId="37" numFmtId="0" xfId="0" applyAlignment="1" applyFont="1">
      <alignment horizontal="center" readingOrder="0" shrinkToFit="0" vertical="center" wrapText="1"/>
    </xf>
    <xf borderId="0" fillId="0" fontId="63" numFmtId="0" xfId="0" applyAlignment="1" applyFont="1">
      <alignment horizontal="center" readingOrder="0"/>
    </xf>
    <xf borderId="0" fillId="0" fontId="5" numFmtId="0" xfId="0" applyAlignment="1" applyFont="1">
      <alignment horizontal="center" readingOrder="0" shrinkToFit="0" vertical="center" wrapText="1"/>
    </xf>
    <xf borderId="0" fillId="2" fontId="63" numFmtId="0" xfId="0" applyAlignment="1" applyFill="1" applyFont="1">
      <alignment horizontal="center" readingOrder="0"/>
    </xf>
    <xf borderId="0" fillId="0" fontId="38" numFmtId="0" xfId="0" applyAlignment="1" applyFont="1">
      <alignment horizontal="center" readingOrder="0" shrinkToFit="0" vertical="center" wrapText="1"/>
    </xf>
    <xf borderId="0" fillId="0" fontId="63" numFmtId="49" xfId="0" applyAlignment="1" applyFont="1" applyNumberFormat="1">
      <alignment horizontal="center" readingOrder="0"/>
    </xf>
    <xf borderId="0" fillId="0" fontId="63" numFmtId="166" xfId="0" applyAlignment="1" applyFont="1" applyNumberFormat="1">
      <alignment horizontal="center" readingOrder="0"/>
    </xf>
    <xf borderId="0" fillId="8" fontId="63" numFmtId="0" xfId="0" applyAlignment="1" applyFill="1" applyFont="1">
      <alignment horizontal="center" readingOrder="0"/>
    </xf>
    <xf borderId="0" fillId="7" fontId="63" numFmtId="0" xfId="0" applyAlignment="1" applyFill="1" applyFont="1">
      <alignment horizontal="center" readingOrder="0"/>
    </xf>
    <xf borderId="0" fillId="10" fontId="63" numFmtId="0" xfId="0" applyAlignment="1" applyFill="1" applyFont="1">
      <alignment horizontal="center"/>
    </xf>
    <xf borderId="0" fillId="0" fontId="63" numFmtId="0" xfId="0" applyAlignment="1" applyFont="1">
      <alignment horizontal="center"/>
    </xf>
    <xf borderId="0" fillId="11" fontId="5" numFmtId="49" xfId="0" applyAlignment="1" applyFill="1" applyFont="1" applyNumberFormat="1">
      <alignment horizontal="center" shrinkToFit="0" vertical="center" wrapText="1"/>
    </xf>
    <xf borderId="0" fillId="2" fontId="29" numFmtId="0" xfId="0" applyAlignment="1" applyFill="1" applyFont="1">
      <alignment horizontal="center" readingOrder="0" shrinkToFit="0" vertical="center" wrapText="1"/>
    </xf>
    <xf borderId="0" fillId="2" fontId="7" numFmtId="0" xfId="0" applyAlignment="1" applyFill="1" applyFont="1">
      <alignment horizontal="center" readingOrder="0"/>
    </xf>
    <xf borderId="0" fillId="2" fontId="38" numFmtId="0" xfId="0" applyAlignment="1" applyFill="1" applyFont="1">
      <alignment horizontal="center" readingOrder="0" shrinkToFit="0" vertical="center" wrapText="1"/>
    </xf>
    <xf borderId="0" fillId="2" fontId="57" numFmtId="0" xfId="0" applyAlignment="1" applyFill="1" applyFont="1">
      <alignment horizontal="center" readingOrder="0"/>
    </xf>
    <xf borderId="0" fillId="0" fontId="16" numFmtId="0" xfId="0" applyAlignment="1" applyFont="1">
      <alignment horizontal="center" readingOrder="0"/>
    </xf>
    <xf borderId="0" fillId="8" fontId="5" numFmtId="0" xfId="0" applyAlignment="1" applyFill="1" applyFont="1">
      <alignment horizontal="center" readingOrder="0"/>
    </xf>
    <xf borderId="0" fillId="0" fontId="63" numFmtId="0" xfId="0" applyAlignment="1" applyFont="1">
      <alignment horizontal="left" readingOrder="0"/>
    </xf>
    <xf borderId="0" fillId="6" fontId="63" numFmtId="0" xfId="0" applyAlignment="1" applyFill="1" applyFont="1">
      <alignment horizontal="center" readingOrder="0"/>
    </xf>
    <xf borderId="0" fillId="0" fontId="64" numFmtId="0" xfId="0" applyAlignment="1" applyFont="1">
      <alignment horizontal="center" readingOrder="0"/>
    </xf>
    <xf borderId="0" fillId="0" fontId="31" numFmtId="0" xfId="0" applyAlignment="1" applyFont="1">
      <alignment horizontal="center" readingOrder="0"/>
    </xf>
    <xf borderId="0" fillId="0" fontId="31" numFmtId="166" xfId="0" applyAlignment="1" applyFont="1" applyNumberFormat="1">
      <alignment horizontal="center" readingOrder="0"/>
    </xf>
    <xf borderId="0" fillId="0" fontId="39" numFmtId="0" xfId="0" applyAlignment="1" applyFont="1">
      <alignment horizontal="center" readingOrder="0"/>
    </xf>
    <xf borderId="0" fillId="0" fontId="28" numFmtId="0" xfId="0" applyAlignment="1" applyFont="1">
      <alignment horizontal="center" readingOrder="0"/>
    </xf>
    <xf borderId="0" fillId="0" fontId="40" numFmtId="169" xfId="0" applyAlignment="1" applyFont="1" applyNumberFormat="1">
      <alignment horizontal="center" readingOrder="0"/>
    </xf>
    <xf borderId="0" fillId="4" fontId="30" numFmtId="0" xfId="0" applyAlignment="1" applyFill="1" applyFont="1">
      <alignment horizontal="center" readingOrder="0"/>
    </xf>
    <xf borderId="0" fillId="0" fontId="40" numFmtId="0" xfId="0" applyAlignment="1" applyFont="1">
      <alignment horizontal="center" readingOrder="0"/>
    </xf>
    <xf borderId="0" fillId="2" fontId="16" numFmtId="0" xfId="0" applyAlignment="1" applyFill="1" applyFont="1">
      <alignment horizontal="center" readingOrder="0" shrinkToFit="0" vertical="center" wrapText="0"/>
    </xf>
    <xf borderId="0" fillId="0" fontId="65" numFmtId="0" xfId="0" applyAlignment="1" applyFont="1">
      <alignment horizontal="center" readingOrder="0"/>
    </xf>
    <xf borderId="0" fillId="0" fontId="66" numFmtId="0" xfId="0" applyAlignment="1" applyFont="1">
      <alignment horizontal="center" readingOrder="0"/>
    </xf>
    <xf borderId="0" fillId="2" fontId="65" numFmtId="0" xfId="0" applyAlignment="1" applyFill="1" applyFont="1">
      <alignment horizontal="center" readingOrder="0"/>
    </xf>
    <xf borderId="0" fillId="0" fontId="66" numFmtId="0" xfId="0" applyAlignment="1" applyFont="1">
      <alignment horizontal="center" readingOrder="0"/>
    </xf>
    <xf borderId="0" fillId="0" fontId="65" numFmtId="49" xfId="0" applyAlignment="1" applyFont="1" applyNumberFormat="1">
      <alignment horizontal="center" readingOrder="0"/>
    </xf>
    <xf borderId="0" fillId="0" fontId="65" numFmtId="166" xfId="0" applyAlignment="1" applyFont="1" applyNumberFormat="1">
      <alignment horizontal="center" readingOrder="0"/>
    </xf>
    <xf borderId="0" fillId="8" fontId="66" numFmtId="0" xfId="0" applyAlignment="1" applyFill="1" applyFont="1">
      <alignment horizontal="center" readingOrder="0"/>
    </xf>
    <xf borderId="0" fillId="6" fontId="66" numFmtId="0" xfId="0" applyAlignment="1" applyFill="1" applyFont="1">
      <alignment horizontal="center" readingOrder="0"/>
    </xf>
    <xf borderId="0" fillId="2" fontId="67" numFmtId="0" xfId="0" applyAlignment="1" applyFill="1" applyFont="1">
      <alignment horizontal="center" readingOrder="0"/>
    </xf>
    <xf borderId="0" fillId="2" fontId="66" numFmtId="0" xfId="0" applyAlignment="1" applyFill="1" applyFont="1">
      <alignment horizontal="center" readingOrder="0"/>
    </xf>
    <xf borderId="0" fillId="0" fontId="65" numFmtId="0" xfId="0" applyAlignment="1" applyFont="1">
      <alignment horizontal="center"/>
    </xf>
    <xf borderId="0" fillId="0" fontId="16" numFmtId="0" xfId="0" applyAlignment="1" applyFont="1">
      <alignment horizontal="center" readingOrder="0"/>
    </xf>
    <xf borderId="0" fillId="2" fontId="16" numFmtId="0" xfId="0" applyAlignment="1" applyFill="1" applyFont="1">
      <alignment horizontal="center" readingOrder="0"/>
    </xf>
    <xf borderId="0" fillId="0" fontId="16" numFmtId="49" xfId="0" applyAlignment="1" applyFont="1" applyNumberFormat="1">
      <alignment horizontal="center" readingOrder="0"/>
    </xf>
    <xf borderId="0" fillId="0" fontId="16" numFmtId="166" xfId="0" applyAlignment="1" applyFont="1" applyNumberFormat="1">
      <alignment horizontal="center" readingOrder="0"/>
    </xf>
    <xf borderId="0" fillId="0" fontId="16" numFmtId="0" xfId="0" applyAlignment="1" applyFont="1">
      <alignment horizontal="center"/>
    </xf>
    <xf borderId="0" fillId="10" fontId="16" numFmtId="0" xfId="0" applyAlignment="1" applyFill="1" applyFont="1">
      <alignment horizontal="center"/>
    </xf>
    <xf borderId="0" fillId="2" fontId="16" numFmtId="49" xfId="0" applyAlignment="1" applyFill="1" applyFont="1" applyNumberFormat="1">
      <alignment horizontal="center" shrinkToFit="0" vertical="center" wrapText="0"/>
    </xf>
    <xf borderId="0" fillId="2" fontId="68" numFmtId="0" xfId="0" applyAlignment="1" applyFill="1" applyFont="1">
      <alignment horizontal="center" readingOrder="0"/>
    </xf>
    <xf borderId="0" fillId="2" fontId="3" numFmtId="49" xfId="0" applyAlignment="1" applyFill="1" applyFont="1" applyNumberFormat="1">
      <alignment horizontal="center" readingOrder="0" shrinkToFit="0" vertical="center" wrapText="0"/>
    </xf>
    <xf borderId="0" fillId="2" fontId="3" numFmtId="0" xfId="0" applyAlignment="1" applyFill="1" applyFont="1">
      <alignment horizontal="center" readingOrder="0" shrinkToFit="0" vertical="center" wrapText="0"/>
    </xf>
    <xf borderId="0" fillId="0" fontId="66" numFmtId="49" xfId="0" applyAlignment="1" applyFont="1" applyNumberFormat="1">
      <alignment horizontal="center" readingOrder="0"/>
    </xf>
    <xf borderId="0" fillId="0" fontId="66" numFmtId="169" xfId="0" applyAlignment="1" applyFont="1" applyNumberFormat="1">
      <alignment horizontal="center" readingOrder="0"/>
    </xf>
    <xf borderId="0" fillId="0" fontId="66" numFmtId="0" xfId="0" applyAlignment="1" applyFont="1">
      <alignment horizontal="center"/>
    </xf>
    <xf borderId="0" fillId="10" fontId="5" numFmtId="49" xfId="0" applyAlignment="1" applyFill="1" applyFont="1" applyNumberFormat="1">
      <alignment horizontal="center" shrinkToFit="0" vertical="center" wrapText="1"/>
    </xf>
    <xf borderId="0" fillId="2" fontId="3" numFmtId="0" xfId="0" applyAlignment="1" applyFill="1" applyFont="1">
      <alignment horizontal="center" readingOrder="0"/>
    </xf>
    <xf borderId="0" fillId="2" fontId="31" numFmtId="0" xfId="0" applyAlignment="1" applyFill="1" applyFont="1">
      <alignment horizontal="center" readingOrder="0" shrinkToFit="0" vertical="center" wrapText="1"/>
    </xf>
    <xf borderId="0" fillId="12" fontId="16" numFmtId="0" xfId="0" applyAlignment="1" applyFill="1" applyFont="1">
      <alignment horizontal="center" readingOrder="0"/>
    </xf>
    <xf borderId="0" fillId="0" fontId="31" numFmtId="170" xfId="0" applyAlignment="1" applyFont="1" applyNumberFormat="1">
      <alignment horizontal="center" readingOrder="0"/>
    </xf>
    <xf borderId="0" fillId="13" fontId="5" numFmtId="0" xfId="0" applyAlignment="1" applyFill="1" applyFont="1">
      <alignment horizontal="center" readingOrder="0"/>
    </xf>
    <xf borderId="0" fillId="2" fontId="31" numFmtId="0" xfId="0" applyAlignment="1" applyFill="1" applyFont="1">
      <alignment horizontal="center"/>
    </xf>
    <xf borderId="0" fillId="0" fontId="33" numFmtId="0" xfId="0" applyAlignment="1" applyFont="1">
      <alignment horizontal="center" readingOrder="0" shrinkToFit="0" vertical="center" wrapText="1"/>
    </xf>
    <xf borderId="0" fillId="2" fontId="69" numFmtId="0" xfId="0" applyAlignment="1" applyFill="1" applyFont="1">
      <alignment horizontal="center" readingOrder="0"/>
    </xf>
    <xf borderId="0" fillId="2" fontId="63" numFmtId="49" xfId="0" applyAlignment="1" applyFill="1" applyFont="1" applyNumberFormat="1">
      <alignment horizontal="center" readingOrder="0"/>
    </xf>
    <xf borderId="0" fillId="2" fontId="63" numFmtId="169" xfId="0" applyAlignment="1" applyFill="1" applyFont="1" applyNumberFormat="1">
      <alignment horizontal="center" readingOrder="0"/>
    </xf>
    <xf borderId="0" fillId="2" fontId="63" numFmtId="0" xfId="0" applyAlignment="1" applyFill="1" applyFont="1">
      <alignment horizontal="center"/>
    </xf>
    <xf borderId="0" fillId="0" fontId="29" numFmtId="170" xfId="0" applyAlignment="1" applyFont="1" applyNumberFormat="1">
      <alignment horizontal="center" readingOrder="0" shrinkToFit="0" vertical="center" wrapText="1"/>
    </xf>
    <xf borderId="0" fillId="2" fontId="5" numFmtId="49" xfId="0" applyAlignment="1" applyFill="1" applyFont="1" applyNumberFormat="1">
      <alignment horizontal="center" readingOrder="0"/>
    </xf>
    <xf borderId="0" fillId="2" fontId="5" numFmtId="166" xfId="0" applyAlignment="1" applyFill="1" applyFont="1" applyNumberFormat="1">
      <alignment horizontal="center" readingOrder="0"/>
    </xf>
    <xf borderId="0" fillId="2" fontId="5" numFmtId="0" xfId="0" applyAlignment="1" applyFill="1" applyFont="1">
      <alignment horizontal="center"/>
    </xf>
    <xf borderId="0" fillId="0" fontId="36" numFmtId="0" xfId="0" applyAlignment="1" applyFont="1">
      <alignment horizontal="center" readingOrder="0" shrinkToFit="0" vertical="center" wrapText="1"/>
    </xf>
    <xf borderId="0" fillId="14" fontId="5" numFmtId="0" xfId="0" applyAlignment="1" applyFill="1" applyFont="1">
      <alignment horizontal="center" readingOrder="0"/>
    </xf>
    <xf borderId="0" fillId="12" fontId="5" numFmtId="0" xfId="0" applyAlignment="1" applyFill="1" applyFont="1">
      <alignment horizontal="center" readingOrder="0"/>
    </xf>
    <xf borderId="0" fillId="2" fontId="3" numFmtId="0" xfId="0" applyAlignment="1" applyFill="1" applyFont="1">
      <alignment horizontal="center" readingOrder="0" shrinkToFit="0" wrapText="0"/>
    </xf>
    <xf borderId="0" fillId="15" fontId="70" numFmtId="0" xfId="0" applyAlignment="1" applyFill="1" applyFont="1">
      <alignment horizontal="center" readingOrder="0"/>
    </xf>
    <xf borderId="0" fillId="0" fontId="71" numFmtId="0" xfId="0" applyAlignment="1" applyFont="1">
      <alignment horizontal="center" readingOrder="0"/>
    </xf>
    <xf borderId="0" fillId="0" fontId="29" numFmtId="171" xfId="0" applyAlignment="1" applyFont="1" applyNumberFormat="1">
      <alignment horizontal="center" readingOrder="0" shrinkToFit="0" vertical="center" wrapText="1"/>
    </xf>
    <xf borderId="0" fillId="16" fontId="5" numFmtId="0" xfId="0" applyAlignment="1" applyFill="1" applyFont="1">
      <alignment horizontal="center" shrinkToFit="0" vertical="center" wrapText="1"/>
    </xf>
    <xf borderId="0" fillId="16" fontId="5" numFmtId="49" xfId="0" applyAlignment="1" applyFill="1" applyFont="1" applyNumberFormat="1">
      <alignment horizontal="center" shrinkToFit="0" vertical="center" wrapText="1"/>
    </xf>
    <xf borderId="0" fillId="16" fontId="27" numFmtId="0" xfId="0" applyAlignment="1" applyFill="1" applyFont="1">
      <alignment horizontal="center" readingOrder="0" shrinkToFit="0" vertical="center" wrapText="1"/>
    </xf>
    <xf borderId="0" fillId="16" fontId="28" numFmtId="0" xfId="0" applyAlignment="1" applyFill="1" applyFont="1">
      <alignment horizontal="center" readingOrder="0" shrinkToFit="0" vertical="center" wrapText="1"/>
    </xf>
    <xf borderId="0" fillId="16" fontId="29" numFmtId="0" xfId="0" applyAlignment="1" applyFill="1" applyFont="1">
      <alignment horizontal="center" readingOrder="0" shrinkToFit="0" vertical="center" wrapText="1"/>
    </xf>
    <xf borderId="0" fillId="16" fontId="27" numFmtId="0" xfId="0" applyAlignment="1" applyFill="1" applyFont="1">
      <alignment horizontal="center" shrinkToFit="0" vertical="center" wrapText="1"/>
    </xf>
    <xf borderId="0" fillId="16" fontId="56" numFmtId="0" xfId="0" applyAlignment="1" applyFill="1" applyFont="1">
      <alignment horizontal="center" shrinkToFit="0" vertical="center" wrapText="1"/>
    </xf>
    <xf borderId="0" fillId="16" fontId="29" numFmtId="0" xfId="0" applyAlignment="1" applyFill="1" applyFont="1">
      <alignment horizontal="center" shrinkToFit="0" vertical="center" wrapText="1"/>
    </xf>
    <xf borderId="0" fillId="16" fontId="56" numFmtId="0" xfId="0" applyAlignment="1" applyFill="1" applyFont="1">
      <alignment horizontal="center" readingOrder="0" shrinkToFit="0" vertical="center" wrapText="1"/>
    </xf>
    <xf borderId="0" fillId="16" fontId="31" numFmtId="0" xfId="0" applyAlignment="1" applyFill="1" applyFont="1">
      <alignment horizontal="center" readingOrder="0" shrinkToFit="0" vertical="center" wrapText="1"/>
    </xf>
    <xf borderId="0" fillId="16" fontId="32" numFmtId="0" xfId="0" applyAlignment="1" applyFill="1" applyFont="1">
      <alignment horizontal="center" shrinkToFit="0" vertical="center" wrapText="1"/>
    </xf>
    <xf borderId="0" fillId="16" fontId="33" numFmtId="0" xfId="0" applyAlignment="1" applyFill="1" applyFont="1">
      <alignment horizontal="center" shrinkToFit="0" vertical="center" wrapText="1"/>
    </xf>
    <xf borderId="0" fillId="16" fontId="34" numFmtId="0" xfId="0" applyAlignment="1" applyFill="1" applyFont="1">
      <alignment horizontal="center" shrinkToFit="0" vertical="center" wrapText="1"/>
    </xf>
    <xf borderId="0" fillId="16" fontId="36" numFmtId="0" xfId="0" applyAlignment="1" applyFill="1" applyFont="1">
      <alignment horizontal="center" shrinkToFit="0" vertical="center" wrapText="1"/>
    </xf>
    <xf borderId="0" fillId="16" fontId="37" numFmtId="0" xfId="0" applyAlignment="1" applyFill="1" applyFont="1">
      <alignment horizontal="center" shrinkToFit="0" vertical="center" wrapText="1"/>
    </xf>
    <xf borderId="0" fillId="16" fontId="38" numFmtId="0" xfId="0" applyAlignment="1" applyFill="1" applyFont="1">
      <alignment horizontal="center" shrinkToFit="0" vertical="center" wrapText="1"/>
    </xf>
    <xf borderId="0" fillId="17" fontId="5" numFmtId="0" xfId="0" applyAlignment="1" applyFill="1" applyFont="1">
      <alignment horizontal="center" readingOrder="0"/>
    </xf>
    <xf borderId="0" fillId="18" fontId="5" numFmtId="0" xfId="0" applyAlignment="1" applyFill="1" applyFont="1">
      <alignment horizontal="center" readingOrder="0"/>
    </xf>
    <xf borderId="0" fillId="2" fontId="72" numFmtId="0" xfId="0" applyAlignment="1" applyFill="1" applyFont="1">
      <alignment horizontal="center" readingOrder="0"/>
    </xf>
    <xf borderId="0" fillId="2" fontId="5" numFmtId="169" xfId="0" applyAlignment="1" applyFill="1" applyFont="1" applyNumberFormat="1">
      <alignment horizontal="center" readingOrder="0"/>
    </xf>
    <xf borderId="0" fillId="2" fontId="3" numFmtId="49" xfId="0" applyAlignment="1" applyFill="1" applyFont="1" applyNumberFormat="1">
      <alignment horizontal="center" readingOrder="0" shrinkToFit="0" vertical="bottom" wrapText="0"/>
    </xf>
    <xf borderId="0" fillId="0" fontId="16" numFmtId="0" xfId="0" applyAlignment="1" applyFont="1">
      <alignment horizontal="center" readingOrder="0" shrinkToFit="0" vertical="center" wrapText="0"/>
    </xf>
    <xf borderId="0" fillId="2" fontId="73" numFmtId="0" xfId="0" applyAlignment="1" applyFill="1" applyFont="1">
      <alignment horizontal="center" readingOrder="0"/>
    </xf>
    <xf borderId="0" fillId="0" fontId="16" numFmtId="0" xfId="0" applyAlignment="1" applyFont="1">
      <alignment horizontal="center" readingOrder="0" shrinkToFit="0" vertical="center" wrapText="0"/>
    </xf>
    <xf borderId="0" fillId="0" fontId="5" numFmtId="49" xfId="0" applyAlignment="1" applyFont="1" applyNumberFormat="1">
      <alignment horizontal="center"/>
    </xf>
    <xf borderId="0" fillId="0" fontId="74" numFmtId="0" xfId="0" applyAlignment="1" applyFont="1">
      <alignment horizontal="center" readingOrder="0"/>
    </xf>
    <xf borderId="0" fillId="2" fontId="75" numFmtId="0" xfId="0" applyAlignment="1" applyFill="1" applyFont="1">
      <alignment horizontal="center" readingOrder="0"/>
    </xf>
    <xf borderId="0" fillId="2" fontId="75" numFmtId="0" xfId="0" applyAlignment="1" applyFill="1" applyFont="1">
      <alignment horizontal="center"/>
    </xf>
    <xf borderId="0" fillId="2" fontId="75" numFmtId="49" xfId="0" applyAlignment="1" applyFill="1" applyFont="1" applyNumberFormat="1">
      <alignment horizontal="center" readingOrder="0"/>
    </xf>
    <xf borderId="0" fillId="2" fontId="75" numFmtId="166" xfId="0" applyAlignment="1" applyFill="1" applyFont="1" applyNumberFormat="1">
      <alignment horizontal="center" readingOrder="0"/>
    </xf>
    <xf borderId="0" fillId="0" fontId="11" numFmtId="0" xfId="0" applyAlignment="1" applyFont="1">
      <alignment horizontal="center" vertical="bottom"/>
    </xf>
    <xf borderId="0" fillId="0" fontId="11" numFmtId="49" xfId="0" applyAlignment="1" applyFont="1" applyNumberFormat="1">
      <alignment horizontal="center" vertical="bottom"/>
    </xf>
    <xf borderId="0" fillId="0" fontId="11" numFmtId="166" xfId="0" applyAlignment="1" applyFont="1" applyNumberFormat="1">
      <alignment horizontal="center" vertical="bottom"/>
    </xf>
    <xf borderId="0" fillId="0" fontId="11" numFmtId="0" xfId="0" applyAlignment="1" applyFont="1">
      <alignment horizontal="center" vertical="bottom"/>
    </xf>
    <xf borderId="0" fillId="0" fontId="11" numFmtId="0" xfId="0" applyAlignment="1" applyFont="1">
      <alignment horizontal="center" readingOrder="0" vertical="bottom"/>
    </xf>
    <xf borderId="0" fillId="0" fontId="75" numFmtId="0" xfId="0" applyAlignment="1" applyFont="1">
      <alignment horizontal="center" readingOrder="0"/>
    </xf>
    <xf borderId="0" fillId="0" fontId="76" numFmtId="0" xfId="0" applyAlignment="1" applyFont="1">
      <alignment horizontal="center" readingOrder="0"/>
    </xf>
    <xf borderId="0" fillId="2" fontId="11" numFmtId="49" xfId="0" applyAlignment="1" applyFill="1" applyFont="1" applyNumberFormat="1">
      <alignment horizontal="center" shrinkToFit="0" vertical="bottom" wrapText="0"/>
    </xf>
    <xf borderId="0" fillId="2" fontId="3" numFmtId="0" xfId="0" applyAlignment="1" applyFill="1" applyFont="1">
      <alignment horizontal="left" readingOrder="0"/>
    </xf>
    <xf borderId="0" fillId="2" fontId="11" numFmtId="49" xfId="0" applyAlignment="1" applyFill="1" applyFont="1" applyNumberFormat="1">
      <alignment shrinkToFit="0" vertical="bottom" wrapText="0"/>
    </xf>
    <xf borderId="0" fillId="0" fontId="11" numFmtId="0" xfId="0" applyAlignment="1" applyFont="1">
      <alignment horizontal="center" shrinkToFit="0" vertical="bottom" wrapText="0"/>
    </xf>
    <xf borderId="0" fillId="0" fontId="11" numFmtId="49" xfId="0" applyAlignment="1" applyFont="1" applyNumberFormat="1">
      <alignment horizontal="center" shrinkToFit="0" vertical="bottom" wrapText="0"/>
    </xf>
    <xf borderId="0" fillId="2" fontId="11" numFmtId="0" xfId="0" applyAlignment="1" applyFill="1" applyFont="1">
      <alignment horizontal="center" readingOrder="0" shrinkToFit="0" vertical="bottom" wrapText="0"/>
    </xf>
    <xf borderId="0" fillId="0" fontId="75" numFmtId="49" xfId="0" applyAlignment="1" applyFont="1" applyNumberFormat="1">
      <alignment horizontal="center" readingOrder="0"/>
    </xf>
    <xf borderId="0" fillId="0" fontId="11" numFmtId="0" xfId="0" applyAlignment="1" applyFont="1">
      <alignment shrinkToFit="0" vertical="bottom" wrapText="0"/>
    </xf>
    <xf borderId="0" fillId="0" fontId="75" numFmtId="166" xfId="0" applyAlignment="1" applyFont="1" applyNumberFormat="1">
      <alignment horizontal="center" readingOrder="0"/>
    </xf>
    <xf borderId="0" fillId="7" fontId="75" numFmtId="0" xfId="0" applyAlignment="1" applyFill="1" applyFont="1">
      <alignment horizontal="center" readingOrder="0"/>
    </xf>
    <xf borderId="0" fillId="0" fontId="75" numFmtId="0" xfId="0" applyAlignment="1" applyFont="1">
      <alignment horizontal="center"/>
    </xf>
    <xf borderId="0" fillId="19" fontId="5" numFmtId="0" xfId="0" applyAlignment="1" applyFill="1" applyFont="1">
      <alignment horizontal="center" readingOrder="0"/>
    </xf>
    <xf borderId="0" fillId="0" fontId="70" numFmtId="0" xfId="0" applyAlignment="1" applyFont="1">
      <alignment horizontal="center" readingOrder="0"/>
    </xf>
    <xf borderId="0" fillId="2" fontId="77" numFmtId="0" xfId="0" applyAlignment="1" applyFill="1" applyFont="1">
      <alignment horizontal="left" readingOrder="0"/>
    </xf>
    <xf borderId="0" fillId="0" fontId="78" numFmtId="0" xfId="0" applyAlignment="1" applyFont="1">
      <alignment horizontal="center" readingOrder="0"/>
    </xf>
    <xf borderId="0" fillId="2" fontId="11" numFmtId="49" xfId="0" applyAlignment="1" applyFill="1" applyFont="1" applyNumberFormat="1">
      <alignment horizontal="center" shrinkToFit="0" vertical="center" wrapText="0"/>
    </xf>
    <xf borderId="0" fillId="2" fontId="30" numFmtId="49" xfId="0" applyAlignment="1" applyFill="1" applyFont="1" applyNumberFormat="1">
      <alignment horizontal="center" readingOrder="0"/>
    </xf>
    <xf borderId="0" fillId="2" fontId="30" numFmtId="0" xfId="0" applyAlignment="1" applyFill="1" applyFont="1">
      <alignment horizontal="center"/>
    </xf>
    <xf borderId="0" fillId="2" fontId="30" numFmtId="166" xfId="0" applyAlignment="1" applyFill="1" applyFont="1" applyNumberFormat="1">
      <alignment horizontal="center" readingOrder="0"/>
    </xf>
    <xf borderId="0" fillId="0" fontId="32" numFmtId="0" xfId="0" applyAlignment="1" applyFont="1">
      <alignment horizontal="center" readingOrder="0" shrinkToFit="0" vertical="center" wrapText="1"/>
    </xf>
    <xf borderId="0" fillId="0" fontId="11" numFmtId="0" xfId="0" applyAlignment="1" applyFont="1">
      <alignment shrinkToFit="0" vertical="center" wrapText="0"/>
    </xf>
    <xf borderId="0" fillId="2" fontId="5" numFmtId="49" xfId="0" applyAlignment="1" applyFill="1" applyFont="1" applyNumberFormat="1">
      <alignment horizontal="center"/>
    </xf>
    <xf borderId="0" fillId="0" fontId="11" numFmtId="0" xfId="0" applyAlignment="1" applyFont="1">
      <alignment horizontal="center" shrinkToFit="0" vertical="bottom" wrapText="0"/>
    </xf>
    <xf borderId="0" fillId="0" fontId="11" numFmtId="49" xfId="0" applyAlignment="1" applyFont="1" applyNumberFormat="1">
      <alignment horizontal="center" readingOrder="0" shrinkToFit="0" vertical="bottom" wrapText="0"/>
    </xf>
    <xf borderId="0" fillId="2" fontId="10" numFmtId="49" xfId="0" applyAlignment="1" applyFill="1" applyFont="1" applyNumberFormat="1">
      <alignment horizontal="center" shrinkToFit="0" vertical="center" wrapText="0"/>
    </xf>
    <xf borderId="0" fillId="2" fontId="18" numFmtId="49" xfId="0" applyAlignment="1" applyFill="1" applyFont="1" applyNumberFormat="1">
      <alignment horizontal="center" readingOrder="0" shrinkToFit="0" vertical="center" wrapText="0"/>
    </xf>
    <xf borderId="0" fillId="2" fontId="18" numFmtId="49" xfId="0" applyAlignment="1" applyFill="1" applyFont="1" applyNumberFormat="1">
      <alignment horizontal="center" shrinkToFit="0" vertical="center" wrapText="0"/>
    </xf>
    <xf borderId="1" fillId="2" fontId="18" numFmtId="49" xfId="0" applyAlignment="1" applyBorder="1" applyFill="1" applyFont="1" applyNumberFormat="1">
      <alignment horizontal="center" shrinkToFit="0" vertical="center" wrapText="0"/>
    </xf>
    <xf borderId="0" fillId="2" fontId="79" numFmtId="49" xfId="0" applyAlignment="1" applyFill="1" applyFont="1" applyNumberFormat="1">
      <alignment horizontal="center" shrinkToFit="0" vertical="center" wrapText="0"/>
    </xf>
    <xf borderId="0" fillId="0" fontId="10" numFmtId="49" xfId="0" applyAlignment="1" applyFont="1" applyNumberFormat="1">
      <alignment horizontal="center" shrinkToFit="0" vertical="center" wrapText="0"/>
    </xf>
    <xf borderId="0" fillId="2" fontId="10" numFmtId="0" xfId="0" applyAlignment="1" applyFill="1" applyFont="1">
      <alignment horizontal="center" shrinkToFit="0" vertical="center" wrapText="0"/>
    </xf>
    <xf borderId="0" fillId="2" fontId="80" numFmtId="49" xfId="0" applyAlignment="1" applyFill="1" applyFont="1" applyNumberFormat="1">
      <alignment horizontal="center" shrinkToFit="0" vertical="center" wrapText="0"/>
    </xf>
    <xf borderId="0" fillId="2" fontId="81" numFmtId="0" xfId="0" applyAlignment="1" applyFill="1" applyFont="1">
      <alignment horizontal="center" shrinkToFit="0" vertical="center" wrapText="0"/>
    </xf>
    <xf borderId="1" fillId="2" fontId="10" numFmtId="49" xfId="0" applyAlignment="1" applyBorder="1" applyFill="1" applyFont="1" applyNumberFormat="1">
      <alignment horizontal="center" shrinkToFit="0" vertical="center" wrapText="0"/>
    </xf>
    <xf borderId="0" fillId="2" fontId="33" numFmtId="0" xfId="0" applyAlignment="1" applyFill="1" applyFont="1">
      <alignment horizontal="center" readingOrder="0" shrinkToFit="0" vertical="center" wrapText="1"/>
    </xf>
    <xf borderId="0" fillId="2" fontId="36" numFmtId="0" xfId="0" applyAlignment="1" applyFill="1" applyFont="1">
      <alignment horizontal="center" readingOrder="0" shrinkToFit="0" vertical="center" wrapText="1"/>
    </xf>
    <xf borderId="1" fillId="2" fontId="82" numFmtId="49" xfId="0" applyAlignment="1" applyBorder="1" applyFill="1" applyFont="1" applyNumberFormat="1">
      <alignment horizontal="center" shrinkToFit="0" vertical="center" wrapText="0"/>
    </xf>
    <xf borderId="0" fillId="11" fontId="27" numFmtId="0" xfId="0" applyAlignment="1" applyFill="1" applyFont="1">
      <alignment horizontal="center" readingOrder="0" shrinkToFit="0" vertical="center" wrapText="1"/>
    </xf>
    <xf borderId="0" fillId="11" fontId="28" numFmtId="0" xfId="0" applyAlignment="1" applyFill="1" applyFont="1">
      <alignment horizontal="center" readingOrder="0" shrinkToFit="0" vertical="center" wrapText="1"/>
    </xf>
    <xf borderId="1" fillId="2" fontId="83" numFmtId="49" xfId="0" applyAlignment="1" applyBorder="1" applyFill="1" applyFont="1" applyNumberFormat="1">
      <alignment horizontal="center" shrinkToFit="0" vertical="center" wrapText="0"/>
    </xf>
    <xf borderId="0" fillId="11" fontId="29" numFmtId="0" xfId="0" applyAlignment="1" applyFill="1" applyFont="1">
      <alignment horizontal="center" readingOrder="0" shrinkToFit="0" vertical="center" wrapText="1"/>
    </xf>
    <xf borderId="0" fillId="11" fontId="27" numFmtId="0" xfId="0" applyAlignment="1" applyFill="1" applyFont="1">
      <alignment horizontal="center" shrinkToFit="0" vertical="center" wrapText="1"/>
    </xf>
    <xf borderId="1" fillId="2" fontId="84" numFmtId="49" xfId="0" applyAlignment="1" applyBorder="1" applyFill="1" applyFont="1" applyNumberFormat="1">
      <alignment horizontal="center" shrinkToFit="0" vertical="center" wrapText="0"/>
    </xf>
    <xf borderId="0" fillId="11" fontId="56" numFmtId="0" xfId="0" applyAlignment="1" applyFill="1" applyFont="1">
      <alignment horizontal="center" shrinkToFit="0" vertical="center" wrapText="1"/>
    </xf>
    <xf borderId="1" fillId="2" fontId="11" numFmtId="0" xfId="0" applyAlignment="1" applyBorder="1" applyFill="1" applyFont="1">
      <alignment shrinkToFit="0" vertical="center" wrapText="0"/>
    </xf>
    <xf borderId="0" fillId="11" fontId="29" numFmtId="0" xfId="0" applyAlignment="1" applyFill="1" applyFont="1">
      <alignment horizontal="center" shrinkToFit="0" vertical="center" wrapText="1"/>
    </xf>
    <xf borderId="1" fillId="2" fontId="10" numFmtId="0" xfId="0" applyAlignment="1" applyBorder="1" applyFill="1" applyFont="1">
      <alignment horizontal="center" shrinkToFit="0" vertical="center" wrapText="0"/>
    </xf>
    <xf borderId="0" fillId="11" fontId="31" numFmtId="0" xfId="0" applyAlignment="1" applyFill="1" applyFont="1">
      <alignment horizontal="center" shrinkToFit="0" vertical="center" wrapText="1"/>
    </xf>
    <xf borderId="0" fillId="11" fontId="32" numFmtId="0" xfId="0" applyAlignment="1" applyFill="1" applyFont="1">
      <alignment horizontal="center" shrinkToFit="0" vertical="center" wrapText="1"/>
    </xf>
    <xf borderId="0" fillId="11" fontId="33" numFmtId="0" xfId="0" applyAlignment="1" applyFill="1" applyFont="1">
      <alignment horizontal="center" shrinkToFit="0" vertical="center" wrapText="1"/>
    </xf>
    <xf borderId="0" fillId="11" fontId="34" numFmtId="0" xfId="0" applyAlignment="1" applyFill="1" applyFont="1">
      <alignment horizontal="center" shrinkToFit="0" vertical="center" wrapText="1"/>
    </xf>
    <xf borderId="0" fillId="11" fontId="36" numFmtId="0" xfId="0" applyAlignment="1" applyFill="1" applyFont="1">
      <alignment horizontal="center" shrinkToFit="0" vertical="center" wrapText="1"/>
    </xf>
    <xf borderId="0" fillId="11" fontId="37" numFmtId="0" xfId="0" applyAlignment="1" applyFill="1" applyFont="1">
      <alignment horizontal="center" shrinkToFit="0" vertical="center" wrapText="1"/>
    </xf>
    <xf borderId="1" fillId="2" fontId="11" numFmtId="49" xfId="0" applyAlignment="1" applyBorder="1" applyFill="1" applyFont="1" applyNumberFormat="1">
      <alignment shrinkToFit="0" vertical="center" wrapText="0"/>
    </xf>
    <xf borderId="0" fillId="11" fontId="5" numFmtId="0" xfId="0" applyAlignment="1" applyFill="1" applyFont="1">
      <alignment horizontal="center" shrinkToFit="0" vertical="center" wrapText="1"/>
    </xf>
    <xf borderId="0" fillId="11" fontId="38" numFmtId="0" xfId="0" applyAlignment="1" applyFill="1" applyFont="1">
      <alignment horizontal="center" shrinkToFit="0" vertical="center" wrapText="1"/>
    </xf>
    <xf borderId="1" fillId="2" fontId="80" numFmtId="49" xfId="0" applyAlignment="1" applyBorder="1" applyFill="1" applyFont="1" applyNumberFormat="1">
      <alignment horizontal="center" shrinkToFit="0" vertical="center" wrapText="0"/>
    </xf>
    <xf borderId="0" fillId="2" fontId="11" numFmtId="0" xfId="0" applyAlignment="1" applyFill="1" applyFont="1">
      <alignment horizontal="center" shrinkToFit="0" vertical="center" wrapText="0"/>
    </xf>
    <xf borderId="0" fillId="0" fontId="16" numFmtId="0" xfId="0" applyAlignment="1" applyFont="1">
      <alignment horizontal="center" shrinkToFit="0" vertical="center" wrapText="0"/>
    </xf>
    <xf borderId="0" fillId="0" fontId="16" numFmtId="0" xfId="0" applyAlignment="1" applyFont="1">
      <alignment horizontal="center" shrinkToFit="0" vertical="center" wrapText="0"/>
    </xf>
    <xf borderId="0" fillId="0" fontId="16" numFmtId="165" xfId="0" applyAlignment="1" applyFont="1" applyNumberFormat="1">
      <alignment horizontal="center" shrinkToFit="0" vertical="center" wrapText="0"/>
    </xf>
    <xf borderId="0" fillId="0" fontId="85" numFmtId="49" xfId="0" applyAlignment="1" applyFont="1" applyNumberFormat="1">
      <alignment horizontal="center" readingOrder="0" shrinkToFit="0" vertical="center" wrapText="0"/>
    </xf>
    <xf borderId="0" fillId="2" fontId="16" numFmtId="0" xfId="0" applyAlignment="1" applyFill="1" applyFont="1">
      <alignment horizontal="center" shrinkToFit="0" vertical="center" wrapText="0"/>
    </xf>
    <xf borderId="0" fillId="11" fontId="56" numFmtId="0" xfId="0" applyAlignment="1" applyFill="1" applyFont="1">
      <alignment horizontal="center" readingOrder="0" shrinkToFit="0" vertical="center" wrapText="1"/>
    </xf>
    <xf borderId="0" fillId="11" fontId="31" numFmtId="0" xfId="0" applyAlignment="1" applyFill="1" applyFont="1">
      <alignment horizontal="center" readingOrder="0" shrinkToFit="0" vertical="center" wrapText="1"/>
    </xf>
    <xf borderId="0" fillId="11" fontId="32" numFmtId="0" xfId="0" applyAlignment="1" applyFill="1" applyFont="1">
      <alignment horizontal="center" readingOrder="0" shrinkToFit="0" vertical="center" wrapText="1"/>
    </xf>
    <xf borderId="0" fillId="11" fontId="5" numFmtId="0" xfId="0" applyAlignment="1" applyFill="1" applyFont="1">
      <alignment horizontal="center" readingOrder="0" shrinkToFit="0" vertical="center" wrapText="1"/>
    </xf>
    <xf borderId="0" fillId="2" fontId="34" numFmtId="0" xfId="0" applyAlignment="1" applyFill="1" applyFont="1">
      <alignment horizontal="center" readingOrder="0" shrinkToFit="0" vertical="center" wrapText="1"/>
    </xf>
    <xf borderId="0" fillId="4" fontId="16" numFmtId="49" xfId="0" applyAlignment="1" applyFill="1" applyFont="1" applyNumberFormat="1">
      <alignment horizontal="center" readingOrder="0" shrinkToFit="0" vertical="center" wrapText="0"/>
    </xf>
    <xf quotePrefix="1" borderId="0" fillId="0" fontId="16" numFmtId="49" xfId="0" applyAlignment="1" applyFont="1" applyNumberFormat="1">
      <alignment horizontal="center" readingOrder="0" shrinkToFit="0" vertical="center" wrapText="0"/>
    </xf>
    <xf borderId="0" fillId="0" fontId="5" numFmtId="49" xfId="0" applyAlignment="1" applyFont="1" applyNumberFormat="1">
      <alignment horizontal="center"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2" fontId="86" numFmtId="49" xfId="0" applyAlignment="1" applyFill="1" applyFont="1" applyNumberFormat="1">
      <alignment horizontal="center" readingOrder="0" shrinkToFit="0" vertical="center" wrapText="0"/>
    </xf>
    <xf borderId="0" fillId="20" fontId="5" numFmtId="49" xfId="0" applyAlignment="1" applyFill="1" applyFont="1" applyNumberFormat="1">
      <alignment horizontal="center" shrinkToFit="0" vertical="center" wrapText="1"/>
    </xf>
    <xf borderId="0" fillId="20" fontId="27" numFmtId="0" xfId="0" applyAlignment="1" applyFill="1" applyFont="1">
      <alignment horizontal="center" readingOrder="0" shrinkToFit="0" vertical="center" wrapText="1"/>
    </xf>
    <xf borderId="0" fillId="20" fontId="28" numFmtId="0" xfId="0" applyAlignment="1" applyFill="1" applyFont="1">
      <alignment horizontal="center" readingOrder="0" shrinkToFit="0" vertical="center" wrapText="1"/>
    </xf>
    <xf borderId="0" fillId="20" fontId="29" numFmtId="0" xfId="0" applyAlignment="1" applyFill="1" applyFont="1">
      <alignment horizontal="center" shrinkToFit="0" vertical="center" wrapText="1"/>
    </xf>
    <xf borderId="0" fillId="20" fontId="56" numFmtId="0" xfId="0" applyAlignment="1" applyFill="1" applyFont="1">
      <alignment horizontal="center" readingOrder="0" shrinkToFit="0" vertical="center" wrapText="1"/>
    </xf>
    <xf borderId="0" fillId="20" fontId="29" numFmtId="0" xfId="0" applyAlignment="1" applyFill="1" applyFont="1">
      <alignment horizontal="center" readingOrder="0" shrinkToFit="0" vertical="center" wrapText="1"/>
    </xf>
    <xf borderId="0" fillId="20" fontId="27" numFmtId="0" xfId="0" applyAlignment="1" applyFill="1" applyFont="1">
      <alignment horizontal="center" shrinkToFit="0" vertical="center" wrapText="1"/>
    </xf>
    <xf borderId="0" fillId="20" fontId="56" numFmtId="0" xfId="0" applyAlignment="1" applyFill="1" applyFont="1">
      <alignment horizontal="center" shrinkToFit="0" vertical="center" wrapText="1"/>
    </xf>
    <xf borderId="0" fillId="20" fontId="31" numFmtId="0" xfId="0" applyAlignment="1" applyFill="1" applyFont="1">
      <alignment horizontal="center" shrinkToFit="0" vertical="center" wrapText="1"/>
    </xf>
    <xf borderId="0" fillId="20" fontId="32" numFmtId="0" xfId="0" applyAlignment="1" applyFill="1" applyFont="1">
      <alignment horizontal="center" shrinkToFit="0" vertical="center" wrapText="1"/>
    </xf>
    <xf borderId="0" fillId="20" fontId="33" numFmtId="0" xfId="0" applyAlignment="1" applyFill="1" applyFont="1">
      <alignment horizontal="center" shrinkToFit="0" vertical="center" wrapText="1"/>
    </xf>
    <xf borderId="0" fillId="20" fontId="34" numFmtId="0" xfId="0" applyAlignment="1" applyFill="1" applyFont="1">
      <alignment horizontal="center" shrinkToFit="0" vertical="center" wrapText="1"/>
    </xf>
    <xf borderId="0" fillId="20" fontId="36" numFmtId="0" xfId="0" applyAlignment="1" applyFill="1" applyFont="1">
      <alignment horizontal="center" shrinkToFit="0" vertical="center" wrapText="1"/>
    </xf>
    <xf borderId="0" fillId="20" fontId="37" numFmtId="0" xfId="0" applyAlignment="1" applyFill="1" applyFont="1">
      <alignment horizontal="center" shrinkToFit="0" vertical="center" wrapText="1"/>
    </xf>
    <xf borderId="0" fillId="0" fontId="16" numFmtId="0" xfId="0" applyAlignment="1" applyFont="1">
      <alignment horizontal="center" readingOrder="0" shrinkToFit="0" vertical="center" wrapText="0"/>
    </xf>
    <xf borderId="0" fillId="20" fontId="5" numFmtId="0" xfId="0" applyAlignment="1" applyFill="1" applyFont="1">
      <alignment horizontal="center" shrinkToFit="0" vertical="center" wrapText="1"/>
    </xf>
    <xf borderId="0" fillId="20" fontId="38" numFmtId="0" xfId="0" applyAlignment="1" applyFill="1" applyFont="1">
      <alignment horizontal="center" shrinkToFit="0" vertical="center" wrapText="1"/>
    </xf>
    <xf borderId="0" fillId="0" fontId="16" numFmtId="0" xfId="0" applyAlignment="1" applyFont="1">
      <alignment horizontal="center" readingOrder="0" shrinkToFit="0" vertical="center" wrapText="0"/>
    </xf>
    <xf borderId="0" fillId="21" fontId="16" numFmtId="49" xfId="0" applyAlignment="1" applyFill="1" applyFont="1" applyNumberFormat="1">
      <alignment horizontal="center" readingOrder="0" shrinkToFit="0" vertical="center" wrapText="0"/>
    </xf>
    <xf borderId="0" fillId="0" fontId="16" numFmtId="0" xfId="0" applyAlignment="1" applyFont="1">
      <alignment horizontal="center" readingOrder="0" shrinkToFit="0" vertical="center" wrapText="0"/>
    </xf>
    <xf borderId="0" fillId="11" fontId="28" numFmtId="0" xfId="0" applyAlignment="1" applyFill="1" applyFont="1">
      <alignment horizontal="center" shrinkToFit="0" vertical="center" wrapText="1"/>
    </xf>
    <xf borderId="0" fillId="2" fontId="87" numFmtId="0" xfId="0" applyAlignment="1" applyFill="1" applyFont="1">
      <alignment horizontal="center" readingOrder="0" shrinkToFit="0" vertical="center" wrapText="1"/>
    </xf>
    <xf borderId="0" fillId="2" fontId="88" numFmtId="0" xfId="0" applyAlignment="1" applyFill="1" applyFont="1">
      <alignment horizontal="center" readingOrder="0" shrinkToFit="0" vertical="center" wrapText="1"/>
    </xf>
    <xf borderId="0" fillId="15" fontId="16" numFmtId="49" xfId="0" applyAlignment="1" applyFill="1" applyFont="1" applyNumberFormat="1">
      <alignment horizontal="center" readingOrder="0" shrinkToFit="0" vertical="center" wrapText="0"/>
    </xf>
    <xf borderId="0" fillId="11" fontId="33" numFmtId="0" xfId="0" applyAlignment="1" applyFill="1" applyFont="1">
      <alignment horizontal="center" readingOrder="0" shrinkToFit="0" vertical="center" wrapText="1"/>
    </xf>
    <xf borderId="0" fillId="20" fontId="16" numFmtId="49" xfId="0" applyAlignment="1" applyFill="1" applyFont="1" applyNumberFormat="1">
      <alignment horizontal="center" readingOrder="0" shrinkToFit="0" vertical="center" wrapText="0"/>
    </xf>
    <xf borderId="0" fillId="4" fontId="16" numFmtId="49" xfId="0" applyAlignment="1" applyFill="1" applyFont="1" applyNumberFormat="1">
      <alignment horizontal="center" readingOrder="0" shrinkToFit="0" vertical="center" wrapText="0"/>
    </xf>
    <xf borderId="0" fillId="11" fontId="36" numFmtId="0" xfId="0" applyAlignment="1" applyFill="1" applyFont="1">
      <alignment horizontal="center" readingOrder="0" shrinkToFit="0" vertical="center" wrapText="1"/>
    </xf>
    <xf borderId="0" fillId="2" fontId="3" numFmtId="49" xfId="0" applyAlignment="1" applyFill="1" applyFont="1" applyNumberFormat="1">
      <alignment horizontal="center" readingOrder="0" shrinkToFit="0" vertical="bottom" wrapText="0"/>
    </xf>
    <xf borderId="0" fillId="2" fontId="3" numFmtId="0" xfId="0" applyAlignment="1" applyFill="1" applyFont="1">
      <alignment horizontal="center" readingOrder="0" shrinkToFit="0" vertical="bottom" wrapText="0"/>
    </xf>
    <xf borderId="0" fillId="2" fontId="3" numFmtId="0" xfId="0" applyAlignment="1" applyFill="1" applyFont="1">
      <alignment horizontal="center" readingOrder="0" shrinkToFit="0" vertical="bottom" wrapText="0"/>
    </xf>
    <xf borderId="0" fillId="2" fontId="3" numFmtId="0" xfId="0" applyAlignment="1" applyFill="1" applyFont="1">
      <alignment horizontal="center" readingOrder="0" shrinkToFit="0" vertical="bottom" wrapText="0"/>
    </xf>
    <xf borderId="0" fillId="2" fontId="29" numFmtId="0" xfId="0" applyAlignment="1" applyFill="1" applyFont="1">
      <alignment horizontal="center" vertical="center"/>
    </xf>
    <xf borderId="0" fillId="2" fontId="27" numFmtId="0" xfId="0" applyAlignment="1" applyFill="1" applyFont="1">
      <alignment horizontal="center" vertical="center"/>
    </xf>
    <xf borderId="0" fillId="2" fontId="56" numFmtId="0" xfId="0" applyAlignment="1" applyFill="1" applyFont="1">
      <alignment horizontal="center" vertical="center"/>
    </xf>
    <xf borderId="0" fillId="2" fontId="31" numFmtId="0" xfId="0" applyAlignment="1" applyFill="1" applyFont="1">
      <alignment horizontal="center" vertical="center"/>
    </xf>
    <xf borderId="0" fillId="2" fontId="32" numFmtId="0" xfId="0" applyAlignment="1" applyFill="1" applyFont="1">
      <alignment horizontal="center" vertical="center"/>
    </xf>
    <xf borderId="0" fillId="2" fontId="33" numFmtId="0" xfId="0" applyAlignment="1" applyFill="1" applyFont="1">
      <alignment horizontal="center" vertical="center"/>
    </xf>
    <xf borderId="0" fillId="2" fontId="34" numFmtId="0" xfId="0" applyAlignment="1" applyFill="1" applyFont="1">
      <alignment horizontal="center" vertical="center"/>
    </xf>
    <xf borderId="0" fillId="2" fontId="36" numFmtId="0" xfId="0" applyAlignment="1" applyFill="1" applyFont="1">
      <alignment horizontal="center" vertical="center"/>
    </xf>
    <xf borderId="0" fillId="0" fontId="0" numFmtId="49" xfId="0" applyAlignment="1" applyFont="1" applyNumberFormat="1">
      <alignment horizontal="center" readingOrder="0" shrinkToFit="0" vertical="center" wrapText="0"/>
    </xf>
    <xf borderId="0" fillId="2" fontId="37" numFmtId="0" xfId="0" applyAlignment="1" applyFill="1" applyFont="1">
      <alignment horizontal="center" vertical="center"/>
    </xf>
    <xf borderId="0" fillId="2" fontId="5" numFmtId="0" xfId="0" applyAlignment="1" applyFill="1" applyFont="1">
      <alignment horizontal="center" vertical="center"/>
    </xf>
    <xf borderId="0" fillId="2" fontId="38" numFmtId="0" xfId="0" applyAlignment="1" applyFill="1" applyFont="1">
      <alignment horizontal="center" vertical="center"/>
    </xf>
    <xf borderId="0" fillId="11" fontId="5" numFmtId="49" xfId="0" applyAlignment="1" applyFill="1" applyFont="1" applyNumberFormat="1">
      <alignment horizontal="center" vertical="center"/>
    </xf>
    <xf borderId="0" fillId="11" fontId="27" numFmtId="0" xfId="0" applyAlignment="1" applyFill="1" applyFont="1">
      <alignment horizontal="center" vertical="center"/>
    </xf>
    <xf borderId="0" fillId="11" fontId="28" numFmtId="0" xfId="0" applyAlignment="1" applyFill="1" applyFont="1">
      <alignment horizontal="center" vertical="center"/>
    </xf>
    <xf borderId="0" fillId="11" fontId="29" numFmtId="0" xfId="0" applyAlignment="1" applyFill="1" applyFont="1">
      <alignment horizontal="center" readingOrder="0" vertical="center"/>
    </xf>
    <xf borderId="0" fillId="11" fontId="56" numFmtId="0" xfId="0" applyAlignment="1" applyFill="1" applyFont="1">
      <alignment horizontal="center" vertical="center"/>
    </xf>
    <xf borderId="0" fillId="11" fontId="29" numFmtId="0" xfId="0" applyAlignment="1" applyFill="1" applyFont="1">
      <alignment horizontal="center" vertical="center"/>
    </xf>
    <xf borderId="0" fillId="11" fontId="31" numFmtId="0" xfId="0" applyAlignment="1" applyFill="1" applyFont="1">
      <alignment horizontal="center" vertical="center"/>
    </xf>
    <xf borderId="0" fillId="11" fontId="32" numFmtId="0" xfId="0" applyAlignment="1" applyFill="1" applyFont="1">
      <alignment horizontal="center" vertical="center"/>
    </xf>
    <xf borderId="0" fillId="11" fontId="33" numFmtId="0" xfId="0" applyAlignment="1" applyFill="1" applyFont="1">
      <alignment horizontal="center" vertical="center"/>
    </xf>
    <xf borderId="0" fillId="11" fontId="34" numFmtId="0" xfId="0" applyAlignment="1" applyFill="1" applyFont="1">
      <alignment horizontal="center" vertical="center"/>
    </xf>
    <xf borderId="0" fillId="11" fontId="36" numFmtId="0" xfId="0" applyAlignment="1" applyFill="1" applyFont="1">
      <alignment horizontal="center" vertical="center"/>
    </xf>
    <xf borderId="0" fillId="11" fontId="37" numFmtId="0" xfId="0" applyAlignment="1" applyFill="1" applyFont="1">
      <alignment horizontal="center" vertical="center"/>
    </xf>
    <xf borderId="0" fillId="11" fontId="5" numFmtId="0" xfId="0" applyAlignment="1" applyFill="1" applyFont="1">
      <alignment horizontal="center" vertical="center"/>
    </xf>
    <xf borderId="0" fillId="11" fontId="38" numFmtId="0" xfId="0" applyAlignment="1" applyFill="1" applyFont="1">
      <alignment horizontal="center" vertical="center"/>
    </xf>
    <xf borderId="0" fillId="2" fontId="5" numFmtId="49" xfId="0" applyAlignment="1" applyFill="1" applyFont="1" applyNumberFormat="1">
      <alignment horizontal="center" vertical="center"/>
    </xf>
    <xf borderId="0" fillId="2" fontId="28" numFmtId="0" xfId="0" applyAlignment="1" applyFill="1" applyFont="1">
      <alignment horizontal="center" vertical="center"/>
    </xf>
    <xf borderId="0" fillId="2" fontId="29" numFmtId="0" xfId="0" applyAlignment="1" applyFill="1" applyFont="1">
      <alignment horizontal="center" readingOrder="0" vertical="center"/>
    </xf>
    <xf borderId="0" fillId="0" fontId="56" numFmtId="0" xfId="0" applyAlignment="1" applyFont="1">
      <alignment horizontal="center" vertical="center"/>
    </xf>
    <xf borderId="0" fillId="0" fontId="27" numFmtId="0" xfId="0" applyAlignment="1" applyFont="1">
      <alignment horizontal="center" vertical="center"/>
    </xf>
    <xf borderId="0" fillId="0" fontId="5" numFmtId="49" xfId="0" applyAlignment="1" applyFont="1" applyNumberFormat="1">
      <alignment horizontal="center" vertical="center"/>
    </xf>
    <xf borderId="0" fillId="0" fontId="28" numFmtId="0" xfId="0" applyAlignment="1" applyFont="1">
      <alignment horizontal="center" vertical="center"/>
    </xf>
    <xf borderId="0" fillId="0" fontId="89" numFmtId="49" xfId="0" applyAlignment="1" applyFont="1" applyNumberFormat="1">
      <alignment horizontal="center" vertical="center"/>
    </xf>
    <xf borderId="0" fillId="0" fontId="56" numFmtId="0" xfId="0" applyAlignment="1" applyFont="1">
      <alignment horizontal="center" readingOrder="0" vertical="center"/>
    </xf>
    <xf borderId="0" fillId="0" fontId="31" numFmtId="0" xfId="0" applyAlignment="1" applyFont="1">
      <alignment horizontal="center" readingOrder="0" vertical="center"/>
    </xf>
    <xf borderId="0" fillId="2" fontId="16" numFmtId="0" xfId="0" applyAlignment="1" applyFill="1" applyFont="1">
      <alignment horizontal="center" readingOrder="0" shrinkToFit="0" vertical="center" wrapText="0"/>
    </xf>
    <xf borderId="0" fillId="2" fontId="16" numFmtId="0" xfId="0" applyAlignment="1" applyFill="1" applyFont="1">
      <alignment horizontal="center" readingOrder="0" shrinkToFit="0" vertical="center" wrapText="0"/>
    </xf>
    <xf borderId="0" fillId="0" fontId="29" numFmtId="0" xfId="0" applyAlignment="1" applyFont="1">
      <alignment horizontal="center" readingOrder="0" vertical="center"/>
    </xf>
    <xf borderId="0" fillId="2" fontId="0" numFmtId="49" xfId="0" applyAlignment="1" applyFill="1" applyFont="1" applyNumberFormat="1">
      <alignment horizontal="center" readingOrder="0" shrinkToFit="0" vertical="center" wrapText="0"/>
    </xf>
    <xf borderId="0" fillId="2" fontId="16" numFmtId="0" xfId="0" applyAlignment="1" applyFill="1" applyFont="1">
      <alignment horizontal="center" readingOrder="0" shrinkToFit="0" vertical="center" wrapText="0"/>
    </xf>
    <xf borderId="0" fillId="2" fontId="16" numFmtId="0" xfId="0" applyAlignment="1" applyFill="1" applyFont="1">
      <alignment horizontal="center" readingOrder="0" shrinkToFit="0" vertical="center" wrapText="0"/>
    </xf>
    <xf borderId="0" fillId="0" fontId="16" numFmtId="0" xfId="0" applyAlignment="1" applyFont="1">
      <alignment horizontal="center" readingOrder="0" shrinkToFit="0" vertical="center" wrapText="0"/>
    </xf>
    <xf borderId="0" fillId="0" fontId="3" numFmtId="49" xfId="0" applyAlignment="1" applyFont="1" applyNumberFormat="1">
      <alignment horizontal="center" readingOrder="0" shrinkToFit="0" vertical="center" wrapText="0"/>
    </xf>
    <xf borderId="0" fillId="22" fontId="16" numFmtId="49" xfId="0" applyAlignment="1" applyFill="1" applyFont="1" applyNumberFormat="1">
      <alignment horizontal="center" readingOrder="0" shrinkToFit="0" vertical="center" wrapText="0"/>
    </xf>
    <xf borderId="0" fillId="23" fontId="16" numFmtId="0" xfId="0" applyAlignment="1" applyFill="1" applyFont="1">
      <alignment horizontal="center" readingOrder="0" shrinkToFit="0" vertical="center" wrapText="0"/>
    </xf>
    <xf borderId="0" fillId="2" fontId="16" numFmtId="49" xfId="0" applyAlignment="1" applyFill="1" applyFont="1" applyNumberFormat="1">
      <alignment horizontal="center" readingOrder="0" shrinkToFit="0" vertical="center" wrapText="0"/>
    </xf>
    <xf borderId="0" fillId="0" fontId="16" numFmtId="49" xfId="0" applyAlignment="1" applyFont="1" applyNumberFormat="1">
      <alignment horizontal="center" readingOrder="0" shrinkToFit="0" vertical="center" wrapText="0"/>
    </xf>
    <xf borderId="0" fillId="4" fontId="16" numFmtId="49" xfId="0" applyAlignment="1" applyFill="1" applyFont="1" applyNumberFormat="1">
      <alignment horizontal="center" readingOrder="0" shrinkToFit="0" vertical="center" wrapText="0"/>
    </xf>
    <xf borderId="0" fillId="2" fontId="90" numFmtId="49" xfId="0" applyAlignment="1" applyFill="1" applyFont="1" applyNumberFormat="1">
      <alignment horizontal="center" readingOrder="0" shrinkToFit="0" vertical="center" wrapText="0"/>
    </xf>
    <xf borderId="0" fillId="2" fontId="90" numFmtId="0" xfId="0" applyAlignment="1" applyFill="1" applyFont="1">
      <alignment horizontal="center" readingOrder="0" shrinkToFit="0" vertical="center" wrapText="0"/>
    </xf>
    <xf borderId="0" fillId="2" fontId="90" numFmtId="0" xfId="0" applyAlignment="1" applyFill="1" applyFont="1">
      <alignment horizontal="center" readingOrder="0" shrinkToFit="0" vertical="center" wrapText="0"/>
    </xf>
    <xf borderId="0" fillId="0" fontId="91" numFmtId="49" xfId="0" applyAlignment="1" applyFont="1" applyNumberFormat="1">
      <alignment horizontal="center" readingOrder="0" shrinkToFit="0" vertical="center" wrapText="0"/>
    </xf>
    <xf borderId="0" fillId="2" fontId="3" numFmtId="49" xfId="0" applyAlignment="1" applyFill="1" applyFont="1" applyNumberFormat="1">
      <alignment horizontal="center" readingOrder="0" shrinkToFit="0" vertical="center" wrapText="0"/>
    </xf>
    <xf borderId="0" fillId="7" fontId="3" numFmtId="49" xfId="0" applyAlignment="1" applyFill="1" applyFont="1" applyNumberFormat="1">
      <alignment horizontal="center" readingOrder="0" shrinkToFit="0" vertical="center" wrapText="0"/>
    </xf>
    <xf borderId="0" fillId="15" fontId="22" numFmtId="0" xfId="0" applyAlignment="1" applyFill="1" applyFont="1">
      <alignment horizontal="center" readingOrder="0" shrinkToFit="0" vertical="center" wrapText="0"/>
    </xf>
    <xf borderId="0" fillId="2" fontId="5" numFmtId="0" xfId="0" applyAlignment="1" applyFill="1" applyFont="1">
      <alignment horizontal="center" readingOrder="0" shrinkToFit="0" vertical="center" wrapText="0"/>
    </xf>
    <xf borderId="0" fillId="2" fontId="72" numFmtId="49" xfId="0" applyAlignment="1" applyFill="1" applyFont="1" applyNumberFormat="1">
      <alignment horizontal="center" readingOrder="0" shrinkToFit="0" vertical="center" wrapText="0"/>
    </xf>
    <xf borderId="0" fillId="0" fontId="16" numFmtId="49" xfId="0" applyAlignment="1" applyFont="1" applyNumberFormat="1">
      <alignment horizontal="center" readingOrder="0" shrinkToFit="0" vertical="center" wrapText="0"/>
    </xf>
    <xf borderId="0" fillId="23" fontId="22" numFmtId="0" xfId="0" applyAlignment="1" applyFill="1" applyFont="1">
      <alignment horizontal="center" readingOrder="0" shrinkToFit="0" vertical="center" wrapText="0"/>
    </xf>
    <xf borderId="0" fillId="15" fontId="16" numFmtId="0" xfId="0" applyAlignment="1" applyFill="1" applyFont="1">
      <alignment horizontal="center" readingOrder="0" shrinkToFit="0" vertical="center" wrapText="0"/>
    </xf>
    <xf borderId="0" fillId="2" fontId="92" numFmtId="0" xfId="0" applyAlignment="1" applyFill="1" applyFont="1">
      <alignment horizontal="center" readingOrder="0" shrinkToFit="0" vertical="center" wrapText="0"/>
    </xf>
    <xf borderId="0" fillId="2" fontId="5" numFmtId="49" xfId="0" applyAlignment="1" applyFill="1" applyFont="1" applyNumberFormat="1">
      <alignment horizontal="center" readingOrder="0" shrinkToFit="0" vertical="center" wrapText="0"/>
    </xf>
    <xf borderId="0" fillId="0" fontId="5" numFmtId="49" xfId="0" applyAlignment="1" applyFont="1" applyNumberFormat="1">
      <alignment horizontal="center" readingOrder="0" shrinkToFit="0" vertical="center" wrapText="0"/>
    </xf>
    <xf borderId="0" fillId="2" fontId="93" numFmtId="49" xfId="0" applyAlignment="1" applyFill="1" applyFont="1" applyNumberFormat="1">
      <alignment horizontal="center" readingOrder="0" shrinkToFit="0" vertical="center" wrapText="0"/>
    </xf>
    <xf borderId="0" fillId="24" fontId="16" numFmtId="0" xfId="0" applyAlignment="1" applyFill="1" applyFont="1">
      <alignment horizontal="center" readingOrder="0" shrinkToFit="0" vertical="center" wrapText="0"/>
    </xf>
    <xf borderId="0" fillId="2" fontId="94" numFmtId="49" xfId="0" applyAlignment="1" applyFill="1" applyFont="1" applyNumberFormat="1">
      <alignment horizontal="center" readingOrder="0" shrinkToFit="0" vertical="center" wrapText="0"/>
    </xf>
    <xf borderId="0" fillId="2" fontId="95" numFmtId="49" xfId="0" applyAlignment="1" applyFill="1" applyFont="1" applyNumberFormat="1">
      <alignment horizontal="center" readingOrder="0" shrinkToFit="0" vertical="center" wrapText="0"/>
    </xf>
    <xf borderId="0" fillId="25" fontId="16" numFmtId="49" xfId="0" applyAlignment="1" applyFill="1" applyFont="1" applyNumberFormat="1">
      <alignment horizontal="center" readingOrder="0" shrinkToFit="0" vertical="center" wrapText="0"/>
    </xf>
    <xf borderId="0" fillId="7" fontId="16" numFmtId="49" xfId="0" applyAlignment="1" applyFill="1" applyFont="1" applyNumberFormat="1">
      <alignment horizontal="center" readingOrder="0" shrinkToFit="0" vertical="center" wrapText="0"/>
    </xf>
    <xf borderId="0" fillId="0" fontId="78" numFmtId="49" xfId="0" applyAlignment="1" applyFont="1" applyNumberFormat="1">
      <alignment horizontal="center" readingOrder="0" shrinkToFit="0" vertical="center" wrapText="0"/>
    </xf>
    <xf borderId="0" fillId="2" fontId="16" numFmtId="0" xfId="0" applyAlignment="1" applyFill="1" applyFont="1">
      <alignment horizontal="center" readingOrder="0" shrinkToFit="0" vertical="center" wrapText="0"/>
    </xf>
    <xf borderId="0" fillId="4" fontId="16" numFmtId="0" xfId="0" applyAlignment="1" applyFill="1" applyFont="1">
      <alignment horizontal="center" readingOrder="0" shrinkToFit="0" vertical="center" wrapText="0"/>
    </xf>
    <xf borderId="0" fillId="0" fontId="16" numFmtId="0" xfId="0" applyAlignment="1" applyFont="1">
      <alignment horizontal="center" shrinkToFit="0" vertical="center" wrapText="0"/>
    </xf>
    <xf borderId="1" fillId="2" fontId="10" numFmtId="0" xfId="0" applyAlignment="1" applyBorder="1" applyFill="1" applyFont="1">
      <alignment horizontal="center" shrinkToFit="0" vertical="center" wrapText="0"/>
    </xf>
    <xf borderId="1" fillId="2" fontId="11" numFmtId="0" xfId="0" applyAlignment="1" applyBorder="1" applyFill="1" applyFont="1">
      <alignment horizontal="center" readingOrder="0" shrinkToFit="0" vertical="center" wrapText="0"/>
    </xf>
    <xf borderId="1" fillId="4" fontId="11" numFmtId="0" xfId="0" applyAlignment="1" applyBorder="1" applyFill="1" applyFont="1">
      <alignment horizontal="center" readingOrder="0" shrinkToFit="0" vertical="center" wrapText="0"/>
    </xf>
    <xf borderId="1" fillId="2" fontId="10" numFmtId="0" xfId="0" applyAlignment="1" applyBorder="1" applyFill="1" applyFont="1">
      <alignment horizontal="center" readingOrder="0" shrinkToFit="0" vertical="center" wrapText="0"/>
    </xf>
    <xf borderId="1" fillId="2" fontId="11" numFmtId="49" xfId="0" applyAlignment="1" applyBorder="1" applyFill="1" applyFont="1" applyNumberFormat="1">
      <alignment horizontal="center" readingOrder="0" shrinkToFit="0" vertical="center" wrapText="0"/>
    </xf>
    <xf borderId="1" fillId="2" fontId="96" numFmtId="0" xfId="0" applyAlignment="1" applyBorder="1" applyFill="1" applyFont="1">
      <alignment horizontal="center" shrinkToFit="0" vertical="center" wrapText="0"/>
    </xf>
    <xf borderId="1" fillId="2" fontId="11" numFmtId="0" xfId="0" applyAlignment="1" applyBorder="1" applyFill="1" applyFont="1">
      <alignment horizontal="center" readingOrder="0" shrinkToFit="0" vertical="bottom" wrapText="0"/>
    </xf>
    <xf borderId="1" fillId="2" fontId="11" numFmtId="0" xfId="0" applyAlignment="1" applyBorder="1" applyFill="1" applyFont="1">
      <alignment shrinkToFit="0" vertical="bottom" wrapText="0"/>
    </xf>
    <xf borderId="0" fillId="2" fontId="11" numFmtId="0" xfId="0" applyAlignment="1" applyFill="1" applyFont="1">
      <alignment horizontal="center" readingOrder="0" shrinkToFit="0" vertical="bottom" wrapText="0"/>
    </xf>
    <xf borderId="0" fillId="2" fontId="11" numFmtId="0" xfId="0" applyAlignment="1" applyFill="1" applyFont="1">
      <alignment horizontal="center" readingOrder="0" shrinkToFit="0" vertical="bottom" wrapText="0"/>
    </xf>
    <xf borderId="0" fillId="0" fontId="16" numFmtId="0" xfId="0" applyAlignment="1" applyFont="1">
      <alignment horizontal="center" readingOrder="0" shrinkToFit="0" vertical="center" wrapText="0"/>
    </xf>
    <xf borderId="0" fillId="0" fontId="3" numFmtId="0" xfId="0" applyAlignment="1" applyFont="1">
      <alignment horizontal="center" readingOrder="0" shrinkToFit="0" vertical="bottom" wrapText="0"/>
    </xf>
    <xf borderId="0" fillId="0" fontId="3" numFmtId="0" xfId="0" applyAlignment="1" applyFont="1">
      <alignment horizontal="center" readingOrder="0" shrinkToFit="0" vertical="bottom" wrapText="0"/>
    </xf>
    <xf borderId="0" fillId="4" fontId="16" numFmtId="0" xfId="0" applyAlignment="1" applyFill="1" applyFont="1">
      <alignment horizontal="center" readingOrder="0" shrinkToFit="0" vertical="center" wrapText="0"/>
    </xf>
    <xf borderId="0" fillId="0" fontId="3" numFmtId="0" xfId="0" applyAlignment="1" applyFont="1">
      <alignment horizontal="center" readingOrder="0" shrinkToFit="0" vertical="bottom" wrapText="0"/>
    </xf>
    <xf borderId="0" fillId="2" fontId="10" numFmtId="49" xfId="0" applyAlignment="1" applyFill="1" applyFont="1" applyNumberFormat="1">
      <alignment horizontal="center" readingOrder="0" shrinkToFit="0" vertical="center" wrapText="0"/>
    </xf>
    <xf borderId="0" fillId="2" fontId="16" numFmtId="0" xfId="0" applyAlignment="1" applyFill="1" applyFont="1">
      <alignment horizontal="center" shrinkToFit="0" vertical="center" wrapText="0"/>
    </xf>
    <xf borderId="0" fillId="26" fontId="16" numFmtId="0" xfId="0" applyAlignment="1" applyFill="1" applyFont="1">
      <alignment horizontal="center" readingOrder="0" shrinkToFit="0" vertical="center" wrapText="0"/>
    </xf>
    <xf borderId="2" fillId="2" fontId="18" numFmtId="0" xfId="0" applyAlignment="1" applyBorder="1" applyFill="1" applyFont="1">
      <alignment horizontal="center" readingOrder="0" shrinkToFit="0" vertical="center" wrapText="0"/>
    </xf>
    <xf borderId="1" fillId="2" fontId="10" numFmtId="49" xfId="0" applyAlignment="1" applyBorder="1" applyFill="1" applyFont="1" applyNumberFormat="1">
      <alignment horizontal="center" readingOrder="0" shrinkToFit="0" vertical="center" wrapText="0"/>
    </xf>
    <xf borderId="1" fillId="2" fontId="18" numFmtId="49" xfId="0" applyAlignment="1" applyBorder="1" applyFill="1" applyFont="1" applyNumberFormat="1">
      <alignment horizontal="center" shrinkToFit="0" vertical="center" wrapText="0"/>
    </xf>
    <xf borderId="1" fillId="2" fontId="18" numFmtId="49" xfId="0" applyAlignment="1" applyBorder="1" applyFill="1" applyFont="1" applyNumberFormat="1">
      <alignment horizontal="center" readingOrder="0" shrinkToFit="0" vertical="center" wrapText="0"/>
    </xf>
    <xf borderId="1" fillId="2" fontId="10" numFmtId="165" xfId="0" applyAlignment="1" applyBorder="1" applyFill="1" applyFont="1" applyNumberFormat="1">
      <alignment horizontal="center" shrinkToFit="0" vertical="center" wrapText="0"/>
    </xf>
    <xf borderId="1" fillId="2" fontId="79" numFmtId="49" xfId="0" applyAlignment="1" applyBorder="1" applyFill="1" applyFont="1" applyNumberFormat="1">
      <alignment horizontal="center" shrinkToFit="0" vertical="center" wrapText="0"/>
    </xf>
    <xf borderId="1" fillId="2" fontId="79" numFmtId="49" xfId="0" applyAlignment="1" applyBorder="1" applyFill="1" applyFont="1" applyNumberFormat="1">
      <alignment horizontal="center" readingOrder="0" shrinkToFit="0" vertical="center" wrapText="0"/>
    </xf>
    <xf borderId="1" fillId="2" fontId="10" numFmtId="49" xfId="0" applyAlignment="1" applyBorder="1" applyFill="1" applyFont="1" applyNumberFormat="1">
      <alignment horizontal="center" readingOrder="0" shrinkToFit="0" vertical="center" wrapText="0"/>
    </xf>
    <xf borderId="1" fillId="2" fontId="96" numFmtId="49" xfId="0" applyAlignment="1" applyBorder="1" applyFill="1" applyFont="1" applyNumberFormat="1">
      <alignment horizontal="center" shrinkToFit="0" vertical="center" wrapText="0"/>
    </xf>
    <xf borderId="1" fillId="2" fontId="11" numFmtId="49" xfId="0" applyAlignment="1" applyBorder="1" applyFill="1" applyFont="1" applyNumberFormat="1">
      <alignment shrinkToFit="0" vertical="center" wrapText="0"/>
    </xf>
    <xf borderId="0" fillId="2" fontId="10" numFmtId="0" xfId="0" applyAlignment="1" applyFill="1" applyFont="1">
      <alignment horizontal="center" readingOrder="0" shrinkToFit="0" vertical="center" wrapText="0"/>
    </xf>
    <xf borderId="0" fillId="2" fontId="10" numFmtId="0" xfId="0" applyAlignment="1" applyFill="1" applyFont="1">
      <alignment horizontal="center" readingOrder="0" shrinkToFit="0" vertical="center" wrapText="0"/>
    </xf>
    <xf borderId="0" fillId="2" fontId="18" numFmtId="0" xfId="0" applyAlignment="1" applyFill="1" applyFont="1">
      <alignment horizontal="center" readingOrder="0" shrinkToFit="0" vertical="center" wrapText="0"/>
    </xf>
    <xf borderId="0" fillId="20" fontId="10" numFmtId="49" xfId="0" applyAlignment="1" applyFill="1" applyFont="1" applyNumberFormat="1">
      <alignment horizontal="center" readingOrder="0" shrinkToFit="0" vertical="center" wrapText="0"/>
    </xf>
    <xf borderId="0" fillId="2" fontId="18" numFmtId="49" xfId="0" applyAlignment="1" applyFill="1" applyFont="1" applyNumberFormat="1">
      <alignment horizontal="center" readingOrder="0" shrinkToFit="0" vertical="center" wrapText="0"/>
    </xf>
    <xf borderId="0" fillId="0" fontId="3" numFmtId="49" xfId="0" applyAlignment="1" applyFont="1" applyNumberFormat="1">
      <alignment horizontal="center" readingOrder="0" shrinkToFit="0" vertical="center" wrapText="0"/>
    </xf>
    <xf borderId="0" fillId="2" fontId="79" numFmtId="0" xfId="0" applyAlignment="1" applyFill="1" applyFont="1">
      <alignment horizontal="center" readingOrder="0" shrinkToFit="0" vertical="center" wrapText="0"/>
    </xf>
    <xf borderId="0" fillId="2" fontId="18" numFmtId="0" xfId="0" applyAlignment="1" applyFill="1" applyFont="1">
      <alignment horizontal="center" readingOrder="0" shrinkToFit="0" vertical="center" wrapText="0"/>
    </xf>
    <xf borderId="0" fillId="2" fontId="10" numFmtId="0" xfId="0" applyAlignment="1" applyFill="1" applyFont="1">
      <alignment horizontal="center" readingOrder="0" shrinkToFit="0" vertical="center" wrapText="0"/>
    </xf>
    <xf borderId="0" fillId="2" fontId="96" numFmtId="0" xfId="0" applyAlignment="1" applyFill="1" applyFont="1">
      <alignment horizontal="center" readingOrder="0" shrinkToFit="0" vertical="center" wrapText="0"/>
    </xf>
    <xf borderId="0" fillId="2" fontId="97" numFmtId="0" xfId="0" applyAlignment="1" applyFill="1" applyFont="1">
      <alignment horizontal="center" readingOrder="0" shrinkToFit="0" vertical="center" wrapText="0"/>
    </xf>
    <xf borderId="0" fillId="2" fontId="11" numFmtId="0" xfId="0" applyAlignment="1" applyFill="1" applyFont="1">
      <alignment shrinkToFit="0" vertical="center" wrapText="0"/>
    </xf>
    <xf borderId="0" fillId="2" fontId="10" numFmtId="0" xfId="0" applyAlignment="1" applyFill="1" applyFont="1">
      <alignment horizontal="center" readingOrder="0" shrinkToFit="0" vertical="center" wrapText="0"/>
    </xf>
    <xf borderId="0" fillId="2" fontId="18" numFmtId="0" xfId="0" applyAlignment="1" applyFill="1" applyFont="1">
      <alignment horizontal="center" readingOrder="0" shrinkToFit="0" vertical="center" wrapText="0"/>
    </xf>
    <xf borderId="0" fillId="2" fontId="11" numFmtId="0" xfId="0" applyAlignment="1" applyFill="1" applyFont="1">
      <alignment readingOrder="0" shrinkToFit="0" vertical="center" wrapText="0"/>
    </xf>
    <xf borderId="0" fillId="4" fontId="79" numFmtId="0" xfId="0" applyAlignment="1" applyFill="1" applyFont="1">
      <alignment horizontal="center" readingOrder="0" shrinkToFit="0" vertical="center" wrapText="0"/>
    </xf>
    <xf borderId="2" fillId="2" fontId="11" numFmtId="0" xfId="0" applyAlignment="1" applyBorder="1" applyFill="1" applyFont="1">
      <alignment horizontal="center" readingOrder="0" shrinkToFit="0" vertical="center" wrapText="0"/>
    </xf>
    <xf borderId="1" fillId="2" fontId="16" numFmtId="49" xfId="0" applyAlignment="1" applyBorder="1" applyFill="1" applyFont="1" applyNumberFormat="1">
      <alignment horizontal="center" readingOrder="0" shrinkToFit="0" vertical="center" wrapText="0"/>
    </xf>
    <xf borderId="1" fillId="2" fontId="11" numFmtId="0" xfId="0" applyAlignment="1" applyBorder="1" applyFill="1" applyFont="1">
      <alignment horizontal="center" shrinkToFit="0" vertical="center" wrapText="0"/>
    </xf>
    <xf borderId="3" fillId="11" fontId="18" numFmtId="0" xfId="0" applyAlignment="1" applyBorder="1" applyFill="1" applyFont="1">
      <alignment horizontal="center" shrinkToFit="0" vertical="center" wrapText="0"/>
    </xf>
    <xf borderId="1" fillId="2" fontId="81" numFmtId="0" xfId="0" applyAlignment="1" applyBorder="1" applyFill="1" applyFont="1">
      <alignment horizontal="center" shrinkToFit="0" vertical="center" wrapText="0"/>
    </xf>
    <xf borderId="4" fillId="2" fontId="10" numFmtId="49" xfId="0" applyAlignment="1" applyBorder="1" applyFill="1" applyFont="1" applyNumberFormat="1">
      <alignment horizontal="center" readingOrder="0" shrinkToFit="0" vertical="center" wrapText="0"/>
    </xf>
    <xf borderId="1" fillId="2" fontId="80" numFmtId="0" xfId="0" applyAlignment="1" applyBorder="1" applyFill="1" applyFont="1">
      <alignment horizontal="center" readingOrder="0" shrinkToFit="0" vertical="center" wrapText="0"/>
    </xf>
    <xf borderId="1" fillId="2" fontId="11" numFmtId="0" xfId="0" applyAlignment="1" applyBorder="1" applyFill="1" applyFont="1">
      <alignment shrinkToFit="0" vertical="center" wrapText="0"/>
    </xf>
    <xf borderId="0" fillId="2" fontId="11" numFmtId="0" xfId="0" applyAlignment="1" applyFill="1" applyFont="1">
      <alignment horizontal="center" readingOrder="0" shrinkToFit="0" vertical="center" wrapText="0"/>
    </xf>
    <xf borderId="0" fillId="2" fontId="11" numFmtId="0" xfId="0" applyAlignment="1" applyFill="1" applyFont="1">
      <alignment horizontal="center" readingOrder="0" shrinkToFit="0" vertical="center" wrapText="0"/>
    </xf>
    <xf borderId="0" fillId="2" fontId="11" numFmtId="0" xfId="0" applyAlignment="1" applyFill="1" applyFont="1">
      <alignment horizontal="center" readingOrder="0" shrinkToFit="0" vertical="center" wrapText="0"/>
    </xf>
    <xf borderId="0" fillId="11" fontId="18" numFmtId="0" xfId="0" applyAlignment="1" applyFill="1" applyFont="1">
      <alignment horizontal="center" readingOrder="0" shrinkToFit="0" vertical="center" wrapText="0"/>
    </xf>
    <xf borderId="0" fillId="2" fontId="80" numFmtId="0" xfId="0" applyAlignment="1" applyFill="1" applyFont="1">
      <alignment horizontal="center" readingOrder="0" shrinkToFit="0" vertical="center" wrapText="0"/>
    </xf>
    <xf borderId="0" fillId="2" fontId="11" numFmtId="0" xfId="0" applyAlignment="1" applyFill="1" applyFont="1">
      <alignment horizontal="center" shrinkToFit="0" vertical="center" wrapText="0"/>
    </xf>
    <xf borderId="0" fillId="2" fontId="81" numFmtId="0" xfId="0" applyAlignment="1" applyFill="1" applyFont="1">
      <alignment horizontal="center" readingOrder="0" shrinkToFit="0" vertical="center" wrapText="0"/>
    </xf>
    <xf borderId="0" fillId="2" fontId="11" numFmtId="0" xfId="0" applyAlignment="1" applyFill="1" applyFont="1">
      <alignment horizontal="center" readingOrder="0" shrinkToFit="0" vertical="center" wrapText="0"/>
    </xf>
    <xf borderId="0" fillId="2" fontId="12" numFmtId="49" xfId="0" applyAlignment="1" applyFill="1" applyFont="1" applyNumberFormat="1">
      <alignment horizontal="center" readingOrder="0" shrinkToFit="0" vertical="center" wrapText="0"/>
    </xf>
    <xf borderId="0" fillId="4" fontId="11" numFmtId="0" xfId="0" applyAlignment="1" applyFill="1" applyFont="1">
      <alignment horizontal="center" readingOrder="0" shrinkToFit="0" vertical="center" wrapText="0"/>
    </xf>
    <xf borderId="2" fillId="2" fontId="81" numFmtId="0" xfId="0" applyAlignment="1" applyBorder="1" applyFill="1" applyFont="1">
      <alignment horizontal="center" readingOrder="0" shrinkToFit="0" vertical="center" wrapText="0"/>
    </xf>
    <xf borderId="1" fillId="2" fontId="79" numFmtId="0" xfId="0" applyAlignment="1" applyBorder="1" applyFill="1" applyFont="1">
      <alignment horizontal="center" shrinkToFit="0" vertical="center" wrapText="0"/>
    </xf>
    <xf borderId="1" fillId="2" fontId="84" numFmtId="0" xfId="0" applyAlignment="1" applyBorder="1" applyFill="1" applyFont="1">
      <alignment horizontal="center" shrinkToFit="0" vertical="center" wrapText="0"/>
    </xf>
    <xf borderId="1" fillId="2" fontId="79" numFmtId="0" xfId="0" applyAlignment="1" applyBorder="1" applyFill="1" applyFont="1">
      <alignment horizontal="center" readingOrder="0" shrinkToFit="0" vertical="center" wrapText="0"/>
    </xf>
    <xf borderId="1" fillId="2" fontId="3" numFmtId="49" xfId="0" applyAlignment="1" applyBorder="1" applyFill="1" applyFont="1" applyNumberFormat="1">
      <alignment horizontal="center" readingOrder="0" shrinkToFit="0" vertical="center" wrapText="0"/>
    </xf>
    <xf borderId="1" fillId="2" fontId="80" numFmtId="49" xfId="0" applyAlignment="1" applyBorder="1" applyFill="1" applyFont="1" applyNumberFormat="1">
      <alignment horizontal="center" readingOrder="0" shrinkToFit="0" vertical="center" wrapText="0"/>
    </xf>
    <xf borderId="1" fillId="2" fontId="97" numFmtId="0" xfId="0" applyAlignment="1" applyBorder="1" applyFill="1" applyFont="1">
      <alignment horizontal="center" readingOrder="0" shrinkToFit="0" vertical="center" wrapText="0"/>
    </xf>
    <xf borderId="0" fillId="27" fontId="11" numFmtId="0" xfId="0" applyAlignment="1" applyFill="1" applyFont="1">
      <alignment horizontal="center" readingOrder="0" shrinkToFit="0" vertical="center" wrapText="0"/>
    </xf>
    <xf borderId="0" fillId="2" fontId="10" numFmtId="0" xfId="0" applyAlignment="1" applyFill="1" applyFont="1">
      <alignment horizontal="center" readingOrder="0" shrinkToFit="0" vertical="center" wrapText="0"/>
    </xf>
    <xf borderId="0" fillId="2" fontId="12" numFmtId="49" xfId="0" applyAlignment="1" applyFill="1" applyFont="1" applyNumberFormat="1">
      <alignment horizontal="center" readingOrder="0" shrinkToFit="0" vertical="center" wrapText="0"/>
    </xf>
    <xf borderId="0" fillId="25" fontId="11" numFmtId="0" xfId="0" applyAlignment="1" applyFill="1" applyFont="1">
      <alignment horizontal="center" readingOrder="0" shrinkToFit="0" vertical="center" wrapText="0"/>
    </xf>
    <xf borderId="0" fillId="2" fontId="18" numFmtId="0" xfId="0" applyAlignment="1" applyFill="1" applyFont="1">
      <alignment horizontal="center" readingOrder="0" shrinkToFit="0" vertical="center" wrapText="0"/>
    </xf>
    <xf borderId="0" fillId="2" fontId="81" numFmtId="0" xfId="0" applyAlignment="1" applyFill="1" applyFont="1">
      <alignment horizontal="center" readingOrder="0" shrinkToFit="0" vertical="center" wrapText="0"/>
    </xf>
    <xf borderId="0" fillId="2" fontId="10" numFmtId="0" xfId="0" applyAlignment="1" applyFill="1" applyFont="1">
      <alignment horizontal="center" shrinkToFit="0" vertical="center" wrapText="0"/>
    </xf>
    <xf borderId="0" fillId="2" fontId="80" numFmtId="0" xfId="0" applyAlignment="1" applyFill="1" applyFont="1">
      <alignment horizontal="center" readingOrder="0" shrinkToFit="0" vertical="center" wrapText="0"/>
    </xf>
    <xf borderId="0" fillId="2" fontId="11" numFmtId="0" xfId="0" applyAlignment="1" applyFill="1" applyFont="1">
      <alignment readingOrder="0" shrinkToFit="0" vertical="center" wrapText="0"/>
    </xf>
    <xf borderId="0" fillId="2" fontId="11" numFmtId="0" xfId="0" applyAlignment="1" applyFill="1" applyFont="1">
      <alignment horizontal="center" readingOrder="0" shrinkToFit="0" vertical="center" wrapText="0"/>
    </xf>
    <xf borderId="0" fillId="2" fontId="11" numFmtId="0" xfId="0" applyAlignment="1" applyFill="1" applyFont="1">
      <alignment horizontal="center" readingOrder="0" shrinkToFit="0" vertical="center" wrapText="0"/>
    </xf>
    <xf borderId="0" fillId="15" fontId="16" numFmtId="49" xfId="0" applyAlignment="1" applyFill="1" applyFont="1" applyNumberFormat="1">
      <alignment horizontal="center" readingOrder="0" shrinkToFit="0" vertical="center" wrapText="0"/>
    </xf>
    <xf borderId="2" fillId="2" fontId="11" numFmtId="0" xfId="0" applyAlignment="1" applyBorder="1" applyFill="1" applyFont="1">
      <alignment horizontal="center" readingOrder="0" shrinkToFit="0" vertical="center" wrapText="0"/>
    </xf>
    <xf borderId="1" fillId="2" fontId="13" numFmtId="0" xfId="0" applyAlignment="1" applyBorder="1" applyFill="1" applyFont="1">
      <alignment horizontal="center" shrinkToFit="0" vertical="center" wrapText="0"/>
    </xf>
    <xf borderId="1" fillId="2" fontId="3" numFmtId="49" xfId="0" applyAlignment="1" applyBorder="1" applyFill="1" applyFont="1" applyNumberFormat="1">
      <alignment horizontal="center" shrinkToFit="0" vertical="center" wrapText="0"/>
    </xf>
    <xf borderId="1" fillId="2" fontId="13" numFmtId="49" xfId="0" applyAlignment="1" applyBorder="1" applyFill="1" applyFont="1" applyNumberFormat="1">
      <alignment horizontal="center" readingOrder="0" shrinkToFit="0" vertical="center" wrapText="0"/>
    </xf>
    <xf borderId="1" fillId="25" fontId="79" numFmtId="0" xfId="0" applyAlignment="1" applyBorder="1" applyFill="1" applyFont="1">
      <alignment horizontal="center" readingOrder="0" shrinkToFit="0" vertical="center" wrapText="0"/>
    </xf>
    <xf borderId="1" fillId="2" fontId="84" numFmtId="0" xfId="0" applyAlignment="1" applyBorder="1" applyFill="1" applyFont="1">
      <alignment horizontal="center" readingOrder="0" shrinkToFit="0" vertical="center" wrapText="0"/>
    </xf>
    <xf borderId="1" fillId="2" fontId="13" numFmtId="0" xfId="0" applyAlignment="1" applyBorder="1" applyFill="1" applyFont="1">
      <alignment horizontal="center" readingOrder="0" shrinkToFit="0" vertical="center" wrapText="0"/>
    </xf>
    <xf borderId="1" fillId="2" fontId="13" numFmtId="49" xfId="0" applyAlignment="1" applyBorder="1" applyFill="1" applyFont="1" applyNumberFormat="1">
      <alignment horizontal="center" readingOrder="0" shrinkToFit="0" vertical="center" wrapText="0"/>
    </xf>
    <xf borderId="1" fillId="2" fontId="5" numFmtId="0" xfId="0" applyAlignment="1" applyBorder="1" applyFill="1" applyFont="1">
      <alignment horizontal="center" readingOrder="0" shrinkToFit="0" vertical="center" wrapText="0"/>
    </xf>
    <xf borderId="1" fillId="2" fontId="96" numFmtId="0" xfId="0" applyAlignment="1" applyBorder="1" applyFill="1" applyFont="1">
      <alignment horizontal="center" readingOrder="0" shrinkToFit="0" vertical="center" wrapText="0"/>
    </xf>
    <xf borderId="1" fillId="2" fontId="11" numFmtId="0" xfId="0" applyAlignment="1" applyBorder="1" applyFill="1" applyFont="1">
      <alignment readingOrder="0" shrinkToFit="0" vertical="center" wrapText="0"/>
    </xf>
    <xf borderId="0" fillId="4" fontId="18" numFmtId="0" xfId="0" applyAlignment="1" applyFill="1" applyFont="1">
      <alignment horizontal="center" readingOrder="0" shrinkToFit="0" vertical="center" wrapText="0"/>
    </xf>
    <xf borderId="0" fillId="0" fontId="98" numFmtId="0" xfId="0" applyAlignment="1" applyFont="1">
      <alignment horizontal="center" readingOrder="0" shrinkToFit="0" vertical="center" wrapText="0"/>
    </xf>
    <xf borderId="0" fillId="25" fontId="18" numFmtId="0" xfId="0" applyAlignment="1" applyFill="1" applyFont="1">
      <alignment horizontal="center" readingOrder="0" shrinkToFit="0" vertical="center" wrapText="0"/>
    </xf>
    <xf borderId="0" fillId="15" fontId="11" numFmtId="0" xfId="0" applyAlignment="1" applyFill="1" applyFont="1">
      <alignment horizontal="center" readingOrder="0" shrinkToFit="0" vertical="center" wrapText="0"/>
    </xf>
    <xf borderId="0" fillId="2" fontId="10" numFmtId="49" xfId="0" applyAlignment="1" applyFill="1" applyFont="1" applyNumberFormat="1">
      <alignment horizontal="center" shrinkToFit="0" vertical="center" wrapText="0"/>
    </xf>
    <xf borderId="0" fillId="2" fontId="18" numFmtId="49" xfId="0" applyAlignment="1" applyFill="1" applyFont="1" applyNumberFormat="1">
      <alignment horizontal="center" shrinkToFit="0" vertical="center" wrapText="0"/>
    </xf>
    <xf borderId="0" fillId="2" fontId="99" numFmtId="49" xfId="0" applyAlignment="1" applyFill="1" applyFont="1" applyNumberFormat="1">
      <alignment horizontal="center" readingOrder="0" shrinkToFit="0" vertical="center" wrapText="0"/>
    </xf>
    <xf borderId="0" fillId="11" fontId="16" numFmtId="0" xfId="0" applyAlignment="1" applyFill="1" applyFont="1">
      <alignment horizontal="center" readingOrder="0" shrinkToFit="0" vertical="center" wrapText="0"/>
    </xf>
    <xf borderId="0" fillId="2" fontId="16" numFmtId="49" xfId="0" applyAlignment="1" applyFill="1" applyFont="1" applyNumberFormat="1">
      <alignment readingOrder="0" shrinkToFit="0" vertical="center" wrapText="0"/>
    </xf>
    <xf borderId="0" fillId="28" fontId="16" numFmtId="49" xfId="0" applyAlignment="1" applyFill="1" applyFont="1" applyNumberFormat="1">
      <alignment horizontal="center" readingOrder="0" shrinkToFit="0" vertical="center" wrapText="0"/>
    </xf>
    <xf borderId="2" fillId="2" fontId="11" numFmtId="0" xfId="0" applyAlignment="1" applyBorder="1" applyFill="1" applyFont="1">
      <alignment shrinkToFit="0" vertical="center" wrapText="0"/>
    </xf>
    <xf borderId="1" fillId="2" fontId="11" numFmtId="49" xfId="0" applyAlignment="1" applyBorder="1" applyFill="1" applyFont="1" applyNumberFormat="1">
      <alignment horizontal="center" shrinkToFit="0" vertical="center" wrapText="0"/>
    </xf>
    <xf borderId="1" fillId="2" fontId="11" numFmtId="0" xfId="0" applyAlignment="1" applyBorder="1" applyFill="1" applyFont="1">
      <alignment shrinkToFit="0" vertical="center" wrapText="0"/>
    </xf>
    <xf borderId="1" fillId="2" fontId="80" numFmtId="0" xfId="0" applyAlignment="1" applyBorder="1" applyFill="1" applyFont="1">
      <alignment horizontal="center" shrinkToFit="0" vertical="center" wrapText="0"/>
    </xf>
    <xf borderId="1" fillId="2" fontId="80" numFmtId="0" xfId="0" applyAlignment="1" applyBorder="1" applyFill="1" applyFont="1">
      <alignment horizontal="center" shrinkToFit="0" vertical="center" wrapText="0"/>
    </xf>
    <xf borderId="5" fillId="2" fontId="11" numFmtId="0" xfId="0" applyAlignment="1" applyBorder="1" applyFill="1" applyFont="1">
      <alignment shrinkToFit="0" vertical="center" wrapText="0"/>
    </xf>
    <xf borderId="0" fillId="2" fontId="11" numFmtId="0" xfId="0" applyAlignment="1" applyFill="1" applyFont="1">
      <alignment readingOrder="0" shrinkToFit="0" vertical="center" wrapText="0"/>
    </xf>
    <xf borderId="0" fillId="0" fontId="16" numFmtId="49" xfId="0" applyAlignment="1" applyFont="1" applyNumberFormat="1">
      <alignment horizontal="center"/>
    </xf>
    <xf borderId="0" fillId="2" fontId="16" numFmtId="49" xfId="0" applyAlignment="1" applyFill="1" applyFont="1" applyNumberFormat="1">
      <alignment horizontal="center"/>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626E7A"/>
          <bgColor rgb="FF626E7A"/>
        </patternFill>
      </fill>
      <border/>
    </dxf>
    <dxf>
      <font/>
      <fill>
        <patternFill patternType="solid">
          <fgColor rgb="FF5B3F86"/>
          <bgColor rgb="FF5B3F86"/>
        </patternFill>
      </fill>
      <border/>
    </dxf>
    <dxf>
      <font/>
      <fill>
        <patternFill patternType="solid">
          <fgColor rgb="FFF8F9FA"/>
          <bgColor rgb="FFF8F9FA"/>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FF2CC"/>
          <bgColor rgb="FFFFF2CC"/>
        </patternFill>
      </fill>
      <border/>
    </dxf>
  </dxfs>
  <tableStyles count="4">
    <tableStyle count="4" pivot="0" name="Appraisers-style">
      <tableStyleElement dxfId="1" type="headerRow"/>
      <tableStyleElement dxfId="2" type="firstRowStripe"/>
      <tableStyleElement dxfId="3" type="secondRowStripe"/>
      <tableStyleElement dxfId="4" size="0" type="wholeTable"/>
    </tableStyle>
    <tableStyle count="4" pivot="0" name="New ClientList-style">
      <tableStyleElement dxfId="5" type="headerRow"/>
      <tableStyleElement dxfId="2" type="firstRowStripe"/>
      <tableStyleElement dxfId="2" type="secondRowStripe"/>
      <tableStyleElement dxfId="4" size="0" type="wholeTable"/>
    </tableStyle>
    <tableStyle count="4" pivot="0" name="Uriarte-style">
      <tableStyleElement dxfId="1" type="headerRow"/>
      <tableStyleElement dxfId="2" type="firstRowStripe"/>
      <tableStyleElement dxfId="3" type="secondRowStripe"/>
      <tableStyleElement dxfId="4" size="0" type="wholeTable"/>
    </tableStyle>
    <tableStyle count="4" pivot="0" name="Form Responses 1-style">
      <tableStyleElement dxfId="6" type="headerRow"/>
      <tableStyleElement dxfId="2"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d89e338-876a-452a-894d-520d1eda8ad4}">
    <Anchor>
      <Comment id="{2a618f2e-62ec-4ac1-8ea6-0a08bc763212}"/>
    </Anchor>
    <History>
      <Event time="2024-07-18T16:51:07.00" id="{30d88b5d-98f1-4645-bbde-6f70a142b637}">
        <Attribution userId="placeholder@email.com" userName="IP Adjusting Group LLC" userProvider="google-sheets"/>
        <Anchor>
          <Comment id="{2a618f2e-62ec-4ac1-8ea6-0a08bc763212}"/>
        </Anchor>
        <Create/>
      </Event>
      <Event time="2024-07-18T16:51:07.00" id="{3683f0b4-258b-4d28-a83b-23a4c093a39e}">
        <Attribution userId="placeholder@email.com" userName="IP Adjusting Group LLC" userProvider="google-sheets"/>
        <Anchor>
          <Comment id="{2a618f2e-62ec-4ac1-8ea6-0a08bc763212}"/>
        </Anchor>
        <Assign userId="sarah@ipadjustinggroup.com" userName="sarah@ipadjustinggroup.com" userProvider="google-sheets"/>
      </Event>
    </History>
  </Task>
  <Task id="{5a560af8-d863-4c38-b244-51ce0a61ba3b}">
    <Anchor>
      <Comment id="{1ebfa6d9-09ec-4db1-98bc-4c1775d04a6a}"/>
    </Anchor>
    <History>
      <Event time="2024-07-10T17:02:05.00" id="{8374e07c-ceb5-4e34-a3ea-54d6f44e4bee}">
        <Attribution userId="placeholder@email.com" userName="Scheduling IP" userProvider="google-sheets"/>
        <Anchor>
          <Comment id="{1ebfa6d9-09ec-4db1-98bc-4c1775d04a6a}"/>
        </Anchor>
        <Create/>
      </Event>
      <Event time="2024-07-10T17:02:05.00" id="{7c7a207f-7192-47c0-aba8-9f6c89edd022}">
        <Attribution userId="placeholder@email.com" userName="Scheduling IP" userProvider="google-sheets"/>
        <Anchor>
          <Comment id="{1ebfa6d9-09ec-4db1-98bc-4c1775d04a6a}"/>
        </Anchor>
        <Assign userId="admin@ipadjustinggroup.com" userName="admin@ipadjustinggroup.com" userProvider="google-sheets"/>
      </Event>
    </History>
  </Task>
  <Task id="{fcc00562-c4c9-469a-b008-d40c5035d73e}">
    <Anchor>
      <Comment id="{15ac3cdd-49e7-4362-b4a3-145e2fcd4c87}"/>
    </Anchor>
    <History>
      <Event time="2024-07-10T17:03:16.00" id="{6c26b781-dc9a-4723-bf1b-ea8b19c78aea}">
        <Attribution userId="placeholder@email.com" userName="Scheduling IP" userProvider="google-sheets"/>
        <Anchor>
          <Comment id="{15ac3cdd-49e7-4362-b4a3-145e2fcd4c87}"/>
        </Anchor>
        <Create/>
      </Event>
      <Event time="2024-07-10T17:03:16.00" id="{f8ba0174-2a14-43a0-b779-0e2978a2573a}">
        <Attribution userId="placeholder@email.com" userName="Scheduling IP" userProvider="google-sheets"/>
        <Anchor>
          <Comment id="{15ac3cdd-49e7-4362-b4a3-145e2fcd4c87}"/>
        </Anchor>
        <Assign userId="admin@ipadjustinggroup.com" userName="admin@ipadjustinggroup.com" userProvider="google-sheets"/>
      </Event>
    </History>
  </Task>
  <Task id="{68f3b380-c0be-4f30-b89b-bd8a587f64f3}">
    <Anchor>
      <Comment id="{a93664c6-0892-48f9-8191-f2519ebafc80}"/>
    </Anchor>
    <History>
      <Event time="2024-07-15T16:04:24.00" id="{3f599ad2-a0da-405f-96d7-6f3003f9b33d}">
        <Attribution userId="placeholder@email.com" userName="IP Adjusting Group LLC" userProvider="google-sheets"/>
        <Anchor>
          <Comment id="{a93664c6-0892-48f9-8191-f2519ebafc80}"/>
        </Anchor>
        <Create/>
      </Event>
      <Event time="2024-07-15T16:04:24.00" id="{adf10589-809d-47f1-831a-eac7c2ced3e9}">
        <Attribution userId="placeholder@email.com" userName="IP Adjusting Group LLC" userProvider="google-sheets"/>
        <Anchor>
          <Comment id="{a93664c6-0892-48f9-8191-f2519ebafc80}"/>
        </Anchor>
        <Assign userId="scheduling@ipadjustinggroup.com" userName="scheduling@ipadjustinggroup.com" userProvider="google-sheets"/>
      </Event>
    </History>
  </Task>
  <Task id="{4f0efa9c-b207-4cd9-a789-40eec86bc94c}">
    <Anchor>
      <Comment id="{a0dd8c03-6452-44ec-8637-517da8b16cf0}"/>
    </Anchor>
    <History>
      <Event time="2024-07-17T20:52:26.00" id="{f38781ee-5bab-450d-9f4d-616f02f19b38}">
        <Attribution userId="placeholder@email.com" userName="IP Adjusting Group LLC" userProvider="google-sheets"/>
        <Anchor>
          <Comment id="{a0dd8c03-6452-44ec-8637-517da8b16cf0}"/>
        </Anchor>
        <Create/>
      </Event>
      <Event time="2024-07-17T20:52:26.00" id="{5455bb34-e7d3-4de3-83d2-552be2c151d4}">
        <Attribution userId="placeholder@email.com" userName="IP Adjusting Group LLC" userProvider="google-sheets"/>
        <Anchor>
          <Comment id="{a0dd8c03-6452-44ec-8637-517da8b16cf0}"/>
        </Anchor>
        <Assign userId="jp.ipestimates@gmail.com" userName="jp.ipestimates@gmail.com" userProvider="google-sheets"/>
      </Event>
    </History>
  </Task>
  <Task id="{ec488c8a-2917-43ee-b0f3-fa898dd80af2}">
    <Anchor>
      <Comment id="{5b01c7fe-965c-49f4-9fb9-d908f792ef6d}"/>
    </Anchor>
    <History>
      <Event time="2024-07-17T23:24:46.00" id="{338e47f7-3c83-40bc-a6fa-d7b175043852}">
        <Attribution userId="placeholder@email.com" userName="IP Adjusting Group LLC" userProvider="google-sheets"/>
        <Anchor>
          <Comment id="{5b01c7fe-965c-49f4-9fb9-d908f792ef6d}"/>
        </Anchor>
        <Create/>
      </Event>
      <Event time="2024-07-17T23:24:46.00" id="{9748fbc4-e91e-4383-85e0-cc0cff9cc922}">
        <Attribution userId="placeholder@email.com" userName="IP Adjusting Group LLC" userProvider="google-sheets"/>
        <Anchor>
          <Comment id="{5b01c7fe-965c-49f4-9fb9-d908f792ef6d}"/>
        </Anchor>
        <Assign userId="scheduling@ipadjustinggroup.com" userName="scheduling@ipadjustinggroup.com" userProvider="google-sheets"/>
      </Event>
    </History>
  </Task>
  <Task id="{c7a393b5-255a-4af5-b75c-006b718c834b}">
    <Anchor>
      <Comment id="{3fb4029b-2c32-4e13-9376-e6c94d485397}"/>
    </Anchor>
    <History>
      <Event time="2024-08-22T15:15:14.00" id="{328e1bdc-0689-4082-abfd-1e3c5eae60df}">
        <Attribution userId="placeholder@email.com" userName="IP Adjusting Group LLC" userProvider="google-sheets"/>
        <Anchor>
          <Comment id="{3fb4029b-2c32-4e13-9376-e6c94d485397}"/>
        </Anchor>
        <Create/>
      </Event>
      <Event time="2024-08-22T15:15:14.00" id="{bd085095-6c56-49f2-9f50-f05bdce8a6bf}">
        <Attribution userId="placeholder@email.com" userName="IP Adjusting Group LLC" userProvider="google-sheets"/>
        <Anchor>
          <Comment id="{3fb4029b-2c32-4e13-9376-e6c94d485397}"/>
        </Anchor>
        <Assign userId="scheduling@ipadjustinggroup.com" userName="scheduling@ipadjustinggroup.com" userProvider="google-sheets"/>
      </Event>
    </History>
  </Task>
  <Task id="{3aa8efec-ceab-4f58-b792-75ea9ca82ec7}">
    <Anchor>
      <Comment id="{24268bba-25b6-4c96-ab99-7ee1fb8dfdc5}"/>
    </Anchor>
    <History>
      <Event time="2024-08-13T15:07:52.00" id="{788e53d1-479b-4138-8f0f-79d11a7e0053}">
        <Attribution userId="placeholder@email.com" userName="IP Adjusting Group LLC" userProvider="google-sheets"/>
        <Anchor>
          <Comment id="{24268bba-25b6-4c96-ab99-7ee1fb8dfdc5}"/>
        </Anchor>
        <Create/>
      </Event>
      <Event time="2024-08-13T15:07:52.00" id="{941a2c9a-2827-406c-ac31-babe9c2300f9}">
        <Attribution userId="placeholder@email.com" userName="IP Adjusting Group LLC" userProvider="google-sheets"/>
        <Anchor>
          <Comment id="{24268bba-25b6-4c96-ab99-7ee1fb8dfdc5}"/>
        </Anchor>
        <Assign userId="admin@ipadjustinggroup.com" userName="admin@ipadjustinggroup.com" userProvider="google-sheets"/>
      </Event>
    </History>
  </Task>
  <Task id="{88ac1420-c40b-41c5-ba3d-687be22a3111}">
    <Anchor>
      <Comment id="{b5c26f07-b10a-4c87-9b49-9f9a242d6126}"/>
    </Anchor>
    <History>
      <Event time="2024-08-14T22:47:31.00" id="{407e042f-a750-4ecf-b39d-60d77b5c023f}">
        <Attribution userId="placeholder@email.com" userName="IP Adjusting Group LLC" userProvider="google-sheets"/>
        <Anchor>
          <Comment id="{b5c26f07-b10a-4c87-9b49-9f9a242d6126}"/>
        </Anchor>
        <Create/>
      </Event>
      <Event time="2024-08-14T22:47:31.00" id="{f36fa6bf-dea7-41da-9436-dd2cb86116fd}">
        <Attribution userId="placeholder@email.com" userName="IP Adjusting Group LLC" userProvider="google-sheets"/>
        <Anchor>
          <Comment id="{b5c26f07-b10a-4c87-9b49-9f9a242d6126}"/>
        </Anchor>
        <Assign userId="scheduling@ipadjustinggroup.com" userName="scheduling@ipadjustinggroup.com" userProvider="google-sheets"/>
      </Event>
    </History>
  </Task>
  <Task id="{0eb42383-b32f-4b0f-ad46-3203e8e6a085}">
    <Anchor>
      <Comment id="{22347d22-17be-4cab-8ac4-f29eec81eec6}"/>
    </Anchor>
    <History>
      <Event time="2024-08-28T21:40:14.00" id="{6f24559e-c50c-4681-843d-6946d70aedca}">
        <Attribution userId="placeholder@email.com" userName="IP Adjusting Group LLC" userProvider="google-sheets"/>
        <Anchor>
          <Comment id="{22347d22-17be-4cab-8ac4-f29eec81eec6}"/>
        </Anchor>
        <Create/>
      </Event>
      <Event time="2024-08-28T21:40:14.00" id="{2d010d2d-ec1b-4106-ab00-43c3da794dba}">
        <Attribution userId="placeholder@email.com" userName="IP Adjusting Group LLC" userProvider="google-sheets"/>
        <Anchor>
          <Comment id="{22347d22-17be-4cab-8ac4-f29eec81eec6}"/>
        </Anchor>
        <Assign userId="admin@ipadjustinggroup.com" userName="admin@ipadjustinggroup.com" userProvider="google-sheets"/>
      </Event>
    </History>
  </Task>
  <Task id="{61830fbb-863b-4b99-9762-9486b7590b26}">
    <Anchor>
      <Comment id="{cf9ec8d3-76cb-4291-9a83-6943b7b25930}"/>
    </Anchor>
    <History>
      <Event time="2024-08-16T14:38:49.00" id="{7c80e3a6-f0f2-428a-99e8-df82694209dc}">
        <Attribution userId="placeholder@email.com" userName="IP Adjusting Group LLC" userProvider="google-sheets"/>
        <Anchor>
          <Comment id="{cf9ec8d3-76cb-4291-9a83-6943b7b25930}"/>
        </Anchor>
        <Create/>
      </Event>
      <Event time="2024-08-16T14:38:49.00" id="{be1f805d-f699-487c-a60a-f58b01da8ef2}">
        <Attribution userId="placeholder@email.com" userName="IP Adjusting Group LLC" userProvider="google-sheets"/>
        <Anchor>
          <Comment id="{cf9ec8d3-76cb-4291-9a83-6943b7b25930}"/>
        </Anchor>
        <Assign userId="scheduling@ipadjustinggroup.com" userName="scheduling@ipadjustinggroup.com" userProvider="google-sheets"/>
      </Event>
    </History>
  </Task>
  <Task id="{3474d0b0-f774-4ce6-b16e-5819c9791cb2}">
    <Anchor>
      <Comment id="{fd4a1a96-6c93-4229-9926-07293147cde8}"/>
    </Anchor>
    <History>
      <Event time="2024-10-18T16:36:32.00" id="{49e6debc-1c82-46ad-8be6-71967e8d8a4d}">
        <Attribution userId="placeholder@email.com" userName="IP Adjusting Group LLC" userProvider="google-sheets"/>
        <Anchor>
          <Comment id="{fd4a1a96-6c93-4229-9926-07293147cde8}"/>
        </Anchor>
        <Create/>
      </Event>
      <Event time="2024-10-18T16:36:32.00" id="{a5a38627-c442-4781-ab24-8e780cc55f0a}">
        <Attribution userId="placeholder@email.com" userName="IP Adjusting Group LLC" userProvider="google-sheets"/>
        <Anchor>
          <Comment id="{fd4a1a96-6c93-4229-9926-07293147cde8}"/>
        </Anchor>
        <Assign userId="admin@ipadjustinggroup.com" userName="admin@ipadjustinggroup.com" userProvider="google-sheets"/>
      </Event>
    </History>
  </Task>
  <Task id="{97b8d7d6-da87-4686-860d-c0c1ffadb7b1}">
    <Anchor>
      <Comment id="{a3dea2fa-5f26-4501-9778-83eb24ed4b43}"/>
    </Anchor>
    <History>
      <Event time="2024-10-18T16:37:10.00" id="{e5b34311-9e72-40f8-89f2-3de0b49b84de}">
        <Attribution userId="placeholder@email.com" userName="IP Adjusting Group LLC" userProvider="google-sheets"/>
        <Anchor>
          <Comment id="{a3dea2fa-5f26-4501-9778-83eb24ed4b43}"/>
        </Anchor>
        <Create/>
      </Event>
      <Event time="2024-10-18T16:37:10.00" id="{88998183-394b-4119-8ab6-0182ef3b443b}">
        <Attribution userId="placeholder@email.com" userName="IP Adjusting Group LLC" userProvider="google-sheets"/>
        <Anchor>
          <Comment id="{a3dea2fa-5f26-4501-9778-83eb24ed4b43}"/>
        </Anchor>
        <Assign userId="admin@ipadjustinggroup.com" userName="admin@ipadjustinggroup.com" userProvider="google-sheets"/>
      </Event>
    </History>
  </Task>
  <Task id="{6673a7a9-cac4-4bd7-b310-0f571c9347f4}">
    <Anchor>
      <Comment id="{461693b6-7f2c-4f32-97c4-76e46bb08ebf}"/>
    </Anchor>
    <History>
      <Event time="2024-09-12T16:36:28.00" id="{28a4d9ca-3517-4bd1-b19e-7ad6e3cb9e15}">
        <Attribution userId="placeholder@email.com" userName="IP Adjusting Group LLC" userProvider="google-sheets"/>
        <Anchor>
          <Comment id="{461693b6-7f2c-4f32-97c4-76e46bb08ebf}"/>
        </Anchor>
        <Create/>
      </Event>
      <Event time="2024-09-12T16:36:28.00" id="{b6c3a8e9-cb07-43ce-be77-102e51533308}">
        <Attribution userId="placeholder@email.com" userName="IP Adjusting Group LLC" userProvider="google-sheets"/>
        <Anchor>
          <Comment id="{461693b6-7f2c-4f32-97c4-76e46bb08ebf}"/>
        </Anchor>
        <Assign userId="scheduling@ipadjustinggroup.com" userName="scheduling@ipadjustinggroup.com" userProvider="google-sheets"/>
      </Event>
    </History>
  </Task>
  <Task id="{e70dae1a-b5c7-4f50-860f-54837154a5a4}">
    <Anchor>
      <Comment id="{fbe31a5f-8bc4-4da2-a078-60ddd36192f0}"/>
    </Anchor>
    <History>
      <Event time="2024-09-12T16:37:36.00" id="{83bd0dfc-3466-4159-801a-2de085298464}">
        <Attribution userId="placeholder@email.com" userName="IP Adjusting Group LLC" userProvider="google-sheets"/>
        <Anchor>
          <Comment id="{fbe31a5f-8bc4-4da2-a078-60ddd36192f0}"/>
        </Anchor>
        <Create/>
      </Event>
      <Event time="2024-09-12T16:37:36.00" id="{02ae98bc-3a6e-4d38-aab8-347f1fdb55e5}">
        <Attribution userId="placeholder@email.com" userName="IP Adjusting Group LLC" userProvider="google-sheets"/>
        <Anchor>
          <Comment id="{fbe31a5f-8bc4-4da2-a078-60ddd36192f0}"/>
        </Anchor>
        <Assign userId="scheduling@ipadjustinggroup.com" userName="scheduling@ipadjustinggroup.com" userProvider="google-sheets"/>
      </Event>
    </History>
  </Task>
  <Task id="{007356c1-3397-49f7-ba04-1b771eb83cc5}">
    <Anchor>
      <Comment id="{f67a97fb-407c-49f5-b321-175cd6f55e71}"/>
    </Anchor>
    <History>
      <Event time="2024-09-12T16:39:37.00" id="{ae686045-62cc-42d7-88f6-0ae10beeedbb}">
        <Attribution userId="placeholder@email.com" userName="IP Adjusting Group LLC" userProvider="google-sheets"/>
        <Anchor>
          <Comment id="{f67a97fb-407c-49f5-b321-175cd6f55e71}"/>
        </Anchor>
        <Create/>
      </Event>
      <Event time="2024-09-12T16:39:37.00" id="{1c3f1b40-1a69-415d-8a46-534630c96238}">
        <Attribution userId="placeholder@email.com" userName="IP Adjusting Group LLC" userProvider="google-sheets"/>
        <Anchor>
          <Comment id="{f67a97fb-407c-49f5-b321-175cd6f55e71}"/>
        </Anchor>
        <Assign userId="scheduling@ipadjustinggroup.com" userName="scheduling@ipadjustinggroup.com" userProvider="google-sheets"/>
      </Event>
    </History>
  </Task>
  <Task id="{dedbb031-20e6-4bba-a6de-558fca7db5e0}">
    <Anchor>
      <Comment id="{be640adf-30d8-4531-b167-521bc4ccb529}"/>
    </Anchor>
    <History>
      <Event time="2024-09-12T16:42:21.00" id="{00294a70-fa18-42b9-9514-8e848d4692c6}">
        <Attribution userId="placeholder@email.com" userName="IP Adjusting Group LLC" userProvider="google-sheets"/>
        <Anchor>
          <Comment id="{be640adf-30d8-4531-b167-521bc4ccb529}"/>
        </Anchor>
        <Create/>
      </Event>
      <Event time="2024-09-12T16:42:21.00" id="{e1f59641-a427-4e2d-95c7-5db31ed08d8a}">
        <Attribution userId="placeholder@email.com" userName="IP Adjusting Group LLC" userProvider="google-sheets"/>
        <Anchor>
          <Comment id="{be640adf-30d8-4531-b167-521bc4ccb529}"/>
        </Anchor>
        <Assign userId="scheduling@ipadjustinggroup.com" userName="scheduling@ipadjustinggroup.com" userProvider="google-sheets"/>
      </Event>
    </History>
  </Task>
  <Task id="{895b3ff0-6ea0-492f-9c18-5682a560baf7}">
    <Anchor>
      <Comment id="{a737b835-e9c1-4aef-83f4-cb4f88fa0de0}"/>
    </Anchor>
    <History>
      <Event time="2024-09-11T21:24:51.00" id="{6f4a027e-996b-4fae-8af1-fc1bcbdbb9a7}">
        <Attribution userId="placeholder@email.com" userName="IP Adjusting Group LLC" userProvider="google-sheets"/>
        <Anchor>
          <Comment id="{a737b835-e9c1-4aef-83f4-cb4f88fa0de0}"/>
        </Anchor>
        <Create/>
      </Event>
      <Event time="2024-09-11T21:24:51.00" id="{3b9339a4-490b-4df7-bb70-d8521d3ef04a}">
        <Attribution userId="placeholder@email.com" userName="IP Adjusting Group LLC" userProvider="google-sheets"/>
        <Anchor>
          <Comment id="{a737b835-e9c1-4aef-83f4-cb4f88fa0de0}"/>
        </Anchor>
        <Assign userId="admin@ipadjustinggroup.com" userName="admin@ipadjustinggroup.com" userProvider="google-sheets"/>
      </Event>
    </History>
  </Task>
  <Task id="{64a27b22-795e-449c-8144-31619fdedf24}">
    <Anchor>
      <Comment id="{605a80c5-44b1-47be-8983-c8d39773fa76}"/>
    </Anchor>
    <History>
      <Event time="2024-09-11T21:25:17.00" id="{3b0564b5-f871-4501-96ba-319740df18bf}">
        <Attribution userId="placeholder@email.com" userName="IP Adjusting Group LLC" userProvider="google-sheets"/>
        <Anchor>
          <Comment id="{605a80c5-44b1-47be-8983-c8d39773fa76}"/>
        </Anchor>
        <Create/>
      </Event>
      <Event time="2024-09-11T21:25:17.00" id="{32b1d07a-20ce-4e1a-96d5-bd7014e44c89}">
        <Attribution userId="placeholder@email.com" userName="IP Adjusting Group LLC" userProvider="google-sheets"/>
        <Anchor>
          <Comment id="{605a80c5-44b1-47be-8983-c8d39773fa76}"/>
        </Anchor>
        <Assign userId="admin@ipadjustinggroup.com" userName="admin@ipadjustinggroup.com" userProvider="google-sheets"/>
      </Event>
    </History>
  </Task>
  <Task id="{6c09bb48-d028-4bfa-b8cd-9ab5cf53f8ac}">
    <Anchor>
      <Comment id="{3d954a95-1804-4ee9-b31f-7f620531f4dd}"/>
    </Anchor>
    <History>
      <Event time="2024-09-11T21:25:56.00" id="{4156adff-f8a0-4971-8541-22f2f6778d57}">
        <Attribution userId="placeholder@email.com" userName="IP Adjusting Group LLC" userProvider="google-sheets"/>
        <Anchor>
          <Comment id="{3d954a95-1804-4ee9-b31f-7f620531f4dd}"/>
        </Anchor>
        <Create/>
      </Event>
      <Event time="2024-09-11T21:25:56.00" id="{25571e54-39c0-418b-878e-95ed434826c7}">
        <Attribution userId="placeholder@email.com" userName="IP Adjusting Group LLC" userProvider="google-sheets"/>
        <Anchor>
          <Comment id="{3d954a95-1804-4ee9-b31f-7f620531f4dd}"/>
        </Anchor>
        <Assign userId="admin@ipadjustinggroup.com" userName="admin@ipadjustinggroup.com" userProvider="google-sheets"/>
      </Event>
    </History>
  </Task>
  <Task id="{5c1a81b5-2fc5-449c-a4ae-f696ac520ca8}">
    <Anchor>
      <Comment id="{097bd483-f59e-435e-81e6-e1f095d11b93}"/>
    </Anchor>
    <History>
      <Event time="2024-09-12T17:40:59.00" id="{b0159749-424b-4c75-99c1-a813e2cb4280}">
        <Attribution userId="placeholder@email.com" userName="IP Adjusting Group LLC" userProvider="google-sheets"/>
        <Anchor>
          <Comment id="{097bd483-f59e-435e-81e6-e1f095d11b93}"/>
        </Anchor>
        <Create/>
      </Event>
      <Event time="2024-09-12T17:40:59.00" id="{81a63291-f060-4b9c-b754-218559f27dda}">
        <Attribution userId="placeholder@email.com" userName="IP Adjusting Group LLC" userProvider="google-sheets"/>
        <Anchor>
          <Comment id="{097bd483-f59e-435e-81e6-e1f095d11b93}"/>
        </Anchor>
        <Assign userId="scheduling@ipadjustinggroup.com" userName="scheduling@ipadjustinggroup.com" userProvider="google-sheets"/>
      </Event>
    </History>
  </Task>
  <Task id="{ace7b884-6d1a-4262-8698-a52201cc7026}">
    <Anchor>
      <Comment id="{0f8453b8-989d-4fc0-8dc6-cc28512b6637}"/>
    </Anchor>
    <History>
      <Event time="2024-09-12T17:44:08.00" id="{98eae869-1b86-43f4-971a-56ff46b4c1e5}">
        <Attribution userId="placeholder@email.com" userName="IP Adjusting Group LLC" userProvider="google-sheets"/>
        <Anchor>
          <Comment id="{0f8453b8-989d-4fc0-8dc6-cc28512b6637}"/>
        </Anchor>
        <Create/>
      </Event>
      <Event time="2024-09-12T17:44:08.00" id="{8a79da66-b0cb-43c9-883a-147560d3d7cd}">
        <Attribution userId="placeholder@email.com" userName="IP Adjusting Group LLC" userProvider="google-sheets"/>
        <Anchor>
          <Comment id="{0f8453b8-989d-4fc0-8dc6-cc28512b6637}"/>
        </Anchor>
        <Assign userId="scheduling@ipadjustinggroup.com" userName="scheduling@ipadjustinggroup.com" userProvider="google-sheets"/>
      </Event>
    </History>
  </Task>
  <Task id="{e8f5e369-28aa-49cd-889e-e802b59175af}">
    <Anchor>
      <Comment id="{213dafc5-4ead-43d3-b147-36f7130ec369}"/>
    </Anchor>
    <History>
      <Event time="2024-10-22T20:55:22.00" id="{d6e96e8c-4373-4fa8-9c0c-70c829733344}">
        <Attribution userId="placeholder@email.com" userName="IP Adjusting Group LLC" userProvider="google-sheets"/>
        <Anchor>
          <Comment id="{213dafc5-4ead-43d3-b147-36f7130ec369}"/>
        </Anchor>
        <Create/>
      </Event>
      <Event time="2024-10-22T20:55:22.00" id="{1d4848d9-49fd-4004-8adf-e66bba0b6a93}">
        <Attribution userId="placeholder@email.com" userName="IP Adjusting Group LLC" userProvider="google-sheets"/>
        <Anchor>
          <Comment id="{213dafc5-4ead-43d3-b147-36f7130ec369}"/>
        </Anchor>
        <Assign userId="admin@ipadjustinggroup.com" userName="admin@ipadjustinggroup.com" userProvider="google-sheets"/>
      </Event>
    </History>
  </Task>
  <Task id="{5a1d4835-9b4f-471e-9a07-dd070c79ccb2}">
    <Anchor>
      <Comment id="{ab5a7491-1ffe-4b27-b781-ba92deb0e172}"/>
    </Anchor>
    <History>
      <Event time="2024-10-22T22:08:23.00" id="{5cc0192b-5d59-4f1e-982e-9bd92eb23568}">
        <Attribution userId="placeholder@email.com" userName="IP Adjusting Group LLC" userProvider="google-sheets"/>
        <Anchor>
          <Comment id="{ab5a7491-1ffe-4b27-b781-ba92deb0e172}"/>
        </Anchor>
        <Create/>
      </Event>
      <Event time="2024-10-22T22:08:23.00" id="{99dfc86c-270d-46e8-8cfd-062651687f16}">
        <Attribution userId="placeholder@email.com" userName="IP Adjusting Group LLC" userProvider="google-sheets"/>
        <Anchor>
          <Comment id="{ab5a7491-1ffe-4b27-b781-ba92deb0e172}"/>
        </Anchor>
        <Assign userId="admin@ipadjustinggroup.com" userName="admin@ipadjustinggroup.com" userProvider="google-sheets"/>
      </Event>
    </History>
  </Task>
  <Task id="{444c09b6-fa75-4c7f-b7cd-e37769d24985}">
    <Anchor>
      <Comment id="{18e59285-79c3-4673-804d-d9c7be44a92c}"/>
    </Anchor>
    <History>
      <Event time="2024-10-22T12:56:02.00" id="{de00e64e-021a-4177-a044-62d4fe63e3cf}">
        <Attribution userId="placeholder@email.com" userName="IP Adjusting Group LLC" userProvider="google-sheets"/>
        <Anchor>
          <Comment id="{18e59285-79c3-4673-804d-d9c7be44a92c}"/>
        </Anchor>
        <Create/>
      </Event>
      <Event time="2024-10-22T12:56:02.00" id="{76ac5164-fdcd-4e2b-a0c7-85352df649b5}">
        <Attribution userId="placeholder@email.com" userName="IP Adjusting Group LLC" userProvider="google-sheets"/>
        <Anchor>
          <Comment id="{18e59285-79c3-4673-804d-d9c7be44a92c}"/>
        </Anchor>
        <Assign userId="iandres.assistant@gmail.com" userName="iandres.assistant@gmail.com" userProvider="google-sheets"/>
      </Event>
    </History>
  </Task>
  <Task id="{0464434b-feb0-4f51-80be-f0759a9bc1e1}">
    <Anchor>
      <Comment id="{80bc30af-f603-4673-ab0d-b458b05b35f9}"/>
    </Anchor>
    <History>
      <Event time="2024-10-22T12:57:03.00" id="{267d0648-6696-44dc-bedb-e1b0ee1a547f}">
        <Attribution userId="placeholder@email.com" userName="IP Adjusting Group LLC" userProvider="google-sheets"/>
        <Anchor>
          <Comment id="{80bc30af-f603-4673-ab0d-b458b05b35f9}"/>
        </Anchor>
        <Create/>
      </Event>
      <Event time="2024-10-22T12:57:03.00" id="{ce8b9af6-e796-48c9-9bb4-0ae45df00ac5}">
        <Attribution userId="placeholder@email.com" userName="IP Adjusting Group LLC" userProvider="google-sheets"/>
        <Anchor>
          <Comment id="{80bc30af-f603-4673-ab0d-b458b05b35f9}"/>
        </Anchor>
        <Assign userId="iandres.assistant@gmail.com" userName="iandres.assistant@gmail.com" userProvider="google-sheets"/>
      </Event>
    </History>
  </Task>
  <Task id="{2bd1560a-5cc0-4298-bea9-0984a137b862}">
    <Anchor>
      <Comment id="{2c589d6d-91bc-42ca-8eb8-b0617d6f809d}"/>
    </Anchor>
    <History>
      <Event time="2024-09-25T23:13:24.00" id="{0855a65f-bf68-4f39-9e02-e74abe4fcf62}">
        <Attribution userId="placeholder@email.com" userName="IP Adjusting Group LLC" userProvider="google-sheets"/>
        <Anchor>
          <Comment id="{2c589d6d-91bc-42ca-8eb8-b0617d6f809d}"/>
        </Anchor>
        <Create/>
      </Event>
      <Event time="2024-09-25T23:13:24.00" id="{bb486105-5627-4500-b74c-702de648c357}">
        <Attribution userId="placeholder@email.com" userName="IP Adjusting Group LLC" userProvider="google-sheets"/>
        <Anchor>
          <Comment id="{2c589d6d-91bc-42ca-8eb8-b0617d6f809d}"/>
        </Anchor>
        <Assign userId="admin@ipadjustinggroup.com" userName="admin@ipadjustinggroup.com" userProvider="google-sheets"/>
      </Event>
    </History>
  </Task>
  <Task id="{788df8c6-74b4-4b95-ab9b-97b4afff2a64}">
    <Anchor>
      <Comment id="{a4ff0bab-fbbf-4e60-bb8f-839f2e066873}"/>
    </Anchor>
    <History>
      <Event time="2024-09-25T23:15:41.00" id="{350d1dab-6157-4785-9db0-55c563c51fee}">
        <Attribution userId="placeholder@email.com" userName="IP Adjusting Group LLC" userProvider="google-sheets"/>
        <Anchor>
          <Comment id="{a4ff0bab-fbbf-4e60-bb8f-839f2e066873}"/>
        </Anchor>
        <Create/>
      </Event>
      <Event time="2024-09-25T23:15:41.00" id="{ad6e3b39-6076-44c0-be2c-0f0fd4750030}">
        <Attribution userId="placeholder@email.com" userName="IP Adjusting Group LLC" userProvider="google-sheets"/>
        <Anchor>
          <Comment id="{a4ff0bab-fbbf-4e60-bb8f-839f2e066873}"/>
        </Anchor>
        <Assign userId="admin@ipadjustinggroup.com" userName="admin@ipadjustinggroup.com" userProvider="google-sheets"/>
      </Event>
    </History>
  </Task>
  <Task id="{f8aa6dc3-cbd3-4260-b212-c2e0f8a6f600}">
    <Anchor>
      <Comment id="{810eabb3-26a1-4b08-b2c9-16073005e954}"/>
    </Anchor>
    <History>
      <Event time="2024-10-29T15:21:59.00" id="{f6eadfd2-c10f-4ce5-bc6d-354379ba26a4}">
        <Attribution userId="placeholder@email.com" userName="IP Adjusting Group LLC" userProvider="google-sheets"/>
        <Anchor>
          <Comment id="{810eabb3-26a1-4b08-b2c9-16073005e954}"/>
        </Anchor>
        <Create/>
      </Event>
      <Event time="2024-10-29T15:21:59.00" id="{70632104-1f43-47b0-9697-a713388f83f5}">
        <Attribution userId="placeholder@email.com" userName="IP Adjusting Group LLC" userProvider="google-sheets"/>
        <Anchor>
          <Comment id="{810eabb3-26a1-4b08-b2c9-16073005e954}"/>
        </Anchor>
        <Assign userId="admin@ipadjustinggroup.com" userName="admin@ipadjustinggroup.com" userProvider="google-sheets"/>
      </Event>
    </History>
  </Task>
  <Task id="{b6402da5-404a-4271-b2d2-0cab5fe6b558}">
    <Anchor>
      <Comment id="{dffefa23-76e3-454e-bf7d-43de3efd94c0}"/>
    </Anchor>
    <History>
      <Event time="2024-11-05T22:24:17.00" id="{415a2aab-df25-40a3-bec7-012d24aeaf19}">
        <Attribution userId="placeholder@email.com" userName="IP Adjusting Group LLC" userProvider="google-sheets"/>
        <Anchor>
          <Comment id="{dffefa23-76e3-454e-bf7d-43de3efd94c0}"/>
        </Anchor>
        <Create/>
      </Event>
      <Event time="2024-11-05T22:24:17.00" id="{b64feee5-198c-4d6b-b6b5-eabbb5308b39}">
        <Attribution userId="placeholder@email.com" userName="IP Adjusting Group LLC" userProvider="google-sheets"/>
        <Anchor>
          <Comment id="{dffefa23-76e3-454e-bf7d-43de3efd94c0}"/>
        </Anchor>
        <Assign userId="admin@ipadjustinggroup.com" userName="admin@ipadjustinggroup.com" userProvider="google-sheets"/>
      </Event>
    </History>
  </Task>
  <Task id="{10834898-a16e-4052-83b3-3d1117a27f70}">
    <Anchor>
      <Comment id="{d6106f66-1a6e-45a5-8b87-2f4a0a565690}"/>
    </Anchor>
    <History>
      <Event time="2024-11-05T22:24:44.00" id="{d9c2720a-faf6-489d-bb92-2ccc9cbd9cb3}">
        <Attribution userId="placeholder@email.com" userName="IP Adjusting Group LLC" userProvider="google-sheets"/>
        <Anchor>
          <Comment id="{d6106f66-1a6e-45a5-8b87-2f4a0a565690}"/>
        </Anchor>
        <Create/>
      </Event>
      <Event time="2024-11-05T22:24:44.00" id="{34e90a9d-04dd-41dd-8288-be675e145410}">
        <Attribution userId="placeholder@email.com" userName="IP Adjusting Group LLC" userProvider="google-sheets"/>
        <Anchor>
          <Comment id="{d6106f66-1a6e-45a5-8b87-2f4a0a565690}"/>
        </Anchor>
        <Assign userId="admin@ipadjustinggroup.com" userName="admin@ipadjustinggroup.com" userProvider="google-sheets"/>
      </Event>
    </History>
  </Task>
  <Task id="{5ff9b4c2-3d10-4a3e-8448-de3ed15af79b}">
    <Anchor>
      <Comment id="{4a941d24-331f-45ef-a69d-a686ca6fc87d}"/>
    </Anchor>
    <History>
      <Event time="2024-11-19T19:12:26.00" id="{e6ca3a2a-fc57-42e1-a8c0-73b5c0f86274}">
        <Attribution userId="placeholder@email.com" userName="IP Adjusting Group LLC" userProvider="google-sheets"/>
        <Anchor>
          <Comment id="{4a941d24-331f-45ef-a69d-a686ca6fc87d}"/>
        </Anchor>
        <Create/>
      </Event>
      <Event time="2024-11-19T19:12:26.00" id="{6a9ce3c4-cb00-4bd5-ad1c-e93965dc3208}">
        <Attribution userId="placeholder@email.com" userName="IP Adjusting Group LLC" userProvider="google-sheets"/>
        <Anchor>
          <Comment id="{4a941d24-331f-45ef-a69d-a686ca6fc87d}"/>
        </Anchor>
        <Assign userId="admin@ipadjustinggroup.com" userName="admin@ipadjustinggroup.com" userProvider="google-sheets"/>
      </Event>
    </History>
  </Task>
  <Task id="{a212109a-3cb1-498d-9208-80a4c2608c57}">
    <Anchor>
      <Comment id="{a387246e-bc97-4f7b-b46e-a7cfd000f7fd}"/>
    </Anchor>
    <History>
      <Event time="2024-10-02T19:40:19.00" id="{fffe3280-1e69-415f-b8b9-2f0a3cac7631}">
        <Attribution userId="placeholder@email.com" userName="IP Adjusting Group LLC" userProvider="google-sheets"/>
        <Anchor>
          <Comment id="{a387246e-bc97-4f7b-b46e-a7cfd000f7fd}"/>
        </Anchor>
        <Create/>
      </Event>
      <Event time="2024-10-02T19:40:19.00" id="{bbd6982e-f4d3-4980-9fa4-290b7c884fdc}">
        <Attribution userId="placeholder@email.com" userName="IP Adjusting Group LLC" userProvider="google-sheets"/>
        <Anchor>
          <Comment id="{a387246e-bc97-4f7b-b46e-a7cfd000f7fd}"/>
        </Anchor>
        <Assign userId="admin@ipadjustinggroup.com" userName="admin@ipadjustinggroup.com" userProvider="google-sheets"/>
      </Event>
    </History>
  </Task>
  <Task id="{7b11197f-51b6-49a2-b2f3-0dff5a665442}">
    <Anchor>
      <Comment id="{54224e1d-b0bf-46e6-b9c4-c368e1fbd5df}"/>
    </Anchor>
    <History>
      <Event time="2024-10-28T20:51:30.00" id="{c5cdbc44-f60f-4227-91f2-4ed5a898f4d4}">
        <Attribution userId="placeholder@email.com" userName="IP Adjusting Group LLC" userProvider="google-sheets"/>
        <Anchor>
          <Comment id="{54224e1d-b0bf-46e6-b9c4-c368e1fbd5df}"/>
        </Anchor>
        <Create/>
      </Event>
      <Event time="2024-10-28T20:51:30.00" id="{cbd599af-9ca7-4d52-932b-8c1ba09dc698}">
        <Attribution userId="placeholder@email.com" userName="IP Adjusting Group LLC" userProvider="google-sheets"/>
        <Anchor>
          <Comment id="{54224e1d-b0bf-46e6-b9c4-c368e1fbd5df}"/>
        </Anchor>
        <Assign userId="iandres.assistant@gmail.com" userName="iandres.assistant@gmail.com" userProvider="google-sheets"/>
      </Event>
    </History>
  </Task>
  <Task id="{859caa17-36c5-4976-b0d0-5c9722932f75}">
    <Anchor>
      <Comment id="{e19036be-a8b8-4cac-bf1a-1f2391fc8259}"/>
    </Anchor>
    <History>
      <Event time="2024-10-30T14:03:09.00" id="{0a2518f1-c8e2-47a9-b5bf-73c623b3503b}">
        <Attribution userId="placeholder@email.com" userName="IP Adjusting Group LLC" userProvider="google-sheets"/>
        <Anchor>
          <Comment id="{e19036be-a8b8-4cac-bf1a-1f2391fc8259}"/>
        </Anchor>
        <Create/>
      </Event>
      <Event time="2024-10-30T14:03:09.00" id="{ed4d022c-b419-4422-a637-32893e4126e1}">
        <Attribution userId="placeholder@email.com" userName="IP Adjusting Group LLC" userProvider="google-sheets"/>
        <Anchor>
          <Comment id="{e19036be-a8b8-4cac-bf1a-1f2391fc8259}"/>
        </Anchor>
        <Assign userId="iandres.assistant@gmail.com" userName="iandres.assistant@gmail.com" userProvider="google-sheets"/>
      </Event>
    </History>
  </Task>
  <Task id="{a4342805-dd04-4268-8fce-7dc8d7f1b8da}">
    <Anchor>
      <Comment id="{95ceef75-f37b-42e5-b4d2-dbad0ca507a6}"/>
    </Anchor>
    <History>
      <Event time="2024-10-29T18:46:53.00" id="{47d6aa46-8e8f-4d67-a458-7fe02f2d50dd}">
        <Attribution userId="placeholder@email.com" userName="Scheduling IP" userProvider="google-sheets"/>
        <Anchor>
          <Comment id="{95ceef75-f37b-42e5-b4d2-dbad0ca507a6}"/>
        </Anchor>
        <Create/>
      </Event>
      <Event time="2024-10-29T18:46:53.00" id="{244691a2-a0aa-4b25-968d-0153854a3fba}">
        <Attribution userId="placeholder@email.com" userName="Scheduling IP" userProvider="google-sheets"/>
        <Anchor>
          <Comment id="{95ceef75-f37b-42e5-b4d2-dbad0ca507a6}"/>
        </Anchor>
        <Assign userId="admin@ipadjustinggroup.com" userName="admin@ipadjustinggroup.com" userProvider="google-sheets"/>
      </Event>
    </History>
  </Task>
  <Task id="{1b11ccce-4c3f-4f3f-9da2-b9dabb289117}">
    <Anchor>
      <Comment id="{3fc1b1bd-bf5c-4352-a0e2-792c0e0f7366}"/>
    </Anchor>
    <History>
      <Event time="2024-10-29T20:50:52.00" id="{846baac9-f3f3-42d2-a9db-4ea506b68f7b}">
        <Attribution userId="placeholder@email.com" userName="Scheduling IP" userProvider="google-sheets"/>
        <Anchor>
          <Comment id="{3fc1b1bd-bf5c-4352-a0e2-792c0e0f7366}"/>
        </Anchor>
        <Create/>
      </Event>
      <Event time="2024-10-29T20:50:52.00" id="{1940ab84-8bf2-4c83-8e42-89800d0258e3}">
        <Attribution userId="placeholder@email.com" userName="Scheduling IP" userProvider="google-sheets"/>
        <Anchor>
          <Comment id="{3fc1b1bd-bf5c-4352-a0e2-792c0e0f7366}"/>
        </Anchor>
        <Assign userId="admin@ipadjustinggroup.com" userName="admin@ipadjustinggroup.com" userProvider="google-sheets"/>
      </Event>
    </History>
  </Task>
  <Task id="{8a96cac6-1fcc-4709-99f9-ca39f9cc5285}">
    <Anchor>
      <Comment id="{8ca6c012-fd8e-4dcc-84e6-40cb4b5450db}"/>
    </Anchor>
    <History>
      <Event time="2024-10-29T20:57:01.00" id="{190087af-31af-4d71-b88e-ac41bca40805}">
        <Attribution userId="placeholder@email.com" userName="IP Adjusting Group LLC" userProvider="google-sheets"/>
        <Anchor>
          <Comment id="{8ca6c012-fd8e-4dcc-84e6-40cb4b5450db}"/>
        </Anchor>
        <Create/>
      </Event>
      <Event time="2024-10-29T20:57:01.00" id="{1166733e-65fe-47d5-8f72-8017784f001c}">
        <Attribution userId="placeholder@email.com" userName="IP Adjusting Group LLC" userProvider="google-sheets"/>
        <Anchor>
          <Comment id="{8ca6c012-fd8e-4dcc-84e6-40cb4b5450db}"/>
        </Anchor>
        <Assign userId="iandres.assistant@gmail.com" userName="iandres.assistant@gmail.com" userProvider="google-sheets"/>
      </Event>
    </History>
  </Task>
  <Task id="{7795557e-384e-4649-a877-802d710c2f0e}">
    <Anchor>
      <Comment id="{7e153ac6-592c-4201-a683-8e5e38e3669d}"/>
    </Anchor>
    <History>
      <Event time="2024-10-10T20:03:35.00" id="{efde7741-1586-42ca-ba68-ff0e1225f293}">
        <Attribution userId="placeholder@email.com" userName="IP Adjusting Group LLC" userProvider="google-sheets"/>
        <Anchor>
          <Comment id="{7e153ac6-592c-4201-a683-8e5e38e3669d}"/>
        </Anchor>
        <Create/>
      </Event>
      <Event time="2024-10-10T20:03:35.00" id="{b5852c0e-c8e7-4447-b2f4-6561b02d3d49}">
        <Attribution userId="placeholder@email.com" userName="IP Adjusting Group LLC" userProvider="google-sheets"/>
        <Anchor>
          <Comment id="{7e153ac6-592c-4201-a683-8e5e38e3669d}"/>
        </Anchor>
        <Assign userId="scheduling@ipadjustinggroup.com" userName="scheduling@ipadjustinggroup.com" userProvider="google-sheets"/>
      </Event>
    </History>
  </Task>
  <Task id="{e60d8aac-0fbc-40ce-87b9-bc1d0984d7c3}">
    <Anchor>
      <Comment id="{cb4a3626-8473-4f5b-8853-30107751bfcb}"/>
    </Anchor>
    <History>
      <Event time="2024-10-11T17:11:19.00" id="{a214d30a-c602-4160-a068-efd2660bd9a4}">
        <Attribution userId="placeholder@email.com" userName="IP Adjusting Group LLC" userProvider="google-sheets"/>
        <Anchor>
          <Comment id="{cb4a3626-8473-4f5b-8853-30107751bfcb}"/>
        </Anchor>
        <Create/>
      </Event>
      <Event time="2024-10-11T17:11:19.00" id="{9a4c26b4-2e3c-410a-b4ae-8be5a86b1f2b}">
        <Attribution userId="placeholder@email.com" userName="IP Adjusting Group LLC" userProvider="google-sheets"/>
        <Anchor>
          <Comment id="{cb4a3626-8473-4f5b-8853-30107751bfcb}"/>
        </Anchor>
        <Assign userId="peter@ipadjustinggroup.com" userName="peter@ipadjustinggroup.com" userProvider="google-sheets"/>
      </Event>
    </History>
  </Task>
  <Task id="{4124bd92-d68a-42d5-aa32-a56bbca635be}">
    <Anchor>
      <Comment id="{6fd052bf-9176-4eac-9017-d7e177264315}"/>
    </Anchor>
    <History>
      <Event time="2024-11-28T01:17:08.00" id="{579e9035-af6c-428f-a92c-cb22a728e2a9}">
        <Attribution userId="placeholder@email.com" userName="Sarah Guerra" userProvider="google-sheets"/>
        <Anchor>
          <Comment id="{6fd052bf-9176-4eac-9017-d7e177264315}"/>
        </Anchor>
        <Create/>
      </Event>
      <Event time="2024-11-28T01:17:08.00" id="{68d5aa86-0457-4312-a5c9-98c3ead01cd8}">
        <Attribution userId="placeholder@email.com" userName="Sarah Guerra" userProvider="google-sheets"/>
        <Anchor>
          <Comment id="{6fd052bf-9176-4eac-9017-d7e177264315}"/>
        </Anchor>
        <Assign userId="admin@ipadjustinggroup.com" userName="admin@ipadjustinggroup.com" userProvider="google-sheets"/>
      </Event>
    </History>
  </Task>
  <Task id="{739b0535-0c03-4a30-96de-bf6d66efaea9}">
    <Anchor>
      <Comment id="{1ef95265-4598-4f11-a42b-99af49a397f2}"/>
    </Anchor>
    <History>
      <Event time="2024-11-27T02:01:05.00" id="{0c2c34b5-a7cd-44b4-88f1-514d77417100}">
        <Attribution userId="placeholder@email.com" userName="IP Adjusting Group LLC" userProvider="google-sheets"/>
        <Anchor>
          <Comment id="{1ef95265-4598-4f11-a42b-99af49a397f2}"/>
        </Anchor>
        <Create/>
      </Event>
      <Event time="2024-11-27T02:01:05.00" id="{3465542f-c632-4f52-9ad9-6c04fed2df44}">
        <Attribution userId="placeholder@email.com" userName="IP Adjusting Group LLC" userProvider="google-sheets"/>
        <Anchor>
          <Comment id="{1ef95265-4598-4f11-a42b-99af49a397f2}"/>
        </Anchor>
        <Assign userId="scheduling@ipadjustinggroup.com" userName="scheduling@ipadjustinggroup.com" userProvider="google-sheets"/>
      </Event>
    </History>
  </Task>
  <Task id="{b5c9c8e1-af47-4c77-96b3-c5bf8d5726f6}">
    <Anchor>
      <Comment id="{0d018a23-6167-4f0c-bb2d-07af97c8c5b3}"/>
    </Anchor>
    <History>
      <Event time="2024-12-11T17:15:38.00" id="{fceb4820-9fa1-44e6-a196-bab111d1aa59}">
        <Attribution userId="placeholder@email.com" userName="IP Adjusting Group LLC" userProvider="google-sheets"/>
        <Anchor>
          <Comment id="{0d018a23-6167-4f0c-bb2d-07af97c8c5b3}"/>
        </Anchor>
        <Create/>
      </Event>
      <Event time="2024-12-11T17:15:38.00" id="{3615ebce-1098-4778-82a9-ae06f73e4016}">
        <Attribution userId="placeholder@email.com" userName="IP Adjusting Group LLC" userProvider="google-sheets"/>
        <Anchor>
          <Comment id="{0d018a23-6167-4f0c-bb2d-07af97c8c5b3}"/>
        </Anchor>
        <Assign userId="admin@ipadjustinggroup.com" userName="admin@ipadjustinggroup.com" userProvider="google-sheets"/>
      </Event>
    </History>
  </Task>
  <Task id="{4b20a69c-5372-4e07-808e-1f86d52274aa}">
    <Anchor>
      <Comment id="{dea8c4ee-731c-4795-b1a9-f573894b73ee}"/>
    </Anchor>
    <History>
      <Event time="2024-12-11T17:15:55.00" id="{f3a91017-de72-4b97-81bc-c4b0ba7d0033}">
        <Attribution userId="placeholder@email.com" userName="IP Adjusting Group LLC" userProvider="google-sheets"/>
        <Anchor>
          <Comment id="{dea8c4ee-731c-4795-b1a9-f573894b73ee}"/>
        </Anchor>
        <Create/>
      </Event>
      <Event time="2024-12-11T17:15:55.00" id="{a7c20d97-5d3f-4f95-bb3d-252ca2f4fbac}">
        <Attribution userId="placeholder@email.com" userName="IP Adjusting Group LLC" userProvider="google-sheets"/>
        <Anchor>
          <Comment id="{dea8c4ee-731c-4795-b1a9-f573894b73ee}"/>
        </Anchor>
        <Assign userId="admin@ipadjustinggroup.com" userName="admin@ipadjustinggroup.com" userProvider="google-sheets"/>
      </Event>
    </History>
  </Task>
  <Task id="{9817d194-c2b2-4319-b9a1-c4e4097e473e}">
    <Anchor>
      <Comment id="{7046faeb-639c-4096-bd69-be95824aa25e}"/>
    </Anchor>
    <History>
      <Event time="2025-01-17T17:42:40.00" id="{0dbb002f-f6ab-4eda-8f83-7876de146d33}">
        <Attribution userId="placeholder@email.com" userName="IP Adjusting Group LLC" userProvider="google-sheets"/>
        <Anchor>
          <Comment id="{7046faeb-639c-4096-bd69-be95824aa25e}"/>
        </Anchor>
        <Create/>
      </Event>
      <Event time="2025-01-17T17:42:40.00" id="{9c71ec21-b909-4a48-b4f5-0125f4980a28}">
        <Attribution userId="placeholder@email.com" userName="IP Adjusting Group LLC" userProvider="google-sheets"/>
        <Anchor>
          <Comment id="{7046faeb-639c-4096-bd69-be95824aa25e}"/>
        </Anchor>
        <Assign userId="scheduling@ipadjustinggroup.com" userName="scheduling@ipadjustinggroup.com" userProvider="google-sheets"/>
      </Event>
    </History>
  </Task>
  <Task id="{730b8ebb-e57b-4c90-8821-0c54d67e4041}">
    <Anchor>
      <Comment id="{18ab81ab-e042-4347-9492-6d0a3d7eeb6c}"/>
    </Anchor>
    <History>
      <Event time="2025-01-22T22:41:53.00" id="{053c359b-22d2-403e-b776-980df39f4b59}">
        <Attribution userId="placeholder@email.com" userName="IP Adjusting Group LLC" userProvider="google-sheets"/>
        <Anchor>
          <Comment id="{18ab81ab-e042-4347-9492-6d0a3d7eeb6c}"/>
        </Anchor>
        <Create/>
      </Event>
      <Event time="2025-01-22T22:41:53.00" id="{0ebd516d-2e7d-4687-8f96-ece6e50725ef}">
        <Attribution userId="placeholder@email.com" userName="IP Adjusting Group LLC" userProvider="google-sheets"/>
        <Anchor>
          <Comment id="{18ab81ab-e042-4347-9492-6d0a3d7eeb6c}"/>
        </Anchor>
        <Assign userId="admin@ipadjustinggroup.com" userName="admin@ipadjustinggroup.com" userProvider="google-sheets"/>
      </Event>
    </History>
  </Task>
  <Task id="{7094d97f-cdf1-46ea-8af9-66e7c1d563ea}">
    <Anchor>
      <Comment id="{04780dd9-a098-452f-a4a0-b5c5a32e06b6}"/>
    </Anchor>
    <History>
      <Event time="2025-01-14T19:21:00.00" id="{9dae1897-3b9b-417a-9b04-c6b743d64e2e}">
        <Attribution userId="placeholder@email.com" userName="IP Adjusting Group LLC" userProvider="google-sheets"/>
        <Anchor>
          <Comment id="{04780dd9-a098-452f-a4a0-b5c5a32e06b6}"/>
        </Anchor>
        <Create/>
      </Event>
      <Event time="2025-01-14T19:21:00.00" id="{c70ec54c-547a-4f7c-8024-bf64cd6faef8}">
        <Attribution userId="placeholder@email.com" userName="IP Adjusting Group LLC" userProvider="google-sheets"/>
        <Anchor>
          <Comment id="{04780dd9-a098-452f-a4a0-b5c5a32e06b6}"/>
        </Anchor>
        <Assign userId="scheduling@ipadjustinggroup.com" userName="scheduling@ipadjustinggroup.com" userProvider="google-sheets"/>
      </Event>
    </History>
  </Task>
  <Task id="{4d8d99e3-640b-4a16-8e11-9eb7a7a02541}">
    <Anchor>
      <Comment id="{63bc878f-eff5-4c47-807e-b81d76503e73}"/>
    </Anchor>
    <History>
      <Event time="2025-01-14T19:10:00.00" id="{628a0d68-0092-4fd2-9b9c-0e92f9ef1f93}">
        <Attribution userId="placeholder@email.com" userName="IP Adjusting Group LLC" userProvider="google-sheets"/>
        <Anchor>
          <Comment id="{63bc878f-eff5-4c47-807e-b81d76503e73}"/>
        </Anchor>
        <Create/>
      </Event>
      <Event time="2025-01-14T19:10:00.00" id="{c7bdb80b-9d6e-4fbb-82a2-34806da6ac56}">
        <Attribution userId="placeholder@email.com" userName="IP Adjusting Group LLC" userProvider="google-sheets"/>
        <Anchor>
          <Comment id="{63bc878f-eff5-4c47-807e-b81d76503e73}"/>
        </Anchor>
        <Assign userId="scheduling@ipadjustinggroup.com" userName="scheduling@ipadjustinggroup.com" userProvider="google-sheets"/>
      </Event>
    </History>
  </Task>
  <Task id="{cddcedd4-1de1-4dc7-9dc6-12d2adff595c}">
    <Anchor>
      <Comment id="{e9a000eb-9c3f-410a-8e4c-1b298e1ccb08}"/>
    </Anchor>
    <History>
      <Event time="2025-01-14T19:10:24.00" id="{82e776b5-3145-4319-bb18-ce6af4b66338}">
        <Attribution userId="placeholder@email.com" userName="IP Adjusting Group LLC" userProvider="google-sheets"/>
        <Anchor>
          <Comment id="{e9a000eb-9c3f-410a-8e4c-1b298e1ccb08}"/>
        </Anchor>
        <Create/>
      </Event>
      <Event time="2025-01-14T19:10:24.00" id="{59bf350a-185d-44d3-a1bb-a2a0dea721eb}">
        <Attribution userId="placeholder@email.com" userName="IP Adjusting Group LLC" userProvider="google-sheets"/>
        <Anchor>
          <Comment id="{e9a000eb-9c3f-410a-8e4c-1b298e1ccb08}"/>
        </Anchor>
        <Assign userId="scheduling@ipadjustinggroup.com" userName="scheduling@ipadjustinggroup.com" userProvider="google-sheets"/>
      </Event>
    </History>
  </Task>
  <Task id="{2263ade0-1395-4cd0-80ac-e8cdcbe0ec9f}">
    <Anchor>
      <Comment id="{a56428bf-147a-4cf0-b6e8-4e251792e6d2}"/>
    </Anchor>
    <History>
      <Event time="2025-01-14T19:35:49.00" id="{664f6f2e-a433-48b7-8aa6-264f3f693903}">
        <Attribution userId="placeholder@email.com" userName="IP Adjusting Group LLC" userProvider="google-sheets"/>
        <Anchor>
          <Comment id="{a56428bf-147a-4cf0-b6e8-4e251792e6d2}"/>
        </Anchor>
        <Create/>
      </Event>
      <Event time="2025-01-14T19:35:49.00" id="{095bd576-5bcd-43ae-b8d6-7fe558adde00}">
        <Attribution userId="placeholder@email.com" userName="IP Adjusting Group LLC" userProvider="google-sheets"/>
        <Anchor>
          <Comment id="{a56428bf-147a-4cf0-b6e8-4e251792e6d2}"/>
        </Anchor>
        <Assign userId="scheduling@ipadjustinggroup.com" userName="scheduling@ipadjustinggroup.com" userProvider="google-sheets"/>
      </Event>
    </History>
  </Task>
  <Task id="{dd269ad0-61a7-496e-9d90-a554306db33d}">
    <Anchor>
      <Comment id="{184d007a-d471-4de0-bd74-101ee1d94f80}"/>
    </Anchor>
    <History>
      <Event time="2025-01-14T22:51:40.00" id="{3ae5fa67-6a55-4060-b325-0044c2798b87}">
        <Attribution userId="placeholder@email.com" userName="IP Adjusting Group LLC" userProvider="google-sheets"/>
        <Anchor>
          <Comment id="{184d007a-d471-4de0-bd74-101ee1d94f80}"/>
        </Anchor>
        <Create/>
      </Event>
      <Event time="2025-01-14T22:51:40.00" id="{bef801da-cbef-4db6-b940-a699f2efcf9b}">
        <Attribution userId="placeholder@email.com" userName="IP Adjusting Group LLC" userProvider="google-sheets"/>
        <Anchor>
          <Comment id="{184d007a-d471-4de0-bd74-101ee1d94f80}"/>
        </Anchor>
        <Assign userId="scheduling@ipadjustinggroup.com" userName="scheduling@ipadjustinggroup.com" userProvider="google-sheets"/>
      </Event>
    </History>
  </Task>
  <Task id="{0bb515fd-cb75-4904-95eb-80fb27d227e8}">
    <Anchor>
      <Comment id="{da874a21-633f-4e7a-ab39-68836b513c84}"/>
    </Anchor>
    <History>
      <Event time="2025-01-14T22:58:36.00" id="{7848cf53-4621-4794-b892-03f3691f2434}">
        <Attribution userId="placeholder@email.com" userName="IP Adjusting Group LLC" userProvider="google-sheets"/>
        <Anchor>
          <Comment id="{da874a21-633f-4e7a-ab39-68836b513c84}"/>
        </Anchor>
        <Create/>
      </Event>
      <Event time="2025-01-14T22:58:36.00" id="{0abe18c2-43bb-4065-82ef-4d2f87de37ab}">
        <Attribution userId="placeholder@email.com" userName="IP Adjusting Group LLC" userProvider="google-sheets"/>
        <Anchor>
          <Comment id="{da874a21-633f-4e7a-ab39-68836b513c84}"/>
        </Anchor>
        <Assign userId="scheduling@ipadjustinggroup.com" userName="scheduling@ipadjustinggroup.com" userProvider="google-sheets"/>
      </Event>
    </History>
  </Task>
  <Task id="{8d56d090-6ded-490f-97b1-678541f15ed6}">
    <Anchor>
      <Comment id="{ddaff263-f071-41b3-a941-c234fdc20ed1}"/>
    </Anchor>
    <History>
      <Event time="2025-01-17T13:35:15.00" id="{f2b4d796-f5de-4884-b84d-92d4574748b2}">
        <Attribution userId="placeholder@email.com" userName="IP Adjusting Group LLC" userProvider="google-sheets"/>
        <Anchor>
          <Comment id="{ddaff263-f071-41b3-a941-c234fdc20ed1}"/>
        </Anchor>
        <Create/>
      </Event>
      <Event time="2025-01-17T13:35:15.00" id="{ba903656-882b-4aff-b452-ee2b7961c8af}">
        <Attribution userId="placeholder@email.com" userName="IP Adjusting Group LLC" userProvider="google-sheets"/>
        <Anchor>
          <Comment id="{ddaff263-f071-41b3-a941-c234fdc20ed1}"/>
        </Anchor>
        <Assign userId="scheduling@ipadjustinggroup.com" userName="scheduling@ipadjustinggroup.com" userProvider="google-sheets"/>
      </Event>
    </History>
  </Task>
  <Task id="{a7306a3c-bce3-4a12-97f2-1060244274ba}">
    <Anchor>
      <Comment id="{4567dd0d-bcbf-4dd0-aecc-2336f74c103a}"/>
    </Anchor>
    <History>
      <Event time="2025-01-20T02:08:32.00" id="{19881434-6b0c-47c6-9106-d334064582d9}">
        <Attribution userId="placeholder@email.com" userName="IP Adjusting Group LLC" userProvider="google-sheets"/>
        <Anchor>
          <Comment id="{4567dd0d-bcbf-4dd0-aecc-2336f74c103a}"/>
        </Anchor>
        <Create/>
      </Event>
      <Event time="2025-01-20T02:08:32.00" id="{a403a8ee-096d-4c57-b022-870e4c967803}">
        <Attribution userId="placeholder@email.com" userName="IP Adjusting Group LLC" userProvider="google-sheets"/>
        <Anchor>
          <Comment id="{4567dd0d-bcbf-4dd0-aecc-2336f74c103a}"/>
        </Anchor>
        <Assign userId="admin@ipadjustinggroup.com" userName="admin@ipadjustinggroup.com" userProvider="google-sheets"/>
      </Event>
    </History>
  </Task>
  <Task id="{152ad956-a844-48d7-9576-d0211413aef0}">
    <Anchor>
      <Comment id="{d00992f5-4d0f-47c2-adda-3f4f167cce35}"/>
    </Anchor>
    <History>
      <Event time="2025-01-23T15:40:54.00" id="{8d1b8a2e-fdf4-4c8b-aef5-f118ba33f9e0}">
        <Attribution userId="placeholder@email.com" userName="IP Adjusting Group LLC" userProvider="google-sheets"/>
        <Anchor>
          <Comment id="{d00992f5-4d0f-47c2-adda-3f4f167cce35}"/>
        </Anchor>
        <Create/>
      </Event>
      <Event time="2025-01-23T15:40:54.00" id="{df92c872-2020-4957-a78e-9726c702a155}">
        <Attribution userId="placeholder@email.com" userName="IP Adjusting Group LLC" userProvider="google-sheets"/>
        <Anchor>
          <Comment id="{d00992f5-4d0f-47c2-adda-3f4f167cce35}"/>
        </Anchor>
        <Assign userId="scheduling@ipadjustinggroup.com" userName="scheduling@ipadjustinggroup.com" userProvider="google-sheets"/>
      </Event>
    </History>
  </Task>
  <Task id="{7965e533-8f61-4678-9eae-aa7a2128fdea}">
    <Anchor>
      <Comment id="{79713a85-8e8b-425c-9739-83992282a7a7}"/>
    </Anchor>
    <History>
      <Event time="2025-01-15T14:56:02.00" id="{1dbbd9fa-d1b2-4d5a-a1df-85bb30157ce0}">
        <Attribution userId="placeholder@email.com" userName="IP Adjusting Group LLC" userProvider="google-sheets"/>
        <Anchor>
          <Comment id="{79713a85-8e8b-425c-9739-83992282a7a7}"/>
        </Anchor>
        <Create/>
      </Event>
      <Event time="2025-01-15T14:56:02.00" id="{a9c685c5-fe6b-45ab-b4b5-3734c5cb75ee}">
        <Attribution userId="placeholder@email.com" userName="IP Adjusting Group LLC" userProvider="google-sheets"/>
        <Anchor>
          <Comment id="{79713a85-8e8b-425c-9739-83992282a7a7}"/>
        </Anchor>
        <Assign userId="scheduling@ipadjustinggroup.com" userName="scheduling@ipadjustinggroup.com" userProvider="google-sheets"/>
      </Event>
    </History>
  </Task>
  <Task id="{2260d5b8-26a9-46f2-ab0a-6820be5c0142}">
    <Anchor>
      <Comment id="{f619f29b-48b7-430e-b65d-eadc05acc146}"/>
    </Anchor>
    <History>
      <Event time="2025-02-20T01:23:08.00" id="{d15e745b-7b2c-4b65-a6d7-ff1c07240979}">
        <Attribution userId="placeholder@email.com" userName="IP Adjusting Group LLC" userProvider="google-sheets"/>
        <Anchor>
          <Comment id="{f619f29b-48b7-430e-b65d-eadc05acc146}"/>
        </Anchor>
        <Create/>
      </Event>
      <Event time="2025-02-20T01:23:08.00" id="{648205c3-1773-4cad-bef3-251fddc93655}">
        <Attribution userId="placeholder@email.com" userName="IP Adjusting Group LLC" userProvider="google-sheets"/>
        <Anchor>
          <Comment id="{f619f29b-48b7-430e-b65d-eadc05acc146}"/>
        </Anchor>
        <Assign userId="scheduling@ipadjustinggroup.com" userName="scheduling@ipadjustinggroup.com" userProvider="google-sheets"/>
      </Event>
    </History>
  </Task>
  <Task id="{69eb2878-28bf-48c2-8f40-5a9c48ad3639}">
    <Anchor>
      <Comment id="{1caf4d71-989a-4a17-80df-e9e810d311c9}"/>
    </Anchor>
    <History>
      <Event time="2025-02-20T01:24:42.00" id="{e14249c7-df84-4de6-aec4-9dbfb7a88ade}">
        <Attribution userId="placeholder@email.com" userName="IP Adjusting Group LLC" userProvider="google-sheets"/>
        <Anchor>
          <Comment id="{1caf4d71-989a-4a17-80df-e9e810d311c9}"/>
        </Anchor>
        <Create/>
      </Event>
      <Event time="2025-02-20T01:24:42.00" id="{8fb9acbc-f200-45f2-9708-8f71f0d47cd3}">
        <Attribution userId="placeholder@email.com" userName="IP Adjusting Group LLC" userProvider="google-sheets"/>
        <Anchor>
          <Comment id="{1caf4d71-989a-4a17-80df-e9e810d311c9}"/>
        </Anchor>
        <Assign userId="scheduling@ipadjustinggroup.com" userName="scheduling@ipadjustinggroup.com" userProvider="google-sheets"/>
      </Event>
    </History>
  </Task>
  <Task id="{bc61faa3-a8a0-403e-93f0-f0d61847ff1d}">
    <Anchor>
      <Comment id="{8f1d27af-52ff-4b8a-86c3-b9d47cc69f15}"/>
    </Anchor>
    <History>
      <Event time="2025-02-20T01:14:46.00" id="{38969385-d8ff-4dfb-b50e-6353b6b411a9}">
        <Attribution userId="placeholder@email.com" userName="IP Adjusting Group LLC" userProvider="google-sheets"/>
        <Anchor>
          <Comment id="{8f1d27af-52ff-4b8a-86c3-b9d47cc69f15}"/>
        </Anchor>
        <Create/>
      </Event>
      <Event time="2025-02-20T01:14:46.00" id="{030e8462-47e2-467d-b6ab-74d96e63583a}">
        <Attribution userId="placeholder@email.com" userName="IP Adjusting Group LLC" userProvider="google-sheets"/>
        <Anchor>
          <Comment id="{8f1d27af-52ff-4b8a-86c3-b9d47cc69f15}"/>
        </Anchor>
        <Assign userId="scheduling@ipadjustinggroup.com" userName="scheduling@ipadjustinggroup.com" userProvider="google-sheets"/>
      </Event>
    </History>
  </Task>
  <Task id="{e0e636e0-ff0b-432d-b0b0-e884175646c7}">
    <Anchor>
      <Comment id="{11a46f84-56b5-43b4-b4b3-c6b4928d378b}"/>
    </Anchor>
    <History>
      <Event time="2025-02-20T01:27:16.00" id="{f7afe2bc-5b95-4682-876a-27bf6c5badee}">
        <Attribution userId="placeholder@email.com" userName="IP Adjusting Group LLC" userProvider="google-sheets"/>
        <Anchor>
          <Comment id="{11a46f84-56b5-43b4-b4b3-c6b4928d378b}"/>
        </Anchor>
        <Create/>
      </Event>
      <Event time="2025-02-20T01:27:16.00" id="{350043e4-3cda-4616-ae80-c2f2e24f7918}">
        <Attribution userId="placeholder@email.com" userName="IP Adjusting Group LLC" userProvider="google-sheets"/>
        <Anchor>
          <Comment id="{11a46f84-56b5-43b4-b4b3-c6b4928d378b}"/>
        </Anchor>
        <Assign userId="scheduling@ipadjustinggroup.com" userName="scheduling@ipadjustinggroup.com" userProvider="google-sheets"/>
      </Event>
    </History>
  </Task>
  <Task id="{f95ad797-78a3-40ef-9b75-2319aa5adee6}">
    <Anchor>
      <Comment id="{501a24e1-cfd5-4ac4-b4ce-f36cafd38a7f}"/>
    </Anchor>
    <History>
      <Event time="2025-02-20T01:35:18.00" id="{cc77b179-63a8-46cd-b5f7-2f6b2b69476a}">
        <Attribution userId="placeholder@email.com" userName="IP Adjusting Group LLC" userProvider="google-sheets"/>
        <Anchor>
          <Comment id="{501a24e1-cfd5-4ac4-b4ce-f36cafd38a7f}"/>
        </Anchor>
        <Create/>
      </Event>
      <Event time="2025-02-20T01:35:18.00" id="{9c42d94f-12d5-441d-a035-6652b88a3d67}">
        <Attribution userId="placeholder@email.com" userName="IP Adjusting Group LLC" userProvider="google-sheets"/>
        <Anchor>
          <Comment id="{501a24e1-cfd5-4ac4-b4ce-f36cafd38a7f}"/>
        </Anchor>
        <Assign userId="scheduling@ipadjustinggroup.com" userName="scheduling@ipadjustinggroup.com" userProvider="google-sheets"/>
      </Event>
    </History>
  </Task>
  <Task id="{50c53eea-a130-4dbe-b85e-77be942b4493}">
    <Anchor>
      <Comment id="{16f488d1-1ca4-4ce5-934a-5a3e694077a1}"/>
    </Anchor>
    <History>
      <Event time="2025-02-12T21:30:56.00" id="{4a21697c-f6cb-4c5a-922c-a96a76e5fb1e}">
        <Attribution userId="placeholder@email.com" userName="IP Adjusting Group LLC" userProvider="google-sheets"/>
        <Anchor>
          <Comment id="{16f488d1-1ca4-4ce5-934a-5a3e694077a1}"/>
        </Anchor>
        <Create/>
      </Event>
      <Event time="2025-02-12T21:30:56.00" id="{9c62e48a-bf7a-4c7e-8e7c-f7340dda9da9}">
        <Attribution userId="placeholder@email.com" userName="IP Adjusting Group LLC" userProvider="google-sheets"/>
        <Anchor>
          <Comment id="{16f488d1-1ca4-4ce5-934a-5a3e694077a1}"/>
        </Anchor>
        <Assign userId="admin@ipadjustinggroup.com" userName="admin@ipadjustinggroup.com" userProvider="google-sheets"/>
      </Event>
    </History>
  </Task>
  <Task id="{e550b807-f5b0-4ef4-829a-a0066c03a9bf}">
    <Anchor>
      <Comment id="{ea587c8b-8d11-4da0-ad3e-21c5b5bdf2eb}"/>
    </Anchor>
    <History>
      <Event time="2025-03-24T16:31:13.00" id="{8125033c-2e81-4baf-91db-ef27a5892a72}">
        <Attribution userId="placeholder@email.com" userName="IP Adjusting Group LLC" userProvider="google-sheets"/>
        <Anchor>
          <Comment id="{ea587c8b-8d11-4da0-ad3e-21c5b5bdf2eb}"/>
        </Anchor>
        <Create/>
      </Event>
      <Event time="2025-03-24T16:31:13.00" id="{7a6d3ad7-c65d-4eb5-9c26-dee477014d55}">
        <Attribution userId="placeholder@email.com" userName="IP Adjusting Group LLC" userProvider="google-sheets"/>
        <Anchor>
          <Comment id="{ea587c8b-8d11-4da0-ad3e-21c5b5bdf2eb}"/>
        </Anchor>
        <Assign userId="scheduling@ipadjustinggroup.com" userName="scheduling@ipadjustinggroup.com" userProvider="google-sheets"/>
      </Event>
    </History>
  </Task>
  <Task id="{53188ab0-60dc-4fbf-87bb-d65edbd840da}">
    <Anchor>
      <Comment id="{3184e253-28fb-479b-aff9-b0a664c50c9b}"/>
    </Anchor>
    <History>
      <Event time="2025-03-13T17:38:25.00" id="{3a5fd76c-882c-46a0-bb2e-79a0023e3b72}">
        <Attribution userId="placeholder@email.com" userName="IP Adjusting Group LLC" userProvider="google-sheets"/>
        <Anchor>
          <Comment id="{3184e253-28fb-479b-aff9-b0a664c50c9b}"/>
        </Anchor>
        <Create/>
      </Event>
      <Event time="2025-03-13T17:38:25.00" id="{7903c723-1429-4ddf-aba4-f5fa3ae39fe7}">
        <Attribution userId="placeholder@email.com" userName="IP Adjusting Group LLC" userProvider="google-sheets"/>
        <Anchor>
          <Comment id="{3184e253-28fb-479b-aff9-b0a664c50c9b}"/>
        </Anchor>
        <Assign userId="scheduling@ipadjustinggroup.com" userName="scheduling@ipadjustinggroup.com" userProvider="google-sheets"/>
      </Event>
    </History>
  </Task>
  <Task id="{0fcfa8f7-8590-4b0f-9073-8db73f06f172}">
    <Anchor>
      <Comment id="{89f436ba-6609-4727-9f41-5743e4cbc317}"/>
    </Anchor>
    <History>
      <Event time="2025-02-19T15:49:13.00" id="{2ac3e40e-7de7-4823-9a9d-abb1a7c2b160}">
        <Attribution userId="placeholder@email.com" userName="IP Adjusting Group LLC" userProvider="google-sheets"/>
        <Anchor>
          <Comment id="{89f436ba-6609-4727-9f41-5743e4cbc317}"/>
        </Anchor>
        <Create/>
      </Event>
      <Event time="2025-02-19T15:49:13.00" id="{23baf4c2-41bd-4ef2-b7bc-620cea5edfca}">
        <Attribution userId="placeholder@email.com" userName="IP Adjusting Group LLC" userProvider="google-sheets"/>
        <Anchor>
          <Comment id="{89f436ba-6609-4727-9f41-5743e4cbc317}"/>
        </Anchor>
        <Assign userId="scheduling@ipadjustinggroup.com" userName="scheduling@ipadjustinggroup.com" userProvider="google-sheets"/>
      </Event>
    </History>
  </Task>
  <Task id="{5a5c2e7a-92c7-44ad-bbd7-4d1ff44d4037}">
    <Anchor>
      <Comment id="{a2af9120-6229-40b6-b517-ac5767c7fa99}"/>
    </Anchor>
    <History>
      <Event time="2025-03-12T15:00:11.00" id="{02e74a48-a982-42c4-9f63-7a0701764bc2}">
        <Attribution userId="placeholder@email.com" userName="IP Adjusting Group LLC" userProvider="google-sheets"/>
        <Anchor>
          <Comment id="{a2af9120-6229-40b6-b517-ac5767c7fa99}"/>
        </Anchor>
        <Create/>
      </Event>
      <Event time="2025-03-12T15:00:11.00" id="{13bd0124-376b-4930-b767-a91f53f94d83}">
        <Attribution userId="placeholder@email.com" userName="IP Adjusting Group LLC" userProvider="google-sheets"/>
        <Anchor>
          <Comment id="{a2af9120-6229-40b6-b517-ac5767c7fa99}"/>
        </Anchor>
        <Assign userId="scheduling@ipadjustinggroup.com" userName="scheduling@ipadjustinggroup.com" userProvider="google-sheets"/>
      </Event>
    </History>
  </Task>
  <Task id="{180711f4-9c41-4992-8bc0-fc5bd5f84eac}">
    <Anchor>
      <Comment id="{b8477bb2-c888-48ac-9355-c35fda64f937}"/>
    </Anchor>
    <History>
      <Event time="2025-03-21T13:22:51.00" id="{8008f5ad-6a93-40ad-ace9-8425941e253f}">
        <Attribution userId="placeholder@email.com" userName="IP Adjusting Group LLC" userProvider="google-sheets"/>
        <Anchor>
          <Comment id="{b8477bb2-c888-48ac-9355-c35fda64f937}"/>
        </Anchor>
        <Create/>
      </Event>
      <Event time="2025-03-21T13:22:51.00" id="{5bcc9f6c-791c-4403-8ca0-14d888b0bd51}">
        <Attribution userId="placeholder@email.com" userName="IP Adjusting Group LLC" userProvider="google-sheets"/>
        <Anchor>
          <Comment id="{b8477bb2-c888-48ac-9355-c35fda64f937}"/>
        </Anchor>
        <Assign userId="scheduling@ipadjustinggroup.com" userName="scheduling@ipadjustinggroup.com" userProvider="google-sheets"/>
      </Event>
    </History>
  </Task>
  <Task id="{bdb57ad1-8ae2-416c-826d-612f17248668}">
    <Anchor>
      <Comment id="{9722775e-2b8b-41fa-b600-b226602fd0ec}"/>
    </Anchor>
    <History>
      <Event time="2025-03-27T21:37:14.00" id="{0066f093-2575-473c-8914-45df070badd4}">
        <Attribution userId="placeholder@email.com" userName="IP Adjusting Group LLC" userProvider="google-sheets"/>
        <Anchor>
          <Comment id="{9722775e-2b8b-41fa-b600-b226602fd0ec}"/>
        </Anchor>
        <Create/>
      </Event>
      <Event time="2025-03-27T21:37:14.00" id="{41c69567-00ac-4045-bfe1-50a73ccbd3d5}">
        <Attribution userId="placeholder@email.com" userName="IP Adjusting Group LLC" userProvider="google-sheets"/>
        <Anchor>
          <Comment id="{9722775e-2b8b-41fa-b600-b226602fd0ec}"/>
        </Anchor>
        <Assign userId="scheduling@ipadjustinggroup.com" userName="scheduling@ipadjustinggroup.com" userProvider="google-sheets"/>
      </Event>
    </History>
  </Task>
  <Task id="{8ba18579-73ff-49f9-bdff-fce615ef1c64}">
    <Anchor>
      <Comment id="{c5443996-386a-4a70-93fb-dac6abdf275e}"/>
    </Anchor>
    <History>
      <Event time="2025-03-27T21:39:31.00" id="{5d7f03ec-1515-42bf-8d6e-d96693194bcb}">
        <Attribution userId="placeholder@email.com" userName="IP Adjusting Group LLC" userProvider="google-sheets"/>
        <Anchor>
          <Comment id="{c5443996-386a-4a70-93fb-dac6abdf275e}"/>
        </Anchor>
        <Create/>
      </Event>
      <Event time="2025-03-27T21:39:31.00" id="{7010fa30-af12-4af4-80c8-89e77cb1246e}">
        <Attribution userId="placeholder@email.com" userName="IP Adjusting Group LLC" userProvider="google-sheets"/>
        <Anchor>
          <Comment id="{c5443996-386a-4a70-93fb-dac6abdf275e}"/>
        </Anchor>
        <Assign userId="scheduling@ipadjustinggroup.com" userName="scheduling@ipadjustinggroup.com" userProvider="google-sheets"/>
      </Event>
    </History>
  </Task>
  <Task id="{6f4f82bb-dbc5-4fc7-bb2c-f0e851b43012}">
    <Anchor>
      <Comment id="{e7167d40-32db-47ea-bad2-a9bda802cc93}"/>
    </Anchor>
    <History>
      <Event time="2025-03-20T22:15:05.00" id="{c003ca95-9f25-4270-a622-e7e0d8c9be0f}">
        <Attribution userId="placeholder@email.com" userName="Jean Paul Mejia" userProvider="google-sheets"/>
        <Anchor>
          <Comment id="{e7167d40-32db-47ea-bad2-a9bda802cc93}"/>
        </Anchor>
        <Create/>
      </Event>
      <Event time="2025-03-20T22:15:05.00" id="{b8685295-7919-41e4-871f-0e46060c452e}">
        <Attribution userId="placeholder@email.com" userName="Jean Paul Mejia" userProvider="google-sheets"/>
        <Anchor>
          <Comment id="{e7167d40-32db-47ea-bad2-a9bda802cc93}"/>
        </Anchor>
        <Assign userId="admin@ipadjustinggroup.com" userName="admin@ipadjustinggroup.com" userProvider="google-sheets"/>
      </Event>
    </History>
  </Task>
  <Task id="{7bb49355-ec03-4ab1-bc59-70629c488946}">
    <Anchor>
      <Comment id="{c54f3058-df53-4cc7-a718-94b6b6187882}"/>
    </Anchor>
    <History>
      <Event time="2025-04-07T17:44:06.00" id="{f67f4d1d-7be0-41c0-8218-1a9e77642dc0}">
        <Attribution userId="placeholder@email.com" userName="IP Adjusting Group LLC" userProvider="google-sheets"/>
        <Anchor>
          <Comment id="{c54f3058-df53-4cc7-a718-94b6b6187882}"/>
        </Anchor>
        <Create/>
      </Event>
      <Event time="2025-04-07T17:44:06.00" id="{6a08961e-016a-4a13-ae34-f403e8e4f2cd}">
        <Attribution userId="placeholder@email.com" userName="IP Adjusting Group LLC" userProvider="google-sheets"/>
        <Anchor>
          <Comment id="{c54f3058-df53-4cc7-a718-94b6b6187882}"/>
        </Anchor>
        <Assign userId="scheduling@ipadjustinggroup.com" userName="scheduling@ipadjustinggroup.com" userProvider="google-sheets"/>
      </Event>
    </History>
  </Task>
  <Task id="{6c13a99d-1bf6-4ebc-a38f-dad879327404}">
    <Anchor>
      <Comment id="{09e389aa-c3f2-4d50-8979-110966b6e10a}"/>
    </Anchor>
    <History>
      <Event time="2025-04-15T14:48:23.00" id="{042d86fb-0858-48f3-9554-f2e1e80bfb38}">
        <Attribution userId="placeholder@email.com" userName="IP Adjusting Group LLC" userProvider="google-sheets"/>
        <Anchor>
          <Comment id="{09e389aa-c3f2-4d50-8979-110966b6e10a}"/>
        </Anchor>
        <Create/>
      </Event>
      <Event time="2025-04-15T14:48:23.00" id="{1c037e34-8dd1-4b09-9b6e-1ecce9f42781}">
        <Attribution userId="placeholder@email.com" userName="IP Adjusting Group LLC" userProvider="google-sheets"/>
        <Anchor>
          <Comment id="{09e389aa-c3f2-4d50-8979-110966b6e10a}"/>
        </Anchor>
        <Assign userId="jp.ipestimates@gmail.com" userName="jp.ipestimates@gmail.com" userProvider="google-sheets"/>
      </Event>
    </History>
  </Task>
  <Task id="{a9f53e27-6336-4ae7-b0c3-b508d234b7a5}">
    <Anchor>
      <Comment id="{a7e2f81b-6a92-489b-bddf-288f05d3f687}"/>
    </Anchor>
    <History>
      <Event time="2025-03-27T12:44:16.00" id="{beafea1e-85a6-4532-96b1-348539e907e1}">
        <Attribution userId="placeholder@email.com" userName="IP Adjusting Group LLC" userProvider="google-sheets"/>
        <Anchor>
          <Comment id="{a7e2f81b-6a92-489b-bddf-288f05d3f687}"/>
        </Anchor>
        <Create/>
      </Event>
      <Event time="2025-03-27T12:44:16.00" id="{0c189b6d-b104-4e5f-a158-3f5526897b7a}">
        <Attribution userId="placeholder@email.com" userName="IP Adjusting Group LLC" userProvider="google-sheets"/>
        <Anchor>
          <Comment id="{a7e2f81b-6a92-489b-bddf-288f05d3f687}"/>
        </Anchor>
        <Assign userId="scheduling@ipadjustinggroup.com" userName="scheduling@ipadjustinggroup.com" userProvider="google-sheets"/>
      </Event>
    </History>
  </Task>
  <Task id="{536e28bf-e665-42a9-8f78-6fa7e66624ac}">
    <Anchor>
      <Comment id="{be8140c7-89c0-4e45-8bf3-fdc6071453f9}"/>
    </Anchor>
    <History>
      <Event time="2025-03-27T12:54:02.00" id="{756e66d1-0ece-4542-97b9-447a4c5b1399}">
        <Attribution userId="placeholder@email.com" userName="IP Adjusting Group LLC" userProvider="google-sheets"/>
        <Anchor>
          <Comment id="{be8140c7-89c0-4e45-8bf3-fdc6071453f9}"/>
        </Anchor>
        <Create/>
      </Event>
      <Event time="2025-03-27T12:54:02.00" id="{a6f5d006-dd19-4c36-8b82-a88368032739}">
        <Attribution userId="placeholder@email.com" userName="IP Adjusting Group LLC" userProvider="google-sheets"/>
        <Anchor>
          <Comment id="{be8140c7-89c0-4e45-8bf3-fdc6071453f9}"/>
        </Anchor>
        <Assign userId="scheduling@ipadjustinggroup.com" userName="scheduling@ipadjustinggroup.com" userProvider="google-sheets"/>
      </Event>
    </History>
  </Task>
  <Task id="{64771d17-3db6-467f-8293-49853ada92d8}">
    <Anchor>
      <Comment id="{1b0a10d2-fee3-42e3-8b29-f0a45c86671c}"/>
    </Anchor>
    <History>
      <Event time="2025-03-28T20:32:53.00" id="{c03d071e-2aad-44c9-9b06-c8f2633eaa8f}">
        <Attribution userId="placeholder@email.com" userName="Scheduling IP" userProvider="google-sheets"/>
        <Anchor>
          <Comment id="{1b0a10d2-fee3-42e3-8b29-f0a45c86671c}"/>
        </Anchor>
        <Create/>
      </Event>
      <Event time="2025-03-28T20:32:53.00" id="{caf83f44-c056-461e-9f45-13b66778fee4}">
        <Attribution userId="placeholder@email.com" userName="Scheduling IP" userProvider="google-sheets"/>
        <Anchor>
          <Comment id="{1b0a10d2-fee3-42e3-8b29-f0a45c86671c}"/>
        </Anchor>
        <Assign userId="admin@ipadjustinggroup.com" userName="admin@ipadjustinggroup.com" userProvider="google-sheets"/>
      </Event>
    </History>
  </Task>
  <Task id="{dc50b28e-81cd-4611-a72b-f6cb5e7ea577}">
    <Anchor>
      <Comment id="{1aa1f32c-50b3-40b6-be55-06722cdd24cc}"/>
    </Anchor>
    <History>
      <Event time="2025-04-02T17:34:10.00" id="{b4686153-14af-4ee4-a58c-f4eec28c2738}">
        <Attribution userId="placeholder@email.com" userName="IP Adjusting Group LLC" userProvider="google-sheets"/>
        <Anchor>
          <Comment id="{1aa1f32c-50b3-40b6-be55-06722cdd24cc}"/>
        </Anchor>
        <Create/>
      </Event>
      <Event time="2025-04-02T17:34:10.00" id="{9e5ac0bf-7c39-4831-8eac-5baf32a95ff7}">
        <Attribution userId="placeholder@email.com" userName="IP Adjusting Group LLC" userProvider="google-sheets"/>
        <Anchor>
          <Comment id="{1aa1f32c-50b3-40b6-be55-06722cdd24cc}"/>
        </Anchor>
        <Assign userId="scheduling@ipadjustinggroup.com" userName="scheduling@ipadjustinggroup.com" userProvider="google-sheets"/>
      </Event>
    </History>
  </Task>
  <Task id="{c13287f0-72bd-41f8-af10-19fa9d2cb314}">
    <Anchor>
      <Comment id="{fad2849a-1b48-412f-b8cf-1127476cccfd}"/>
    </Anchor>
    <History>
      <Event time="2025-04-02T19:01:17.00" id="{810453e8-76e6-4571-abcd-6768182a7062}">
        <Attribution userId="placeholder@email.com" userName="IP Adjusting Group LLC" userProvider="google-sheets"/>
        <Anchor>
          <Comment id="{fad2849a-1b48-412f-b8cf-1127476cccfd}"/>
        </Anchor>
        <Create/>
      </Event>
      <Event time="2025-04-02T19:01:17.00" id="{54e72117-ce16-4880-952d-28a593d19bc6}">
        <Attribution userId="placeholder@email.com" userName="IP Adjusting Group LLC" userProvider="google-sheets"/>
        <Anchor>
          <Comment id="{fad2849a-1b48-412f-b8cf-1127476cccfd}"/>
        </Anchor>
        <Assign userId="jp.ipestimates@gmail.com" userName="jp.ipestimates@gmail.com" userProvider="google-sheets"/>
      </Event>
    </History>
  </Task>
  <Task id="{f09f4e8a-aa12-4aa5-a79b-0e573c6e87cb}">
    <Anchor>
      <Comment id="{90cc6873-8e92-40d9-83ee-52dc2dfecc6d}"/>
    </Anchor>
    <History>
      <Event time="2025-04-02T19:04:03.00" id="{62c6ab21-7106-454e-928a-4aef806dabaa}">
        <Attribution userId="placeholder@email.com" userName="IP Adjusting Group LLC" userProvider="google-sheets"/>
        <Anchor>
          <Comment id="{90cc6873-8e92-40d9-83ee-52dc2dfecc6d}"/>
        </Anchor>
        <Create/>
      </Event>
      <Event time="2025-04-02T19:04:03.00" id="{320cd73b-fae6-4967-a296-1b57a061042f}">
        <Attribution userId="placeholder@email.com" userName="IP Adjusting Group LLC" userProvider="google-sheets"/>
        <Anchor>
          <Comment id="{90cc6873-8e92-40d9-83ee-52dc2dfecc6d}"/>
        </Anchor>
        <Assign userId="scheduling@ipadjustinggroup.com" userName="scheduling@ipadjustinggroup.com" userProvider="google-sheets"/>
      </Event>
    </History>
  </Task>
  <Task id="{c258abb4-4322-4056-b9c2-bb16074bff68}">
    <Anchor>
      <Comment id="{e59c689b-e56d-4544-9043-0bb909a39cd2}"/>
    </Anchor>
    <History>
      <Event time="2025-04-04T16:34:50.00" id="{126f1aed-2e77-44da-9ad5-8cce37d66464}">
        <Attribution userId="placeholder@email.com" userName="IP Adjusting Group LLC" userProvider="google-sheets"/>
        <Anchor>
          <Comment id="{e59c689b-e56d-4544-9043-0bb909a39cd2}"/>
        </Anchor>
        <Create/>
      </Event>
      <Event time="2025-04-04T16:34:50.00" id="{8393c1fd-c727-424f-be8c-b46425f69b17}">
        <Attribution userId="placeholder@email.com" userName="IP Adjusting Group LLC" userProvider="google-sheets"/>
        <Anchor>
          <Comment id="{e59c689b-e56d-4544-9043-0bb909a39cd2}"/>
        </Anchor>
        <Assign userId="scheduling@ipadjustinggroup.com" userName="scheduling@ipadjustinggroup.com" userProvider="google-sheets"/>
      </Event>
    </History>
  </Task>
  <Task id="{914fb4a3-b346-44cf-98be-0a1e562ea127}">
    <Anchor>
      <Comment id="{f9eefc6c-1c68-468b-9d88-b483d7368aa0}"/>
    </Anchor>
    <History>
      <Event time="2025-04-04T18:03:15.00" id="{84d43b55-13b8-43fe-9d9e-681ae93cd8d4}">
        <Attribution userId="placeholder@email.com" userName="IP Adjusting Group LLC" userProvider="google-sheets"/>
        <Anchor>
          <Comment id="{f9eefc6c-1c68-468b-9d88-b483d7368aa0}"/>
        </Anchor>
        <Create/>
      </Event>
      <Event time="2025-04-04T18:03:15.00" id="{b76ed9a4-ec71-4ac9-afb6-57a53a4b514c}">
        <Attribution userId="placeholder@email.com" userName="IP Adjusting Group LLC" userProvider="google-sheets"/>
        <Anchor>
          <Comment id="{f9eefc6c-1c68-468b-9d88-b483d7368aa0}"/>
        </Anchor>
        <Assign userId="scheduling@ipadjustinggroup.com" userName="scheduling@ipadjustinggroup.com" userProvider="google-sheets"/>
      </Event>
    </History>
  </Task>
  <Task id="{6b393180-2bc5-486e-951b-b45fd2cfb3ce}">
    <Anchor>
      <Comment id="{21b0c0db-7bec-48a1-88f7-30c66a582841}"/>
    </Anchor>
    <History>
      <Event time="2025-04-18T18:54:50.00" id="{0ba1f427-3eb2-4ca6-8a4b-1b634895f637}">
        <Attribution userId="placeholder@email.com" userName="IP Adjusting Group LLC" userProvider="google-sheets"/>
        <Anchor>
          <Comment id="{21b0c0db-7bec-48a1-88f7-30c66a582841}"/>
        </Anchor>
        <Create/>
      </Event>
      <Event time="2025-04-18T18:54:50.00" id="{43f0cca8-e56e-4c3f-b999-191a0b88a1f7}">
        <Attribution userId="placeholder@email.com" userName="IP Adjusting Group LLC" userProvider="google-sheets"/>
        <Anchor>
          <Comment id="{21b0c0db-7bec-48a1-88f7-30c66a582841}"/>
        </Anchor>
        <Assign userId="jp.ipestimates@gmail.com" userName="jp.ipestimates@gmail.com" userProvider="google-sheets"/>
      </Event>
    </History>
  </Task>
  <Task id="{10533992-7ed9-433c-90d6-0813f5729029}">
    <Anchor>
      <Comment id="{8e25bf77-b1df-4441-91a0-d679cb6bc837}"/>
    </Anchor>
    <History>
      <Event time="2025-04-16T22:22:20.00" id="{3e60f008-16d3-47ce-abdd-4c9ebe146467}">
        <Attribution userId="placeholder@email.com" userName="IP Adjusting Group LLC" userProvider="google-sheets"/>
        <Anchor>
          <Comment id="{8e25bf77-b1df-4441-91a0-d679cb6bc837}"/>
        </Anchor>
        <Create/>
      </Event>
      <Event time="2025-04-16T22:22:20.00" id="{e7c87b1d-703b-4df3-8b6b-c1bd99d51d6c}">
        <Attribution userId="placeholder@email.com" userName="IP Adjusting Group LLC" userProvider="google-sheets"/>
        <Anchor>
          <Comment id="{8e25bf77-b1df-4441-91a0-d679cb6bc837}"/>
        </Anchor>
        <Assign userId="jp.ipestimates@gmail.com" userName="jp.ipestimates@gmail.com" userProvider="google-sheets"/>
      </Event>
    </History>
  </Task>
  <Task id="{15138c57-b9bc-44bc-b1a7-df4fd59e8091}">
    <Anchor>
      <Comment id="{5cdcff6e-7f1f-4589-9acc-778ab149e0a0}"/>
    </Anchor>
    <History>
      <Event time="2025-04-29T01:35:17.00" id="{4fed3ac4-ef10-49a9-a7d9-432cef07ac0f}">
        <Attribution userId="placeholder@email.com" userName="IP Adjusting Group LLC" userProvider="google-sheets"/>
        <Anchor>
          <Comment id="{5cdcff6e-7f1f-4589-9acc-778ab149e0a0}"/>
        </Anchor>
        <Create/>
      </Event>
      <Event time="2025-04-29T01:35:17.00" id="{eb2673b9-f299-404d-9cf1-0e55eca18084}">
        <Attribution userId="placeholder@email.com" userName="IP Adjusting Group LLC" userProvider="google-sheets"/>
        <Anchor>
          <Comment id="{5cdcff6e-7f1f-4589-9acc-778ab149e0a0}"/>
        </Anchor>
        <Assign userId="scheduling@ipadjustinggroup.com" userName="scheduling@ipadjustinggroup.com" userProvider="google-sheets"/>
      </Event>
    </History>
  </Task>
  <Task id="{67176caf-d45e-48d9-86e0-cc99708ed22c}">
    <Anchor>
      <Comment id="{5e8a6fec-1460-4883-9794-47a854452041}"/>
    </Anchor>
    <History>
      <Event time="2025-04-21T16:05:00.00" id="{b40a90ac-6696-4663-b330-b643d91eae26}">
        <Attribution userId="placeholder@email.com" userName="IP Adjusting Group LLC" userProvider="google-sheets"/>
        <Anchor>
          <Comment id="{5e8a6fec-1460-4883-9794-47a854452041}"/>
        </Anchor>
        <Create/>
      </Event>
      <Event time="2025-04-21T16:05:00.00" id="{f12612a4-6114-483f-9da7-af4b46e5d285}">
        <Attribution userId="placeholder@email.com" userName="IP Adjusting Group LLC" userProvider="google-sheets"/>
        <Anchor>
          <Comment id="{5e8a6fec-1460-4883-9794-47a854452041}"/>
        </Anchor>
        <Assign userId="scheduling@ipadjustinggroup.com" userName="scheduling@ipadjustinggroup.com" userProvider="google-sheets"/>
      </Event>
    </History>
  </Task>
  <Task id="{b13eae09-1a7e-49f8-9711-034811a658f0}">
    <Anchor>
      <Comment id="{978da125-65c6-411c-baa0-3db6bb340043}"/>
    </Anchor>
    <History>
      <Event time="2025-04-22T14:39:52.00" id="{a0449b83-49cb-4d7f-a62b-75a53b5de29c}">
        <Attribution userId="placeholder@email.com" userName="IP Adjusting Group LLC" userProvider="google-sheets"/>
        <Anchor>
          <Comment id="{978da125-65c6-411c-baa0-3db6bb340043}"/>
        </Anchor>
        <Create/>
      </Event>
      <Event time="2025-04-22T14:39:52.00" id="{d0bfe002-7044-4f2f-9945-f185c083edab}">
        <Attribution userId="placeholder@email.com" userName="IP Adjusting Group LLC" userProvider="google-sheets"/>
        <Anchor>
          <Comment id="{978da125-65c6-411c-baa0-3db6bb340043}"/>
        </Anchor>
        <Assign userId="scheduling@ipadjustinggroup.com" userName="scheduling@ipadjustinggroup.com" userProvider="google-sheets"/>
      </Event>
    </History>
  </Task>
  <Task id="{c928c3d7-89c9-4948-b431-7cfddc15e03f}">
    <Anchor>
      <Comment id="{17ad0dc2-50be-40d8-832e-7a01da78f8af}"/>
    </Anchor>
    <History>
      <Event time="2025-05-16T22:57:57.00" id="{10e9a2e8-d211-4646-b3f6-64e515775943}">
        <Attribution userId="placeholder@email.com" userName="IP Adjusting Group LLC" userProvider="google-sheets"/>
        <Anchor>
          <Comment id="{17ad0dc2-50be-40d8-832e-7a01da78f8af}"/>
        </Anchor>
        <Create/>
      </Event>
      <Event time="2025-05-16T22:57:57.00" id="{a57980f3-6a8c-4588-b99c-5f57180a86fd}">
        <Attribution userId="placeholder@email.com" userName="IP Adjusting Group LLC" userProvider="google-sheets"/>
        <Anchor>
          <Comment id="{17ad0dc2-50be-40d8-832e-7a01da78f8af}"/>
        </Anchor>
        <Assign userId="scheduling@ipadjustinggroup.com" userName="scheduling@ipadjustinggroup.com" userProvider="google-sheets"/>
      </Event>
    </History>
  </Task>
  <Task id="{496e7659-acfb-4d02-b759-a0483fff740a}">
    <Anchor>
      <Comment id="{2de82c9d-6927-4526-bc56-fcc853e467f8}"/>
    </Anchor>
    <History>
      <Event time="2025-05-27T01:39:10.00" id="{1248cd05-a8cc-49c3-b9f7-af838dff5ea5}">
        <Attribution userId="placeholder@email.com" userName="IP Adjusting Group LLC" userProvider="google-sheets"/>
        <Anchor>
          <Comment id="{2de82c9d-6927-4526-bc56-fcc853e467f8}"/>
        </Anchor>
        <Create/>
      </Event>
      <Event time="2025-05-27T01:39:10.00" id="{dc3651a6-7b26-4a56-921c-2b7f58cad482}">
        <Attribution userId="placeholder@email.com" userName="IP Adjusting Group LLC" userProvider="google-sheets"/>
        <Anchor>
          <Comment id="{2de82c9d-6927-4526-bc56-fcc853e467f8}"/>
        </Anchor>
        <Assign userId="scheduling@ipadjustinggroup.com" userName="scheduling@ipadjustinggroup.com" userProvider="google-sheets"/>
      </Event>
    </History>
  </Task>
  <Task id="{d2287d0a-d16b-499a-b27b-79e7f14221d3}">
    <Anchor>
      <Comment id="{f14a6bb8-f971-4d72-97e2-4f11b5ad310d}"/>
    </Anchor>
    <History>
      <Event time="2025-05-21T16:45:38.00" id="{f2c92357-2246-4177-813f-7dfc82bd1bf3}">
        <Attribution userId="placeholder@email.com" userName="IP Adjusting Group LLC" userProvider="google-sheets"/>
        <Anchor>
          <Comment id="{f14a6bb8-f971-4d72-97e2-4f11b5ad310d}"/>
        </Anchor>
        <Create/>
      </Event>
      <Event time="2025-05-21T16:45:38.00" id="{83f6e0fb-6b5f-4808-8970-b00872977a87}">
        <Attribution userId="placeholder@email.com" userName="IP Adjusting Group LLC" userProvider="google-sheets"/>
        <Anchor>
          <Comment id="{f14a6bb8-f971-4d72-97e2-4f11b5ad310d}"/>
        </Anchor>
        <Assign userId="scheduling@ipadjustinggroup.com" userName="scheduling@ipadjustinggroup.com" userProvider="google-sheets"/>
      </Event>
    </History>
  </Task>
  <Task id="{bbb48510-c069-4f14-9391-09bfbbd84ec0}">
    <Anchor>
      <Comment id="{c3abc17c-1a3f-47ac-8c03-14a4ed124d60}"/>
    </Anchor>
    <History>
      <Event time="2025-07-10T18:46:33.00" id="{ba483c8e-c691-478a-a4f0-8aaae71997fd}">
        <Attribution userId="placeholder@email.com" userName="IP Adjusting Group LLC" userProvider="google-sheets"/>
        <Anchor>
          <Comment id="{538e0349-bde1-4336-b301-b13b909c2ef5}"/>
        </Anchor>
        <Create/>
      </Event>
      <Event time="2025-07-10T18:46:33.00" id="{fbc5ff64-f02a-4eaa-b796-10ec4462af57}">
        <Attribution userId="placeholder@email.com" userName="IP Adjusting Group LLC" userProvider="google-sheets"/>
        <Anchor>
          <Comment id="{538e0349-bde1-4336-b301-b13b909c2ef5}"/>
        </Anchor>
        <Assign userId="scheduling@ipadjustinggroup.com" userName="scheduling@ipadjustinggroup.com" userProvider="google-sheets"/>
      </Event>
    </History>
  </Task>
  <Task id="{6fdbb3b1-5fc1-4ef2-af3e-05b59cd06171}">
    <Anchor>
      <Comment id="{376469a2-c842-467c-85a9-da9ce3524b24}"/>
    </Anchor>
    <History>
      <Event time="2025-06-11T17:31:18.00" id="{226166d1-6420-400b-aa7b-eca436dfcd9e}">
        <Attribution userId="placeholder@email.com" userName="IP Adjusting Group LLC" userProvider="google-sheets"/>
        <Anchor>
          <Comment id="{376469a2-c842-467c-85a9-da9ce3524b24}"/>
        </Anchor>
        <Create/>
      </Event>
      <Event time="2025-06-11T17:31:18.00" id="{3f404e53-cd99-4ef7-b7b3-42a694d8f2ee}">
        <Attribution userId="placeholder@email.com" userName="IP Adjusting Group LLC" userProvider="google-sheets"/>
        <Anchor>
          <Comment id="{376469a2-c842-467c-85a9-da9ce3524b24}"/>
        </Anchor>
        <Assign userId="scheduling@ipadjustinggroup.com" userName="scheduling@ipadjustinggroup.com" userProvider="google-sheets"/>
      </Event>
    </History>
  </Task>
  <Task id="{7619ce09-d869-48bf-bad3-88e5c4568571}">
    <Anchor>
      <Comment id="{afa94d3f-1978-42fe-91fe-e1bf1084b942}"/>
    </Anchor>
    <History>
      <Event time="2025-06-11T17:43:35.00" id="{4c8a7451-55d7-4b73-abce-3f53add4742c}">
        <Attribution userId="placeholder@email.com" userName="IP Adjusting Group LLC" userProvider="google-sheets"/>
        <Anchor>
          <Comment id="{afa94d3f-1978-42fe-91fe-e1bf1084b942}"/>
        </Anchor>
        <Create/>
      </Event>
      <Event time="2025-06-11T17:43:35.00" id="{37384d37-dee3-4fc4-842b-9aed03a5dfc1}">
        <Attribution userId="placeholder@email.com" userName="IP Adjusting Group LLC" userProvider="google-sheets"/>
        <Anchor>
          <Comment id="{afa94d3f-1978-42fe-91fe-e1bf1084b942}"/>
        </Anchor>
        <Assign userId="scheduling@ipadjustinggroup.com" userName="scheduling@ipadjustinggroup.com" userProvider="google-sheets"/>
      </Event>
    </History>
  </Task>
  <Task id="{86368d3b-8c0a-448a-81d4-2d56fe8dac36}">
    <Anchor>
      <Comment id="{e648a16d-a81c-4e4f-a73d-764e02d6bfd4}"/>
    </Anchor>
    <History>
      <Event time="2025-06-11T17:04:41.00" id="{1594a545-50f3-4694-b61c-16cea3995025}">
        <Attribution userId="placeholder@email.com" userName="Scheduling IP" userProvider="google-sheets"/>
        <Anchor>
          <Comment id="{e648a16d-a81c-4e4f-a73d-764e02d6bfd4}"/>
        </Anchor>
        <Create/>
      </Event>
      <Event time="2025-06-11T17:04:41.00" id="{29c36017-4205-4b05-b7da-84313ee44f51}">
        <Attribution userId="placeholder@email.com" userName="Scheduling IP" userProvider="google-sheets"/>
        <Anchor>
          <Comment id="{e648a16d-a81c-4e4f-a73d-764e02d6bfd4}"/>
        </Anchor>
        <Assign userId="admin@ipadjustinggroup.com" userName="admin@ipadjustinggroup.com" userProvider="google-sheets"/>
      </Event>
    </History>
  </Task>
  <Task id="{0816bea4-0d02-4ea7-8f8d-547141afcd21}">
    <Anchor>
      <Comment id="{bf018a46-eccf-4ee1-8ef8-40a196e7fb0e}"/>
    </Anchor>
    <History>
      <Event time="2025-07-16T18:54:13.00" id="{907f56b5-71e6-43e2-bd6a-bb396893fdc6}">
        <Attribution userId="placeholder@email.com" userName="IP Adjusting Group LLC" userProvider="google-sheets"/>
        <Anchor>
          <Comment id="{bf018a46-eccf-4ee1-8ef8-40a196e7fb0e}"/>
        </Anchor>
        <Create/>
      </Event>
      <Event time="2025-07-16T18:54:13.00" id="{34ec6312-7138-4ea0-80ac-9a3a3b672fe4}">
        <Attribution userId="placeholder@email.com" userName="IP Adjusting Group LLC" userProvider="google-sheets"/>
        <Anchor>
          <Comment id="{bf018a46-eccf-4ee1-8ef8-40a196e7fb0e}"/>
        </Anchor>
        <Assign userId="scheduling@ipadjustinggroup.com" userName="scheduling@ipadjustinggroup.com" userProvider="google-sheets"/>
      </Event>
    </History>
  </Task>
  <Task id="{84e7a06e-af42-4be2-8a45-a89574cdc65a}">
    <Anchor>
      <Comment id="{e066173e-b475-434a-a653-4cac327bfaa4}"/>
    </Anchor>
    <History>
      <Event time="2025-06-03T17:17:57.00" id="{b3313737-1af0-44b9-8d23-cde4b35743af}">
        <Attribution userId="placeholder@email.com" userName="IP Adjusting Group LLC" userProvider="google-sheets"/>
        <Anchor>
          <Comment id="{e066173e-b475-434a-a653-4cac327bfaa4}"/>
        </Anchor>
        <Create/>
      </Event>
      <Event time="2025-06-03T17:17:57.00" id="{15d841a3-d636-44e9-ad46-8795909f4b82}">
        <Attribution userId="placeholder@email.com" userName="IP Adjusting Group LLC" userProvider="google-sheets"/>
        <Anchor>
          <Comment id="{e066173e-b475-434a-a653-4cac327bfaa4}"/>
        </Anchor>
        <Assign userId="scheduling@ipadjustinggroup.com" userName="scheduling@ipadjustinggroup.com" userProvider="google-sheets"/>
      </Event>
    </History>
  </Task>
  <Task id="{d5ae072e-3728-4834-856a-d800ce00fd0c}">
    <Anchor>
      <Comment id="{7313fe2f-2464-418b-9bd4-2010a4b9e94f}"/>
    </Anchor>
    <History>
      <Event time="2025-08-13T16:16:27.00" id="{7da4fac4-0d44-4884-b8d0-14b0bdfc09ac}">
        <Attribution userId="placeholder@email.com" userName="IP Adjusting Group LLC" userProvider="google-sheets"/>
        <Anchor>
          <Comment id="{7313fe2f-2464-418b-9bd4-2010a4b9e94f}"/>
        </Anchor>
        <Create/>
      </Event>
      <Event time="2025-08-13T16:16:27.00" id="{93543bdd-8e12-407c-935d-eb7ecbfa7c3a}">
        <Attribution userId="placeholder@email.com" userName="IP Adjusting Group LLC" userProvider="google-sheets"/>
        <Anchor>
          <Comment id="{7313fe2f-2464-418b-9bd4-2010a4b9e94f}"/>
        </Anchor>
        <Assign userId="scheduling@ipadjustinggroup.com" userName="scheduling@ipadjustinggroup.com" userProvider="google-sheets"/>
      </Event>
    </History>
  </Task>
  <Task id="{5797ac4b-cc82-49c7-9871-4d7bff51a800}">
    <Anchor>
      <Comment id="{6597da5e-caa8-490d-a6bb-1fd29c866824}"/>
    </Anchor>
    <History>
      <Event time="2025-06-26T14:52:06.00" id="{757a2a74-199d-4e0a-9215-20f25f4094d3}">
        <Attribution userId="placeholder@email.com" userName="IP Adjusting Group LLC" userProvider="google-sheets"/>
        <Anchor>
          <Comment id="{6597da5e-caa8-490d-a6bb-1fd29c866824}"/>
        </Anchor>
        <Create/>
      </Event>
      <Event time="2025-06-26T14:52:06.00" id="{171688f7-064a-489c-bc30-a8ce816ab41d}">
        <Attribution userId="placeholder@email.com" userName="IP Adjusting Group LLC" userProvider="google-sheets"/>
        <Anchor>
          <Comment id="{6597da5e-caa8-490d-a6bb-1fd29c866824}"/>
        </Anchor>
        <Assign userId="scheduling@ipadjustinggroup.com" userName="scheduling@ipadjustinggroup.com" userProvider="google-sheets"/>
      </Event>
    </History>
  </Task>
  <Task id="{e0beccba-0f71-4df3-ab5e-e5f7627acc48}">
    <Anchor>
      <Comment id="{a561bc7f-5405-48d0-b988-a8cb6f0d8072}"/>
    </Anchor>
    <History>
      <Event time="2025-06-27T14:22:17.00" id="{bedb764c-b179-49d1-b438-20ead4b9979c}">
        <Attribution userId="placeholder@email.com" userName="IP Adjusting Group LLC" userProvider="google-sheets"/>
        <Anchor>
          <Comment id="{a561bc7f-5405-48d0-b988-a8cb6f0d8072}"/>
        </Anchor>
        <Create/>
      </Event>
      <Event time="2025-06-27T14:22:17.00" id="{5f9f83fe-8255-4b2b-a1dc-4b1cb7bfdd09}">
        <Attribution userId="placeholder@email.com" userName="IP Adjusting Group LLC" userProvider="google-sheets"/>
        <Anchor>
          <Comment id="{a561bc7f-5405-48d0-b988-a8cb6f0d8072}"/>
        </Anchor>
        <Assign userId="scheduling@ipadjustinggroup.com" userName="scheduling@ipadjustinggroup.com" userProvider="google-sheets"/>
      </Event>
    </History>
  </Task>
  <Task id="{dc695fc0-c911-4041-87b6-20604940fb3a}">
    <Anchor>
      <Comment id="{6f936b5e-8f7f-4bda-8ff2-bb2415dae4b5}"/>
    </Anchor>
    <History>
      <Event time="2025-06-27T14:25:17.00" id="{6392b060-c1e0-4f51-833e-386bf2b47625}">
        <Attribution userId="placeholder@email.com" userName="IP Adjusting Group LLC" userProvider="google-sheets"/>
        <Anchor>
          <Comment id="{6f936b5e-8f7f-4bda-8ff2-bb2415dae4b5}"/>
        </Anchor>
        <Create/>
      </Event>
      <Event time="2025-06-27T14:25:17.00" id="{73839e33-509b-47c9-92b3-8a4a7e656b5f}">
        <Attribution userId="placeholder@email.com" userName="IP Adjusting Group LLC" userProvider="google-sheets"/>
        <Anchor>
          <Comment id="{6f936b5e-8f7f-4bda-8ff2-bb2415dae4b5}"/>
        </Anchor>
        <Assign userId="scheduling@ipadjustinggroup.com" userName="scheduling@ipadjustinggroup.com" userProvider="google-sheets"/>
      </Event>
    </History>
  </Task>
  <Task id="{519009be-7143-4256-85c8-509a25b934bc}">
    <Anchor>
      <Comment id="{64d14bb2-ecd0-410c-a428-d24e253e9661}"/>
    </Anchor>
    <History>
      <Event time="2025-07-25T15:41:44.00" id="{c972438d-e5cc-409f-a410-cb0ec96e6ded}">
        <Attribution userId="placeholder@email.com" userName="Scheduling IP" userProvider="google-sheets"/>
        <Anchor>
          <Comment id="{64d14bb2-ecd0-410c-a428-d24e253e9661}"/>
        </Anchor>
        <Create/>
      </Event>
      <Event time="2025-07-25T15:41:44.00" id="{a915b1a5-ef83-411c-ba69-77a7ea434d07}">
        <Attribution userId="placeholder@email.com" userName="Scheduling IP" userProvider="google-sheets"/>
        <Anchor>
          <Comment id="{64d14bb2-ecd0-410c-a428-d24e253e9661}"/>
        </Anchor>
        <Assign userId="admin@ipadjustinggroup.com" userName="admin@ipadjustinggroup.com" userProvider="google-sheets"/>
      </Event>
    </History>
  </Task>
  <Task id="{58927404-1a9b-4b84-9c1f-6e25d35eeb4e}">
    <Anchor>
      <Comment id="{c799ac72-145c-4ebf-a2c0-ab65a2a467f9}"/>
    </Anchor>
    <History>
      <Event time="2025-08-21T16:00:30.00" id="{66f181a2-f001-40b1-8aeb-4e3f8476aea0}">
        <Attribution userId="placeholder@email.com" userName="IP Adjusting Group LLC" userProvider="google-sheets"/>
        <Anchor>
          <Comment id="{c799ac72-145c-4ebf-a2c0-ab65a2a467f9}"/>
        </Anchor>
        <Create/>
      </Event>
      <Event time="2025-08-21T16:00:30.00" id="{05d25844-c969-4489-97f8-70918abadaf7}">
        <Attribution userId="placeholder@email.com" userName="IP Adjusting Group LLC" userProvider="google-sheets"/>
        <Anchor>
          <Comment id="{c799ac72-145c-4ebf-a2c0-ab65a2a467f9}"/>
        </Anchor>
        <Assign userId="scheduling@ipadjustinggroup.com" userName="scheduling@ipadjustinggroup.com" userProvider="google-sheets"/>
      </Event>
    </History>
  </Task>
  <Task id="{b119d37a-e44b-4185-ae48-137d763f2303}">
    <Anchor>
      <Comment id="{c2d59b9d-35e7-401c-b9ee-5817da79a392}"/>
    </Anchor>
    <History>
      <Event time="2025-09-09T16:30:20.00" id="{9df0b102-cf65-4d20-b78e-6e1714c31b2e}">
        <Attribution userId="placeholder@email.com" userName="IP Adjusting Group LLC" userProvider="google-sheets"/>
        <Anchor>
          <Comment id="{c2d59b9d-35e7-401c-b9ee-5817da79a392}"/>
        </Anchor>
        <Create/>
      </Event>
      <Event time="2025-09-09T16:30:20.00" id="{7a73dfad-cb96-43f9-84f3-c5919c6baf66}">
        <Attribution userId="placeholder@email.com" userName="IP Adjusting Group LLC" userProvider="google-sheets"/>
        <Anchor>
          <Comment id="{c2d59b9d-35e7-401c-b9ee-5817da79a392}"/>
        </Anchor>
        <Assign userId="scheduling@ipadjustinggroup.com" userName="scheduling@ipadjustinggroup.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an Paul Mejia" id="{651ebe9d-f120-479c-8376-36973fff1cc1}" providerId="google-sheets"/>
  <x18tc:person displayName="joshua@ipadjustinggroup.com" id="{0ded1b8b-4eea-4335-8538-9d68812f3531}" userId="joshua@ipadjustinggroup.com" providerId="google-sheets"/>
  <x18tc:person displayName="Sarah Guerra" id="{dce94d92-92ea-454e-be01-6696a4edd87f}" providerId="google-sheets"/>
  <x18tc:person displayName="IP Adjusting Group LLC" id="{d5498dd3-4a64-46ce-9a8a-c831885a0249}" providerId="google-sheets"/>
  <x18tc:person displayName="scheduling@ipadjustinggroup.com" id="{2c8ec519-d5db-42bb-a5e2-52abe8ff6abf}" userId="scheduling@ipadjustinggroup.com" providerId="google-sheets"/>
  <x18tc:person displayName="jp.ipestimates@gmail.com" id="{f5ec41ac-eb21-45bf-aaa5-f7dfbc04c8e9}" userId="jp.ipestimates@gmail.com" providerId="google-sheets"/>
  <x18tc:person displayName="sarah@ipadjustinggroup.com" id="{96de1e6f-5074-4371-82e1-7da1ab62b8e3}" userId="sarah@ipadjustinggroup.com" providerId="google-sheets"/>
  <x18tc:person displayName="ivan@ipadjustinggroup.com" id="{b266a086-4b60-4ebe-b1c0-272efe0833b6}" userId="ivan@ipadjustinggroup.com" providerId="google-sheets"/>
  <x18tc:person displayName="admin@ipadjustinggroup.com" id="{1ffc25a2-3f83-4ed1-a701-edf0aba99522}" userId="admin@ipadjustinggroup.com" providerId="google-sheets"/>
  <x18tc:person displayName="peter@ipadjustinggroup.com" id="{a90e7136-7222-4115-902b-b36ed88b071a}" userId="peter@ipadjustinggroup.com" providerId="google-sheets"/>
  <x18tc:person displayName="iandres.assistant@gmail.com" id="{8530a93b-c25c-4f0c-9adb-d8ddaa7bd49f}" userId="iandres.assistant@gmail.com" providerId="google-sheets"/>
  <x18tc:person displayName="Scheduling IP" id="{610be7ce-9288-4df9-9aac-427cc105bbe1}"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424" sheet="New ClientList"/>
  </cacheSource>
  <cacheFields>
    <cacheField name="status" numFmtId="0">
      <sharedItems containsBlank="1">
        <s v="CLSD CLAIMS"/>
        <s v="FORCE PLACED"/>
        <s v="STAND BY"/>
        <s v="SETTLED"/>
        <s v="FEES PENDING"/>
        <s v="File a suit"/>
        <s v="PEN O&amp;L/DEPRECIATION"/>
        <s v="LITIGATION"/>
        <s v="PEN PAY"/>
        <s v="PEND. FILE NOI"/>
        <s v="NOI"/>
        <s v="APPRAISAL"/>
        <m/>
        <s v="MEDIATION"/>
      </sharedItems>
    </cacheField>
    <cacheField name="ADJUSTER" numFmtId="49">
      <sharedItems containsBlank="1">
        <s v="David"/>
        <s v="Ivan"/>
        <s v="Peter"/>
        <s v="Juan"/>
        <s v="Joshua"/>
        <s v="Jakey"/>
        <s v="David M."/>
        <s v="Jakey, Joshua"/>
        <s v="David F., Ivan"/>
        <s v="Ivan, David F."/>
        <s v="Ivan, Juan"/>
        <s v="Joshua, David M."/>
        <s v="Ivan, Jose P."/>
        <s v="Jacob S"/>
        <s v="Ivan, Angie"/>
        <s v="Ivan, David M."/>
        <s v="David F."/>
        <s v="Ivan, Jakey"/>
        <s v="Myers, Ivan"/>
        <s v="David M., Joshua"/>
        <s v="Joshua, Hector"/>
        <s v="Gregory, Peter"/>
        <s v="Jose P., Ivan"/>
        <s v="Peter, Gregory"/>
        <s v="Ivan, Joshua"/>
        <s v="Angie, Ivan"/>
        <s v="Angie"/>
        <s v="Jose P."/>
        <s v="Chris / Joshua"/>
        <s v="Ivan, Peter"/>
        <m/>
      </sharedItems>
    </cacheField>
    <cacheField name="CW File #">
      <sharedItems containsBlank="1" containsMixedTypes="1" containsNumber="1" containsInteger="1">
        <s v="2024010021"/>
        <s v="2024010025"/>
        <s v="2023100014"/>
        <s v="2023110034"/>
        <s v="2023110015"/>
        <s v="2023110020"/>
        <s v="2024040006"/>
        <s v="2023110024"/>
        <s v="2023110027"/>
        <s v="2024010030"/>
        <s v="2024050015"/>
        <s v="2024030002"/>
        <s v="2024020013"/>
        <s v="2024050003"/>
        <s v="2023110038"/>
        <s v="2023110036"/>
        <s v="2024060010"/>
        <s v="2023100004"/>
        <s v="2024050004"/>
        <s v="2024010016"/>
        <s v="2024080009"/>
        <s v="2024040001"/>
        <s v="2024080001"/>
        <s v="2023110042"/>
        <s v="2024100008"/>
        <s v="2024090001"/>
        <s v="2024020004"/>
        <s v="2024080010"/>
        <s v="2024100023"/>
        <s v="2023100010"/>
        <s v="2024010029"/>
        <s v="2024110014"/>
        <s v="2024110015"/>
        <s v="2024110017"/>
        <s v="2024100009"/>
        <s v="2025030001"/>
        <s v="2023110028"/>
        <s v="2023120013"/>
        <s v="2024010011"/>
        <s v="2023110025"/>
        <s v="2023110023"/>
        <s v="2024010002"/>
        <s v="2024010004"/>
        <s v="2023100001"/>
        <s v="2023100002"/>
        <s v="2023100003"/>
        <s v="2023100005"/>
        <s v="2023100006"/>
        <s v="2023100008"/>
        <s v="2023100009"/>
        <s v="2023110002"/>
        <s v="2023110003"/>
        <s v="2023100012"/>
        <s v="2023110004"/>
        <s v="2023110005"/>
        <s v="2023100011"/>
        <s v="2023110006"/>
        <s v="2023110007"/>
        <s v="2023110008"/>
        <s v="2023110009"/>
        <s v="2023110010"/>
        <s v="2023110011"/>
        <s v="2023110012"/>
        <s v="2023110013"/>
        <s v="2023110014"/>
        <s v="2023110016"/>
        <s v="2023110017"/>
        <s v="2023110018"/>
        <s v="2023110019"/>
        <s v="2023100013"/>
        <s v="2023110021"/>
        <s v="2023110022"/>
        <s v="2023110026"/>
        <s v="2023110029"/>
        <s v="2023110030"/>
        <s v="2023110031"/>
        <s v="2023110032"/>
        <s v="2023110033"/>
        <s v="2023110035"/>
        <s v="2023110037"/>
        <s v="2023110039"/>
        <s v="2023120001"/>
        <s v="2023120002"/>
        <s v="2023110040"/>
        <s v="2023120004"/>
        <s v="2023110041"/>
        <s v="2023110043"/>
        <s v="2023120005"/>
        <s v="2023120003"/>
        <s v="2023120006"/>
        <s v="2023120007"/>
        <s v="2023120008"/>
        <s v="2023120009"/>
        <s v="2023120010"/>
        <s v="2023120011"/>
        <s v="2023120012"/>
        <s v="2023120014"/>
        <s v="2023120015"/>
        <s v="2023120016"/>
        <s v="2024010001"/>
        <s v="2024010003"/>
        <s v="2023120017"/>
        <s v="2023120018"/>
        <s v="2024010005"/>
        <s v="2024010006"/>
        <s v="2024020005"/>
        <s v="2024010007"/>
        <s v="2024010008"/>
        <s v="2024010009"/>
        <s v="2024010010"/>
        <s v="2024010012"/>
        <s v="2024010013"/>
        <s v="2024010014"/>
        <s v="2024010015"/>
        <s v="2024010017"/>
        <s v="2024010018"/>
        <s v="2024010019"/>
        <s v="2024010020"/>
        <s v="2024010027"/>
        <s v="2024010022"/>
        <s v="2024010023"/>
        <s v="2024010024"/>
        <s v="2024010026"/>
        <s v="2024020001"/>
        <s v="2024020002"/>
        <s v="2024020003"/>
        <s v="2024010028"/>
        <s v="2022020001"/>
        <s v="2024020006"/>
        <s v="2024020007"/>
        <s v="2024020008"/>
        <s v="2024020009"/>
        <s v="2024020010"/>
        <s v="2024020011"/>
        <s v="2024020012"/>
        <s v="2024030001"/>
        <s v="2024020014"/>
        <s v="2024030003"/>
        <s v="2024030004"/>
        <s v="2024030005"/>
        <s v="2024030006"/>
        <s v="2024030008"/>
        <s v="2024030007"/>
        <s v="2024040002"/>
        <s v="2024040003"/>
        <s v="2024040004"/>
        <s v="2024040005"/>
        <s v="2024040007"/>
        <s v="2024040008"/>
        <s v="2024040009"/>
        <s v="2024030009"/>
        <s v="2024040010"/>
        <s v="2024050001"/>
        <s v="2024050007"/>
        <s v="2024050006"/>
        <s v="2024050002"/>
        <s v="2024050005"/>
        <s v="2024050008"/>
        <s v="2024050009"/>
        <s v="2024050010"/>
        <s v="2024050011"/>
        <s v="2024050012"/>
        <s v="2024050014"/>
        <s v="2024050016"/>
        <s v="2024060001"/>
        <s v="2024060002"/>
        <s v="2024060003"/>
        <s v="2024060004"/>
        <s v="2024060005"/>
        <s v="2024050017"/>
        <s v="2024050018"/>
        <s v="2024060006"/>
        <s v="2024050019"/>
        <s v="2024060007"/>
        <s v="2024060008"/>
        <s v="2024060009"/>
        <s v="2024060011"/>
        <s v="2024060012"/>
        <s v="2024060013"/>
        <s v="2024060014"/>
        <s v="2024060015"/>
        <s v="2024060016"/>
        <s v="2024060017"/>
        <s v="2024050020"/>
        <s v="2024060018"/>
        <s v="2024060019"/>
        <s v="2024060020"/>
        <s v="2024070001"/>
        <s v="2024070002"/>
        <s v="2024070003"/>
        <s v="2024070004"/>
        <s v="2024070005"/>
        <s v="2024070006"/>
        <s v="2024060021"/>
        <s v="2024070007"/>
        <s v="2024070008"/>
        <s v="2024080002"/>
        <s v="2024080003"/>
        <s v="2024080004"/>
        <s v="2024080005"/>
        <s v="2024080006"/>
        <s v="2024080007"/>
        <s v="2024080008"/>
        <s v="2024080011"/>
        <s v="2024080012"/>
        <s v="2024090002"/>
        <s v="2024090004"/>
        <s v="2024090003"/>
        <s v="2024100001"/>
        <s v="2024100002"/>
        <s v="2024100003"/>
        <s v="2024100004"/>
        <s v="2024100005"/>
        <s v="2024100006"/>
        <s v="2024100007"/>
        <s v="2024100010"/>
        <s v="2024100011"/>
        <s v="2024100012"/>
        <s v="2024100013"/>
        <s v="2024100014"/>
        <s v="2024100015"/>
        <s v="2024100016"/>
        <s v="2024100017"/>
        <s v="2024100018"/>
        <s v="2024100019"/>
        <s v="2024100020"/>
        <s v="2024100021"/>
        <s v="2024100022"/>
        <s v="2024100024"/>
        <s v="2024100025"/>
        <s v="2024100026"/>
        <s v="2024100027"/>
        <s v="2024100028"/>
        <s v="2024100029"/>
        <s v="2024100030"/>
        <s v="2024100031"/>
        <s v="2024100032"/>
        <s v="2024100033"/>
        <s v="2024100034"/>
        <s v="2024100035"/>
        <s v="2024100037"/>
        <s v="2024100038"/>
        <s v="2024100039"/>
        <s v="2024100041"/>
        <s v="2024100040"/>
        <s v="2024100042"/>
        <s v="2024100043"/>
        <s v="2024100044"/>
        <s v="2024100045"/>
        <s v="2024100046"/>
        <s v="2024100047"/>
        <s v="2024100048"/>
        <s v="2024100049"/>
        <s v="2024100050"/>
        <s v="2024100052"/>
        <s v="2024100051"/>
        <s v="2024100053"/>
        <s v="2024100054"/>
        <s v="2024110001"/>
        <s v="2024110002"/>
        <s v="2024110003"/>
        <s v="2024100055"/>
        <s v="2024110004"/>
        <s v="2024110005"/>
        <s v="2024110006"/>
        <n v="2.024110007E9"/>
        <s v="2024110008"/>
        <s v="2024110009"/>
        <s v="2024100056"/>
        <s v="2024100057"/>
        <s v="2024100058"/>
        <s v="2024100059"/>
        <s v="2024110010"/>
        <s v="2024110011"/>
        <s v="2024110012"/>
        <s v="2024110013"/>
        <s v="2024110016"/>
        <s v="2024100060"/>
        <s v="2024110018"/>
        <s v="2024110019"/>
        <s v="2024110020"/>
        <s v="2024110021"/>
        <s v="2024120001"/>
        <s v="2024120002"/>
        <s v="2024120004"/>
        <s v="2024120005"/>
        <s v="2024120006"/>
        <s v="2024110022"/>
        <s v="2024120007"/>
        <s v="2024120008"/>
        <s v="2024120009"/>
        <s v="2024120010"/>
        <s v="2024120011"/>
        <s v="2024120012"/>
        <s v="2024120013"/>
        <s v="2024120014"/>
        <s v="2024120015"/>
        <s v="2024120016"/>
        <s v="2024120017"/>
        <s v="2024120018"/>
        <s v="2024120019"/>
        <s v="2024120020"/>
        <s v="2025010001"/>
        <s v="2025010002"/>
        <s v="2025010003"/>
        <s v="2025010004"/>
        <s v="2025010005"/>
        <s v="2025010006"/>
        <s v="2024120021"/>
        <s v="2025010007"/>
        <s v="2025010008"/>
        <s v="2025010009"/>
        <s v="2025010010"/>
        <s v="2025010011"/>
        <s v="2025010012"/>
        <s v="2025020001"/>
        <s v="2025020002"/>
        <s v="2025010013"/>
        <s v="2025010014"/>
        <s v="2024100061"/>
        <s v="2025020003"/>
        <s v="2025020004"/>
        <s v="2025020005"/>
        <s v="2025020006"/>
        <s v="2025020007"/>
        <s v="2025020008"/>
        <s v="2025020009"/>
        <s v="2025020010"/>
        <s v="2025020011"/>
        <s v="2025020012"/>
        <s v="2025030002"/>
        <s v="2025030003"/>
        <s v="2025030004"/>
        <s v="2025030005"/>
        <s v="2025030006"/>
        <s v="2025030007"/>
        <s v="2025030008"/>
        <s v="2025030009"/>
        <s v="2025030010"/>
        <s v="2025030011"/>
        <s v="2025030012"/>
        <s v="2025030013"/>
        <s v="2025030014"/>
        <s v="2025030015"/>
        <s v="2025030016"/>
        <s v="2025030017"/>
        <s v="2025030018"/>
        <s v="2025030019"/>
        <s v="2025030020"/>
        <s v="2025040001"/>
        <s v="2025040002"/>
        <s v="2024120022"/>
        <s v="2025040003"/>
        <s v="2025040004"/>
        <s v="2025040005"/>
        <s v="2025040006"/>
        <s v="2025040007"/>
        <s v="2025040008"/>
        <s v="2025040009"/>
        <s v="2025040010"/>
        <s v="2025040011"/>
        <s v="2025040012"/>
        <s v="2025040013"/>
        <s v="2025040014"/>
        <s v="2025050001"/>
        <s v="2025050002"/>
        <s v="2025050003"/>
        <s v="2025050004"/>
        <s v="2025050005"/>
        <s v="2025050006"/>
        <s v="2025050007"/>
        <s v="2025050008"/>
        <s v="2025050009"/>
        <s v="2025060001"/>
        <s v="2025060002"/>
        <s v="2025060003"/>
        <s v="2025060004"/>
        <s v="2025060005"/>
        <s v="2025060006"/>
        <s v="2025060007"/>
        <s v="2024060022"/>
        <s v="2025070001"/>
        <s v="2025070002"/>
        <s v="2025070003"/>
        <s v="2024050013"/>
        <s v="2025080001"/>
        <s v="2025070004"/>
        <s v="2025080002"/>
        <s v="2025090001"/>
        <s v="2025100001"/>
        <s v="2025100002"/>
        <s v="2025100003"/>
        <s v="2025110001"/>
        <s v="2025120001"/>
        <s v="2025120002"/>
        <s v="2025120003"/>
        <s v="2026010001"/>
        <s v="2026010002"/>
        <s v="2026020001 "/>
        <s v="2026020002"/>
        <s v="2026020003"/>
        <s v="2026020004"/>
        <s v="2026020005"/>
        <s v="2026030001"/>
        <s v="2026030002"/>
        <s v="2026030003"/>
        <s v="2026030004"/>
        <s v="2026040001"/>
        <s v="2026040002"/>
        <s v="2026040003"/>
        <s v="2026040004"/>
        <s v="2026050004"/>
        <s v="2026060001"/>
        <s v="2026080001"/>
        <s v="2026080002"/>
        <s v="2026080003"/>
        <s v="2026080004"/>
        <s v="2026080005"/>
        <s v="2026080006"/>
        <s v="2026080007"/>
        <s v="2026090002"/>
        <m/>
      </sharedItems>
    </cacheField>
    <cacheField name="CLIENT" numFmtId="49">
      <sharedItems containsBlank="1">
        <s v="Donna Wilson"/>
        <s v="Josh Lee"/>
        <s v="Mathew Rose"/>
        <s v="Carlos and Eva Carrizales"/>
        <s v="Delphine Purser"/>
        <s v="Christopher Russell"/>
        <s v="Consuelo Mendoza"/>
        <s v="Adela Olivo Ryals"/>
        <s v="Ella McMillan"/>
        <s v="Kathleen Torrens (Levis)"/>
        <s v="Gil Perez Hawkins"/>
        <s v="Oak Park Villas of Brevard Condominium Association Inc"/>
        <s v="Claire Gladley "/>
        <s v="Patricia Sigala"/>
        <s v="Maria Suarez"/>
        <s v="Amber Westberry"/>
        <s v="Christina Maglione"/>
        <s v="Gary John &amp; Diane R Beaupre"/>
        <s v="Donald Gordon "/>
        <s v="Hector &amp; Elsa Padron"/>
        <s v="Robin Beemer"/>
        <s v="Ketly Saint-Cyr"/>
        <s v="Fern Hernandez"/>
        <s v="James &amp; Sharon Theriault"/>
        <s v="Sandra Fox"/>
        <s v="Daniel &amp; Denise Fowlie"/>
        <s v="Nichole Davila-Orford "/>
        <s v="Diane Edwards "/>
        <s v="Tyler Miller"/>
        <s v="Edward Apanowicz"/>
        <s v="DSM Holdings LLC"/>
        <s v="Stephen &amp; Robin Ruggiero"/>
        <s v="Randolph Smith"/>
        <s v="Louisa Marie Eugene"/>
        <s v="Federico &amp; Maria Mata "/>
        <s v="Maria Montejo y Miguel Sariol"/>
        <s v="Martha Belmares"/>
        <s v="Melvin Thomas"/>
        <s v="Luisa M. Figueredo"/>
        <s v="Donghong Min"/>
        <s v="Devon Dowling"/>
        <s v="Yusimi Nunez"/>
        <s v="Raul Perez &amp; Mileidy Hernandez"/>
        <s v="Christian Aguirre"/>
        <s v="Yohandry Nunez"/>
        <s v="Cefie Metayer"/>
        <s v="Anthony Nova"/>
        <s v="Linda Sandoval"/>
        <s v="Kathleen Judy Whaley"/>
        <s v="Vivian Carey"/>
        <s v="Jose Santos Olmos Jr"/>
        <s v="Gregoria Naranjo"/>
        <s v="Samuel Dela Torre"/>
        <s v="Cipriano Antonio &amp; Petra Rivera"/>
        <s v="Tyler Letchworth"/>
        <s v="Maria Cervantes "/>
        <s v="Genaro Martinez"/>
        <s v="John Vandiver"/>
        <s v="Frito Theodore"/>
        <s v="Jonathan Martinez"/>
        <s v="Maria Olmos "/>
        <s v="Yordany Nunez"/>
        <s v="Michael Kontomanolis"/>
        <s v="Sandra Bass"/>
        <s v="Arnulfo Armijo"/>
        <s v="Latoya Solomon"/>
        <s v="Keith Mosley"/>
        <s v="Juan Correa"/>
        <s v="David Santiago"/>
        <s v="Luis Bruno Gomez"/>
        <s v="Castadero &amp; Sara Hudnell"/>
        <s v="Teresa &amp; Eliseo Salas"/>
        <s v="Christopher Fawley"/>
        <s v="Marisa Dawson"/>
        <s v="Andres &amp; Lidilia Bellidodeluna"/>
        <s v="James Schaill "/>
        <s v="John Barlow"/>
        <s v="Michael Reynolds / Penny Wienk"/>
        <s v="Reginald Franklin"/>
        <s v="Timothy &amp; Rebecca Meyers"/>
        <s v="Louis Gomez &amp; Lourdes Parra "/>
        <s v="Raul Rodriguez"/>
        <s v="Michael Culp"/>
        <s v="Billy Engler"/>
        <s v="Florence DeZavodow"/>
        <s v="Jose Rosales"/>
        <s v="Danielle Defelice"/>
        <s v="Jose Hernandez"/>
        <s v="John Cherundolo"/>
        <s v="Judy Nunez"/>
        <s v="Emanuel518 Enterprises LLC (Markus Khalil)"/>
        <s v="Dorothy Sumpter"/>
        <s v="Eddy Ramos "/>
        <s v="Jackeline Silva "/>
        <s v="Todd Bosselman "/>
        <s v="Kemline &amp; Ires Dorvil "/>
        <s v="Brenda &amp; James Killen"/>
        <s v="Breiann &amp; Adam Dupre"/>
        <s v="Barry Serica"/>
        <s v="Grace Collymore "/>
        <s v="Reginald Williams &amp; Cheraina Bonner"/>
        <s v="Roberto Nunez"/>
        <s v="Takchileey Chan"/>
        <s v="Marjorie O’neal Day"/>
        <s v="Betty Weber "/>
        <s v="Tarryn Bosley"/>
        <s v="Jessie Percival "/>
        <s v="Neray Mollinedo"/>
        <s v="Rene Hernandez Aleman"/>
        <s v="Terry Sue Brightman-Hill"/>
        <s v="Tara Hudson-Akins"/>
        <s v="Joyce Webb"/>
        <s v="Juan V Ortiz"/>
        <s v="Larry Wilkie"/>
        <s v="Angel Gandara "/>
        <s v="Kimberly Holder "/>
        <s v="Amanda Harris"/>
        <s v="Leilani Moore"/>
        <s v="Schnei Hogarth"/>
        <s v="Edward Randall"/>
        <s v="Sandra Mayfield "/>
        <s v="Nereida Irizarry"/>
        <s v="Anna &amp; Dakota Anderson"/>
        <s v="Cameron Jones"/>
        <s v="Luz Favrow"/>
        <s v="Javier Aguilar"/>
        <s v="Barrington and Conchita James"/>
        <s v="Luis Cruz-Cedeno"/>
        <s v="Manzoorul Haq "/>
        <s v="Edward &amp; Mercedes Ricardo"/>
        <s v="John Puterbaugh"/>
        <s v="Jessie Wiggins"/>
        <s v="Gladys Groomes"/>
        <s v="Joe &amp; Andrew Bennet"/>
        <s v="Antonio Cabrera"/>
        <s v="Garrett Lightsey"/>
        <s v="Elvy Chilel &amp; Juan Baltazar"/>
        <s v="Pamela Ruth"/>
        <s v="Lionel &amp; Maria Olvera"/>
        <s v="Terry L Simmons"/>
        <s v="Jonatan &amp; Elizabeth Serrano"/>
        <s v="Elizabeth Garner"/>
        <s v="Brian Harris"/>
        <s v="Patricia Wiggins "/>
        <s v="Gabriel &amp; Emma Velasquez "/>
        <s v="William Murphy"/>
        <s v="Latonia &amp; Youseline Dale"/>
        <s v="Matthew Boerwinkle &amp; Jody Huffman"/>
        <s v="Calixto Portillo"/>
        <s v="Jesus Alvarez "/>
        <s v="Cynthia &amp; Loern Jones"/>
        <s v="Brandy &amp; Daniel Hand"/>
        <s v="Rose Paul"/>
        <s v="Michael &amp; Kelli Ogrady"/>
        <s v="Susan &amp; Michael Bunting"/>
        <s v="Hamlet &amp; Mildre Felix"/>
        <s v="Carl Watson"/>
        <s v="Mu Ying Wu"/>
        <s v="Garry &amp; Rachel Smith"/>
        <s v="Andrew &amp; Amy Garner"/>
        <s v="Robert Hairston"/>
        <s v="Sherman Blandin"/>
        <s v="Colby &amp; Sarah Woppman"/>
        <s v="Christine Routson"/>
        <s v="Julio Calderon Campo"/>
        <s v="Christopher &amp; Carlotta Stephenson"/>
        <s v="Guilaine Guillaume"/>
        <s v="Jaime Rivera"/>
        <s v="Gabriella Bollman &amp; Angelica Ansley"/>
        <s v="Elda Torres &amp; Elda Chamale"/>
        <s v="Immacula Atime"/>
        <s v="Katelynne Campbell"/>
        <s v="Nicholas &amp; Martine Rochemont"/>
        <s v="Robert Reen"/>
        <s v="Gerald &amp; Eva-Yee Nappi"/>
        <s v="Beata Beyer "/>
        <s v="Sandy &amp; Lori Helmdach"/>
        <s v="Christina Suntai"/>
        <s v="Anita McCloskey"/>
        <s v="David McClaim "/>
        <s v="Kevin Smith"/>
        <s v="Tracy Olin"/>
        <s v="Trenell Robinson "/>
        <s v="Kerri &amp; William Koblentz"/>
        <s v="Victor Rollins"/>
        <s v="John &amp; Marleni Daiello "/>
        <s v="Marcus Raney"/>
        <s v="Tomas Planet Fucha"/>
        <s v="Helena &amp; Todd Helbing"/>
        <s v="Donna Michelle Maidlow"/>
        <s v="Mayol Gutierrez"/>
        <s v="Chandler Maidlow"/>
        <s v="Miguel Mendez"/>
        <s v="Pierre &amp; Shirlaine Caty"/>
        <s v="Prosper Bocaille &amp; Dazilia Pierre"/>
        <s v="Joan Brier "/>
        <s v="Selma Garcia "/>
        <s v="Beth Ann Southerns "/>
        <s v="Julio Guerrero"/>
        <s v="Brandon Schnitzler "/>
        <s v="Chanit Tia Castle"/>
        <s v="Luz &amp; Jose Rincon"/>
        <s v="Kathleen Morrison"/>
        <s v="Jason Pellett"/>
        <s v="Maria Aguila"/>
        <s v="Battallion Insurance LLC"/>
        <s v="Beata Beyer"/>
        <s v="Carol Doran"/>
        <s v="Beverly Felton "/>
        <s v="Addlish Harmon "/>
        <s v="Victoria Pompey "/>
        <s v="Reginald &amp; Cheraina Williams"/>
        <s v="Julita Warwood"/>
        <s v="Lanio Louis"/>
        <s v="Courtney Marie McNeal"/>
        <s v="Liovanni Hilaire"/>
        <s v="Dayron Enamorado"/>
        <s v="Louis S Gomez &amp; Lourdes Parra"/>
        <s v="Juan de Castro"/>
        <s v="Jose Julian Colon"/>
        <s v="John Charles Hoelzer"/>
        <s v="Sara Edixon "/>
        <s v="Lawrence Miller"/>
        <s v="Kenneth M Lagassey"/>
        <s v="Fredy Garcia &amp; Jesus Castro Luna"/>
        <s v="Guerra Properties LLC"/>
        <s v="Idiolexys Alvarez Torres"/>
        <s v="Dacelin &amp; Antonette St Martin"/>
        <s v="Jamila Mcgee"/>
        <s v="Mailis Gonzalez"/>
        <s v="Francisco Castro"/>
        <s v="Diana Josue"/>
        <s v="Seddrick &amp; Donna Dixon"/>
        <s v="Dadda Holdings LLC "/>
        <s v="Alfredo Fley "/>
        <s v="Lyle Dorr"/>
        <s v="Sandra Markman "/>
        <s v="Ivan Belyy"/>
        <s v="Kennard Ramdowe"/>
        <s v="Dadda Holdings LLC"/>
        <s v="Courtney M McNeal "/>
        <s v="Courtney M McNeal"/>
        <s v="Juanita Salinas"/>
        <s v="Joshua Burroughs"/>
        <s v="April D. Hunt"/>
        <s v="Gerardo Salas Dugarte"/>
        <s v="Sunlight Ventures Properties LLC"/>
        <s v="Monica Marticorena"/>
        <s v="Aaron &amp; Danielle Goldberg"/>
        <s v="Constance Cloutier "/>
        <s v="Michelle Sierra"/>
        <s v="Jonathan Miller"/>
        <s v="Shannon &amp; Jerica Rogers"/>
        <s v="Melitta Thornton"/>
        <s v="James Stuberfield"/>
        <s v="Shannon Rogers"/>
        <s v="Luke Fisher"/>
        <s v="Dharmesh &amp; Minal Patel "/>
        <s v="Vijay Dass"/>
        <s v="Germaine Burgett"/>
        <s v="Arnetha Robinson-Miles"/>
        <s v="Ky &amp; Tin Nguyen"/>
        <s v="Shatavia Clark"/>
        <s v="Lionel Brooks"/>
        <s v="Lucresha Robinson Reeves"/>
        <s v="William Dean"/>
        <s v="Jason &amp; Ashely Bolema "/>
        <s v="Shana Junior"/>
        <s v="Maria Bove"/>
        <s v="Julio Herrera"/>
        <s v="Catile &amp; Marie Alcide"/>
        <s v="Marilyn George "/>
        <s v="Murielle Guillaume"/>
        <s v="Patricia Treece"/>
        <s v="Thayna M. Pluviose"/>
        <s v="Melinda Holland"/>
        <s v="Luke Wheat "/>
        <s v="Hector &amp; Frances Rodriguez"/>
        <s v="Celso Mendez "/>
        <s v="John Alicea"/>
        <s v="Dean Diehl"/>
        <s v="Robert Robles "/>
        <s v="Joseph &amp; Wilza Metellus"/>
        <s v="Sylonie Graham"/>
        <s v="Barrington &amp; Conchita James"/>
        <s v="Bruce Cohen"/>
        <s v="Daniel Croce"/>
        <s v="Robert J Heerdt"/>
        <s v="Lisa Cleghorn"/>
        <s v="Suzy Comellas"/>
        <s v="Ruth Bentley"/>
        <s v="Matthew &amp; Jennifer Morse"/>
        <s v="Suzanne &amp; Jerry Comellas"/>
        <s v="Karen McEvoy "/>
        <s v="Priscilla &amp; Murid Partaw "/>
        <s v="Miranda Mattingly"/>
        <s v="Natali Figueredo"/>
        <s v="Gleisis Giralt Diaz "/>
        <s v="Robin Williams Anthony"/>
        <s v="Joseph Hambrick "/>
        <s v="Chad Santoro "/>
        <s v="Rubye Lee Gordon "/>
        <s v="Jason L Gordon"/>
        <s v="John Martin"/>
        <s v="Archie Sanders"/>
        <s v="Julissa Jimenez"/>
        <s v="Andrew Dove-Rivers"/>
        <s v="Robert &amp; Carol Risch "/>
        <s v="Melissa Miranda"/>
        <s v="Michelle Tingling"/>
        <s v="Servando Valdez"/>
        <s v="Jose Flores &amp; Angie Gallegos "/>
        <s v="Brett Anderson "/>
        <s v="Maria A Herrera "/>
        <s v="Junior Mauger"/>
        <s v="Jerry Hernandez Rodriguez"/>
        <s v="Barbara Walton "/>
        <s v="Alba Rivera "/>
        <s v="Geraldine Kidd"/>
        <s v="Nydia Aponte "/>
        <s v="Altard Altes Dieuveuil"/>
        <s v="Desperine Blake"/>
        <s v="Deranty Cohen "/>
        <s v="Nam Nguyen"/>
        <s v="Rebecca Lorenzo"/>
        <s v="Manuel Camerolinares &amp; Veronica Silva"/>
        <s v="Pedro Gonzalez"/>
        <s v="Renee Jones"/>
        <s v="Jerry Adams "/>
        <s v="Andrea Destowet "/>
        <s v="Brittany V. Gonzalez"/>
        <s v="Jessica Murrell"/>
        <s v="Erne Pierre"/>
        <s v="Abdullah &amp; Sanah Toom"/>
        <s v="Robert &amp; Donna Alderman"/>
        <s v="Jennifer Spencer "/>
        <s v="Steven Salomon &amp; Kim Tram"/>
        <s v="Brian Bunich"/>
        <s v="Terance Douglas "/>
        <s v="Michael Kelly"/>
        <s v="Wanise Antoine"/>
        <s v="Ralph &amp; Patricia Foster"/>
        <s v="Jose Pavon"/>
        <s v="Timothy Pickens "/>
        <s v="Luke Hogan"/>
        <s v="Jessica Moore"/>
        <s v="Nathanie Hyppolite"/>
        <s v="Ruth Dodson"/>
        <s v="Tennison Hubbard "/>
        <s v="Rashik Adhikari"/>
        <s v="Jessica Paul and Joseph Metellus"/>
        <s v="Thomas DeRiso"/>
        <s v="Elizabeth Lopez"/>
        <s v="Anabel Sanchez Acosta &amp; Danny Batista"/>
        <s v="Jose Medina Romero &amp; Melissa Perez Rodriguez "/>
        <s v="Erika Betancourt &amp; Jose Montenegro"/>
        <s v="Jerry &amp; Suzy Comellas"/>
        <s v="Michelle Fletcher"/>
        <s v="Larry Wilson"/>
        <s v="Dulivert Mauricette &amp; Cezilia Pierre"/>
        <s v="Flor Gaviria"/>
        <s v="Miriam Trimarchi"/>
        <s v="Kelsey &amp; Bernardo Cardenal"/>
        <s v="Jose Ossa &amp; Edilma Arroyave "/>
        <s v="Claridad Valverde / Jose Garcia"/>
        <s v="Jude &amp; Marie Mentor"/>
        <s v="Mary Ellen Mieras"/>
        <s v="Tommy &amp; Bettye Kuhn"/>
        <s v="Tina Johnson "/>
        <s v="Ryan Fogel"/>
        <m/>
      </sharedItems>
    </cacheField>
    <cacheField name="PHONE#" numFmtId="49">
      <sharedItems containsBlank="1">
        <s v="863-661-8812"/>
        <s v="305-915-7233"/>
        <s v="239-645-6588"/>
        <s v="205-863-9976"/>
        <s v="863-375-2307"/>
        <s v="863-245-6249"/>
        <s v="863-832-1276"/>
        <s v="863-864-9107"/>
        <s v="863-410-4785"/>
        <s v="786-397-0207 (Levis)"/>
        <s v="239-200-8783"/>
        <s v="Travis Gardner 321-313-3310"/>
        <s v="863-712-2976"/>
        <s v="863-245-7195"/>
        <s v="863-245-8889"/>
        <s v="863-245-5652"/>
        <s v="239-234-8175"/>
        <s v="863-990-4978/ 863-990-4970"/>
        <s v="401-623-1145"/>
        <s v="772-307-7879"/>
        <s v="734-308-3889"/>
        <s v="239-313-7074"/>
        <s v="863-832-4044"/>
        <s v="978-880-5988"/>
        <s v="239-478-1465"/>
        <s v="941-769-1533"/>
        <s v="863-212-1272"/>
        <s v="941-228-0730"/>
        <s v="330-275-7272"/>
        <s v="941-240-6391"/>
        <s v="561-201-1100"/>
        <s v="941-586-2226"/>
        <s v="941-448-3655"/>
        <s v="708-715-2770"/>
        <s v="863-585-5846"/>
        <s v="863-605-0787"/>
        <s v="505-415-9241"/>
        <s v="863-448-3950"/>
        <s v="863-409-2240"/>
        <s v="786-277-3113"/>
        <s v="423-314-9363 / - 9367 "/>
        <s v="239-919-7971"/>
        <s v="305-798-5548"/>
        <s v="239-645-3075"/>
        <s v="305-720-0931"/>
        <s v="786-322-9088 "/>
        <s v="863-832-2302"/>
        <s v="786-975-3079"/>
        <s v="863-773-7800"/>
        <s v="863-781-7736"/>
        <s v="863-832-4961"/>
        <s v="863-781-5892"/>
        <s v="(863) 273-9670 / 863-222-1714"/>
        <s v="863-781-0707/Casandra 863-832-4598"/>
        <s v="863-781-6265 / 863-781-6812"/>
        <s v="863-512-1764"/>
        <s v="863-832-1948"/>
        <s v="863-245-8049"/>
        <s v="863-832-8820"/>
        <s v="754-252-0552 Claire"/>
        <s v="863-445-4910"/>
        <s v="863-832-3833"/>
        <s v="305-343-7399"/>
        <s v="516-547-2732"/>
        <s v="863-285-8987"/>
        <s v="863-999-1623 (Martha Armijo - wife)"/>
        <s v="863-205-2553"/>
        <s v="863-661-2799"/>
        <s v="786-369-9724 (wife Stephanie)"/>
        <s v="305-224-2164"/>
        <s v="863-328-0116"/>
        <s v="863-535-7826"/>
        <s v="863-559-0110"/>
        <s v="863-448-2170"/>
        <s v="863-444-1816"/>
        <s v="863-344-2567"/>
        <s v="407-968-8338"/>
        <s v="863-640-6169"/>
        <s v="863-245-5170"/>
        <s v="863-241-6736"/>
        <s v="850-272-6754"/>
        <s v="863-412-7824"/>
        <s v="321-298-8238"/>
        <s v="305-266-1761"/>
        <s v="863-251-2971"/>
        <s v="863-913-4882"/>
        <s v="863-450-0929"/>
        <s v="863-344-2306"/>
        <s v="863-307-5704"/>
        <s v="863-513-9717"/>
        <s v="239-282-0430"/>
        <s v="305-781-0205"/>
        <s v="407-929-3450"/>
        <s v="941-769-3396"/>
        <s v="239-745-0472"/>
        <s v="941-586-2960"/>
        <s v="863-272-4972"/>
        <s v="561-346-8661"/>
        <s v="863-604-0361"/>
        <s v="239-888-6694"/>
        <s v="941-932-0312 / 941-928-4721"/>
        <s v="813-498-7324"/>
        <s v="941-549-0935 / 941-518-5170"/>
        <s v="941-681-1678"/>
        <s v="407-718-3858"/>
        <s v="813-379-1250"/>
        <s v="352-586-6052"/>
        <s v="301-582-8013"/>
        <m/>
        <s v="863-279-2707/ 863-262-8050"/>
        <s v="863-934-6360"/>
        <s v="863-640-0667"/>
        <s v="863-877-5313"/>
        <s v="(863) 686-8316"/>
        <s v="863-682-0999/ 863-397-4234"/>
        <s v="305-942-7187"/>
        <s v="863-808-8500"/>
        <s v="863-205-2154"/>
        <s v="407-953-0556"/>
        <s v="863-738-4154"/>
        <s v="301-609-1131"/>
        <s v="518-590-4811"/>
        <s v="863-698-8154"/>
        <s v="267-499-0917/ 267-258-6764"/>
        <s v="863-804-8969 / 863-5826740"/>
        <s v="Anastasia 352-697-1751"/>
        <s v="203-601-2301"/>
        <s v="863-245-9879"/>
        <s v="863-682-6676"/>
        <s v="609-638-5836"/>
        <s v="772-985-2279"/>
        <s v="305-301-0570 / 786-280-0760"/>
        <s v="239-841-3585"/>
        <s v="863-832-2800"/>
        <s v="863-529-7343"/>
        <s v="941-769-2099"/>
        <s v="863-832-9945"/>
        <s v="863-258-9593"/>
        <s v="863-244-4916, 863-244-4913"/>
        <s v="863-244-2411"/>
        <s v="863-990-4137"/>
        <s v="941-769-4459"/>
        <s v="863-444-8319"/>
        <s v="863-244-8234"/>
        <s v="863-231-2405"/>
        <s v="863-245-4447"/>
        <s v="941-276-4943"/>
        <s v="781-941-6065"/>
        <s v="239-867-1983"/>
        <s v="217-620-6020"/>
        <s v="239-848-8687"/>
        <s v="863-263-6462"/>
        <s v="352-212-2135"/>
        <s v="941-661-4970"/>
        <s v="239-244-6777 / sister's 786-413-5146"/>
        <s v="239-244-6777"/>
        <s v="352-422-4550"/>
        <s v="321-914-8768"/>
        <s v="352-560-1471"/>
        <s v="863-244-4550"/>
        <s v="917-929-7092"/>
        <s v="863-244-1992"/>
        <s v="863-990-7470"/>
        <s v="941-286-3166"/>
        <s v="(863) 263-8117"/>
        <s v="863-231-2011"/>
        <s v="863-993-5550"/>
        <s v="863-303-9753"/>
        <s v="(941)628-3848"/>
        <s v="954-995-1938"/>
        <s v="863-245-7856"/>
        <s v="239-470-5171"/>
        <s v="239-841-1680"/>
        <s v="239-334-8947"/>
        <s v="352-697-3371"/>
        <s v="239-895-6000 &amp; 239-810-6662"/>
        <s v="413-883-1001"/>
        <s v="239-218-1253"/>
        <s v="408-605-3867"/>
        <s v="352-302-0733"/>
        <s v="239-466-7278"/>
        <s v="239-478-6065"/>
        <s v="239-878-2068"/>
        <s v="239-229-6782"/>
        <s v="772-453-0576"/>
        <s v="917-455-2127"/>
        <s v="863-513-6660 / 863-513-6665"/>
        <s v="239-910-1280"/>
        <s v="863-698-4802"/>
        <s v="614-202-9124"/>
        <s v="813-770-8282"/>
        <s v="813-240-9186 / 813-335-5986"/>
        <s v="352-302-2785"/>
        <s v="352-535-7141"/>
        <s v="352-746-1855"/>
        <s v="727-688-9031"/>
        <s v="863-686-8316"/>
        <s v="954-716-1444"/>
        <s v="954-865-6297"/>
        <s v="941-226-2475"/>
        <s v="941-822-1222"/>
        <s v="941-518-1106"/>
        <s v="857-919-7411"/>
        <s v="813-285-8932"/>
        <s v="954-558-2922"/>
        <s v="954-479-4489"/>
        <s v="941-217-9194"/>
        <s v="239-248-6599"/>
        <s v="941-400-9534"/>
        <s v="352-354-7777"/>
        <s v="408-605-7055"/>
        <s v="941-296-5545"/>
        <s v="239-895-5073"/>
        <s v="239-839-5665"/>
        <s v="941-896-2931"/>
        <s v="941-755-5986 / 931-214-4349"/>
        <s v="772-595-2124"/>
        <s v="954-638-8155"/>
        <s v="727-742-0103"/>
        <s v="561-644-6405"/>
        <s v="352-464-0759 "/>
        <s v="561-215-3370"/>
        <s v="305-810-9529"/>
        <s v="727-645-2661"/>
        <s v="516-574-9821"/>
        <s v="(863) 244-4550"/>
        <s v="941-773-0646"/>
        <s v="772-332-7244"/>
        <s v="772-828-6467"/>
        <s v="863-801-2314"/>
        <s v="305-884-0000"/>
        <s v="941-822-6573"/>
        <s v="786-288-6142"/>
        <s v="352-586-2712"/>
        <s v="772-267-7573"/>
        <s v="772-332-2343"/>
        <s v="772-924-5010"/>
        <s v="646-453-9854"/>
        <s v="941-405-8661"/>
        <s v="941-504-6000/941-932-7729"/>
        <s v="941-412-6106"/>
        <s v="772-203-1894"/>
        <s v="941-592-0543"/>
        <s v="941-400-7096"/>
        <s v="585-353-5928"/>
        <s v="301-820-2394"/>
        <s v="786-414-4788"/>
        <s v="941-402-5477"/>
        <s v="401-323-3373"/>
        <s v="772-782-4279"/>
        <s v="954-854-0575"/>
        <s v="941-920-5454"/>
        <s v="772-801-8676"/>
        <s v="772-925-2436"/>
        <s v="941-345-6474"/>
        <s v="216-926-8965"/>
        <s v="407-692-8432"/>
        <s v="941-812-4735"/>
        <s v="772-501-1067"/>
        <s v="863-326-8888"/>
        <s v="321-557-7187"/>
        <s v="772-812-1775"/>
        <s v="772-216-5062"/>
        <s v="352-727-2087"/>
        <s v="941-809-3183"/>
        <s v="813-817-8665"/>
        <s v="727-492-2379"/>
        <s v="516-429-5408"/>
        <s v="772-359-7356"/>
        <s v="954-479-4914"/>
        <s v="772-267-4149"/>
        <s v="772-971-7650"/>
        <s v="561-814-1416"/>
        <s v="786-501-0203"/>
        <s v="765-894-3568"/>
        <s v="407-844-4733"/>
        <s v="813-679-3589"/>
        <s v="773-858-0315"/>
        <s v=" 719-648-9504"/>
        <s v="941-704-8493"/>
        <s v="941-301-1981/ 941-807-7061"/>
        <s v="561-299-7868"/>
        <s v="210-324-6735"/>
        <s v="716-725-1484"/>
        <s v="813-344-8066"/>
        <s v="941-565-4989"/>
        <s v="813-408-3996"/>
        <s v="503-381-0501"/>
        <s v="757-450-4902"/>
        <s v="941-724-1385"/>
        <s v="813-369-3444"/>
        <s v="316-371-0913/316-209-5708"/>
        <s v="813-568-0463/813-344-7023"/>
        <s v="813-526-9765"/>
        <s v="941-323-4716"/>
        <s v="561-262-4581 "/>
        <s v="813-734-0322"/>
        <s v="863-660-1447"/>
        <s v="813 850 6020"/>
        <s v="772-801-1093"/>
        <s v="813-508-3668"/>
        <s v="941-705-1862"/>
        <s v="656-200-8767"/>
        <s v=" 740-819-8001"/>
        <s v=" 305-431-6080"/>
        <s v="772-607-3172"/>
        <s v="813-531-1267"/>
        <s v="813-812-0038"/>
        <s v="813 -778-1967"/>
        <s v="813-491-4036"/>
        <s v="561-317-0652"/>
        <s v="813-270-1920"/>
        <s v="813-585-0243"/>
        <s v="727-906-5514"/>
        <s v="813-516-8339"/>
        <s v="813-542-8018 / 656-210-0540"/>
        <s v="914-312-0822"/>
        <s v="(951)472-1981"/>
        <s v="713-385-6166"/>
        <s v="813-270-6420"/>
        <s v="813-438-9542/ 813-438-9514"/>
        <s v="954-305-9405"/>
        <s v="727-481-7807"/>
        <s v="941-225-9013 / 941-538-8036"/>
        <s v="727-422-1602"/>
        <s v="863-600-6603"/>
        <s v="941-932-2529"/>
        <s v="305-744-1879"/>
        <s v="772-834-9275"/>
        <s v="772-302-0258"/>
        <s v="813-235-3703"/>
        <s v="813-734-5553"/>
        <s v="913-238-0624"/>
        <s v="813-893-4014"/>
        <s v="954-274-1606 / 786-985-9000"/>
        <s v="561-574-5847"/>
        <s v="772-538-2381 / 772-532-2255"/>
        <s v="239-895-8861"/>
        <s v="772-530-6291"/>
        <s v="352-566-3790"/>
        <s v="941-870-2596"/>
        <s v="786-512-2306"/>
        <s v="772-812-9471"/>
        <s v="703-362-2488"/>
        <s v="646-455-8555"/>
        <s v="941-681-6231"/>
        <s v="732-522-0350"/>
        <s v="(305) 322-0113"/>
        <s v="210-324-9706"/>
        <s v="817-703-4150"/>
        <s v="786-282-9529"/>
        <s v="917-340-8445"/>
        <s v="786-488-2417"/>
        <s v="754-245-1140"/>
        <s v="786-295-8775"/>
        <s v="786-356-1590"/>
        <s v="561-884-0384 "/>
        <s v="786-838-2135"/>
        <s v="786-346-7167"/>
        <s v="561-932-2868"/>
        <s v="5617921660 / 5613711864"/>
        <s v="561-792-1737"/>
        <s v="561-884-0384 / 561-302-7275 (mom)"/>
        <s v="(850) 554-6538"/>
        <s v="954-242-6609"/>
      </sharedItems>
    </cacheField>
    <cacheField name="EMAIL" numFmtId="49">
      <sharedItems containsBlank="1">
        <s v="onesolidwoman@yahoo.com"/>
        <s v="josh7426@gmail.com"/>
        <s v="rose.mat78@gmail.com"/>
        <s v="evacarrizales6160@gmail.com"/>
        <s v="stevenpurser51@gmail.com"/>
        <s v="russelchristopher@gmail.com"/>
        <m/>
        <s v="dellaryals@gmail.com"/>
        <s v="ellamcmlln@gmail.com"/>
        <s v="ktorrens1992@yahoo.com"/>
        <s v="worldman7201@hotmail.com"/>
        <s v="gggred42@gmail.com"/>
        <s v="cglad2002@yahoo.com"/>
        <s v="Pathy66@icloud.com"/>
        <s v="leosuarez863@gmail.com"/>
        <s v="awestbe2@gmail.com"/>
        <s v="tina3k2005@yahoo.com"/>
        <s v="Roseisfishing@yahoo.com"/>
        <s v="addygordon@icloud.com"/>
        <s v="ad4c@comcast.net"/>
        <s v="Rkbeem@outlook.com"/>
        <s v="Ketlysaintcyr@ymail.com"/>
        <s v="fernhernandez54@yahoo.com"/>
        <s v="Jimt7315@gmail.com"/>
        <s v="Sandra.fox8910@gmail.com"/>
        <s v="denise.fowlie@verizonwireless.com"/>
        <s v="Nicholemdavila@gmail.com"/>
        <s v="Prpledi@yahoo.com"/>
        <s v="tylermiller4040@gmail.com"/>
        <s v="e.apanowicz@gmail.com"/>
        <s v="dasmartin@pedimhealthcare.com"/>
        <s v="Ruggierose@aol.com"/>
        <s v="Suncoastmikef@yahoo.com"/>
        <s v="Nancy52@msn.com"/>
        <s v="feomcn@gmail.com"/>
        <s v="martha.sariol@gmail.com"/>
        <s v="belmaresmartha114@gmail.com"/>
        <s v="melvin863@gmail.com"/>
        <s v="claramin668@gmail.com"/>
        <s v="deaconblue1125@gmail.com"/>
        <s v="yusyrealtor@gmail.com"/>
        <s v="jafeevans12@gmail.com"/>
        <s v="aguirre.christian07@gmail.com"/>
        <s v="yohandry8@hotmail.com"/>
        <s v="metayer132@gmail.com"/>
        <s v="anthonynova56@yahoo.com"/>
        <s v="lindasandoval71@gmail.com"/>
        <s v="jase12jaylin13@gmail.com"/>
        <s v="mrc.blc114@gmail.com"/>
        <s v="saragosanaranjo13@gmail.com"/>
        <s v="delatorrerentals@live.com"/>
        <s v="Msntvn97@gmail.com"/>
        <s v="tylerletchworth96@gmail.com"/>
        <s v="mariacervantes51510@gmail.com"/>
        <s v="genaromartinezignacio@gmail.com"/>
        <s v="vandivercody653@gmail.com"/>
        <s v="fritotheodore@yahoo.com"/>
        <s v="jonathanmartinez61011@gmail.com"/>
        <s v="janie_68@hotmail.com"/>
        <s v="yordanynunez80@gmail.com"/>
        <s v="mk20nite@yahoo.com"/>
        <s v="carlabass31@gmail.com"/>
        <s v="arminova89@gmail.com"/>
        <s v="latoyasolomon55@gmail.com"/>
        <s v="monel212@aol.com"/>
        <s v="mstephaniecorrea4@gmail.com"/>
        <s v="raul.suchel@gmail.com"/>
        <s v="santiagodavid085@gmail.com"/>
        <s v="luisbruno1989@yahoo.com"/>
        <s v="hudnell1@aol.com"/>
        <s v="salas.eliseo@yahoo.com"/>
        <s v="slim0629@gmail.com"/>
        <s v="holamarisa7@gmail.com"/>
        <s v="andresbellido@yahoo.com"/>
        <s v="catherineschaill@yahoo.com, gatorlass@peoplepc.com"/>
        <s v="jtbarlow1@gmail.com"/>
        <s v="penny.wienk539@gmail.com"/>
        <s v="Reginaldfranklin324@gmail.com"/>
        <s v="tjmeyers82@yahoo.com"/>
        <s v="louisg3509@gmail.com"/>
        <s v="retrodriguez23@yahoo.com"/>
        <s v="kmclyde1@aol.com"/>
        <s v="englerb1937@gmail.com"/>
        <s v="sparkle_dz@yahoo.com"/>
        <s v="reyleen19@gmail.com"/>
        <s v="ddefelice_mfhh@yahoo.com"/>
        <s v="ramonhernandez0944@gmail.com"/>
        <s v="cherunjohn@gmail.com"/>
        <s v="yordanynunez@hotmail.com"/>
        <s v="markus.buysell@gmail.com"/>
        <s v="dispatchtrans@yahoo.com"/>
        <s v="ramosbigman@gmail.com"/>
        <s v="jackiesilva11@gmail.com"/>
        <s v="toddscomp2@aol.com"/>
        <s v="kemlined83@gmail.com"/>
        <s v="kayekillen@yahoo.com"/>
        <s v="ardupre123@gmail.com"/>
        <s v="lorraines908@gmail.com"/>
        <s v="gcollymore@hotmail.com"/>
        <s v="dapdaddy94@gmail.com"/>
        <s v="titoav43@gmail.com"/>
        <s v="tchan@att.net"/>
        <s v="mikerob863@gmail.com"/>
        <s v="georgeandbetty7172004@yahoo.com"/>
        <s v="terandolph01@gmail.com"/>
        <s v="percivaldonna999@gmail.com"/>
        <s v="nermollinedo@gmail.com"/>
        <s v="reneh1780@gmail.com"/>
        <s v="hillterry064@gmail.com "/>
        <s v="tarahudson0076@gmail.com"/>
        <s v="jhwebb16485@gmail.com"/>
        <s v="nsaintb@gmail.com"/>
        <s v="legpromotions@gmail.com"/>
        <s v="gandara.angel@gmail.com"/>
        <s v="kkholder13@gmail.com"/>
        <s v="amandapeaharris@gmail.com"/>
        <s v="mooreleilani71@gmail.com"/>
        <s v="schneihogarth@ymail.com"/>
        <s v="igotfiveonit07@yahoo.com"/>
        <s v="sassygirl405@aol.com"/>
        <s v="Irizarryn733@gmail.com"/>
        <s v="kotaanderson1999@gmail.com"/>
        <s v="cambowjones@gmail.com"/>
        <s v="kevin.lugardo@gmail.com"/>
        <s v="aguilartommy9876@gmail.com"/>
        <s v="conchitajames626@gmail.com"/>
        <s v="lcruzjr28@gmail.com"/>
        <s v="thisismhaq@gmail.com"/>
        <s v="edric05@bellsouth.com"/>
        <s v="coachjohn63@aol.com"/>
        <s v="Jwigginsj@hotmail.com"/>
        <s v="irvingroomes@yahoo.com"/>
        <s v="Dclferrentino@icloud.com"/>
        <s v="cabrera_0513@yahoo.com"/>
        <s v="Gglightsey@gmail.com"/>
        <s v="jbaltazar05@icloud.com"/>
        <s v="pruth288@gmail.com"/>
        <s v="mariaolvera5@icloud.com"/>
        <s v="pclaytonsimmons@gmail.com"/>
        <s v="jonathamserr94@gmail.com"/>
        <s v="Bethnegrete.bn@gmail.com"/>
        <s v="Jqharris1881@gmail.com"/>
        <s v="Pltwiggins@yahoo.com"/>
        <s v="gabvelasquez228@gmail.com"/>
        <s v="Murphysteve244@gmail.com"/>
        <s v="Lldale1976@gmail.com"/>
        <s v="Matt.boerwinkle@gmail.com"/>
        <s v="Wendydolphin13@yahoo.com"/>
        <s v="Luzyjesus32@hotmail.com"/>
        <s v="cindy.leon.jones@gmail.com"/>
        <s v="Brandee_fl@yahoo.com"/>
        <s v="Stepharha1@gmail.com"/>
        <s v="mwog1951@gmail.com"/>
        <s v="Llordssoth@yahoo.com"/>
        <s v="felixhmsh@hotmail.com"/>
        <s v="Cronaldowatson@yahoo.com"/>
        <s v="Zhangs1107@gmail.com"/>
        <s v="arcadialady54@gmail.com"/>
        <s v="Drewb1964@icloud.com"/>
        <s v="Roberthairston1123@gmail.com"/>
        <s v="Sarahwoppman@yahoo.com"/>
        <s v="Christineroutson61@gmail.com"/>
        <s v="Juliofcalderon72@icloud.com"/>
        <s v="carlas4@comcast.net"/>
        <s v="gguilla81@gmail.com"/>
        <s v="jaime.rivera86322@gmail.com"/>
        <s v="gabbibollman1215@gmail.com"/>
        <s v="ent7266@yahoo.com"/>
        <s v="neveahagy@gmail.com"/>
        <s v="kateogrady101113@gmail.com"/>
        <s v="Marvinsmylove@yahoo.com"/>
        <s v="Reener15rr@aol.com"/>
        <s v="Evanappi@yahoo.com"/>
        <s v="Beata.beyer@gmail.com"/>
        <s v="amipropertypreservationservice@gmail.com"/>
        <s v="Christinasuntai@gmail.com"/>
        <s v="acm.fl@hotmail.com"/>
        <s v="ciera.catuccio4@gmail.com"/>
        <s v="nivekd1@ymail.com"/>
        <s v="Dallasgirltray@aol.com"/>
        <s v="Trenell.robinson@yahoo.com"/>
        <s v="Kkoblentz@yahoo.com"/>
        <s v="Rollinsbuilt@comcast.net"/>
        <s v="John.daiello@fedinc.com"/>
        <s v="Raneysworld@gmail.com"/>
        <s v="Caryplanet@yahoo.com"/>
        <s v="Toddhelbing@aol.com / graetehelbing@aol.com"/>
        <s v="msmaidlow@yahoo.com"/>
        <s v="Mayolg@yahoo.com"/>
        <s v="C.maidlow@gmail.com"/>
        <s v="mmasek18@gmail.com"/>
        <s v="Caty70pierre@gmail.com"/>
        <s v="pbocaille@gmail.com"/>
        <s v="Ticktoken@aol.com"/>
        <s v="Djalgarcia@yahoo.com"/>
        <s v="Bann1605@gmail.com"/>
        <s v="Acia64@yahoo.com"/>
        <s v="Juliocesar0325@gmail.com"/>
        <s v="Schnitzlerbro@gmail.com"/>
        <s v="Tcact10@gmail.com"/>
        <s v="Luzstellarincon@hotmail.com"/>
        <s v="Amorrisonsrq@gmail.com"/>
        <s v="Jason.pellett@yahoo.com"/>
        <s v="Maria.aguila.realtor@gmail.com"/>
        <s v="Peacejoy4u@yahoo.com"/>
        <s v="Monikabeyer88@gmail.com"/>
        <s v="Caroldoran1957@gmail.com"/>
        <s v="Beverlyfelton5@gmail.com"/>
        <s v="mslish239@gmail.com"/>
        <s v="Victoriapompey@gmail.com"/>
        <s v="sharles733@gmail.com"/>
        <s v="Hasranahg@gmail.com"/>
        <s v="Lewis35501@outlook.com"/>
        <s v="Courtneybcca@yahoo.ca"/>
        <s v="LBHILAIRE@yahoo.com"/>
        <s v="dayronenamorado906@gmail.com"/>
        <s v="Chojuan30@hotmail.com"/>
        <s v="Colonjulian30@yahoo.com"/>
        <s v="Thehoelzerhaus36@gmail.com"/>
        <s v="Saratipton611@gmail.com"/>
        <s v="LarryMiller641@gmail.com"/>
        <s v="Kennylagassey88@gmail.com"/>
        <s v="Garciaf9363@gmail.com"/>
        <s v="Michael@guerrausa.com"/>
        <s v="Idioalvarez@gmail.com"/>
        <s v="dstmartin@pedimhealthcare.com"/>
        <s v="McGee.j25377@gmail.com"/>
        <s v="mailis_gonzalez@yahoo.com"/>
        <s v="mayjavjan04@gmail.com"/>
        <s v="dianadjosue@hotmail.com"/>
        <s v="sldixon531@aol.com"/>
        <s v="Alfredofley@yahoo.com"/>
        <s v="ldorr3131@gmail.com"/>
        <s v="Coyad@ankoproducts.com"/>
        <s v="ivanbelyyjr@gmail.com"/>
        <s v="Kma782112@live.com"/>
        <s v="Juanitasalinasjj@gmail.com"/>
        <s v="pa@qhool.com"/>
        <s v="Aprilhunt132@outlook.com"/>
        <s v="Salas.gerardo4@gmail.com"/>
        <s v="leanineleven@gmail.com"/>
        <s v="Aarongoldberg1989@verizon.net"/>
        <s v="cloutierd@seekonkschools.org"/>
        <s v="michydamian@gmail.com"/>
        <s v="Jonamiller01@gmail.com"/>
        <s v="Rogerssh@gmail.com"/>
        <s v="melittathornton82@gmail.com"/>
        <s v="stuberfield45321@gmail.com"/>
        <s v="lfbns1@aol.com"/>
        <s v="Pateldk71@yahoo.com"/>
        <s v="variashton@yahoo.com"/>
        <s v="Gembo123@aol.com"/>
        <s v="Kynguyen1016@gmail.com"/>
        <s v="Clark.shatavia@yahoo.com"/>
        <s v="lionel34953@yahoo.com"/>
        <s v="Lucreshareeves@gmail.com"/>
        <s v="billy.dean456@gmail.com"/>
        <s v="Jasonbolema@aol.com"/>
        <s v="shana24@gmail.com"/>
        <s v="inesbove@gmail.com"/>
        <s v="annychavarria@gmail.com"/>
        <s v="alcidecatile@gmail.com"/>
        <s v="Indyai@aol.com"/>
        <s v="murgui17@yahoo.com"/>
        <s v="chriswunderhill@gmail.com"/>
        <s v="mjoseph@simplycareservices.com"/>
        <s v="melinda.isabel@yahoo.com "/>
        <s v="Lukewheat@icloud.com"/>
        <s v="rickrodriguez@aol.com"/>
        <s v="Celso.mendez@yahoo.com"/>
        <s v="Johnluvsbaby@gmail.com"/>
        <s v="ddiehl2010@gmail.com"/>
        <s v="Robbie.robles94@gmail.com"/>
        <s v="Wametellus@gmail.com"/>
        <s v="sylonie.graham@gmail.com"/>
        <s v="bj.cohen@yahoo.com"/>
        <s v="dinocroce85@hotmail.com"/>
        <s v="David.heerdt@gmail.com"/>
        <s v="Wlvsroses@gmail.com"/>
        <s v="suzy1213@yahoo.com"/>
        <s v="jpmotter@gmail.com"/>
        <s v="jennifermarie440@yahoo.com"/>
        <s v="Kkmcevoy2@gmail.com"/>
        <s v="Priscilla.Partaw@gmail.com"/>
        <s v="Mirandaliz@gmail.com"/>
        <s v="natisoler92@gmail.com"/>
        <s v=" Gigigiralt@gmail.com"/>
        <s v="Sancas04@yahoo.com"/>
        <s v="jhambrick222@gmail.com"/>
        <s v="Sherry.scott7@yahoo.com"/>
        <s v="rubyegordon5923@gmail.com"/>
        <s v="Jasonl.gordon@gmail.com"/>
        <s v="martin23s@yahoo.com"/>
        <s v="Archie222413@gmail.com"/>
        <s v="Jjulissa875@gmail.com"/>
        <s v="Andrew.rivers520@gmail.com"/>
        <s v="Robert.risch@verizon.net"/>
        <s v="melissa.e.miranda@gmail.com"/>
        <s v="Whisrico11@gmail.com"/>
        <s v="Ritovaldez22@gmail.com"/>
        <s v="Gizmo.flores130@gmail.com/&#10;agallegos9380@yahoo.com"/>
        <s v="brett_257@msn.com"/>
        <s v="Olgaherrera1@yahoo.com/&#10;aracelivasquez98@gmail.com"/>
        <s v="Maugerj73@gmail.com"/>
        <s v="jerrymasters96@gmail.com"/>
        <s v="jrenee18@yahoo.com"/>
        <s v="michaelwalton391@gmail.com/&#10;slackbeverly35@gmail.com"/>
        <s v="Riveraalba@gmail.com"/>
        <s v="Geralginekidd55@gmail.com"/>
        <s v="kayspanky40@gmail.com"/>
        <s v="Advil@brighthouse.com"/>
        <s v="remadiva@gmail.com"/>
        <s v="MELODIEMCKISICK@gmail.com"/>
        <s v="Jon2mai@yahoo.com"/>
        <s v="Lorenzo.becky@yahoo.com"/>
        <s v="Verovero0301@gmail.com"/>
        <s v="catherinejimenez41@yahoo.com / gonzalezpedro330@yahoo.com"/>
        <s v="Phatti1@hotmail.com"/>
        <s v="Geraldinekidd55@gmail.com"/>
        <s v="Destowet1@yahoo.com"/>
        <s v="Brittany.gonzalez22@yahoo.com"/>
        <s v="Jmurrell91@outlook.com"/>
        <s v="Ernepierre@yahoo.com"/>
        <s v="Abdultoom@aol.com"/>
        <s v="bobby4horses@yahoo.com"/>
        <s v="Drjenniferspencer@outlook.com"/>
        <s v="lord.salomon@yahoo.com"/>
        <s v="Officerbjb@yahoo.com"/>
        <s v="Graziellacarlet@yahoo.it"/>
        <s v="Napbizop@gmail.com"/>
        <s v="Wanise.antoine74@gmail.com"/>
        <s v="ralfco15@yahoo.com"/>
        <s v="Precisionhomems@gmail.com"/>
        <s v="Ezpickens1@yahoo.com"/>
        <s v="Lukeyyh1993@gmail.com"/>
        <s v="Jesfreeinchrist@gmail.com"/>
        <s v="nathanieh@yahoo.com "/>
        <s v="rd2134mm@gmail.com"/>
        <s v="Pianoman.hubbard@gmail.com"/>
        <s v="rashik.adhikari@gmail.com"/>
        <s v="josephmetellus@yahoo.com"/>
        <s v="jb2canapa@aol.com"/>
        <s v="lizzylopez928@yahoo.com"/>
        <s v="anabel.sa95@gmail.com"/>
        <s v="jose.medina993@gmail.com"/>
        <s v="ebeta@bellsouth.net "/>
        <s v="suzy1213@yahoo.com "/>
        <s v="fletcher.92@gmail.com"/>
        <s v="        larrywilson0617@gmail.com"/>
        <s v="Pbocaille@gmail.com / dazipierre@icloud.com"/>
        <s v="Pbocaille@gmail.com / dulivertm@gmail.com"/>
        <s v="fwgc2@yahoo.com"/>
        <s v="Wonderfulbeauty77@gmail.com"/>
        <s v="kelsey.cardenal@gmail.com"/>
        <s v="Jessicaossa@live.com"/>
        <s v="CValverde17@aol.com"/>
        <s v="rachmentor@hotmail.com"/>
        <s v="Waterbiz@bellsouth.net"/>
        <s v="BETTYEKUHN16@gmail.com"/>
        <s v="tina.johnson1774@gmail.com"/>
        <s v="R_fogel14@yahoo.com"/>
      </sharedItems>
    </cacheField>
    <cacheField name="INSURANCE COMPANY" numFmtId="49">
      <sharedItems containsBlank="1">
        <s v="American Integrity"/>
        <s v="Citizens"/>
        <s v="Heritage"/>
        <s v="Castle Key"/>
        <s v="State Farm"/>
        <s v="Tapco"/>
        <s v="Southern Fidelity / FIGA"/>
        <s v="Universal"/>
        <s v="Velocity Risk Underwriters"/>
        <s v="Security First"/>
        <s v="Tokio Marine Highland"/>
        <s v="UPC / FIGA"/>
        <s v="SLIDE"/>
        <s v="Avatar / FIGA"/>
        <s v="National Fire and Insurance Company"/>
        <s v="American Traditions"/>
        <s v="Slide "/>
        <s v="People’s Trust"/>
        <s v="Tower Hill"/>
        <s v="Southern Owners"/>
        <s v="USAA"/>
        <s v="Heritage "/>
        <s v="Frontline"/>
        <s v="Proctor Loan Protector"/>
        <s v="Arch"/>
        <s v="Great American Insurance"/>
        <s v="National Fire &amp; Marine Inc Co."/>
        <s v="Assurant"/>
        <s v="Aspen"/>
        <s v="Lloyds of London"/>
        <s v="Foremost"/>
        <s v="Builders Risk"/>
        <s v="Universal North America Insurance Company"/>
        <s v="Universal "/>
        <s v="Farmers"/>
        <s v="Security First "/>
        <s v="American Security "/>
        <s v="Assurant "/>
        <s v="People’s Trust "/>
        <s v="Kin Insurance"/>
        <s v="Tower Hill "/>
        <s v="Frontline "/>
        <s v="Citizens "/>
        <s v="Travelers of Florida"/>
        <s v="Progressive"/>
        <s v="Nation Wide"/>
        <s v="Typ Tap"/>
        <s v="First Community Insurance Company"/>
        <s v="Lloyds of London / Orchid"/>
        <s v="Florida Peninsula"/>
        <s v="Homeowner Choice"/>
        <s v="Progressive Flood"/>
        <s v="American Integrity "/>
        <s v="US Coastal Property &amp; Casualty Insurance Comp."/>
        <s v="SafePoint"/>
        <s v="Progressive Home"/>
        <s v="SageSure"/>
        <s v="VYRD "/>
        <s v="Southern Oak"/>
        <s v="AAA"/>
        <s v="Amica Mutual "/>
        <s v="VYRD"/>
        <s v="Centauri "/>
        <s v="Spinnaker"/>
        <s v="Monarch"/>
        <s v="Safe Harbor Insurance"/>
        <s v="Integon"/>
        <s v="Typ Tap "/>
        <s v="Monarch National Ins.&#10;"/>
        <s v="Cypress"/>
        <m/>
      </sharedItems>
    </cacheField>
    <cacheField name="ADDRESS" numFmtId="49">
      <sharedItems containsBlank="1">
        <s v="2113 Monticello Ave, Lakeland FL 33801"/>
        <s v="7607 NW 40th Court, Coral Springs FL, 33065"/>
        <s v="2230 Aldridge Ave Fort Myers FL, 33907"/>
        <s v="2147 Rigdon Rd Wauchula, FL 33873"/>
        <s v="630 Grove St, Bowling Green, FL 33834"/>
        <s v="516 3rd CT SW, Fort Meade FL 33841"/>
        <s v="211 9th Ave N. Wauchula FL, 33873"/>
        <s v="5028 Myrick Ave Bowling Green, FL 33834"/>
        <s v="809 S Morrison Ave Fort Meade, FL 33841"/>
        <s v="13731 SW 84th St Unit C-11 Miami, FL 33183"/>
        <s v="442 NE Van Loon Ln Cape Coral Fl 33909"/>
        <s v="3600 Dairy Road Titusville, FL 32796"/>
        <s v="1031 Beach Lane, Winter Haven Fl 33880"/>
        <s v="342 Rainey Blvd Wauchula, FL 33873"/>
        <s v="311 Keaton Rd Wauchula, FL 33873"/>
        <s v="411 E Oak St Wauchula, FL 33873"/>
        <s v="859 Bedford Dr., Lehigh Acres, FL 33974"/>
        <s v="1500 SE Maple Dr Arcadia Fl 34266"/>
        <s v="7415 Mizner Reserve Ct Lakeland Ranch, FL 34202"/>
        <s v="368 SE Tranquilla Ave. Port Saint Lucie, FL 34983"/>
        <s v="3549 Vassar St, Port Charlotte, FL 33980"/>
        <s v="3216 Willian St Fort Myers Fl 33916"/>
        <s v="1355 Grady Revell Rd, Wauchula, FL 33873"/>
        <s v="620 57th ave West unit 10F Bradenton, FL 34207"/>
        <s v="1807 NW 2nd pl Cape Coral 33993"/>
        <s v="346 Japura St. Punta Gorda, FL 33983"/>
        <s v="214 Pennsylvania Ave Wauchula, FL 33873"/>
        <s v="1352 mackeral ave Sarasota, FL 34237 "/>
        <s v="101 Ingles Way, Wauchula, FL 33873"/>
        <s v="1327 Gerona Ter North Port, FL 34286"/>
        <s v="2676 N Comanche Pt, Crystal River, FL 34429-5229"/>
        <s v="2686 N Comanche Pt, Crystal River, FL 34429-5229"/>
        <s v="2671 Novus PL. Sarasota, FL 34237"/>
        <s v="620 57th Ave W Lot i6, Bradenton FL 34207"/>
        <s v="521 Fairhope Dr, Apollo Beach, FL 33572 "/>
        <s v="3001 Ave K NW Winter Haven, FL 33881"/>
        <s v="1855 Kissingen Ave, Bartow FL 33830"/>
        <s v="4020 N Edgewater Cir LaBelle, FL 33935"/>
        <s v="5165 Martin Luther King DR Bowling Green, FL 33834"/>
        <s v="523 S Oak Ave Fort Meade, FL 33841"/>
        <s v="11760 SW 184 St Miami, FL 33177"/>
        <s v="6186 9th Ave Cir NE Brandenton , FL 34212"/>
        <s v=" 2157 Treehaven Cir S, Fort Myers, FL 33907"/>
        <s v="8605 SW 160th St Palmetto Bay Ave, Miami, FL 33157"/>
        <s v="8513 Beacon St, Fort Myers, FL 33907"/>
        <s v="5201 SW 31ST AVE APT 245 Fort Lauderdale, FL 33312"/>
        <s v="6210 SW 163RD PL, Miami, FL 33193"/>
        <s v="802 Sally PL, Wauchula, FL 33873"/>
        <s v="11450 SW 185th ST, Miami, FL 33157"/>
        <s v="207 Rust Ave Wauchula, FL 33873"/>
        <s v="326 Heard Bridge RD Wauchula, FL 33873"/>
        <s v="114 Pennsylvania Avenue Wauchula, FL 33873"/>
        <s v="427 3rd St E Zolfo Springs, FL 33890"/>
        <s v="3015 Hickory CT Zolfo Springs, FL 33890"/>
        <s v="817 E Main St. Wauchula, FL 33873"/>
        <s v="503 South Florida Ave. Wauchula, FL 33873"/>
        <s v="675 Chamberlain Blvd Wauchula, FL 33873"/>
        <s v="4719 Doyle Parker Ave Bowling Green, FL 33834"/>
        <s v="706 East Oak St #708 Wauchula, FL 33873"/>
        <s v="710 East Oak St #712 Wauchula, FL 33873"/>
        <s v="302 North 10th Avenue Wauchula, FL 33873"/>
        <s v="101 S 3rd Ave Wauchula, FL 33873"/>
        <s v="3062 Brantwood Dr Zolfo Springs, FL 33890"/>
        <s v="311 Georgia St Wauchula FL 33873"/>
        <s v="4921 Doyle Parker Ave Bowling Green, FL 33834"/>
        <s v="674 SW College Park Rd. Port Lucie FL, 34953"/>
        <s v="4431 Dixiana Dr, Bowling Green, FL 33834"/>
        <s v="207 Tangerine St Bowling Green FL 33834"/>
        <s v="1230 NE 89 ST Miami, FL 33138 (6790 SW 105th Ave Miami 33173)"/>
        <s v="13884 SW 122nd CT Miami, FL 33186"/>
        <s v="613 E Hickory Ln Fort Meade, FL 33841"/>
        <s v="1130 Sand Mountain Rd Fort Meade, FL 33841"/>
        <s v="702 S Oak Ave Fort Meade, FL 33841"/>
        <s v="217 7th St SE Fort Meade, FL 33841"/>
        <s v="2450 SW 85th Ave. Miramar, FL 33025 "/>
        <s v="505 NW 108th Ter. Pembroke Pines, FL 33026"/>
        <s v="225 Keeton Rd Wauchula, FL 33873"/>
        <s v="717 Sally Wauchula FL 33873"/>
        <s v="869 North kunkle Ave Fort Meade, FL 33841"/>
        <s v="665 Hanchey Rd Wauchula, FL 33873"/>
        <s v="502 NE 6th St Meade, FL 33841"/>
        <s v="24 N Cleveland Ave Fort Meade FL 33841"/>
        <s v="9736 W 34th Ave Hialeah, FL 33018"/>
        <s v="219 N Pine Ave Fort Meade, FL 33841"/>
        <s v="185 Georgetown Loop Wuachula, FL33873"/>
        <s v="185 Georgetown Loop Wuachula, FL 33873"/>
        <s v="539 Domaris Ave, Lake Wales, FL 33853"/>
        <s v="901 Layton Rd Graceville, FL 32440"/>
        <s v="621 Shore Acres Dr Lakeland, FL 33801"/>
        <s v="2200 Angel Rd SE Palm Bay, FL 32909 "/>
        <s v="3096 SW 139th Ave Miramar, FL 33027"/>
        <s v="985 Kidd School Road, Mulberry, FL 33860"/>
        <s v="707 NW 3rd ST, Mulberry, FL 33860"/>
        <s v="726 Fairway Ave, Lakeland FL 33801"/>
        <s v="808 SE 5th St. Mulberry, FL 33860"/>
        <s v="901 Glad Rd Winter Haven, FL 33880"/>
        <s v="403 Fern Rd Winter Haven, FL 33880"/>
        <s v="2917 NW 20th PL Cape Coral FL 33993"/>
        <s v="540 E 10th ST Hialeah, FL 33010"/>
        <s v="4750 Cypress Gardens Rd Winter Haven, FL 33884"/>
        <s v="17298 Poston Ave, Port Charlotte FL 33948"/>
        <s v="501 Brian Ave North, Lehigh acres FL 33971"/>
        <s v="6626 Brentford Rd Sarasota Fl, 34241"/>
        <s v="1348 Honeytree Ln E Lakeland, FL 33801"/>
        <s v="2201 Arterra Court Royal Palm Beach, FL 33411"/>
        <s v="625 Shore Acres Dr Lakeland, FL 33801"/>
        <s v="1719 NW 5th St Cape Coral FL 33993"/>
        <s v="323 141st Ct NE Bradenton, FL 34212"/>
        <s v="2913 Delrose Dr N Lakeland Fl, 33805"/>
        <s v="6619 38th LN E Sarasota, Fl 34243"/>
        <s v="6416 First Ave E Bradenton Fl 34208"/>
        <s v="211 Hoffman Court, Casselberry FL 32707"/>
        <s v="613 N Iowa Ave Lakeland, FL 33801"/>
        <s v="208 W Valerian PL Beverly Hills FL 34465"/>
        <s v="2258 Lake Holloway Blvd, Lakeland FL 33801"/>
        <s v="2115 Lake Holloway Blvd Lakeland FL, 33801"/>
        <s v="1623 Seneca Ave Lakeland, FL 33801 "/>
        <s v="3127 Ellis Ave Lakeland, FL 33803"/>
        <s v="2702 French Ave Lakeland FL 33801"/>
        <s v="523 Belleview Ave Lakeland FL 33803"/>
        <s v="2216 Dille St Lakeland, FL 33815"/>
        <s v="1052 E Palmetto St, Lakeland FL 33801"/>
        <s v="2421 Vineyard Cir Sanford, FL 32771"/>
        <s v="2198 Colonial Ave Lakeland, FL 33801"/>
        <s v="201 4th St Homeland FL 33847 / PO BOX 102"/>
        <s v="1324 Clyde Memorial Ave, Lakeland FL 33805"/>
        <s v="634 Strain Blvd Lakeland FL 33815"/>
        <s v="1829 Optimist Dr Lakeland FL 33801"/>
        <s v="1034 Cove Ln Winter Haven, FL 33880"/>
        <s v="2225 Crystal Grove Lane, Lakeland FL 33801"/>
        <s v="111 18TH Wahneta St W, Winter Haven FL 33880"/>
        <s v="4530 David dr Bartow FL 33830"/>
        <s v="3414 E Cedar Oak Ln Dunnellon, FL 34434"/>
        <s v="315 Caroline Dr, Lakeland FL 33803"/>
        <s v="432 Lee St Bowling Green FL 33834"/>
        <s v="1722 Staunton Ave Lakeland FL 33803"/>
        <s v="2111 Smithfield PL. Lakeland FL 33801"/>
        <s v="1802 SW Dalmatian Ave. Port Saint Lucie, FL 34953 "/>
        <s v="698 SW Veronica Ave Port Saint Lucie, FL 34953"/>
        <s v="9185 Temple Rd E, Fort Myers, FL 33967"/>
        <s v="955 Martin Luther King Blvd Wauchula FL 33873"/>
        <s v="849 Chamberlain Blvd. Wauchula FL 33873"/>
        <s v="23178 Rye Ave Punta Gorda, FL 33980"/>
        <s v="409 Pineapple St W. Bowling Green, FL 33834"/>
        <s v="410 Ralph St Bartow FL 33830"/>
        <s v="602 N Mills Ave Arcadia FL 34266"/>
        <s v="1576 SE Ohio Ave Arcadia FL 34266"/>
        <s v="1713 SE Apple Dr Arcadia Florida 34266"/>
        <s v="716 N Mills Ave Arcadia, FL 34266"/>
        <s v="519 N 15th Ave Arcadia, FL 34266"/>
        <s v="109 Mira Flores RD Arcadia, Florida 34266"/>
        <s v="139 Asbury St, Arcadia, FL 34266"/>
        <s v="209 N 10th Ave Arcadia, FL 34266"/>
        <s v="1731 NE Floridian Cir Arcadia, FL 34266"/>
        <s v="1464 NE Leisure Ave Arcadia, FL 34266"/>
        <s v="3111 12th St W Lehigh Acres, FL 33971"/>
        <s v="442 NE Van Loon Ln, Cape Coral, FL 33909"/>
        <s v="4407 SE 19th Ave Cape Coral, FL 33904"/>
        <s v="106 NE 9TH Pl Cape Coral FL 33909"/>
        <s v="1684 SE Tangelo Dr, Arcadia FL 34266"/>
        <s v="9354 W Chata PL. Crystal River, FL 34428"/>
        <s v="1760 SE Peach Dr Arcadia FL 34266"/>
        <s v="3808 Fourth St Sw Lehigh Acres, FL 33976"/>
        <s v="1361 S BROOKFIELD DR LECANTO, FL 34461"/>
        <s v="3516 W Roundtree DR. Cocoa, FL 32926"/>
        <s v="172 W Staggerbush Path, Beverlyhills, FL 34465"/>
        <s v="308 N Mills Ave Arcadia FL 34266"/>
        <s v="525 N Mills Ave Arcadia FL 34266"/>
        <s v="122 N Hernando Ave Arcadia FL 34266"/>
        <s v="241 N Roger’s Ave Arcadia FL 34266"/>
        <s v="1135 SW Rainbow Ave, Arcadia Fl 34266"/>
        <s v="312 E Gibson St Arcadia, FL 34266"/>
        <s v="5717 SW Shores Ave Arcadia, FL 34266"/>
        <s v="2268 SE Shady Cir, Arcadia FL 34266"/>
        <s v="1501 SE Tangelo Dr, Arcadia FL 34266"/>
        <s v="14442 Bridgeview Lane, Port Charlotte, FL 33953"/>
        <s v="1498 Sw Dimperio Ave, Port Saint Lucie, FL 34953"/>
        <s v="5022 Doyle Parker Ave Bowling Green, FL 33834"/>
        <s v="857 Bedford Dr. Lehigh Acres, FL 33974"/>
        <s v="1003 Chapel Ave Lehigh Acres, FL 33971"/>
        <s v="3052 Royal Palm Ave Fort Myers, FL 33901"/>
        <s v="6045 West Woodside Cir. Crystal River, FL 34429"/>
        <s v="4708 Lee Blvd, Lehigh Acres FL 33971"/>
        <s v="1022 SE 30th St. Cape Coral, FL 33904"/>
        <s v="1928 SE 36th Ter Cape Coral, FL 33904"/>
        <s v="2160 Chenille Ct Venice Fl 34292"/>
        <s v="4442 North Saddle Dr. Beverly Hills FL, 34465"/>
        <s v="800 N Entrada Dr Fort Myers 33919"/>
        <s v="2826 SE 19 Ave Cape Coral, FL 33904"/>
        <s v="2124 Dover Ave Fort Myers, FL 33907"/>
        <s v="5314 BYGONE ST LEHIGH ACRES, FL 33971"/>
        <s v="1475 33rd Ave. SW Vero Beach FL 32968"/>
        <s v="3014 41st ST SW Lehigh Acres FL 33976"/>
        <s v="6330 Presidential LN, Lakeland FL 33811"/>
        <s v="5730 Sw First Ct Cape Coral, FL 33914"/>
        <s v="1914 Wind Meadows Dr, Bartow FL 33830"/>
        <s v="7 NW 14th Ave Cape Coral, FL 33993"/>
        <s v="6502 W Clifton St Tampa, FL 33634"/>
        <s v="6729 W Clifton St Tampa, FL 33603"/>
        <s v="3729 W Augusta Path Lecanto, FL 34461"/>
        <s v="5225 N Alabaster Dr. Hernando FL 34442"/>
        <s v="3728 W Augusta Path Lecanto, FL 34461"/>
        <s v="13056 Sun Rd. Brooksville, FL 34613"/>
        <s v="1032 NW Bayshore BLVD. Port Saint Lucie, Fl 34983"/>
        <s v="319 SE Fallon Dr. Port Saint Lucie, FL 34983"/>
        <s v="2111 20th Street CT W Bradenton, FL 34205"/>
        <s v="2211 26th St W Bradenton, FL 34205"/>
        <s v="1605 29th St W Bradenton, FL 34205"/>
        <s v="3207 Eagle St Sarasota, FL 34235"/>
        <s v="1310 NE 1st St Mulberry FL 33860"/>
        <s v="1812 N Conrad Ave Sarasota, FL 34234"/>
        <s v="1941 NW 85th Ter, Gainesville, FL 32606"/>
        <s v="1006 Southern Pine Ln Sarasota, FL 34243"/>
        <s v="15782 High Bell Place Bradenton, FL 34212"/>
        <s v="15753 High Bell Place Bradenton, FL 34212"/>
        <s v="7781 N Carl G Rose Hwy. Hernando, FL 34442"/>
        <s v="5751 Windy Bay Ter Mokomis Fl 34275"/>
        <s v="413 N Dodge Ave Sarasota, FL 34237"/>
        <s v="3244 Willin St Fort Myers, FL 33916"/>
        <s v="1670 Heiman Ave Fort Myers, FL 33905"/>
        <s v="2741 21st St Sarasota, FL 34234"/>
        <s v="5509 Killarney Ave Fort Pierce, FL 34951"/>
        <s v="301 NW Hogan St Port Saint Lucie, FL 34983"/>
        <s v="410 Normandy Rd Madeira Beach, FL 33708"/>
        <s v="6505 Bayard Rd, Fort Pierce, FL 34951"/>
        <s v="1158 Summer Star Dr. Riverview, FL 33579"/>
        <s v="2200 Angel Rd SE Palm Bay, FL 32909-6454"/>
        <s v="11461 Sw 104th St Miami, FL 33176"/>
        <s v="603 14th St E Palmetto, FL 34221"/>
        <s v="525 Centre St Palmetto, FL 34221"/>
        <s v="432 49th ST W Palmetto FL 34221"/>
        <s v="6601 Hulda Dr. Fort Pierce, FL 34951"/>
        <s v="7102 Kenwood Rd. Fort Pierce, FL 34951"/>
        <s v="7101 Kenwood Rd. Fort Pierce, FL 34951."/>
        <s v="3956 S Floral Ter Inverness, FL 34452"/>
        <s v="3309 6th Ave W Palmetto, FL 34221"/>
        <s v="419 NW 8th Ave. Crystal River, FL 34428"/>
        <s v="6608 Deleon Ave Fort Pierce, FL 34951"/>
        <s v="9625 North Ojus Dr Tampa, FL 33617"/>
        <s v="2861 SE Ironton Ave Port Saint Lucie, FL 34953"/>
        <s v="2601 Arnold Ct. Fort Pierce, FL 34946"/>
        <s v="6704 Deleon Ave. Fort Pierce, FL 34951"/>
        <s v="229 NE 5th ST. Crystal River, FL 34429"/>
        <s v="3399 E Gulf To Lake HWY. Inverness, FL 34453 "/>
        <s v="3553 E Suzie LN. Inverness, FL 34452"/>
        <s v="836 Golf Dr Venice Fl 34285"/>
        <s v="1401 28th St W Bradenton FL 34205"/>
        <s v="13632 4th Ave NE Bradenton Fl 34212"/>
        <s v="265 E Seminole Dr. Venice, FL 34293"/>
        <s v="401 NW Hibiscus St, Port St. Lucie, FL 34983"/>
        <s v="1907 HWY 44 West Inverness, FL 34453"/>
        <s v="3927 N Lecanto HWY. Beverly Hills, FL 34465"/>
        <s v="514 W Noble Ave. Williston, FL 32696"/>
        <s v="1905 47th ST S. Saint Petersburg, FL 33711"/>
        <s v="4644 14th Ave S. Saint Petersburg, FL 33711"/>
        <s v="712 18th Avenue Dr W Palmetto, FL 34221"/>
        <s v="514 Saint Andrews Dr Sarasota, FL 34243"/>
        <s v="6505 Santa Clara Blvd. Fort Pierce, FL 34951"/>
        <s v="1410 SE Manth Ln. Port Saint Lucie, FL 34983"/>
        <s v="5726 11TH Ave S Unit A, Gulfport FL, 33707"/>
        <s v="919 16th Ave N St Petersburg, FL 33704"/>
        <s v="25050 W Newberry Road Newberry, FL 32669"/>
        <s v="7002 Georges Rd Fort Pierce, FL 34951"/>
        <s v="15131 Las Olas Pl Bradenton, FL 34212"/>
        <s v="200 Marlin Dr Punta Gorda FL 33950"/>
        <s v="1855 SW Fears Ave. Port Saint Lucie, FL 34953"/>
        <s v="1749 Cedar Mont Loop Poinciana, FL 34759"/>
        <s v="2604 Floyd St Sarasota, FL 34239"/>
        <s v="4027 41st SQ Vero Beach, FL 32967"/>
        <s v="4037 41st Sq Vero Beach, FL 32967"/>
        <s v="1866 Marcia St Sarasota, FL 34231"/>
        <s v="2610 Loma Linda St Sarasota, FL 34239"/>
        <s v="454 Grand Vista Blvd Bradenton FL 34212"/>
        <s v="5100 Paleo Pines Cir. Fort Pierce, FL 34951"/>
        <s v="15618 Rose Grove Dr Bradenton FL 34212"/>
        <s v="4118 39th Drive Vero Beach, FL 32967"/>
        <s v="152 Lake Roy DR. Winter Haven, FL 33884"/>
        <s v="436 Larino Road SW Palm Bay, FL 32908"/>
        <s v="3141 SW Curcuma St. Port Saint Lucie, FL 34953"/>
        <s v="6804 Santa Clara Blvd. Fort Pierce, FL 34951"/>
        <s v="4816 SE Capstan Ave Stuart, FL 34997"/>
        <s v="327 Gris Sky Ln Bradenton, FL 34212"/>
        <s v="4305 Cinemark Ct Mulberry, FL 33860"/>
        <s v="10485 Lucaya Dr Tampa, FL 33647"/>
        <s v="3558 Silver Lace #29 Boynton Beach, FL 33436"/>
        <s v="780 NW Floresta Dr Port Saint Lucie, FL 34983"/>
        <s v="3547 Inverrary Blvd W Lauderhill Fl 33319"/>
        <s v="2033 SW Fears Ave. Port Saint Lucie, FL 34953"/>
        <s v="329 NW Concord Dr. Port Saint Lucie FL 34983"/>
        <s v="1652 SW McAllister Ln. Port St. Lucie, FL 34953"/>
        <s v="5303 Eagle Dr Fort Pierce, FL 34951"/>
        <s v="715 Ixora Ave Ellenton, FL, 34222"/>
        <s v="2806 Hardwood Court Kissimmee, FL 34744"/>
        <s v="2113 Song Sparrow Ct Ruskin FL 33570"/>
        <s v="836 Golf Dr Venice, FL 34285"/>
        <s v="2225 Unity Village Dr Ruskin, FL 33570 "/>
        <s v="1102 Sable CV Ruskin, FL 33570"/>
        <s v="504 50th Ave Ter W Bradenton FL 34207"/>
        <s v="5612 25th St W Bradenton, FL 34207"/>
        <s v="1856 SW Fears Ave Port Saint Lucie, FL 34953"/>
        <s v="1820 SW Citadel Ave Port Saint Lucie FL 34953"/>
        <s v="1206 Chesterfield Ave Ruskin, FL 33570"/>
        <s v="1522 Harbor Blue St Ruskin FL 33570"/>
        <s v="6710 36th Ave E Lot 151 Palmetto FL 34221"/>
        <s v="18301 Timberlan Dr. Lutz, FL 33549"/>
        <s v="6710 36th Ave E Lot 221 Palmetto, FL 34221"/>
        <s v="7614 S West Shore Blvd. Tampa, FL 33616"/>
        <s v="367 Tierra Verde Way Bradenton FL 34212 "/>
        <s v="4420 W Iowa Ave Tampa, FL 33616"/>
        <s v="6710 36th Ave E Lot 202 Palmetto FL 34221"/>
        <s v="4523 Dreisler ST Tampa FL 33634"/>
        <s v="6711 W Clifton St Tampa FL 33634"/>
        <s v="504 Powder View Dr Ruskin, FL 33570"/>
        <s v="3273 SW Hambrick St Port Saint Lucie, FL 34953"/>
        <s v="518 Flame Tree Dr, Apollo Beach, FL 33572"/>
        <s v="2441 Dakota Rock Dr, Ruskin, FL 33570 "/>
        <s v="1502 21St St SE Ruskin, FL 33570"/>
        <s v="3105 Kingsley DR. Fort Pierce, FL 34946"/>
        <s v="323 Flamingo Dr Apollo Beach, FL 33572"/>
        <s v="220 21st ST W Palmetto FL, 34221"/>
        <s v="11417 Bridge Pine Dr, Riverview, FL 33569"/>
        <s v="611 Washita Stone Dr. Ruskin, FL 33570"/>
        <s v="13917 SW 84 ST. Miami, FL 33183"/>
        <s v="1566 SW Jacksonville Ave. Port Saint Lucie FL 34953"/>
        <s v="2427 Crestview RD Wimauma ,FL 33598"/>
        <s v="5143 Bishop Rd. Wimauma, FL 33598"/>
        <s v="1002 Circle DR Ruskin, FL 33570 "/>
        <s v="5308 Ruth Morris Rd Wimauma FL 33598"/>
        <s v="3231 SW Crumpacker ST Port Saint Lucie, FL 34953"/>
        <s v="713 Parsons ST SW Ruskin FL 33570"/>
        <s v="1903 Marilyn Ave Brandenton FL 34207"/>
        <s v="7605 Tangle Brook Blvd Gibsonton FL 33534"/>
        <s v="2303 11th St S Saint Petersburg FL 33705"/>
        <s v="7632 Tangle Rush Dr. Gibsonton, FL 33534"/>
        <s v="11239 Southwind Lake Dr Gibsonton, FL 33534"/>
        <s v="1890 SW Dalmatian Ave. Port Saint Lucie, FL 34953"/>
        <s v="7605 Tangle Brook Blvd Gibsonton, FL 33534"/>
        <s v="11536 Tangle Creek BLVD Gibsonton Fl 33534"/>
        <s v="536 Flame Tree Dr Apollo Beach FL 33572"/>
        <s v="2313 15th Ave S Saint Petersberg FL 33712 "/>
        <s v="2041 Park Village Dr Ruskin FL 33570"/>
        <s v="1114 Coastal Hammock Ave Ruskin FL 33570  "/>
        <s v="731 Arizona Ave Fort Lauderdale, FL 33312"/>
        <s v="1425 67th Ave S St Petersburg, FL 33705"/>
        <s v="2705 3rd Ave E Palmetto FL 34221"/>
        <s v="1088 62nd Pl S Saint Petersburg FL 33705"/>
        <s v="4898 Myrtle View Dr N Mulberry FL 33860"/>
        <s v="2210 13th Ave E Palmetto FL 34221"/>
        <s v="4268 SW Whitebread Rd. Port Saint Lucie FL, 34953"/>
        <s v="3358 SW Ludlow St Port Saint Lucie FL 34953"/>
        <s v="6702 Fort Walton Ave, Fort Pierce, FL 34951"/>
        <s v="1102 Fennel Green Dr Seffner FL 33584"/>
        <s v="1769 Rita ST Sarasota FL 34231 "/>
        <s v="11527 Weston Course Loop Riverview Fl 33579"/>
        <s v="11812 Gilmerton DR Riverview FL 33579"/>
        <s v="3871 SW Chaffin St. Port Saint Lucie FL, 34953"/>
        <s v="2981 SW Collings Dr Port Saint Lucie FL 34953"/>
        <s v="6706 Deland Ave. Fort Pierce, FL 34951"/>
        <s v="2111 Canton Ave, Alva FL 33920"/>
        <s v="3261 SW Constellation RD Port Saint Lucie FL 34953"/>
        <s v="1642 E Artesian LN Citrus Springs, FL 34434"/>
        <s v="3218 Ave A W Bradenton FL 34205"/>
        <s v="7624 Dilido Blvd Miramar, FL 33023"/>
        <s v="2134 SE Carnation RD Port Saint Lucie FL 34952"/>
        <s v="9188 Cove Point Cir Boynton Beach FL 33472"/>
        <s v="5104 Matanzas Ave Fort Pierce, FL 34946"/>
        <s v="418 Vine Cliff St Ruskin, FL 33570"/>
        <s v="4462 SW Bemini Cir N, Palm City, FL 34990"/>
        <s v="14451 SW 160th CT Miami, FL 33196-6432"/>
        <s v="2353 SW 130th Ter Miramar, FL 33027"/>
        <s v="2142 SE Holland St Port St Lucie, FL 34952 "/>
        <s v="3541 sw 127th ave Miami, FL 33175 "/>
        <s v="18301 Timberlan DR Lutz, FL 33549"/>
        <s v="10956 Brickside Ct Riverview, FL 33579"/>
        <s v="813 Upland Ave SE, Palm Bay, FL 32909"/>
        <s v="931 SW 70th Way North Lauderdale, FL 33068"/>
        <s v="​17620 NW 77TH CT HIALEAH, FL 33015"/>
        <s v="11760 SW 171ST TER MIAMI, FL 33177"/>
        <s v="660 Arambola Cir N Apt 106B Coconut Creek, FL 33066"/>
        <s v="6705 SW 27th Ct Miramar, FL 33023"/>
        <s v="10100 E Calusa Club Dr Miami, FL 33186"/>
        <s v="17725 61st PL N Loxahatchee, FL 33470"/>
        <s v="7161 Mandarin Blvd. Loxahatchee FL, 33470"/>
        <s v="17562 68th St N Loxahatchee, FL 33470"/>
        <s v="5755 Ml Strm Wy, Milton, FL 32571"/>
        <s v="17523 71ST LN N LOXAHATCHEE, FL 33470"/>
        <m/>
      </sharedItems>
    </cacheField>
    <cacheField name="POLICY#" numFmtId="49">
      <sharedItems containsBlank="1">
        <s v="ADF210851"/>
        <s v="0974-5362-8156"/>
        <s v="HPH154189"/>
        <s v="988 849 198"/>
        <s v="AGD90205609"/>
        <s v="59-B5-J229-9"/>
        <s v="TMASHO310606"/>
        <s v="HCV00020320955"/>
        <s v="150412000187"/>
        <s v="988693329"/>
        <s v="HOH617836"/>
        <s v="2019-809942-05"/>
        <s v="TMASHO330200"/>
        <s v="P000259092"/>
        <s v="WLH0007031379"/>
        <s v="59-CU-U031-0"/>
        <s v="05352956"/>
        <s v="59-S1-2143-8"/>
        <s v="UHF35452370109"/>
        <s v="SIC 3165463"/>
        <s v="HO32014043560"/>
        <s v="1501-1604-9325"/>
        <s v="56802864"/>
        <s v="AMF114507"/>
        <s v="UHF 345515702"/>
        <s v="SJ31036374"/>
        <s v="PFL196023-09"/>
        <s v="HPW011174"/>
        <s v="07942538"/>
        <s v="W013819208"/>
        <s v="242312-78049907-24"/>
        <s v="00539257790A"/>
        <s v="HPM006003"/>
        <s v="1375530085"/>
        <s v="lnm0005961lpi"/>
        <s v="ARH000006280097"/>
        <s v="E452852"/>
        <s v="E414838"/>
        <s v="PFI10528107"/>
        <s v="10402884"/>
        <s v="2MR043918702"/>
        <s v="4783464"/>
        <s v="1505-1400-5986"/>
        <s v="05423202-3"/>
        <s v="02660111-1"/>
        <s v="1501-1503-0457"/>
        <s v="04950930-2"/>
        <s v="592-067-352"/>
        <s v="AGH-0325955"/>
        <s v="1504-1100-8515"/>
        <s v="TMASDW316645"/>
        <s v="AGD283455"/>
        <s v="PB2270189314"/>
        <s v="AGD289682"/>
        <s v="P009763257"/>
        <s v="TMASDW316606"/>
        <s v="07707441-2"/>
        <s v="07707448-2"/>
        <s v="TMASHO313101"/>
        <s v="UHF30794550409"/>
        <s v="0926221693"/>
        <s v="TMASHO308290"/>
        <s v="UHF51759480009"/>
        <s v="07612968-1"/>
        <s v="07451681-1"/>
        <s v="59-KR-9227-1"/>
        <s v="ER73947857"/>
        <s v="07266377-2"/>
        <s v="UIIH0000039042-16"/>
        <s v="TMASHO300074"/>
        <s v="1504-2200-2186"/>
        <s v="59KK02327"/>
        <s v="07048804-2"/>
        <s v="150117043217"/>
        <s v="MUM122446"/>
        <s v="AGH0374526"/>
        <s v="1501-1200-4737"/>
        <s v="59-CN-N569-5"/>
        <s v="P001701443"/>
        <s v="AGD10427707"/>
        <s v="022572347"/>
        <s v="TMASHO313974"/>
        <s v="1501-2007-2580"/>
        <s v="76540-82-31"/>
        <s v="1501-2106-0499"/>
        <s v="1504-1300-7397"/>
        <s v="SJ31049201"/>
        <s v="GIC04552845590C"/>
        <s v="ATM232533"/>
        <s v="59-QE-8973-9"/>
        <s v="P000432987"/>
        <s v="ALR07232841902"/>
        <s v="59-k4-8886-6"/>
        <s v="MLR977183303"/>
        <s v="09115190987303"/>
        <s v="02454264-7"/>
        <s v="AGD10261310"/>
        <s v="UHV26552951001"/>
        <s v="43806002-90A"/>
        <s v="901001116853"/>
        <s v="592-565-655"/>
        <s v="KIN-HO-FL-242038400"/>
        <s v="59-BP-L618-1"/>
        <s v="W014402757"/>
        <s v="76227-88-99"/>
        <s v="P000120666"/>
        <s v="2757173793"/>
        <s v="P002966535"/>
        <s v="80-BT-X719-0"/>
        <s v="TMASHO326468"/>
        <s v="RFH0095855"/>
        <s v="UDV235134003"/>
        <s v=" 2MR131061100"/>
        <s v="07682751-1"/>
        <s v="05994839-2"/>
        <s v="592-728-057"/>
        <s v="UHF288093503"/>
        <s v="ADM144668"/>
        <s v="9315673546331"/>
        <s v="09449011-1"/>
        <s v="2MR07761573454"/>
        <s v="59-BY-U123-3"/>
        <s v="P000173481"/>
        <s v="1504-2200-4803-02"/>
        <s v="1501-2000-3970"/>
        <s v="FLP506083"/>
        <s v="1501-1202-1227"/>
        <s v="06833506-1"/>
        <s v="053019268"/>
        <s v="10547230"/>
        <s v="1501-2003-5398"/>
        <s v="59-B4-K367-9"/>
        <s v="7709HR026302"/>
        <s v="06586720"/>
        <s v="07744105-2"/>
        <s v="UDV 235134002"/>
        <s v="05650433-3"/>
        <s v="HOH634395"/>
        <s v="59-ee-2751-0"/>
        <s v="141381790"/>
        <s v="12-1071699-01"/>
        <s v="1501-2203-1356"/>
        <s v="P010399337"/>
        <s v="1501-2201-0864"/>
        <s v="AGD10053221"/>
        <s v="090011406962714"/>
        <s v="ARK99203"/>
        <s v="AGH0420527"/>
        <s v="59-TR-1337-7"/>
        <s v="1501-2006-6032"/>
        <s v="2MR07441643721"/>
        <s v="1501-1400-7078"/>
        <s v="0925209946"/>
        <s v="1501-2105-7969"/>
        <s v="7354286572"/>
        <s v="2MR1495753"/>
        <s v="06220532-1"/>
        <s v="W013833307"/>
        <s v="UHV2965225"/>
        <s v="OUA119338760"/>
        <s v="971 695 936"/>
        <s v="FPH5395879-02"/>
        <s v="P000202005"/>
        <s v="KIN-HO-FL-162204628"/>
        <s v="HOH699229"/>
        <s v="0731297-5"/>
        <s v="59-PS-9196-4"/>
        <s v="592-184-864"/>
        <s v="MLR21027212493"/>
        <s v="AGH0312772"/>
        <s v="0657528815"/>
        <s v="HCPC-HO3-494252-4"/>
        <s v="0FLD369220"/>
        <s v="79-CT-T-766-6"/>
        <s v="1501-2200-8986"/>
        <s v="06811167"/>
        <s v="SJ31098072"/>
        <s v="HPH205945"/>
        <s v="2MR07761638061"/>
        <s v="PFL398108-02"/>
        <s v="KIN-DP-FL-207018401"/>
        <s v="UVH 25866050801"/>
        <s v="AGH0380609"/>
        <s v="AGH302507"/>
        <s v="PFL149710-08"/>
        <s v="SJ31083702"/>
        <s v="UHV243013811"/>
        <s v="06225592 - 3"/>
        <s v="11061958 - 1"/>
        <s v="0810655-5"/>
        <s v="E005467187"/>
        <s v="MLR914215804"/>
        <s v="BFL669260-00"/>
        <s v="12042014-1"/>
        <s v="FLP 531968"/>
        <s v="HPH082014"/>
        <s v="PFL399752-05"/>
        <s v="07694949"/>
        <s v="SIC3161135"/>
        <s v="1501-2105-5277"/>
        <s v="06092706-2"/>
        <s v="KIN-MH-FL-252538618"/>
        <s v="10163505"/>
        <s v="11784615"/>
        <s v="08504844"/>
        <s v="SFLD0297894-07"/>
        <s v="HCPC-HO3-343571-13"/>
        <s v="W015731643"/>
        <s v="02412105-8"/>
        <s v="321485890A"/>
        <s v="1501-2100-8522"/>
        <s v="SIC3068899"/>
        <s v="10638409"/>
        <s v="FLW014414(NH3)"/>
        <s v="FLRF58944500"/>
        <s v="ACP BP013210627632"/>
        <s v="KIN-DP-FL-233041141"/>
        <s v="SJ30241489"/>
        <s v="07973565"/>
        <s v="05444529-4"/>
        <s v="09943686-2"/>
        <s v="11192122"/>
        <s v="12267283"/>
        <s v="SIC3113633"/>
        <s v="11879675-1"/>
        <s v="MP7004650"/>
        <s v="1501-2005-9873"/>
        <s v="W012856510"/>
        <s v="MIP-RCH-02111-00"/>
        <s v="08882201"/>
        <s v="KINHOFL162204628"/>
        <s v="FPH3010804-00"/>
        <s v="04712976"/>
        <s v="MLR21149639940"/>
        <s v="MIPRCH0077600"/>
        <s v="08970031-2"/>
        <s v="08301658-2"/>
        <s v="AGD30523232"/>
        <s v="1501-2007-0789"/>
        <s v="HOH670382"/>
        <s v="715602"/>
        <s v="SOIH0900516"/>
        <s v="HOH624105"/>
        <s v="BCVBR117254"/>
        <s v="1505-1400-0847"/>
        <s v="06993168"/>
        <s v="PKG701546751"/>
        <s v="OH-823775187"/>
        <s v="80-CQ-F520-9"/>
        <s v="ACPBP013087255156"/>
        <s v="05547315-4"/>
        <s v="05192330-4"/>
        <s v="1501-2300-6016"/>
        <s v="MLR07449163399"/>
        <s v="12-1139169-03"/>
        <s v="11791834"/>
        <s v="13188618-1"/>
        <s v="10673104-2"/>
        <s v="12738530"/>
        <s v="SIC3201622"/>
        <s v="65070921FP"/>
        <s v="22899477 90 A"/>
        <s v="SIC3187630"/>
        <s v="1501-2006-2546"/>
        <s v="1501-1504-0363"/>
        <s v="KIN-DP-FL110952818"/>
        <s v="10637396"/>
        <s v="SIC3017789"/>
        <s v="SOIH7302358"/>
        <s v="06141206"/>
        <s v="FLA354748"/>
        <s v="1501-2001-1082"/>
        <s v="AGD10486497"/>
        <s v="12-1086285-03"/>
        <s v="SIC3139635"/>
        <s v="2847240472"/>
        <s v="1501-1904-8564"/>
        <s v="AGH0029944"/>
        <s v="KIN-DP-FL-116443926"/>
        <s v="1503-1803-9722"/>
        <s v="12-1080953-03"/>
        <s v="SIC3142733"/>
        <s v="KIN-HO-FL-166228816"/>
        <s v="CNVXHO000583"/>
        <s v="04854565"/>
        <s v="12409067"/>
        <s v="12933240-1"/>
        <s v="742860"/>
        <s v="D2LG04X0312808"/>
        <s v="11246800-2"/>
        <s v="2MR160393502"/>
        <s v="ATM206946"/>
        <s v="HCPC-HO3-370211-13"/>
        <s v="86307283"/>
        <s v="FPH3-000158841"/>
        <s v="P006721911"/>
        <s v="P000300530"/>
        <s v="MMF107121 "/>
        <s v="720831"/>
        <s v="11558555"/>
        <s v="1924021210"/>
        <s v="P012216012"/>
        <s v="AGH0097573"/>
        <s v="04557730-5"/>
        <s v="13938374"/>
        <s v="03289966"/>
        <s v="12122530"/>
        <s v="016648461-90A"/>
        <s v="617579"/>
        <s v="P000310337"/>
        <s v="11209168"/>
        <s v="SOIH0030929"/>
        <s v="FPH4146838-09"/>
        <s v="11975394"/>
        <s v="KIN-DP-FL-158895093"/>
        <s v="07392966"/>
        <s v="13572048"/>
        <s v="04803783"/>
        <s v="MLR001326604"/>
        <s v="AGH0083327"/>
        <s v="12223345"/>
        <s v="KIN-MH-FL-105009338"/>
        <s v="13239273-1"/>
        <s v="2MR019241004"/>
        <s v="170976"/>
        <s v="H3FL000193012"/>
        <s v="2MR221901101"/>
        <s v="GH-0000021114-11"/>
        <s v="SHB0008653"/>
        <s v="MLR- 21149737709"/>
        <s v="05643673"/>
        <s v="06604477"/>
        <s v="05054719"/>
        <s v="21C105112000"/>
        <s v="FLA453718"/>
        <s v="10950565"/>
        <s v="HPH144336"/>
        <s v="1504-2100-5217"/>
        <s v="05605242-4"/>
        <s v="W019698656"/>
        <s v="SJ31126693"/>
        <s v="7007-0002"/>
        <s v="FPH3-000142398"/>
        <s v="02756704"/>
        <s v="F113030"/>
        <s v="79-CL-K634-5"/>
        <s v="59CQA2625"/>
        <s v="818-855-0779"/>
        <s v="09182532"/>
        <s v="12753876-1"/>
        <s v="16-6115799-01"/>
        <s v="2MR07442127168"/>
        <s v="12-1063057-04"/>
        <s v="AGD30561092"/>
        <s v="07527728"/>
        <s v="12-1042842"/>
        <s v="07843769-4"/>
        <s v="BFL617626-07"/>
        <s v="12290012-2"/>
        <s v="SIC3081786"/>
        <s v="W015225677"/>
        <s v="BFL617626-07&#10;"/>
        <s v="59-CL-R331-9"/>
        <s v="765541"/>
        <s v="06986478 - 4"/>
        <s v="CH-0000071164-00 &#10;"/>
        <s v="720831 "/>
        <s v="KIN-CO-FL -180028206"/>
        <s v="ATH1130335"/>
        <s v="FPH300745403"/>
        <s v="00284743"/>
        <s v="​SIC3349784"/>
        <s v="79-CU-S225-0"/>
        <s v="1501-1505-2788"/>
        <s v="SIC3369748"/>
        <s v="1501-1501-5840"/>
        <s v="W015492709"/>
        <s v="79-E5-2457-6"/>
        <s v="SIC3418650"/>
        <s v="IFH4056780-00"/>
        <s v="SIC3176658"/>
        <m/>
      </sharedItems>
    </cacheField>
    <cacheField name="CLAIM#">
      <sharedItems containsBlank="1" containsMixedTypes="1" containsNumber="1" containsInteger="1">
        <s v="CDP-00170860"/>
        <s v="001-00-467931"/>
        <s v="H010010162"/>
        <s v="0741676852"/>
        <s v="CDP-00169395"/>
        <s v="59-40D2-53J"/>
        <m/>
        <s v="ER491324"/>
        <s v="FL22-0144790-A322"/>
        <s v="0746492842"/>
        <s v="SDA24057930"/>
        <s v="4392837"/>
        <s v="255338"/>
        <s v="CULL-22-006863"/>
        <s v="5959T468X"/>
        <s v="RMSF000012"/>
        <s v="001-00-451894"/>
        <s v="59-41K7-44J"/>
        <s v="RMUPCI00358"/>
        <n v="2.02408003388E11"/>
        <s v="FL22-0157648-A322"/>
        <s v="AM155078"/>
        <s v="22FL00155215"/>
        <s v="SL22205913"/>
        <s v="CFL22580807"/>
        <s v="H010033789"/>
        <s v="3300418751"/>
        <s v="300-0758924-2024"/>
        <s v="005392577-801"/>
        <s v="NG4103503"/>
        <s v="836743370"/>
        <s v="836-766372"/>
        <s v="001-00-465697"/>
        <s v="00201556692"/>
        <s v="001-00-450729"/>
        <s v="FL22-0136560-A322"/>
        <s v="001-00-440632"/>
        <s v="001-00-452994"/>
        <s v="FL22-0141809-A322"/>
        <s v="001-00-453412"/>
        <s v="FL22-0157017-A322"/>
        <s v="CHO00169311"/>
        <s v="FL23-0138902-A322"/>
        <s v="4342463"/>
        <s v="CDP-00169348"/>
        <s v="PB2270189314"/>
        <s v="CDP-00154999"/>
        <s v="3300443797"/>
        <s v="TMASDW316606"/>
        <s v="001-00-454936"/>
        <s v="001-00-454991"/>
        <s v="4359211"/>
        <s v="RUPCIC02901"/>
        <s v="7005131145-1"/>
        <s v="4051586"/>
        <s v="22FL00196270"/>
        <s v="001-00-455683"/>
        <s v="001-00-355952"/>
        <s v="59-59C8-55F"/>
        <s v="5630102305"/>
        <s v="001-00-456928"/>
        <s v="00000006833"/>
        <s v="4351462"/>
        <s v="FL23-0140285-A322"/>
        <s v="59-59L2-28Z"/>
        <s v="001-00-458224"/>
        <s v="FL23-0140954-A322"/>
        <s v="AM150898"/>
        <s v="CHO-00169730"/>
        <s v="FL23-0141189-A322"/>
        <s v="59-39T1-67S"/>
        <s v="240277"/>
        <s v="CDP-00169870"/>
        <s v="22572347-009"/>
        <s v="TMASHO313974"/>
        <s v="FL21-0126036-S121"/>
        <s v="FL24-0102818-A322"/>
        <s v="7006922134-1"/>
        <s v="FL23-0142385"/>
        <s v="FL23-0142386-A322"/>
        <s v="SL22218930"/>
        <s v="045528455-004"/>
        <s v="AM151002"/>
        <s v="5960-M773-J"/>
        <s v="252708"/>
        <s v="00201738605"/>
        <s v="59-60V4-87N"/>
        <s v=" 00201551528"/>
        <s v="CFL22590053"/>
        <s v="001-00-464183"/>
        <s v="CDP-00147953"/>
        <s v="RMUPCIC000124"/>
        <s v="43806002-3"/>
        <s v="RMUPCIC000130"/>
        <s v="FL23-0116913-A322"/>
        <s v="HO-4977326"/>
        <s v="HO-3764375"/>
        <s v="0736828609"/>
        <s v="5939T795J"/>
        <s v="3300438094"/>
        <s v="7007051813-1"/>
        <s v="253116"/>
        <s v="01000108498"/>
        <s v="253115"/>
        <s v="5961Z638D"/>
        <s v="4376840"/>
        <s v="3300483074"/>
        <s v="22FL00173700"/>
        <s v="CDP-00156468"/>
        <s v="00201749734"/>
        <s v="001-00-440798"/>
        <s v="001-00-467927"/>
        <s v="FL24-0102449-A322"/>
        <s v="RMUPCIC00195"/>
        <s v="CMD00171174"/>
        <s v="I4P5915"/>
        <s v="001-00-470130"/>
        <s v="00201757212"/>
        <s v="59-63P8-48Q"/>
        <s v="253747"/>
        <s v="FL23-0200303-A322"/>
        <s v="FL24-0104775-A322"/>
        <s v="1320148-241013"/>
        <s v="FL24-0105269-A322"/>
        <s v="001-00-474143"/>
        <s v="053019268-2"/>
        <s v="001-00-475558"/>
        <s v="FL24-0106707-A322"/>
        <s v="5964X142Z"/>
        <s v="555867-GP"/>
        <s v="001-00-338452"/>
        <s v="001-00-479130"/>
        <s v="21FL00088030"/>
        <s v="001-00-479616"/>
        <s v="001-00-479617"/>
        <s v="H108212"/>
        <s v="5939T069B"/>
        <s v="000690292222"/>
        <s v="12-3010957-22"/>
        <s v="FL22-0140776-A322"/>
        <s v="3300440850"/>
        <s v="CFL24602078"/>
        <s v="FL24-0113581-A322"/>
        <s v="CDP-00173822"/>
        <s v="24-342"/>
        <s v="1126632"/>
        <s v="CHO-00143829"/>
        <s v="59-40B5-01G"/>
        <s v="FL22-0138358-A322"/>
        <s v="00104440849"/>
        <s v="FL22-0143328-A322"/>
        <s v="7005133317-1"/>
        <s v="FL22-0145484-A322"/>
        <s v="H010020251"/>
        <s v="01000084212"/>
        <s v="00201554308"/>
        <s v="00201798378"/>
        <s v="001-00-383840"/>
        <s v="3300498823"/>
        <s v="RMUPCIC000397"/>
        <s v="77194-RRI "/>
        <s v="77007-RRI "/>
        <s v="0758342299"/>
        <s v="FPI243354"/>
        <s v="255632"/>
        <s v="HO-4855275"/>
        <s v="H010021022"/>
        <s v="001-00-328413"/>
        <s v="59-39Z5-88B"/>
        <s v="FL24-0114154-A322"/>
        <s v="00103795111"/>
        <s v="CHO-00149076"/>
        <s v="7007946877-1"/>
        <s v="942385"/>
        <s v="19433-221001"/>
        <s v="59-70C5-29P"/>
        <s v="FL24-0114921-A322"/>
        <s v="001-00-491940"/>
        <s v="SL22214801"/>
        <s v="H010022361"/>
        <s v="00201811423"/>
        <s v="CFL22590808"/>
        <s v="HO-0007297"/>
        <s v="RMUPCIC00415"/>
        <s v="CHO00175166"/>
        <s v="CHO00175168"/>
        <s v="CFL22592934"/>
        <s v="SL22209385"/>
        <s v="22FL00186430"/>
        <s v="001-00-500031"/>
        <n v="1.124000633E9"/>
        <s v="001-00-367076"/>
        <n v="3.300505936E9"/>
        <s v="00201560518"/>
        <s v="CFL24603293"/>
        <s v="001-00-517091"/>
        <s v="1423877-241013"/>
        <s v="H010027031"/>
        <s v="CFL24604237"/>
        <s v="001-00-519868"/>
        <s v="001-00-529755"/>
        <s v="202410008630"/>
        <s v="FL24-0132361-K524"/>
        <s v="001-00-522984"/>
        <s v="HO-3734814"/>
        <s v="001-00-549271"/>
        <s v="001-00-542574"/>
        <s v="16-2910467-24"/>
        <s v="68493"/>
        <s v="947670"/>
        <n v="3.300525867E9"/>
        <s v="001-00-557380"/>
        <s v="032148158–800 "/>
        <s v="FL24-0136232-K524"/>
        <n v="2.02409005216E11"/>
        <s v="001-00-561522"/>
        <n v="1434371.0"/>
        <s v="HO-2024-082303240"/>
        <s v="099403-GQ"/>
        <s v="HO-4716689"/>
        <s v="202410016041"/>
        <s v="001-00-564700"/>
        <s v="001-00-564713"/>
        <s v="001-00-546636"/>
        <s v="001-00-563728"/>
        <s v="001-00-564754"/>
        <s v="202410014709"/>
        <s v="001-00-565677"/>
        <s v="LL03315112"/>
        <s v="FL24-0137738-K524"/>
        <n v="2.02410015048E11"/>
        <n v="3.300529356E9"/>
        <s v="00104612687"/>
        <s v="001-00-529941"/>
        <s v="HO-4117392"/>
        <s v="FPI249916"/>
        <s v="001-00-569635"/>
        <s v="00201852454"/>
        <s v="00104700327"/>
        <s v="001-00-569891"/>
        <s v="001-00-550038"/>
        <s v="CDP-00185070"/>
        <s v="FL24-0139304-k524"/>
        <s v="H010035066"/>
        <s v="013507"/>
        <s v="65579"/>
        <s v="H010032983"/>
        <s v="79258PMC"/>
        <s v="79280PMC"/>
        <s v="79281PMC"/>
        <s v="FL24-0136600-K324"/>
        <s v="001-00-521606"/>
        <s v="401988906"/>
        <s v="11000000272"/>
        <s v="5975D864K"/>
        <s v="142093GQ"/>
        <s v="001-00-578363"/>
        <s v="001-00-578372"/>
        <s v="FL24-0141880-K524"/>
        <s v="00104724107"/>
        <s v="12-3026688-24"/>
        <s v="001-00-548885"/>
        <s v="001-00-578984"/>
        <s v="001-00-578994"/>
        <s v="79378PMC"/>
        <s v="001-00-579445"/>
        <s v="202410007418"/>
        <s v="60010402119"/>
        <s v="022899477-801"/>
        <s v="202410014820"/>
        <s v="FL24-0129460-K524"/>
        <s v="022899477-802"/>
        <s v="FL24-0132444-K524"/>
        <s v="HO-4926070"/>
        <s v="001-00-532725"/>
        <s v="202410007931"/>
        <s v="64051"/>
        <s v="001-00-531806"/>
        <s v="1456339"/>
        <s v="FL24-0145580-K524"/>
        <s v="CDP-00185032"/>
        <s v="12-3029396-24"/>
        <s v="202412019279"/>
        <s v="01000125656"/>
        <s v="FL24-0138922-K524"/>
        <s v="CHO-00182868"/>
        <s v="HO-4637280"/>
        <s v="013718"/>
        <s v="FL25-0100095"/>
        <s v="12-3029400-24"/>
        <s v="202501020238"/>
        <s v="950116"/>
        <s v="HO-3922335"/>
        <s v="4567704"/>
        <s v="001-00-590210"/>
        <s v="001-00-539679"/>
        <s v="001-00-536543"/>
        <s v="13834"/>
        <s v="M32478"/>
        <s v="FL25-0103699-J424"/>
        <s v="001-00-592668"/>
        <s v="00201850662"/>
        <s v="AM159217"/>
        <s v="950537"/>
        <s v="MSIH-00000967"/>
        <s v="306263GQ"/>
        <s v="306285-GQ"/>
        <s v="01000119714"/>
        <s v="3300541475"/>
        <s v="665128"/>
        <s v="AM157910"/>
        <s v="013909"/>
        <s v="001-00-531499"/>
        <s v="01000123624"/>
        <s v="013954"/>
        <s v="261444"/>
        <s v="CHO-00190296"/>
        <s v="001-00-596557"/>
        <s v="001-00-596885"/>
        <s v="001-00-950116"/>
        <s v="001-00-597315"/>
        <s v="016648461-802"/>
        <s v="949727"/>
        <s v="260052"/>
        <s v="001-00-590806"/>
        <s v="64997"/>
        <s v="FPI251023"/>
        <s v="001-00-560613"/>
        <s v="HO-4500135"/>
        <s v="001-00-554207"/>
        <s v="001-00-599544"/>
        <s v="001-00-599548"/>
        <s v="00201866870"/>
        <s v="CHO-00190985"/>
        <s v="001-00-600248"/>
        <s v="HO-3178753"/>
        <s v="001-00-600606"/>
        <s v="00104710717"/>
        <s v="001-00-510072"/>
        <s v="12-3019795-23"/>
        <s v="948819"/>
        <s v="202412019945"/>
        <s v="00201898754"/>
        <s v="HO0525431714"/>
        <s v="2024002597"/>
        <s v="00104869936"/>
        <s v="949726"/>
        <s v="202504024948"/>
        <s v="001-00-560006"/>
        <s v="001-00-578695"/>
        <s v="001-00-604304"/>
        <s v="HO-0005019"/>
        <s v="00104886865"/>
        <s v="1506883-251001"/>
        <s v="DP2506000109"/>
        <s v="HO10035070"/>
        <s v="FL24-0136803-K524"/>
        <s v="00201892541"/>
        <s v="001-00-606224"/>
        <s v="3300506493"/>
        <s v="202410012693"/>
        <s v="250451152"/>
        <s v="01000138821"/>
        <s v="001-00-523602"/>
        <s v="836-792025"/>
        <s v="5986K843N"/>
        <s v="5975S330R"/>
        <s v="01000123062"/>
        <s v="001-00-528108"/>
        <s v="001-00-610732"/>
        <s v="FL22-0158926-A522"/>
        <s v="16-2910530-24"/>
        <s v="00104537193"/>
        <s v="12-3026439-24"/>
        <s v="CDP-00195698"/>
        <s v="001-00-611528"/>
        <s v="12-3033110-25"/>
        <s v="12-3029752-25 "/>
        <s v="001-00-620911"/>
        <s v="CFL25609170"/>
        <s v="001-00-625733"/>
        <s v="202512035561"/>
        <s v="3300565430"/>
        <s v="CFL25610170"/>
        <s v="CFL24602722"/>
        <s v="59-96N1-89H"/>
        <s v="15038"/>
        <s v="001-00-621044"/>
        <s v="HO0526439356"/>
        <s v="15082"/>
        <s v="HO-3027009"/>
        <s v="15149"/>
        <s v="AH146724"/>
        <s v="FPI260223-00"/>
        <s v="FPI260283-00"/>
        <s v="FPI260362-00"/>
        <s v="202604041485"/>
        <s v="202604042036"/>
        <s v="590D1R166"/>
        <s v="FL26-0108691"/>
        <s v="202605043557"/>
        <s v="FL26-0113162"/>
        <s v="3300586807"/>
        <s v="59-0N7J-316"/>
        <s v="59-0N4W-485"/>
        <s v="202608048936"/>
        <s v="26CFL200297487"/>
        <s v="202609050061"/>
        <s v="202609050195"/>
      </sharedItems>
    </cacheField>
    <cacheField name="TYPE OF LOSS " numFmtId="49">
      <sharedItems containsBlank="1">
        <s v="Hurricane Ian"/>
        <s v="Windstorm"/>
        <s v="Hurricane"/>
        <s v="AWD"/>
        <s v="Hurricane Milton"/>
        <s v="Hurricane Idalia"/>
        <s v="Leak"/>
        <s v="Hurricane "/>
        <s v="Hail"/>
        <s v="Windstorm "/>
        <s v="Water"/>
        <s v="Water Damage"/>
        <s v="Flood"/>
        <s v="Hurricane Helene"/>
        <s v="A/C"/>
        <s v="Hurricane Debby"/>
        <s v="Wind"/>
        <s v="Hail Storm"/>
        <s v="Plumbing Leak"/>
        <s v="AWD Kitchen"/>
        <s v="Plumbing Failure"/>
        <s v="Earthquake"/>
        <s v="Wind/Hail"/>
        <s v="Lightning Strike"/>
        <m/>
      </sharedItems>
    </cacheField>
    <cacheField name="DATE OF LOSS" numFmtId="49">
      <sharedItems containsBlank="1">
        <s v="9/28/22"/>
        <s v="07/08/22"/>
        <s v="9/22/22"/>
        <s v="04/15/23"/>
        <s v="6/6/22"/>
        <s v="7/7/22"/>
        <s v="10/03/2023"/>
        <s v="8/22/22"/>
        <s v="08/10/24"/>
        <s v="10/09/24"/>
        <s v="01/16/22"/>
        <s v="04/04/22"/>
        <s v="8/30/23"/>
        <s v="8-24-23"/>
        <s v="11-10-22"/>
        <s v="07/06/21"/>
        <s v="09/28/22"/>
        <s v="11/29/23"/>
        <s v="2/7/24"/>
        <s v="9/28/23"/>
        <s v="08/12/22"/>
        <s v="11/9/22"/>
        <s v="8/17/23"/>
        <s v="10/27/23"/>
        <s v="02/04/24"/>
        <s v="1/15/2024"/>
        <s v="1/13/21"/>
        <s v="04/03/24"/>
        <s v="04/10/24"/>
        <s v="10/06/22"/>
        <s v="04/14/24"/>
        <s v="05/31/24"/>
        <s v="6/1/24"/>
        <s v="2/4/24"/>
        <s v="6/5/24"/>
        <s v="11/14/22"/>
        <s v="06/19/24"/>
        <s v="09/26/24"/>
        <s v="10/10/24"/>
        <s v="9/26/24"/>
        <s v="10/14/24"/>
        <s v="10/22/24"/>
        <s v="8/16/24"/>
        <s v="09/09/24"/>
        <s v="12/08/24"/>
        <s v="12/15/24"/>
        <s v="01/05/25"/>
        <s v="12/31/24"/>
        <s v="01/19/25"/>
        <s v="08/05/24"/>
        <s v="01/31/2025"/>
        <s v="10/18/23"/>
        <s v="01/15/22"/>
        <s v="02/05/25"/>
        <s v="10/08/24"/>
        <s v="03/19/25"/>
        <s v="04/26/23"/>
        <s v="04/23/25"/>
        <s v="03/15/22"/>
        <s v="5/06/25"/>
        <s v="11/10/22"/>
        <s v="08/15/25"/>
        <s v="9/24/25"/>
        <s v="10/09/2024"/>
        <s v="05/05/2025"/>
        <s v="12/14/2025"/>
        <s v="12/15/2025"/>
        <s v="12/23/2025"/>
        <s v="09/08/2025"/>
        <s v="06/12/2024"/>
        <s v="02/09/2026"/>
        <s v="02/10/2026"/>
        <s v="10/05/2025"/>
        <s v="02/16/2026"/>
        <m/>
        <s v="12/28/2024"/>
        <s v="03/15/2026"/>
        <s v="03/26/2026"/>
        <s v="12/12/2025"/>
        <s v="04/07/2026"/>
        <s v="04/29/2026"/>
        <s v="5/15/2026"/>
        <s v="6/8/2026"/>
        <s v="05/28/2026"/>
        <s v="08/20/2026"/>
        <s v="08/23/2026"/>
        <s v="08/29/2026"/>
        <s v="08/24/2026"/>
        <s v="08/13/2026"/>
      </sharedItems>
    </cacheField>
    <cacheField name="ESTIMATE FOR INS" numFmtId="49">
      <sharedItems containsBlank="1">
        <s v="SENT"/>
        <m/>
        <s v="UPLOADED"/>
        <s v="WAITING IA to sent"/>
        <s v="UPLOADED Univ/Front"/>
        <s v="PENDING"/>
        <s v="Waiting PA approval"/>
        <s v="UPLOADED "/>
        <s v="NA"/>
      </sharedItems>
    </cacheField>
    <cacheField name="ESTIMATE JP" numFmtId="49">
      <sharedItems containsBlank="1">
        <s v="APPROVED"/>
        <m/>
        <s v="NO INFO"/>
        <s v="WAITING INFO"/>
        <s v="SENT TO PA"/>
        <s v="PENDING"/>
        <s v="NA"/>
      </sharedItems>
    </cacheField>
    <cacheField name="SPOL UPDATED" numFmtId="49">
      <sharedItems containsBlank="1">
        <s v="Ready to be sent"/>
        <m/>
        <s v="SENT to PA"/>
        <s v="SENT to CLIENT"/>
        <s v="ASKED B.SPOL"/>
        <s v="SENT to INS."/>
        <s v="PENDING"/>
        <s v="SENT to INS"/>
        <s v="PENDING, Day"/>
        <s v="PENDING, Caro"/>
        <s v="N/A"/>
        <s v="Caro, SENT to CLIENT"/>
        <s v="PENDING, Ivancho"/>
        <s v="PENDING, Sarah"/>
        <s v="JP, SENT to CLIENT"/>
        <s v="Sarah, SENT to CLIENT"/>
        <s v="SENT to CLIENT, Ivancho"/>
        <s v="Day, SENT to CLIENT"/>
        <s v="Day, NOTARIZE SARAH"/>
        <s v="PENDING, JP"/>
        <s v="JP, ASKED B.SPOL"/>
      </sharedItems>
    </cacheField>
    <cacheField name="IA REPORT" numFmtId="49">
      <sharedItems containsBlank="1">
        <s v="IA Report &amp; Policy"/>
        <s v="IA Report"/>
        <s v="N/A"/>
        <s v="Denial Letter"/>
        <m/>
        <s v="New IA &amp; Policy"/>
        <s v="New determination"/>
      </sharedItems>
    </cacheField>
    <cacheField name="POLICY" numFmtId="0">
      <sharedItems containsBlank="1">
        <b v="0"/>
        <b v="1"/>
        <m/>
      </sharedItems>
    </cacheField>
    <cacheField name="Desk Adjuster " numFmtId="49">
      <sharedItems containsBlank="1">
        <s v="Tanner Van Dalsen / 313-761-0320 / Tanner.VanDalsen@ryzeclaims.com"/>
        <s v="Jackeline Copeland / 904-328-3544"/>
        <s v="Vinny Millan / vmillan@heritagepci.com /  727.362.7200 Ext.7445"/>
        <m/>
        <s v="Maria Fleitas / 727.353.8352 EXT 320 / mfleitas@telaclaims.com"/>
        <s v="Trent Thompson / 404-257-7646 / "/>
        <s v="DA Jamie Wright / ext 7099 / jw0225@universalproperty.com"/>
        <s v="DA Umra Hai / 516-357-0232 / fax 866-447-4293 / FA SHAUN WEAVER (847) 686-1641 or shaun.Weaver@allstate.com / SUPERVISOR Derek 727-556-3892"/>
        <s v="Sonya Gonzalez / sonya.gonzalez@sedgwick.com"/>
        <s v="Angela Mattingly / Work: 678-619-0263 ext: 2017330 / Mobile: 908-224-7330/ angela.mattingly@us.crawco.com"/>
        <s v="Donna 386-261-9828"/>
        <s v="Hazel Bea / (800) 627-7601 Ext. 4053 / Hazel.Bea@PreciseAdjustments.com"/>
        <s v="Ben Hills / 678-935-3088"/>
        <s v="Lucrecia Garrett / 844-487-2287 x1714 / lgarrett@agfgroup.org"/>
        <s v="James Perez / 888-621-9910 ext 21456 / "/>
        <s v="Noel Myers / (972) 657-3197. "/>
        <s v="Annette Acosta / 904-385-4481 / aacosta2@agfgroup.org"/>
        <s v="Britanie McKayle / (813) 322-5282 / bmckayle@slideinsurance.com"/>
        <s v="08/27 they won't assgin DA until they receive the estimate (CM)"/>
        <s v="Janettra McPherson / (813) 355-8071 / jmcpherson@slideinsurance.com"/>
        <s v="Michael Chesser / mchesser@pti.insure / 561-609-1000 ext 3248 "/>
        <s v="Regina Sheppard / 813-797-3468 x7694"/>
        <s v="Somer Vansickler / 850-739-0518 / svansickler@thig.com"/>
        <s v="800-437-0598 / Florida Casualty and property claim brench / flcp.clm@aoins.com"/>
        <s v="Craig Ortiz/ 800-5318722 ext 20896 / 3j7qvkm4jl8pw@claims.usaa.com"/>
        <s v="Laura Herrera  / 727-499-7627  / Lherrera@heritagepci.com"/>
        <s v="Greg McGuire 513-412-9466/ gsmcguire@gaig.com"/>
        <s v="Anna Hernandez / (866) 476-8399 / mtgclm01@swbc.com"/>
        <s v="Graham Millar / 866-411-2742 ext 4041"/>
        <s v="Darrius Marzette 800-652-1262 ext 4018402 / 770-763-1000"/>
        <s v="Trevis Brown / 888-621-9910 ext 21000 "/>
        <s v="FA Jamie Right / (954) 958‑1200 ext: 7099 / (954) 302‑1531"/>
        <s v="Jamie Black 561-452-5855 / 888-621-9910 ext 70020 NEW DA Melany Blend"/>
        <s v="Jeannea Spence / 888-621-9910 ext 21011"/>
        <s v="Robert Osborn / ext 7053 / ro0229@universalproperty.com"/>
        <s v="Davi Lowry / 888-621-9910 ext 21236"/>
        <s v="Henry Wimp / 954-958-1200 / hw1206@universalproperty.com"/>
        <s v="James Curd / 225-435-2183"/>
        <s v="William Miller / wm0423@universalproperty.com / ext 6639 (CM)"/>
        <s v="Lynn Rothenhausler 866-641-7922  lynn.rothenhausler@us.crawco.com"/>
        <s v="Alain Guerra / 727-353-8352 ext 308 / aguerra@telaclaims.com"/>
        <s v="Allen Lockhart / allen.lockhart@associatedclaimsinc.com / 704-718-2806"/>
        <s v="Jeanne Escher / 888-237-9375 ext 653 / jescher@ccadjust.com"/>
        <s v="Shaliea Blackmon / sblackmon@thig.com / 888-461-6908 x 0201"/>
        <s v="Lynn Rothenhausler (610) 871-3743 lynn.rothenhausler@us.crawco.com"/>
        <s v="DA Jan Yeackley 866-411-2742 ext 21073 / FA Thomas Carter 352-653-5080"/>
        <s v="Deborah Martin / 888-621-9910 ext 70175"/>
        <s v="Angela Mattingly / 678-619-0263 ext: 2017330 / 908-224-7330 / angela.mattingly@us.crawco.com / FA  David Willette"/>
        <s v="Lavonia Nelson/  (678) 287-5488 / lnelson@agfgroup.org"/>
        <s v="Erika Longstreet 616-956-2031"/>
        <s v="951-566-4166 Brendan KirkPatrick brkirk@us.crawco.com"/>
        <s v="Darrin Smith /  (678) 502-2264 / dasmith@agfgroup.org"/>
        <s v="FA Jim Roth 225-229-7071 / Margaret Williams/ 888-621-9910 ext. 21541"/>
        <s v="Krystie Johnson Bohannon 866-411-2742 ext 4700"/>
        <s v="Mi’Tuan Burney (404)257-7666 / mituan.burney.vacn78@statefarm.com"/>
        <s v="Sara Shefkiu saranda.shefkiu@zurichna.com 404-851-3626"/>
        <s v="Tracy Fleming-Holder / 904-420-0213 / tracy.flemingholder@citizensfla.com"/>
        <s v="Charles Rourk / 888-877-0770 ext 6645 / crourk@uihna.com"/>
        <s v="Brendan Kirkpatrick / 866-641-7922 / brkirk@us.crawco.com"/>
        <s v="BRYAN KIMBROUGH / EXT 7062 / 954-654-3514 /rk0117@universalproperty.com (CM)"/>
        <s v="DA Danelle Stephens / phone 770-418-5663"/>
        <s v="DA Karen Perry / 888 621 9910 ext 21270/ FA Marcos Gonzalez (CM)"/>
        <s v="Henry Wimp / (954) 686‑6535 / hw1206@universalproperty.com. (DE)"/>
        <s v="Mike Strain / 866-270-8430 EXT.0063 / ATICClaims@westpointuw.com"/>
        <s v="901-245-4404 / Jordan Woods / anthony.woods@ryzeclaims.com / (888) 898-7993 / dcrouch@aii.com "/>
        <s v="Henry Wimp / 954-958-1200 ext 6262 - (954) 686‑6535 / hw1206@universalproperty.com"/>
        <s v="Amanda Granderson / (404) 257-7741"/>
        <s v="Holly Franklin / HFranklin@securityfirstflorida.com / 386-868-1531"/>
        <s v="Danielle Wilder /  (689) 257-3139 / dwilder@ottersolv.com"/>
        <s v="Marianne Barker / 1-800-531-8722 x44862"/>
        <s v="Heidi Szekula / (951) 686-1776 / (866) 641-7922 / Heidi_Szekula@us.crawco.com"/>
        <s v="Carolina Hernandez / W): (954) 958‑1200 ext: 6335 / ch0712@universalproperty.com"/>
        <s v="Elizabeth Fernandez 352-298-1828 elizabeth.fernandez1@farmersinsurance.com "/>
        <s v="Mathew Goldman / (954) 958-1200 - 6845/ Supervisor: Timothy Ryan ext 6209 / tmr1969@universalproperty.com"/>
        <s v="William Miller /ext 6639 / wm0423@universalproperty.com"/>
        <s v="Efstathios Giannoutsos 813-537-2254/ egiannoutsos@slideinsurance.com / 12/27 FA Grindley Williams"/>
        <s v="Gina Millan / 210-531-8722 ext 31497"/>
        <s v="Stacey Howell / (866)270-8430 / showell@westpointuw.com (CM)"/>
        <s v="Stephany Burkes/ 404 851 5778"/>
        <s v="Oscar Vazquez/ (386) 492-0108 / ovazquez@securityfirstflorida.com (CM)"/>
        <s v="Breanna Baker / 800-652-1262 Ext. 4039085 / 866-728-7098 / breanna.baker1@assurant.com (CM)"/>
        <s v="Kathy Smith / Phone: 844-458-4300 ext.  404-943-7782"/>
        <s v="Steven Vannoy /  866-728-7098 / 800-652-1262 Ext. 4039072"/>
        <s v="Yousy Valdes / yvaldes@pti.insure / 561-609-1000 ext 3362"/>
        <s v="Tracy Fleming-Holder / 904-420-0213 / tracy.flemingholder@citizensfla.com / FA Will Lazenby 407-312-0647 wlazenby@claimsquestions.com"/>
        <s v="Danisha Ellis / danisha.ellis@sedgwick.com / 469-896-1327"/>
        <s v="Allcat /Shanda 855-925-5228 EXT 3298 / 5cb4295939x3@claims.usaa.com"/>
        <s v="Jamie Miller / 866-204-2219 ext 1054 "/>
        <s v="Jamie Miller / 866-204-2219 ext 1054 / claims@kin.com"/>
        <s v="Crystal Christmas Byars / (309)994-6921 / crystal.christmasbyars.l39r@statefarm.com"/>
        <s v="Nichole Craggette / 724-963-3882 / claims@thig.com"/>
        <s v="Luis Vega Martinez / 904-698-0897"/>
        <s v="Alexander Walter /  (386) 492-0189 "/>
        <s v="DA Grace Thompson / 407-915-8062 / gthompson@frontlineinsurance.com FA Randy Kerns / 813-518-5700 / randy@rocklingroup.net / SPV Stephanie More  321 441 2765"/>
        <s v="Louie LeNoir / 877-581-4862 / catclaims@securityfirstflorida.com"/>
        <s v="DA Alisia Martin (404) 851-5517"/>
        <s v="DA Johnathan Rosenbarker / 800.342.3407 x.1727 "/>
        <s v="Brandy BakerPhone: (407) 545-3005 ext. 2386 Email: brbaker@agfgroup.org"/>
        <s v="Kajo Ciszek / 727-353-8352 ext 336 / 727-353-7538 / kciszek@telaclaims.com"/>
        <s v="DA Breanna Baker / 800-652-1262 Ext. 4039085 / breanna.baker1@assurant.com"/>
        <s v="Bobby Adams / 866-411-2742 ext 904-328-7492"/>
        <s v="Nicholas Buckley / 888-621-9910 ext 21319"/>
        <s v="Henry Wimp / 954-958-1200 / 800-425-9113 ext 6262 / hw1206@universalproperty.com"/>
        <s v="Sonya Pittman / (407) 545-3005 ext. 1345 / spittman2@agfgroup.org"/>
        <s v="Chris Nadau / 407-212-5369 / cjnadeau@travelers.com"/>
        <s v="L. Nicole Stav-Roach / 866.411.2742 ext. 70640 / (954) 600-7143 / LironNicole.StavRoach@citizensfla.com/ 9045204704 Renata Sumpter  "/>
        <s v="Kenneth Wilkins / 800-358-0600 ext 4030172 / kenneth.wilkins@assurant.com"/>
        <s v="Jonathan Adel / 678-935-3829 "/>
        <s v="Oscar Vazquez / (386) 492-0108  / ovazquez@securityfirstflorida.com"/>
        <s v="Jamie Wright / jw0225@universalproperty.com / 800-425-9113 x7099"/>
        <s v="William Miller / wm0423@universalproperty.com / ext 6639 "/>
        <s v="Chelsea Donaldson / 440-566-2508"/>
        <s v="Marnica JeanPierre / 888-621-9910 ext 21009"/>
        <s v="Anthony Vandervile / 800-531-7722 ext 40227 / 48bphvxbzhxh@claims.usaa.com"/>
        <s v="Jewel Collins / 888-621-9910 ext 70694"/>
        <s v="Travis Gilleland / 386-847-2804"/>
        <s v="David Rochha / ext 4391"/>
        <s v="Miriam St. Hilaire 888-621-9910 ext 21064"/>
        <s v="Ian Holder / 866.411.2742 ext. 21240 "/>
        <s v="Jamie Black 561-452-5855 / 888-621-9910 ext 70020 "/>
        <s v="Michael Rockow / Mrockow@heritagepci.com / 727-362-7200 extension 7550"/>
        <s v="Farah Chow / 404-851-5574"/>
        <s v="Mason Evans / (847) 226-3767"/>
        <s v="Ronnie Braddy / rbraddy@gristonclaim.com / 813-291-7419"/>
        <s v="Lindsey Ellsworth / 817-526-1411 / lellsworth@thig.com"/>
        <s v="Camila Pohlmann / direct 561-783-8024 / 561-609-1000, ext. 2675 / cpohlmann@pti.insure"/>
        <s v="Ryan Loper / rloper@ottersolv.com / 689-262-7237"/>
        <s v="Steven Talley / (727) 308-3707 / CATClaims32@bankersinsurance.com"/>
        <s v="William Marulanda / 440-620-5586 "/>
        <s v="Bamidele Ajibade / 469-896-1334 / Bamidele.Ajibade@sedgwick.com"/>
        <s v="Jaylan Shelton / (770) 379-6499 "/>
        <s v="Taylor Erdeman / 800-358-0600 ext 4018814 / 866-728-7098 FA Joseph / 347-668-6027"/>
        <s v="Michael Zimmerla / michael.zimmerla@farmersinsurance.com / 913-956-8817"/>
        <s v="Vivino Millan /  813-333-9484 / vmillan@heritagepci.com"/>
        <s v="Tabitha Worthey / 251-607-4442 / tworthey@frontlineinsurance.com"/>
        <s v="Melaku Abebe / 800-652-1262 ext 4018847 / melaku.abebe@assurant.com"/>
        <s v="Kenneth Wilkins / 800-358-0600 ext 4030172 / 866-728-7098 / kenneth.wilkins@assurant.com"/>
        <s v="Avan Kuo / 904-803-2878"/>
        <s v="Jorge Torres / 352.333.1215 / 800-342-3407  x1215 / jtorres@thig.com"/>
        <s v="Suzanne Buchanan / 904-539-5879 / sbuchanan@agfgroup.org"/>
        <s v="Richard Ricketts / 800-487-1263 ext 273 / richard.ricketts@blairandco.net"/>
        <s v="Eliza Neidlinger / (207) 837-4939"/>
        <s v="Michael Hollowell / 561-646-4053 ./ 888-408-9472 / michael.hollowell@fpclaimservices.com"/>
        <s v="Melinda Gudmundsson / 386-244-9551 / melinda.gudmundsson@securityfirstflorida.com"/>
        <s v="Sasha Bramwell / 866-204-2219 / claims@kin.com "/>
        <s v="Tim Kiernan / tkiernan@heritagepci.com / 727-362-7200 ext. 7184"/>
        <s v="Melissa Spaulding / 866.411.2742 ext. 21286"/>
        <s v="NO DA assigned"/>
        <s v=" Mario Madrigal  / mmadrigal@telaclaims.com /  727.353.8352 EXT: 321 "/>
        <s v="Peter Luciano / 727-403-3425/ peter.luciano@farmersinsurance.com"/>
        <s v="Ronnie Braddy / claims@hcpci.com"/>
        <s v="Francois Jean-Baptiste / (440) 566-8586 / francois_jean-baptiste@progressive.com"/>
        <s v="Michael Razey / 772-812-9434"/>
        <s v="Andy Andreu / 904-669-1450"/>
        <s v="Melissa Hernandez / 813) 937-5189 / mhernandez@slideinsurance.com"/>
        <s v="Jacob Newell / (813)-725-4716 EXT:7361 / jnewell@heritagepci.com"/>
        <s v="Mike Carson / 800-652-1262 ext 4018808 / spv Vince Wardman ext 4010130"/>
        <s v="Randall McGuire / rmcguire@pti.insure / (561) 291-6819 Ext. 3241"/>
        <s v="Natalien Brown / 866-204-2219 Ext. 0669 / 689-319-9772"/>
        <s v="Donald Norred / 904-503-5806 /  dnorred@agfgroup.org / arhule2@agfgroup.org"/>
        <s v="Jennifer Dow / 813-851-4108 / jdow@ottersolv.com"/>
        <s v="Gil Gushin / (813) 308-4725 / Gil.Gushin@ryzeclaims.com"/>
        <s v="Billy Rice / 561-295-7696 ext. 3765 / brice@pti.insure"/>
        <s v="Geralyn Johnson / 727-617-2899 / Gjohnson@slideincurance.com"/>
        <s v="Emily Bowers / (904) 539-5879 / ebowers@agfgroup.org"/>
        <s v="Gary Cooper / 866.411.2742 ext. 60982"/>
        <s v="Alexandra Sorbo / (866) 482-5246, ext. 101 / asorbo@harborclaims.com"/>
        <s v="Marbelis Irizarri / 888-621-9910 ext 221191"/>
        <s v="Murphey Jones / 205-810-1191 / mjones@thig.com"/>
        <s v="Mike Carson / 800-358-0600 ext 4018808"/>
        <s v="Kelly Russell / KRussell@pti.insure / (561) 609-1000 ext. 4001"/>
        <s v="Lisa McAdams-Melton / 866.411.2742 ext. 21133"/>
        <s v="Kimberly Spencer - 440-620-4116 "/>
        <s v="Matthew Seoane / 401-495-6059 / GWClaimsReplies@heritagepci.com"/>
        <s v="Alexis Torres / 561-349-7963, ext. 3297 / atorres@pti.insure"/>
        <s v="Sarandon Finkley / 866.411.2742 ext. 21348 "/>
        <s v="Brett Rhodes / 954-579-6691"/>
        <s v="Kelly Rankins / 602-753-5766 / krankins@slideinsurance.com"/>
        <s v="Trisha Hutchinson / 800-470-0599/ 800-425-9113 ext 6575 noioffer@universalproperty.com "/>
        <s v="Desilee Bain / 866.411.2742 ext. 21597"/>
        <s v="Tory Warren / 689-312-9493 "/>
        <s v="Melinda London / 888-621-9910 ext 21222"/>
        <s v="Alonzo Smith / 813-291-7436 "/>
        <s v="Emil Mendez / 813-488-0283 / emendez@safepointins.com"/>
        <s v="Frantz Goenssaist / 813-355-5358 "/>
        <s v="William Paul / 850-329-0156 / wpaul@thig.com"/>
        <s v="Ronya Nalley / 866.411.2742 ext. 21551 / "/>
        <s v="Lauren Ramirez / 855-925-8722 ext 3098  "/>
        <s v=" Rafael Endes / 954-958-1200 ext 6819 / re0811@universalproperty.com "/>
        <s v="Jodi Spilotras / 813-937-5191 / jspilotras@slideinsurance.com // Manager Torr Gillyard / tgillyard@slideinsurance.com"/>
        <s v="Ann Nieman /  260-214-8856 / 866.411.2742 ext. 21041"/>
        <s v=" Gail Sibble / 440-620-5857"/>
        <s v="Jami Upton / 850-852-1498"/>
        <s v="Tamara Britford / 480-365-2593 / tamara.britford@nationwide.com"/>
        <s v="Raelene Bencivenga / 689-407-8906"/>
        <s v="Sonja Rogers / 540-617-0220 / FA Billy Pkering / 877-372-5795 - srodgers@slideinsurance.com"/>
        <s v="Alejandro Casey / 866.411.2742 ext. 21462 / 786-260-8580"/>
        <s v="Ellen Bostron / 888-621-9910 ext 21137 / Ellen.Bostrom@citizensfla.com"/>
        <s v="Kenneth Adams / (254) 813-6253"/>
        <s v="Adina Decker / 866.411.2742 ext. 21272"/>
        <s v="Amber Goldman / 866.411.2742 ext. 53321 NEW: Donald Dunaway , 8886219910 ext 70691 "/>
        <s v="Michael Werneth / 727-354-6912  / mwerneth@slideinsurance.com"/>
        <s v="Marie Mitchell / 888-621-9910 ext 70841"/>
        <s v="JANET CALLAHAN / 817.690.3714 / jcallahan@proctorlp.com"/>
        <s v="FA Seth Meebleman / 954-958-1200 ext 7128 / sn0310@universalproperty.com"/>
        <s v="        Jaterica Davis-Williams / (561) 767- 8430 / jawilliams@slideinsurance.com"/>
        <s v="Amy Alvear / 888.461.6908  Ext.0564"/>
        <s v="Daniel Vasconcelos / 800-358-0600 ext 4030152/daniel.vasconcelos@assurant.com"/>
        <s v="Prince Nimoh / 866-411-2742 ext 4414"/>
        <s v="Coral McMinn / 689-210-6707"/>
        <s v="Marilyn Scelfo / (866) 549-9672  "/>
        <s v="Grant Gelina / 866.411.2742 ext. 21069"/>
        <s v="Jay Crawley / 800-652-1262 Ext. 4030861 / spv lori.gross@assurant.com ext 401011"/>
        <s v="Amber Goldman / 866.411.2742 ext. 53321"/>
        <s v="Shelby Dierlam / 866-411-2742 ext 4490"/>
        <s v="Tony Lopez / 727-353-8352 Ext. 307 / tlopez@telaclaims.com "/>
        <s v="Patrick Chichester / (954) 526‑4645 / ptc3369@universalproperty.com"/>
        <s v="Tyler Burke / 813-499-9348 / tburke@heritagepci.com"/>
        <s v="Todd Cantrell / (727) 218-1795 / tcantrell@fks-insurance.com"/>
        <s v="Cris Berry / 727-742-2271 "/>
        <s v="John Schabert / 813-725-4403 / jschabert@heritagepci.com"/>
        <s v="Penny McDaniel / 800-487-1263 ext 212/ Penny.McDaniel@blairandco.net"/>
        <s v="Christopher Anders / 954-958-1205 ext 6132    ca0507@universalproperty.com"/>
        <s v="Tanya Rogers / 866.411.2742 ext. 21126"/>
        <s v="LeDalia Rhoden / 888.929.4222 / flstormclaims@acg.aaa.com / lrhoden@acg.aaa.com"/>
        <s v="DA :ALISON RIVERA / 3212496094/ arivera@openinsurance.com - FA: coy burruel 5202373863/ coyburruel@yahoo.com"/>
        <s v="Jeremiah Franklin / jeremiah.franklin.vaem6l@statefarm.com / 866-787-8676 ext. 19643"/>
        <s v="Joseph J Jacobs / 614-435-3623 / JACOBJ13@nationwide.com"/>
        <s v="Olu Olakunle / 866.411.2742 ext. 5166"/>
        <s v="Gregory Boruch / ext 7030 / 954-804-2692 / gb0426@universalproperty.com"/>
        <s v="Natalie Banner - 813-355-5370 / nbanner@hcpci.com"/>
        <s v="Jerry Arnold / 866.411.2742 ext. 70253"/>
        <s v="Sherrice Baines / 866.411.2742 ext. 70137"/>
        <s v="Jessee B Meade / 866-411-2742 x4235 / Jessee.Meade@citizensfla.com"/>
        <s v="Jennifer Hutto / 866-411-2742 ext 4592 / spv Eddy Lofton / 866-411-2742 ext 5714"/>
        <s v="Daylan Brice / 813-793-8673 / dbrice@slideinsurance.com"/>
        <s v="Patrick Abrahamsen / 800-242-6422, ext. 21711 / PABRAHAMSEN@amica.com"/>
        <s v="Daniel Farman / 904-227-9261 / 3j75bk3x82b9w@claims.usaa.com"/>
        <s v="Dion Jones / 813-937-5049 / djones@slideinsurance.com"/>
        <s v="Brian Connor / bc0718@univeralproperty.com / 800-425-9113 ext 6273"/>
        <s v="Leonel DeLeon / 210-531-8722 ext. 41149 / 3j75bk3x825vz@claims.usaa.com"/>
        <s v="Zachari Romeo / 954-958-1200 ext 7155 / zr1103@universalproperty.com / 772-562-9664"/>
        <s v="Latrice Hawthorne /  689-260-6604 / "/>
        <s v="Elsie Lusk / 866.411.2742 ext. 60101"/>
        <s v="Stacey Penrod / spenrod@slideinsurance.com / 727-339-1247"/>
        <s v="Ignacio Hidalgo / ignacio.hidalgo@southernoak.com / 727-638-6571"/>
        <s v="Marbelis Iirizarry / 888-621-9910  x 21191 "/>
        <s v="Andrew J. Hill / 440-910-0218 / Andrew_J_Hill@progressive.com"/>
        <s v="        Robert Gorman / (954) 666‑0221 / rg1003@universalproperty.com"/>
        <s v="Carline Estime / 813-761-1102 / Carline.estime@RYZEclaims.com "/>
        <s v="Alonzo Smith / 813-291-7436 / asmith@gristonclaim.com"/>
        <s v="Raven Rodrigues / 813-345-2868 "/>
        <s v="Noemi Texidor / nTexidor@flhi.com / 321.249.1370 /  407.444.5224"/>
        <s v="not assigned yet"/>
        <s v="Anuoluwa Olutayo / 689-257-3139 / AOlutayo@ottersolv.com  / john.raynor@ameradjust.com "/>
        <s v="Chad Altman / chad.altman@vyrd.co / 813-896-0415"/>
        <s v="Derek Lee / 954-958-1200 ext 7137 / dl0728@universalproperty.com"/>
        <s v="Jill Urbanske / 813-355-5322 / jUrbanske@gristonclaim.com"/>
        <s v="Christian Cunningham / 813-402-8344 / ccunningham@slideinsurance.com "/>
        <s v="Maggie Daniels / 877 235- 5076/ mdaniels@hcpci.com"/>
        <s v="Scottie Lackland / 689-268-1877"/>
        <s v="John Ruber / 866-641-7922 / 412-720-5600 / John_ruber@us.crawco.com"/>
        <s v="Paul Benoit / 904-557-1245"/>
        <s v="Jerrico Stubblefield / 888-621-9910 x 60180"/>
        <s v="Yanet Bazan / 866.411.2742 ext. 21407"/>
        <s v="Dan Auld / (727) 275-9435 / dauld@fks-insurance.com"/>
        <s v="Margie Heimbach / 941-870-0204 x279 / mheimbach@lilypadins.com"/>
        <s v="Kevin Charaff / kc0825@universalproperty.com / ext 7145 / DA: Derick Garcia / 954-9581200 ext 6544 / dg0627@universalproperty.com"/>
        <s v="Robert Savary II / 866.411.2742 ext. 53118"/>
        <s v="Mike Carson /  800-358-0600  x 4018808"/>
        <s v="Rashida Hawthorne / (866)270-8430 / rhawthorne@westpointuw.com"/>
        <s v="Lauren Beaty / lbeaty@hcpci.com / 813.355.5386"/>
        <s v="Lisa Crutcher 260-231-2494 / 800-968-4456 / ppa.support@alacritysolutions.com"/>
        <s v="Jason Boney / 833-530-2423 ext 11420"/>
        <s v="NyAundria Martin / 866-425-9200 x15647"/>
        <s v="Charles Ellis / 321-293-1029 ext. 1389 / cellis@frontlineinsurance.com"/>
        <s v="Josh Keatley / 800.342.3407 ex.1570"/>
        <s v="Tammy Rabb / (386)261-9816 / tammy.rabb@securityfirstflorida.com"/>
        <s v="Nicole Woodall-Hamilton / nwoodallhamilton@westpointuw.com / 866-270-8430  EXT. 0110"/>
        <s v="John Herndon / John.Herndon@citizensfla.com"/>
        <s v="Angela Green / 744-5224 ext. 7713 / agreen@frontlineinsurance.com"/>
        <s v="Clay Myers / (386) 868-1622 / Clay.Myers@securityfirstflorida.com"/>
        <s v="Nisrine Smith /  689.257.3181 / NSmith@ottersolv.com"/>
        <s v="Charles E Brown JR / 866-411-2742 ext 4162"/>
        <s v="Natisha Dycus / 941-263-3525"/>
        <s v="Kayla A Hilton, 866-411-2742 x5633 "/>
        <s v="Jaime Swain / 866-411-2742 Ext. 5622 / Jaime.Swain@citizensfla.com"/>
        <s v="Timothy Calhoun / 470-786-3130 / 3j7chh59b8cvz@claims.usaa.com "/>
        <s v="Tyler Keith / 888-475-0222  Ext. 5399 / tkeith@gristonclaim.com"/>
        <s v="Alison Rorick / 386-492-0063 / alison.rorick@securityfirstflorida.com"/>
        <s v="Seth Decker / 888-621-9910 ext 21246"/>
        <s v="Cris Berry / 727-742-2271 / chris.berry@southernoak.com"/>
        <s v="Josh Saxon /  (866) 549-9672 "/>
        <s v="Christopher Van Doren - 888-621-9910 ext 60062"/>
        <s v="Evan Garrett / 689-265-5721"/>
        <s v="Henly Sori / 866.411.2742 ext. 21350"/>
        <s v="Juan Perez / 866.411.2742 ext. 21502"/>
        <s v="Daniel Fulton / Daniel.Fulton@citizensfla.com /  888-621-9910  x21562 / Ketric Patton "/>
        <s v="Melaku Abebe / 800-652-1262 ext 401847/ melaku.abebe@assurant.com"/>
        <s v="John Gulledge / 813-512-6653 / jgulledge@aii.com "/>
        <s v="Tana Hester / 866.411.2742 ext. 60083"/>
        <s v="Kendal Low /  689.265.4945 / 866.204.2219"/>
        <s v="Roxana Colongo / 866.411.2742 ext. 21058"/>
        <s v="Melaku Abebe / 800-652-1262 ext 401847"/>
        <s v="Sarandon Finkley / 888.621.9910 ext. 21348"/>
        <s v="Jill Urbanske  / 813-355-5322 / jUrbanske@gristonclaim.com"/>
        <s v="Susan Mays / 813-355-5340"/>
        <s v="Tri Le / 515-724-7537 / tle@slideinsurance.com"/>
        <s v="Jennifer Solazzo / 800-652-1262 "/>
        <s v="John Harris / evjharris@evolvclaims.com"/>
        <s v="        Andrew J. Marsman / (866) 482-5246, ext. 130 "/>
        <s v="Jay Crawley / (800) 652-1262 ext 4030861"/>
        <s v="Latoya LaPointe / 813-355-5394 / llapointe@gristonclaim.com"/>
        <s v="Josh Haller / 813-656-1937 / jhaller@slideinsurance.com"/>
        <s v="Collin Peay / 888-621-9910 ext 21380"/>
        <s v="Yolanda Mitchem / 866.411.2742 ext. 21230"/>
        <s v="Edward Sloan / 866-411-2742 ext 5908 / Edward.Sloan@citizensfla.com"/>
        <s v="Sasha Bramweoll / 689-888-6911 "/>
        <s v="Shiree Woods / 800-358-0600 Ext. 4030595 "/>
        <s v="William Marulanda / 440-620-5586"/>
        <s v=" Al Sturkiy 9043025155. Ext 2222"/>
        <s v="Jennifer Capehart / 813-582-3657 / jcapehart@heritagepci.com"/>
        <s v="Robert Gorman / 954-958-1200 ext 6646 /  954-666-0221 / rg1003@universalproperty.com / SPV Barbie Gonzales / 954-958-1200 ext 7266 / bg0309@universalproperty.com"/>
        <s v="Kenneth Walker / 866-411-2742 ext 5999 / 251-317-3754"/>
        <s v="Ashlin Scott / 888.461.6908 x 0312 "/>
        <s v="Jasmine Preyere / jpreyere@slideinsurance.com / 813-369-5963"/>
        <s v="Victoria White / 800-211-4533 ext 85819 / Victoria.White@ngic.com"/>
        <s v="RALEIGH VAN HORN / 321.558.7872 / 877.744.5224 Ext: 7872 / rvanhorn@frontlineinsurance.com FA: Tom Malano, 732-598-5992"/>
        <s v="Nicole Henk / 866.411.2742 ext. 60018"/>
        <s v="Greg Mcguire / 513-412-9466 / gsmcguire@gaig.com"/>
        <s v="Darrell James / 309-766-2693"/>
        <s v="Katie Mundwiler / 844-458-4300"/>
        <s v="Diane Piercy / 877-744-5224 ext 8168"/>
        <s v="Mary Clementi / 866.411.2742 ext. 21560"/>
        <s v="John Herndon / 866.411.2742 ext. 70381"/>
        <s v="Basil Riley / 813-355-5387"/>
        <s v="Felicia Ross / 800-652-1262 Ext. 4018850"/>
        <s v="Daisy Princesa / 813-355-5312 / dprincesa@gristonclaim.com"/>
        <s v="Annette Horn / (248) 605‑2074 / ahorn@raphaelandassociates.com"/>
        <s v="Jan Yeackley / 866.411.2742 x21073"/>
        <s v="Maggie Daniels / 813 -849-9555 / MDaniels@gristonclaim.com"/>
        <s v="Alisson Aparicio Lopez / 866.411.2742 ext. 53333"/>
        <s v="Jessica Myles / 561 609-1000 Ext. 2973 / jmyles@pti.insure"/>
        <s v="Alexis Bowman / 727-617-2861 / abowman@slideinsurance.com"/>
        <s v="Brianna Campbell /800.342.3407 ext 1717 / b1campbell@thig.com"/>
        <s v="Alena Gresham / (561)292-5241 Ext. 3773 / agresham@pti.insure"/>
        <s v="Al Nuñez / 309-994-2285 / al.nunez.cqel@statefarm.com"/>
        <s v="Jacob Bashor / jacob.bashor@vyrd.co / (813) 896-0259 - 266-411-2742 ext 21073"/>
        <s v="Christopher Polk / 866-411-2742 ext 60037"/>
        <s v=" Joel Rachel /  800.293.2532 ext 6196 / jrachel@hpmanaging.com"/>
        <s v="Chuck Place / 727.624.2323 / lloyd.place@vyrd.co"/>
        <s v="Rick Pericles / 561-954-3757 / claims@floridapeninsula.com"/>
        <s v="Timothy Boykin / (866) 549-9672  "/>
        <s v="Marisol Alvarez / (866) 549-9672  "/>
        <s v="Lisa Perron / lperron@slideinsurance.com / 813-687-8453"/>
        <s v="Bianca Bradley / (727) 614-0542 / bbradley@slideinsurance.com"/>
        <s v="Teisha Peelar / 813-345-2871 / tpeelar@slideinsurance.com"/>
        <s v="Miles Coleman / mc1001@universalproperty.com / (800) 425-9113 ext 6951"/>
        <s v="Jorge Torres / "/>
        <s v="Miracle Miggs / 727-614-0357 / mmiggs@slideinsurance.com "/>
        <s v="Anthony Satira / 904-414-4638 / asatira@cypressig.com"/>
      </sharedItems>
    </cacheField>
    <cacheField name="NOTES" numFmtId="49">
      <sharedItems containsBlank="1">
        <s v="DUPLICATE CLAIM"/>
        <s v="02/05 DA sent client's agent information: Triton Insurance Group Inc / 954-486-0299 (CM)"/>
        <s v="01/22 sent SPOL to pa, asked for instruction since the client died weeks ago (CM)"/>
        <s v="03/07 Peter says that we are not longer representing the client (CM)"/>
        <s v="02/21 DA says she is going to close the claim as per Ivan requested to Day (CM)"/>
        <s v="03/11 mediation done (CM)"/>
        <s v="04/15 No stress is representing this claim, on stand by until Ivan;s confirmation (CM)"/>
        <s v="04/25 Sent to closed claims as per Ivan request (CM)"/>
        <s v="04/10 sent withdrawal letter to carrier and client, Peter informs this claim was settled by another PA firm (CM)"/>
        <s v="04/01 we will wait for a video (CM)"/>
        <s v="08/21 Peter says this claim is with attorneys (CM)"/>
        <s v="06/12 Ivan says to stand by on this one (CM)"/>
        <s v="06/12 stand by (CM)"/>
        <s v="06/05 Joshua will correct the DOL (CM)"/>
        <s v="07/08 sent to closed claims, Ivan informed we can not represent the client (CM)"/>
        <s v="07/16 Peter sent to closed claims (CM)"/>
        <s v="07/16 Ivan sent to closed claims (CM)"/>
        <s v="07/17 Joshua says the client signed the settlement with Elevate PAs, confirm with the PAs if this claim is closed (CM)"/>
        <s v="08/21 Peter said to send to closed claims (CM)"/>
        <s v="08/21 as per letter received by DA, this claim is closed, Peter asked to send to close claims (CM) "/>
        <s v="08/21 Joshua said that the client informed that she is still waiting for approval for her new loan. Once that's done Joshua will send the correct information. (CM) /10/07 Peter asked to send to closed claims (CM)"/>
        <s v="10/07 customer service informed that they have a notarized settlement release received on 08/31/23 (CM) / 10/07 Peter asked to send to closed claims (CM)"/>
        <s v="10/30 passed the deadline (CM)"/>
        <s v="10/31 sent the withdrawal letter to carrier and client (CM)"/>
        <s v="11/15 tell jakey to contact the client"/>
        <s v="11/21 sent the withdrawal letter (CM)"/>
        <s v="12/10 sent the withdrawal letter as per Peter request (CM)"/>
        <s v="11/22 DA is following up on the withdrawal letter (CM)"/>
        <s v="01/23 asked Peter to confirm the status of the claim (CM)"/>
        <s v="02/21 Ivan says to put this claim on stand by (CM)"/>
        <s v="12/23 Peter ask to send to clisd claims (CM)"/>
        <s v="11/15 Received an info regarding this claim, sent to PAs, didn't understand (CM)"/>
        <s v="01/14 Peter asking me to put this claim under the closed claims (CM)"/>
        <s v="01/28 Joshua said that the client doesn't want more money (CM)"/>
        <s v="03/05 Juan asked me to send the withdrawal letter, as the client doesn't want to proceed with the claim, the client have heart issues and Juan doesn't want anyone to call him, sent to the client and uploaded to frontline's portal (CM)"/>
        <s v="01/31 Follow up on how to proceed with the mortage issue and his own PA office. (DE)"/>
        <s v="02/06  This policy is a Lender’s Force-Placed Mortgage Hazard Insurance policy. asked Pa how to proceed (CM)"/>
        <s v="01/17 asked Juan to correct the policy# to file the claim (it has the same as Melvin Thomas) PP"/>
        <s v="02/22 received the prior estimate, this is a mortage force-placed insurance, DA says this claim is closed, sent docs to PAs, asked how to proceed (CM)"/>
        <s v="04/02 received a payment from the insurance to the mortgage company, asked PAs how to proceed (CM)"/>
        <s v="04/01 stand by there is a problem cause is a lender backed insurance (CM)"/>
        <s v="12/20 Peter informs that the client doesn't want to go to litigation (CM)"/>
        <s v="03/05 Sarah informs settled (CM)"/>
        <s v="02/05 Peter asked me to move to closed claims (CM)"/>
        <s v="03/28 Peter informs that there are pending payments (CM)"/>
        <s v="04/20 Peter asked me to send to close claims as per MSPG info (CM)"/>
        <s v="06/04 sent settlement release to carrier (CM)"/>
        <s v="04/16 Case settled and AOS approved; awaiting revised release to address missing MSPG on one check and AOB language (CM)"/>
        <s v="05/20 sent settlement release to carrier, asked Perry to upload on claims path (CM)"/>
        <s v="02/08 sent to carrier settlement release notarized (CM)"/>
        <s v="07/30 received a letter, about a payment for 35k on tis claim, asked I&amp;P (CM)"/>
        <s v="04/25 Peter send the notarized release, carrier says is going to send the payment  (CM)"/>
        <s v="05/08 Ivancho followed up with MSPG on the status of the settlement check (CM)"/>
        <s v="03/31 Sarah informs settled (CM)"/>
        <s v="11/19 Sarah informs setted (CM)"/>
        <s v="11/05 As per Peter instructions asked Ivan to contact the client to collect the umpire fees (CM)"/>
        <s v="03/11 left a VM and emailed to DA asking for the check of this claim (CM)"/>
        <s v="04/16 Iván asked me to send to closed claims (CM)"/>
        <s v="04/09 Sarah sent to the client a settlement check (CM)"/>
        <s v="04/25 Lavonia said that a paument has been issued, as this claim is settled(CM)"/>
        <s v="06/26 carrier has informed they sent the check for 14 (CM)"/>
        <s v="03/11 called DA and asked for the check of this claim, told me they will send it tomorrow or the day after (CM)"/>
        <s v="09/12 received info that they sent by mistake a check for $150, they are asking us to send it back to them that money, sent to Sarah, Ivan and Peter (CM)"/>
        <s v="Uriarte Law Group, informed that the case has been dismissed, and the file for this claim has been closed, informed Iván, sent it to closed claims"/>
        <s v="10/18 Wilber is asking Ivan about this claim, informed Ivan to call him via WS (CM)"/>
        <s v="11/12 Ivancho informs this has been settled in September (CM)"/>
        <s v="05/07 Sarah informs settled (CM)"/>
        <s v="09/17 received the payment letter for this claim sent to PAs (CM)"/>
        <s v="02/26 Sarah informs we were paid on this (CM)"/>
        <s v="03/14 sent the signed and notarized release form. (CM)"/>
        <s v="05/08 called to customer service, the DA preciously assigned is not longer with Citizens, a spv will call me back, they have the information that the check was reissued yesterday (CM)"/>
        <s v="08/21 Ivan says he has settled (CM)"/>
        <s v="03/17 a deposition is being schduled for 07/22/25, cc'd Day to schedule it for Iván (CM)"/>
        <s v="10/29 DA infoms that they are waiting from the insurance company the response for the check (CM)"/>
        <s v="03/20 sent settlement release to DA (CM)"/>
        <s v="01/15 Sarah informs settled (CM)"/>
        <s v="11/19 Sarah informs settled (CM)"/>
        <s v="05/02 Sarah informs settled (CM)"/>
        <s v="08/02 Sarah sent the executed release to the carrier (CM)"/>
        <s v="04/23 sent notarized settlement release to carrier (CM)"/>
        <s v="05/06 Sarah informs the check is through iink procces (CM)"/>
        <s v="02/05 Day sent the email to the clients, Peter and Iván are deciding on the next step (CM)"/>
        <s v="04/15 MSPG informs Case has been settled on 3/13/26. Settlement letter sent and AOS has been approved. Pending Release (CM)"/>
        <s v="01/12 Joshua will call the client to inform about the recoverable depreciation (CM)"/>
        <s v="asked Joshua to confirm if he has call the client and if we should keep pushing on this one"/>
        <s v="02/04 asked Juan to contact the client for the recoverable depreciation (CM)"/>
        <s v="01/08 Ivancho informs that MSPG is working on the claim (CM)"/>
        <s v="01/15 claim inform settled (CM)"/>
        <s v="05/09 Peter says this claim is settled(CM)"/>
        <s v="05/30 Sent to carrier the notarized release (CM)"/>
        <s v="04/23 sent notarized settlement release to carrier, Lavonia says payments has been issued (CM)"/>
        <s v="03/11 Sarah sent the notarized settlement release to the carrier (CM)"/>
        <s v="03/12 call DA ask and inform that the client wants to close it (CM)"/>
        <s v="05/06 received the zoom link for the deposition scheduled for 07/15 through mail, send it to Day (CM)"/>
        <s v="11/14 all recovered (CM)"/>
        <s v="05/13 Sarah informed that she received the check at the office (CM)"/>
        <s v="06/17 followed up on the settlement release sent to the carrier before, and send it again in aother email (CM)"/>
        <s v="05/06 received the zoom link for the deposition scheduled for 07/02 through mail, send it to Day (CM)"/>
        <s v="04/16 Sarah informs settled (CM)"/>
        <s v="04/24 Case is moving forward with the litigation process (CM)"/>
        <s v="01/08 the client didn't sign the retainer (CM)"/>
        <s v="03/05 Jakey explained to me that the mortgage has changed to HUD and it has been paid off, asked for the insurance company guidance on the next steps, informed Jakey the contact info for the HUD so the client can get the satisfaction of mortgage or releas"/>
        <s v="11/04 Ivancho informed that this claim is paid, informed Sarah to collect our fees (CM)"/>
        <s v="04/29 DA says he has requested for the check to be voided, he will reissue check once is voided (CM)"/>
        <s v="04/08 Peter will call to the last number we have (CM)"/>
        <s v="05/03 Sarah sent settlement release notarized (CM)"/>
        <s v="02/05 Sarah will send the retainer via mail (CM)"/>
        <s v="05/06 Sarah informs we are waiting ink and mortgage to release the funds (CM)"/>
        <s v="11/06 Sarah informs we were paid on this (CM)"/>
        <s v="04/16 MSPG informs Case has been settled in mediation. AOS approved; pending release (CM)"/>
        <s v="04/16 Joshua did the inspection, asked me to remind him in 2 week to follow up on this claim (CM)"/>
        <s v="11/15 Peter has got to an agreement on this claim (CM)"/>
        <s v="09/20 Iván is following with DA for the JD's payment, uploaded the JD invoices in claimspath (CM)"/>
        <s v="05/24 Sent the notarized release to the carrier (CM)"/>
        <s v="01/12 Ivan will call the client to inform about the recoverable depreciation (CM)"/>
        <s v="06/14 sent the notarized settlement release to the carrier (CM)"/>
        <s v="02/19 sent the withdrawal letter (CM)"/>
        <s v="01/08 Ivancho followed up with Juan on the retainer (CM)"/>
        <s v="06/27 uploaded to CW the appraiser award (CM)"/>
        <s v="05/08 Sarah sent an email to the client, following up on our fees (CM)"/>
        <s v="05/22 sent settlement release to DA (CM)"/>
        <s v="04/24 claim settled at Mediation, pending AOS and release approval(CM)"/>
        <s v="teleconference scheduled for 05/29, client and MSPG (CM)"/>
        <s v="06/13 Called MSPG and they informed the checks have been rcvd and they are being processed. The check will be rcvd in 15-20 days approximately. (DE) IP Adjusting Group LLC &#10;"/>
        <s v="01/28 Sarah informs claim settled (CM)"/>
        <s v="03/04 Sarah informs settled (CM)"/>
        <s v="08/21 followed up on the release, DA responded they have sent the check (CM)"/>
        <s v="10/02 Sarah informs fees recovered from the awad (CM)"/>
        <s v="04/24 Plaintiff provided the initial discovery responses to defendant (Cm)"/>
        <s v="11/05 DA is inquiring about the recoverable depreciation, Peter says that there is no recoverable as this was settled by a settlement release (CM)"/>
        <s v="09/19 Sarah sent the settlement release notarized to the carrier (CM)"/>
        <s v="01/15 we were paid, fees paid, missing the depreciation (CM)"/>
        <s v="10/22 Sarah informs we were paid on this claim (CM)"/>
        <s v="04/24 Case is moving forward in the litigation process (CM)"/>
        <s v="10/23 payment was issued to MSPG informed Sarah to collect our fees (CM)"/>
        <s v="08/27 Sarah informs settled (CM)"/>
        <s v="10/01 Client followed up on the document requested to Sarah, informed her via ws (CM)"/>
        <s v="01/23 Sarah informs that we were paid on this claim (CM)"/>
        <s v="01/08 Ivancho asked the status of the reatiner to Iván (CM)"/>
        <s v="01/08 Iván said to Ivancho that this was a bad claim, need to ask Peter and Iván if we need to close this one (CM)"/>
        <s v="02/11 Rcvd a denial letter from the attorney's office. Pete and Josh cc'd and informed via ws (DE)"/>
        <s v="11/15 Peter says claim settled (CM)"/>
        <s v="01/08 ivancho sent the pandadoc (CM)"/>
        <s v="4/24 Case is moving forward with the litigation process(CM)"/>
        <s v="deposition was on 05/04 (CM)"/>
        <s v="04/24 Pending executed release from the client informed MSPG (CM)"/>
        <s v="05/08 asked to MSPG the reason we received 10% for this claim, if the contract says 20% (CM)"/>
        <s v="01/26 nothing else to recover from the award, pending recoverable depreciation (CM)"/>
        <s v="10/29 Sarah informs we were paid on this claim (CM)"/>
        <s v="08/21 Sarah informs we were paid on this (CM)"/>
        <s v="06/23 IC informs checks are going to be sent to MSPG "/>
        <s v="09/08 followed up on the appeal response letter (CM)"/>
        <s v="10/13 asked the reissuance of the settlement check, Sarah is cc'd, asked her to put the task so she can follow up on the status of the check (CM)"/>
        <s v="05/11 asked Sarah for the status of this payment (CM)"/>
        <s v="05/06 Sarah informs we were partially paid on this (CM)"/>
        <s v="01/08 Ivancho followed up with Joshua on the retainer (CM)"/>
        <s v="04/21 MSPG informs that the claim was settled in mediation back in 04/06, asked for the setltement release (CM)"/>
        <s v="11/20 sent Sarah the settlement release for this claim and informed about the breakdown on it (CM)"/>
        <s v="02/09 Peter asked me to send to stand by claims (CM)"/>
        <s v="03/12 Iván asked to move to closed claims (CM)"/>
        <s v="12/19 Peter is waiting on the client call (CM)"/>
        <s v="06/06 Sarah informed settled (CM)"/>
        <s v="03/05 Sarah informed settled (CM)"/>
        <s v="04/14 Sarah sent a letter in which is stated that a check for 3.6k is unclaimed, asked her if she wanted me to ask the reissuance of the check (CM)"/>
        <s v="04/01 a deposition will be on 08/24 (CM)"/>
        <s v="06/01 Iván informed: We will not be able to recover the depreciation. set phase as settled (CM)"/>
        <s v="03/06 the DA called and informed that the house was sold, asked Juan and he confirm that, sent the withdrawal letter (CM)"/>
        <s v="10/13 remind Sarah to collect the fees, asked her to set the task to collect the fees (CM)"/>
        <s v="10/23 Sarah informs settled (CM)"/>
        <s v="07/10 Sarah sent the release to the carrier (CM)"/>
        <s v="02/26 DA informed back in 02/10 that there won't be any more payment (CM)"/>
        <s v="08/27 Sarah informs fees pending (CM)"/>
        <s v="08/07 Sarah sent the notarized release to carrier (CM)"/>
        <s v="deposition will be 07/01 (CM)"/>
        <s v="06/19 Sarah informs settled (CM)"/>
        <s v="03/27 Enviromental called an asked to send an email requesting the reissuance of the check for 2.4k (CM)"/>
        <s v="05/06 DA informs that they paid already the tre removal, informed Peter (CM)"/>
        <s v="07/29 DA called and informed he is issuing a payment for $120.81, recoverable depreciation, informed Peter (CM)"/>
        <s v="04/24 Ivancho informs MSPG is working on discovery responses (CM)"/>
        <s v="10/02 Sarah sent the our invoice to the client (CM)"/>
        <s v="01/08 ivancho sent the pandadoc again to the client as it was expired (CM)"/>
        <s v="04/16 Sarah informs settled (CM"/>
        <s v="06/03 Sarah sent the notarize release to the carrier (CM)"/>
        <s v="05/06 Sarah informs Fees Pending. She is waiting for the mortgage to release funds (CM)"/>
        <s v="04/02 Peter asked to move this one to close claims via email, informed about the pending invoices for JD, they are not going to pay JD  (CM)"/>
        <s v="11/19 Sarah informed settled (CM)"/>
        <s v="07/14 MSPG informs they sent the check to the office on 07/11, informed the client and Sarah (CM)"/>
        <s v="02/05 Peter informed that we have estate (we have money on this) (CM)"/>
        <s v="03/26 Sarah informs settled (CM)"/>
        <s v="04/29 Sarah informs settled (CM)"/>
        <s v="08/28 received a payment letter for the award, recovering depreciation is still missing, they paid for the O&amp;L (CM)"/>
        <s v="03/09 Ivancho informs that a IFS resubmitted correctlly by MSPG (CM)"/>
        <s v="01/22 Sarah informs settled via payroll (CM)"/>
        <s v="02/26 asked Iván if he was able to get a contact information for the client's relatives, he cpuldn't (CM)"/>
        <s v="04/02 the client received the settlement check, informed Sarah (CM)"/>
        <s v="03/10 Ivancho informed that MSPG says that the mediation report was received (CM)"/>
        <s v="04/20 received the engineer report and the denial is still standing, sent it to MSPG (CM)"/>
        <s v="07/08 the client informed that she received the check, cc'd Sarah so she can collect our fees (CM)"/>
        <s v="07/23 DA and Peter this claim doesn;t have recoverable depreciation, informed the client (CM)"/>
        <s v="05/06 Sarah has the check, she received yesterday, she will move with the fees (CM)"/>
        <s v="03/20 Sarah informs settled (CM)"/>
        <s v="05/19 on the mediation, we couldn't get more money, peter asked to send to close claims (CM)"/>
        <s v="08/19 DA informs they have issued the settlement check (CM)"/>
        <s v="05/06 Sarah has the check, she will call the client (CM)"/>
        <s v="05/20 sent the notarized settlement release to carrier (CM)"/>
        <s v="05/08 Sarah sent an email to client, collecting our fees (CM)"/>
        <s v="04/24 DA sent the payment (CM)"/>
        <s v="04/28 Client received the check (CM)"/>
        <s v="05/05 asked Sarah to contact the client as he was asking some info about link, so he can send the signed settlement release, the DA is following up on it (CM)"/>
        <s v="04/29 Peter asked to send to close claims (CM)"/>
        <s v="04/01 Sarah sent the notarized release to the carrier (CM)"/>
        <s v="04/16 MSPG informs Coordinating a meet and confer (awaiting for defenant confirmation) (CM)"/>
        <s v="04/30 DA informs that the invoice that she previously sent should be covered by the client only as this is the half owed to the umpire (CM)"/>
        <s v="10/13 Followed up with MSPG on the status of the check. Asked Sarah to put the task so she can follow up on the status of the check with MSPG(CM)"/>
        <s v="04/20 Peter informed that he will have to speak with MSPG about this, but it will take some time as the client has another claim (CM)"/>
        <s v="05/08 DA informed that they have requested the reissuance of the check, waiting the managment to review it (CM)"/>
        <s v="05/05 DA sent the release, Ivancho sent it to MSPG (CM)"/>
        <s v="09/29 Sarah sent the ACH form (CM)"/>
        <s v="08/05 the mediation resulted in impasse, the client was paid on a previous claim for the kitchen, ivan asked me to send to close claims (CM)"/>
        <s v="Iván is going to speak with the lawyer about this claim on 09/30 (CM)"/>
        <s v="05/05 followed up on the status of this claim with Chris (CM)"/>
        <s v="05/06 Sarah followed up on the status of the payment with Melinda (cM)"/>
        <s v="asked Juan to confirm if he has call the client and if we should keep pushing on this one"/>
        <s v="Sarah informs settled"/>
        <s v="05/01 asked Joshua for the roof invoice (CM)"/>
        <s v="05/13 follow up next week on the status of the payment with Sarah first (CM)"/>
        <s v="08/14 DA informs she has requested the payment of the settlement check (CM)"/>
        <s v="06/26 we will continue with the 2022 claim only (CM)"/>
        <s v="08/12 Sarah informed that they have received the check, not necessary to be reissuded the 20k check (CM)"/>
        <s v="08/02 client is looking for updates regarding the check (CM)"/>
        <s v="07/28 Joshua asked to send to closed claims (CM)"/>
        <s v="07/28 DA informs that the settlement check has been issued for processing (CM)"/>
        <s v="01/15 Sarah informs claim settled (CM)"/>
        <s v="08/18 asked for the payment letter on this claim, to verify if we have pending payments to recover, no additional payment to recover(CM)"/>
        <s v="01/15 we collected our fees (CM)"/>
        <s v="09/30 Sarah informs fees pending (CM)"/>
        <s v="05/12 Ivancho will refile the NOI (CM)"/>
        <s v="04/10 due to policy restrictions, Peter asked to move to closed claims (CM)"/>
        <s v="04/29 Sent the withdrawal letter (CM)"/>
        <s v="04/18 cancel this claim, and closed the claim (CM)"/>
        <s v="04/18 Peter asked me to send this to close claims, and to open for helene (CM)"/>
        <s v="04/07 ivancho informed that the client hasn't signed informed Juan(CM)"/>
        <s v="08/18 Spoke with client, he informed he has received the check, we are not included, asked Sarah to call him (CM)"/>
        <s v="05/08 Sarah sent the notarized release to the carrier (CM)"/>
        <s v="03/12 Sarah informed settled (CM)"/>
        <s v="10/14 Client called, she received the reissue check, informed Sarah (CM)"/>
        <s v="02/18 Sarah informs settled (CM)"/>
        <s v="05/06 Sarah followed up yesterday with Juan, as the check is with the mortgage (CM)"/>
        <s v="A Deposition will be on 03/03 (CM)"/>
        <s v="05/06 Sarah has the collateral, the client is not answering (CM)"/>
        <s v="05/06 Client has to sign the check through ink (CM)"/>
        <s v="08/18 informed Sarah that we were not included on the check, asked her to contact the client to collect our fees (CM)"/>
        <s v="01/15 we were paid, fees paid, missing the O&amp;L (CM)"/>
        <s v="06/26 Peter informs we will continue with the 2024 claim (CM)"/>
        <s v="05/06 followed up on the settlement check, DA sent the check to the client on 04/22, informed Sarah  (CM)"/>
        <s v="10/09 Sarah sent the notarized release to the carrier (CM)"/>
        <s v="This is a duplicate for the 10/14/24"/>
        <s v="07/16 Peter left a vm to the client, asked to send to close claims (CM)"/>
        <s v="06/12 Sarah informs claim settled (CM)"/>
        <s v="06/11 sent to Close claims, Iván tols me if Juan wants to close it, we should (CM)"/>
        <s v="05/06 Joshua will call the client, she told him that she was going to send the check today (CM)"/>
        <s v="05/06 Sarah informs that we were paid, we need to collect for juan (CM)"/>
        <s v="03/26 Sarah informs settled, there is still pending 2k for the umpire (CM)"/>
        <s v="10/07 sent the withdrawal letter, as client and Peter request (CM)"/>
        <s v="04/23 Peter informed me that he is still working on this claim (CM)"/>
        <s v="04/07 ivancho filed NOI with MSPG (CM)"/>
        <s v="04/08 Sarah informs settled, the client informs there is still pending payment (CM)"/>
        <s v="09/29 the settlement check has been issued, informed the DA (CM)"/>
        <s v="05/06 Sarah informed, The client will send the money (CM)"/>
        <s v="03/19 invancho informs MSPG informs DA that they will proceed with litigation (CM)"/>
        <s v="02/25 Sarah informs settled (CM)"/>
        <s v="08/18 DA sent a letter, saying this claim is closed, Iván said we can't do anything, asked Joshua to inform the client (CM)"/>
        <s v="03/19 Ivancho informs MSPG working on initial disclosures from defendant`s (CM)"/>
        <s v="05/01 Leeban is working on the negotiation (CM)"/>
        <s v="05/06 Sarah informs settled (CM)"/>
        <s v="01/22 Sarah informs settled, pending rec. dep (CM)"/>
        <s v="10/28 Informed Joshua that the client didnn't have a mortgage when the loss occured, he will have to call to the mortgage company (CM)"/>
        <s v="04/27 followed up on the status of the reissued check (CM)"/>
        <s v="05/06 the client informed Sarah that she is going to send the collateral check (CM)"/>
        <s v="MSPG"/>
        <s v="04/15 Followed up with Peter on the plumber's call (CM)"/>
        <s v="umpire will be 05/20 (cm)"/>
        <s v="04/20 Ivancho is waiting for a confirmation from Joshua or Peter (CM)"/>
        <s v="05/06 Sarah will call the client to collec our fees for the appraisal (CM)"/>
        <s v="04/21 this claim is not good, as per Joshua info we are not moving forward, sent it to close claims (CM)"/>
        <s v="03/23 asked to DA a copy of the release and to confirm if the prior payment was consider as the settlement release payment, DA sent the breakdown, there is 1k for environmental, sent to Sarah, cc'd Ivancho (CM)"/>
        <s v="05/15 mediation was an impasse, client signed the retainer, sent it to Ivancho (CM)"/>
        <s v="04/30 received the engineer report and the determination, not coverage, informed Iván asked him the estimate (CM)"/>
        <s v="03/31 sent the withdrawal letter as per Iván request (CM)"/>
        <s v="04/16 Sarah informs Fees pending. In the iink process, almost settled (CM)"/>
        <s v="05/12 received the determination and engineer report, sent to JP, asked him to coordinate with the PA, sent it to Iván as well (CM)"/>
        <s v="05/01 Joshua and Peter asked me to close the claim (CM)"/>
        <s v="04/22 left a vm and emailed to the DA asking to move forward on this claim (CM)"/>
        <s v="05/06 DA offered 24k in new money to settled, Iván will call tomorrow to the client (CM)"/>
        <s v="04/08 received the determination letter, they are issuing a payment for 10k and if they do the repairs, they can send and addtional for $2531 (CM)"/>
        <s v="05/18 DA sent an email, confirming that there is no coverage on this claim, sent action item (CM)"/>
        <s v="04/27 sent the release to Prosper as his request (CM)"/>
        <s v="Engineer inspection will be 05/12 (CM)"/>
        <s v="05/12 received the IA report and determination, informed to Iván, he was going to do the estimate with JP, sent it to JP as wll (CM)"/>
        <m/>
      </sharedItems>
    </cacheField>
    <cacheField name="TYPE OF CLAIM" numFmtId="0">
      <sharedItems containsBlank="1">
        <m/>
        <s v="New Claim"/>
        <s v="Reopen"/>
      </sharedItems>
    </cacheField>
    <cacheField name="CLIENT UPDATE" numFmtId="0">
      <sharedItems containsBlank="1">
        <s v="N/A"/>
        <m/>
        <s v="Litigation"/>
        <s v="Settled"/>
        <s v="Pend Pay"/>
        <s v="NOI"/>
        <s v="Stand by"/>
        <s v="Mediation"/>
        <s v="Appraisal completed"/>
        <s v="Appraisal"/>
        <s v="Waiting Determ"/>
        <s v="Welcome"/>
      </sharedItems>
    </cacheField>
    <cacheField name="Pending decision" numFmtId="49">
      <sharedItems containsBlank="1">
        <s v="N/A"/>
        <m/>
        <s v="Respond DA inquiries"/>
        <s v="Pending"/>
        <s v="Take a decision"/>
        <s v="Offer"/>
      </sharedItems>
    </cacheField>
    <cacheField name="Assign to" numFmtId="0">
      <sharedItems containsBlank="1">
        <m/>
        <s v="PAs"/>
        <s v="Ivancho"/>
        <s v="Sarah"/>
        <s v="Day"/>
      </sharedItems>
    </cacheField>
    <cacheField name="5 star Review" numFmtId="0">
      <sharedItems containsBlank="1">
        <m/>
        <s v="Sent"/>
      </sharedItems>
    </cacheField>
    <cacheField name="SYNCED TO APP" numFmtId="0">
      <sharedItems containsBlank="1">
        <m/>
        <s v="SYNCED (10/8/2026)"/>
        <s v="SYNCED (Already exists)"/>
        <s v="SYNCED (2026-10-08)"/>
        <s v="SYNCED (2026-10-0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B16" firstHeaderRow="0" firstDataRow="1" firstDataCol="0"/>
  <pivotFields>
    <pivotField name="status" axis="axisRow" compact="0" outline="0" multipleItemSelectionAllowed="1" showAll="0" sortType="ascending">
      <items>
        <item x="12"/>
        <item x="11"/>
        <item x="0"/>
        <item x="4"/>
        <item x="5"/>
        <item x="1"/>
        <item x="7"/>
        <item x="13"/>
        <item x="10"/>
        <item x="6"/>
        <item x="8"/>
        <item x="9"/>
        <item x="3"/>
        <item x="2"/>
        <item t="default"/>
      </items>
    </pivotField>
    <pivotField name="ADJUSTER"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W Fil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IENT"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PHON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ame="EMAIL"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INSURANCE COMPAN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ADDRES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t="default"/>
      </items>
    </pivotField>
    <pivotField name="POLICY#"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t="default"/>
      </items>
    </pivotField>
    <pivotField name="CLAI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t="default"/>
      </items>
    </pivotField>
    <pivotField name="TYPE OF LOSS "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ATE OF LOS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ESTIMATE FOR INS" compact="0" numFmtId="49" outline="0" multipleItemSelectionAllowed="1" showAll="0">
      <items>
        <item x="0"/>
        <item x="1"/>
        <item x="2"/>
        <item x="3"/>
        <item x="4"/>
        <item x="5"/>
        <item x="6"/>
        <item x="7"/>
        <item x="8"/>
        <item t="default"/>
      </items>
    </pivotField>
    <pivotField name="ESTIMATE JP" compact="0" numFmtId="49" outline="0" multipleItemSelectionAllowed="1" showAll="0">
      <items>
        <item x="0"/>
        <item x="1"/>
        <item x="2"/>
        <item x="3"/>
        <item x="4"/>
        <item x="5"/>
        <item x="6"/>
        <item t="default"/>
      </items>
    </pivotField>
    <pivotField name="SPOL UPDATED"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IA REPORT" compact="0" numFmtId="49" outline="0" multipleItemSelectionAllowed="1" showAll="0">
      <items>
        <item x="0"/>
        <item x="1"/>
        <item x="2"/>
        <item x="3"/>
        <item x="4"/>
        <item x="5"/>
        <item x="6"/>
        <item t="default"/>
      </items>
    </pivotField>
    <pivotField name="POLICY" compact="0" outline="0" multipleItemSelectionAllowed="1" showAll="0">
      <items>
        <item x="0"/>
        <item x="1"/>
        <item x="2"/>
        <item t="default"/>
      </items>
    </pivotField>
    <pivotField name="Desk Adjuster "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NOTES"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TYPE OF CLAIM" compact="0" outline="0" multipleItemSelectionAllowed="1" showAll="0">
      <items>
        <item x="0"/>
        <item x="1"/>
        <item x="2"/>
        <item t="default"/>
      </items>
    </pivotField>
    <pivotField name="CLIENT UPDATE" compact="0" outline="0" multipleItemSelectionAllowed="1" showAll="0">
      <items>
        <item x="0"/>
        <item x="1"/>
        <item x="2"/>
        <item x="3"/>
        <item x="4"/>
        <item x="5"/>
        <item x="6"/>
        <item x="7"/>
        <item x="8"/>
        <item x="9"/>
        <item x="10"/>
        <item x="11"/>
        <item t="default"/>
      </items>
    </pivotField>
    <pivotField name="Pending decision" compact="0" numFmtId="49" outline="0" multipleItemSelectionAllowed="1" showAll="0">
      <items>
        <item x="0"/>
        <item x="1"/>
        <item x="2"/>
        <item x="3"/>
        <item x="4"/>
        <item x="5"/>
        <item t="default"/>
      </items>
    </pivotField>
    <pivotField name="Assign to" compact="0" outline="0" multipleItemSelectionAllowed="1" showAll="0">
      <items>
        <item x="0"/>
        <item x="1"/>
        <item x="2"/>
        <item x="3"/>
        <item x="4"/>
        <item t="default"/>
      </items>
    </pivotField>
    <pivotField name="5 star Review" compact="0" outline="0" multipleItemSelectionAllowed="1" showAll="0">
      <items>
        <item x="0"/>
        <item x="1"/>
        <item t="default"/>
      </items>
    </pivotField>
    <pivotField name="SYNCED TO APP" compact="0" outline="0" multipleItemSelectionAllowed="1" showAll="0">
      <items>
        <item x="0"/>
        <item x="1"/>
        <item x="2"/>
        <item x="3"/>
        <item x="4"/>
        <item t="default"/>
      </items>
    </pivotField>
  </pivotFields>
  <rowFields>
    <field x="0"/>
  </rowFields>
  <dataFields>
    <dataField name="COUNTA of ADJUSTER" fld="1" subtotal="count" baseField="0"/>
  </dataFields>
</pivotTableDefinition>
</file>

<file path=xl/tables/table1.xml><?xml version="1.0" encoding="utf-8"?>
<table xmlns="http://schemas.openxmlformats.org/spreadsheetml/2006/main" ref="A1:Y424" displayName="IP_CLAIMS" name="IP_CLAIMS" id="2">
  <tableColumns count="25">
    <tableColumn name="status" id="1"/>
    <tableColumn name="ADJUSTER" id="2"/>
    <tableColumn name="CW File #" id="3"/>
    <tableColumn name="CLIENT" id="4"/>
    <tableColumn name="PHONE#" id="5"/>
    <tableColumn name="EMAIL" id="6"/>
    <tableColumn name="INSURANCE COMPANY" id="7"/>
    <tableColumn name="ADDRESS" id="8"/>
    <tableColumn name="POLICY#" id="9"/>
    <tableColumn name="CLAIM#" id="10"/>
    <tableColumn name="TYPE OF LOSS " id="11"/>
    <tableColumn name="DATE OF LOSS" id="12"/>
    <tableColumn name="ESTIMATE FOR INS" id="13"/>
    <tableColumn name="ESTIMATE JP" id="14"/>
    <tableColumn name="SPOL UPDATED" id="15"/>
    <tableColumn name="IA REPORT" id="16"/>
    <tableColumn name="POLICY" id="17"/>
    <tableColumn name="Desk Adjuster " id="18"/>
    <tableColumn name="NOTES" id="19"/>
    <tableColumn name="TYPE OF CLAIM" id="20"/>
    <tableColumn name="CLIENT UPDATE" id="21"/>
    <tableColumn name="Pending decision" id="22"/>
    <tableColumn name="Assign to" id="23"/>
    <tableColumn name="5 star Review" id="24"/>
    <tableColumn name="SYNCED TO APP" id="25"/>
  </tableColumns>
  <tableStyleInfo name="New ClientList-style" showColumnStripes="0" showFirstColumn="1" showLastColumn="1" showRowStripes="1"/>
</table>
</file>

<file path=xl/tables/table2.xml><?xml version="1.0" encoding="utf-8"?>
<table xmlns="http://schemas.openxmlformats.org/spreadsheetml/2006/main" ref="A1:E116" displayName="Appraiser" name="Appraiser" id="1">
  <tableColumns count="5">
    <tableColumn name="#" id="1"/>
    <tableColumn name="Appraiser" id="2"/>
    <tableColumn name="Client" id="3"/>
    <tableColumn name="Claim #" id="4"/>
    <tableColumn name="Appraiser fee" id="5"/>
  </tableColumns>
  <tableStyleInfo name="Appraisers-style" showColumnStripes="0" showFirstColumn="1" showLastColumn="1" showRowStripes="1"/>
</table>
</file>

<file path=xl/tables/table3.xml><?xml version="1.0" encoding="utf-8"?>
<table xmlns="http://schemas.openxmlformats.org/spreadsheetml/2006/main" ref="A1:E4" displayName="Table1" name="Table1" id="3">
  <tableColumns count="5">
    <tableColumn name="INSURED" id="1"/>
    <tableColumn name="CLAIM #" id="2"/>
    <tableColumn name="STAGE" id="3"/>
    <tableColumn name="SENT DATE" id="4"/>
    <tableColumn name="NOTES" id="5"/>
  </tableColumns>
  <tableStyleInfo name="Uriarte-style" showColumnStripes="0" showFirstColumn="1" showLastColumn="1" showRowStripes="1"/>
</table>
</file>

<file path=xl/tables/table4.xml><?xml version="1.0" encoding="utf-8"?>
<table xmlns="http://schemas.openxmlformats.org/spreadsheetml/2006/main" headerRowCount="0" ref="A1:B1" displayName="Form_Responses1" name="Form_Responses1" id="4">
  <tableColumns count="2">
    <tableColumn name="Column1" id="1"/>
    <tableColumn name="Column2" id="2"/>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10890D"/>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1-26T15:43:50.00" personId="{d5498dd3-4a64-46ce-9a8a-c831885a0249}" id="{624b2701-c899-4c3f-b93d-14841aff6287}" done="0">
    <x18tc:text xml:space="preserve">02/21 received a resolution letter, asked PAs how to proceed (CM)</x18tc:text>
  </x18tc:threadedComment>
  <x18tc:threadedComment ref="A1" dT="2024-01-27T21:19:26.00" personId="{d5498dd3-4a64-46ce-9a8a-c831885a0249}" id="{21de2d7d-5b78-452c-b156-e93b7ea95f8b}" done="0">
    <x18tc:text xml:space="preserve">01/31 Follow up policy w/ email. Inspection is not done yet.</x18tc:text>
  </x18tc:threadedComment>
  <x18tc:threadedComment ref="O394" dT="2026-03-03T15:41:10.00" personId="{651ebe9d-f120-479c-8376-36973fff1cc1}" id="{4968e05d-3860-4576-acfd-6d6a586075f7}" done="0">
    <x18tc:text xml:space="preserve">3/3/ sent to client to sign</x18tc:text>
  </x18tc:threadedComment>
  <x18tc:threadedComment ref="N405" dT="2026-03-24T20:12:46.00" personId="{651ebe9d-f120-479c-8376-36973fff1cc1}" id="{c575ecbe-91b9-44b9-ac63-f7141440624a}" done="0">
    <x18tc:text xml:space="preserve">3/24 aprobado por josh</x18tc:text>
  </x18tc:threadedComment>
  <x18tc:threadedComment ref="M405" dT="2026-03-24T20:24:34.00" personId="{651ebe9d-f120-479c-8376-36973fff1cc1}" id="{0906ef66-2a98-4400-bfba-d6d048bc0649}" done="0">
    <x18tc:text xml:space="preserve">3/24 SENT TO DA</x18tc:text>
  </x18tc:threadedComment>
  <x18tc:threadedComment ref="N409" dT="2026-04-23T20:45:18.00" personId="{651ebe9d-f120-479c-8376-36973fff1cc1}" id="{c7025a04-7123-485f-a522-005d02821a3c}" done="0">
    <x18tc:text xml:space="preserve">4/23 enviado a ivan para revision</x18tc:text>
  </x18tc:threadedComment>
  <x18tc:threadedComment ref="N409" dT="2026-05-05T15:08:05.00" personId="{651ebe9d-f120-479c-8376-36973fff1cc1}" id="{8689a18d-d121-4f86-9b15-4cba7afe4fa1}" parentId="{c7025a04-7123-485f-a522-005d02821a3c}">
    <x18tc:text xml:space="preserve">5/5 aprobado por ivan</x18tc:text>
  </x18tc:threadedComment>
  <x18tc:threadedComment ref="M407" dT="2026-04-10T15:18:27.00" personId="{651ebe9d-f120-479c-8376-36973fff1cc1}" id="{1eb0ebfd-d2e9-4ad4-ad45-69e469203e1f}" done="0">
    <x18tc:text xml:space="preserve">4/8/26 carito envio</x18tc:text>
  </x18tc:threadedComment>
  <x18tc:threadedComment ref="N407" dT="2026-04-10T15:18:37.00" personId="{651ebe9d-f120-479c-8376-36973fff1cc1}" id="{2efefac9-0e22-459b-90be-8c9768dd34d8}" done="0">
    <x18tc:text xml:space="preserve">4/8 aprobado</x18tc:text>
  </x18tc:threadedComment>
  <x18tc:threadedComment ref="A370" dT="2026-04-13T03:00:48.00" personId="{d5498dd3-4a64-46ce-9a8a-c831885a0249}" id="{e4fce3e8-879c-4166-aeb2-42e288f8fe70}" done="1">
    <x18tc:text xml:space="preserve">without lawyers</x18tc:text>
  </x18tc:threadedComment>
  <x18tc:threadedComment ref="A407" dT="2026-04-13T03:02:53.00" personId="{d5498dd3-4a64-46ce-9a8a-c831885a0249}" id="{2beb698a-9269-4777-aae6-8008f3cf1c52}" done="0">
    <x18tc:text xml:space="preserve">Pedro</x18tc:text>
  </x18tc:threadedComment>
  <x18tc:threadedComment ref="N400" dT="2026-04-17T15:50:19.00" personId="{651ebe9d-f120-479c-8376-36973fff1cc1}" id="{f23b2778-5a3a-4e35-a44b-4da98f72d84e}" done="0">
    <x18tc:text xml:space="preserve">4/17/26 sent to ivan</x18tc:text>
  </x18tc:threadedComment>
  <x18tc:threadedComment ref="N400" dT="2026-04-17T15:55:05.00" personId="{651ebe9d-f120-479c-8376-36973fff1cc1}" id="{08907003-e6e4-4d7f-b3be-9ac2fcb10002}" parentId="{f23b2778-5a3a-4e35-a44b-4da98f72d84e}">
    <x18tc:text xml:space="preserve">4/17 aprobado, esperar el IA report</x18tc:text>
  </x18tc:threadedComment>
  <x18tc:threadedComment ref="M400" dT="2026-04-17T15:55:25.00" personId="{651ebe9d-f120-479c-8376-36973fff1cc1}" id="{6ced7124-c49c-48a5-a137-f081d4cdd0d2}" done="0">
    <x18tc:text xml:space="preserve">ESPERAR EL IA REPORT</x18tc:text>
  </x18tc:threadedComment>
  <x18tc:threadedComment ref="M400" dT="2026-04-21T16:05:34.00" personId="{651ebe9d-f120-479c-8376-36973fff1cc1}" id="{d77fe5e9-bf33-4160-9fad-17fbb6c0b8b4}" parentId="{6ced7124-c49c-48a5-a137-f081d4cdd0d2}">
    <x18tc:text xml:space="preserve">4/21 sent to DA</x18tc:text>
  </x18tc:threadedComment>
  <x18tc:threadedComment ref="M400" dT="2026-05-20T02:38:43.00" personId="{651ebe9d-f120-479c-8376-36973fff1cc1}" id="{faa76306-3a66-48fc-99b1-6721fc052849}" parentId="{6ced7124-c49c-48a5-a137-f081d4cdd0d2}">
    <x18tc:text xml:space="preserve">5/19 sent an update to ivancho</x18tc:text>
  </x18tc:threadedComment>
  <x18tc:threadedComment ref="N398" dT="2026-04-17T16:01:20.00" personId="{651ebe9d-f120-479c-8376-36973fff1cc1}" id="{17f4c8e7-299e-4fa8-adf8-4fd20dedc8a7}" done="0">
    <x18tc:text xml:space="preserve">4/17 Josh dice que se va a trabajar con el estimado de Hail Storm q ya se envio</x18tc:text>
  </x18tc:threadedComment>
  <x18tc:threadedComment ref="N404" dT="2026-04-17T16:46:47.00" personId="{651ebe9d-f120-479c-8376-36973fff1cc1}" id="{0a63d541-4a43-4ed6-9488-9b790a91b5d7}" done="0">
    <x18tc:text xml:space="preserve">4/17/26 sent to ivan</x18tc:text>
  </x18tc:threadedComment>
  <x18tc:threadedComment ref="N410" dT="2026-04-17T17:19:49.00" personId="{651ebe9d-f120-479c-8376-36973fff1cc1}" id="{61adc27d-9c72-44d8-b55d-f3dfa5c07fc6}" done="0">
    <x18tc:text xml:space="preserve">4/17/26 sent to ivan</x18tc:text>
  </x18tc:threadedComment>
  <x18tc:threadedComment ref="A1" dT="2026-04-08T16:38:47.00" personId="{d5498dd3-4a64-46ce-9a8a-c831885a0249}" id="{adc520a7-9791-4bf3-a30d-5c27bafaf1af}" done="1">
    <x18tc:text xml:space="preserve">need to ask for the determination</x18tc:text>
  </x18tc:threadedComment>
  <x18tc:threadedComment ref="A1" dT="2026-04-09T14:43:36.00" personId="{d5498dd3-4a64-46ce-9a8a-c831885a0249}" id="{083b1a31-ed9f-4e66-b5d3-d93dff82ecbe}" done="1">
    <x18tc:text xml:space="preserve">insp was 04/06</x18tc:text>
  </x18tc:threadedComment>
  <x18tc:threadedComment ref="A408" dT="2026-04-09T17:01:33.00" personId="{d5498dd3-4a64-46ce-9a8a-c831885a0249}" id="{71bd0d42-98ca-4265-b0cd-76f0292d385f}" done="0">
    <x18tc:text xml:space="preserve">after the repair they will pay $2531</x18tc:text>
  </x18tc:threadedComment>
  <x18tc:threadedComment ref="O407" dT="2026-04-15T19:39:00.00" personId="{651ebe9d-f120-479c-8376-36973fff1cc1}" id="{35188f51-f89f-4802-80a4-866cd7d66f27}" done="0">
    <x18tc:text xml:space="preserve">4/15 sent to client</x18tc:text>
  </x18tc:threadedComment>
  <x18tc:threadedComment ref="M409" dT="2026-05-05T15:21:28.00" personId="{651ebe9d-f120-479c-8376-36973fff1cc1}" id="{14a833b5-8c4b-409f-9b05-61d5ab3882d9}" done="0">
    <x18tc:text xml:space="preserve">5/5 sent to DA</x18tc:text>
  </x18tc:threadedComment>
  <x18tc:threadedComment ref="M404" dT="2026-05-20T02:24:27.00" personId="{651ebe9d-f120-479c-8376-36973fff1cc1}" id="{49f88d67-7b96-4eff-bd37-5e96929e6e64}" done="0">
    <x18tc:text xml:space="preserve">5/19 sent to DA</x18tc:text>
  </x18tc:threadedComment>
  <x18tc:threadedComment ref="N401" dT="2026-05-13T16:32:04.00" personId="{651ebe9d-f120-479c-8376-36973fff1cc1}" id="{36f2a531-25d2-4794-a952-bf1f57803b16}" done="0">
    <x18tc:text xml:space="preserve">5/13 enviado ACTION ITEM a Ivan</x18tc:text>
  </x18tc:threadedComment>
  <x18tc:threadedComment ref="N401" dT="2026-05-18T15:50:40.00" personId="{651ebe9d-f120-479c-8376-36973fff1cc1}" id="{59a7967e-92cc-4e8e-adb5-95883d9baedd}" parentId="{36f2a531-25d2-4794-a952-bf1f57803b16}">
    <x18tc:text xml:space="preserve">5/18 sent the estimate to Peter for review</x18tc:text>
  </x18tc:threadedComment>
  <x18tc:threadedComment ref="M412" dT="2026-05-13T16:14:49.00" personId="{651ebe9d-f120-479c-8376-36973fff1cc1}" id="{76bc1606-a975-484a-b388-ec46c0370eb3}" done="0">
    <x18tc:text xml:space="preserve">5/13 sent to DA</x18tc:text>
  </x18tc:threadedComment>
  <x18tc:threadedComment ref="N406" dT="2026-05-18T14:49:01.00" personId="{651ebe9d-f120-479c-8376-36973fff1cc1}" id="{773a2e64-754a-4d42-8c95-b52e7382113d}" done="0">
    <x18tc:text xml:space="preserve">5/18 sent to peter for rreview</x18tc:text>
  </x18tc:threadedComment>
  <x18tc:threadedComment ref="A1" dT="2024-01-24T20:45:21.00" personId="{d5498dd3-4a64-46ce-9a8a-c831885a0249}" id="{a2d46653-5205-428d-90a8-f81d6a56be24}" done="1">
    <x18tc:text xml:space="preserve">01/24 policy</x18tc:text>
  </x18tc:threadedComment>
  <x18tc:threadedComment ref="A1" dT="2024-01-29T18:33:07.00" personId="{610be7ce-9288-4df9-9aac-427cc105bbe1}" id="{c5c61b8a-8cf2-4554-bf23-72e07a995bfd}" done="1">
    <x18tc:text xml:space="preserve">No inspection yet</x18tc:text>
  </x18tc:threadedComment>
  <x18tc:threadedComment ref="A1" dT="2024-02-05T23:00:44.00" personId="{d5498dd3-4a64-46ce-9a8a-c831885a0249}" id="{ceb1b18a-3cb5-4f96-80df-5ddd0b904916}" done="0">
    <x18tc:text xml:space="preserve">02/06 waiting for IA to send (CM)</x18tc:text>
  </x18tc:threadedComment>
  <x18tc:threadedComment ref="A1" dT="2024-01-31T06:28:02.00" personId="{d5498dd3-4a64-46ce-9a8a-c831885a0249}" id="{64fd3fc2-5919-4a86-88d4-2b1bf33eba1d}" done="0">
    <x18tc:text xml:space="preserve">01/31 Resent insp letter. Follow up policy -DE</x18tc:text>
  </x18tc:threadedComment>
  <x18tc:threadedComment ref="A1" dT="2024-01-31T06:57:35.00" personId="{d5498dd3-4a64-46ce-9a8a-c831885a0249}" id="{9a17e711-88c1-49fc-8435-1c832404e21e}" done="0">
    <x18tc:text xml:space="preserve">01/31 Followup on Mortage issue- DE</x18tc:text>
  </x18tc:threadedComment>
  <x18tc:threadedComment ref="A1" dT="2024-01-31T07:19:49.00" personId="{d5498dd3-4a64-46ce-9a8a-c831885a0249}" id="{e510f87f-c6b2-48bc-8b7f-d227d32ac6b5}" done="0">
    <x18tc:text xml:space="preserve">01/31 Followed up on insp letter - DE</x18tc:text>
  </x18tc:threadedComment>
  <x18tc:threadedComment ref="A1" dT="2024-02-19T16:41:29.00" personId="{d5498dd3-4a64-46ce-9a8a-c831885a0249}" id="{a62ac920-2e01-45e0-bd9c-ffebde868ba2}" parentId="{e510f87f-c6b2-48bc-8b7f-d227d32ac6b5}">
    <x18tc:text xml:space="preserve">02/16 req. policy (CM)</x18tc:text>
  </x18tc:threadedComment>
  <x18tc:threadedComment ref="A1" dT="2024-01-31T07:30:39.00" personId="{d5498dd3-4a64-46ce-9a8a-c831885a0249}" id="{3c19eda2-a91a-4d6f-bec3-d34447433a6b}" done="0">
    <x18tc:text xml:space="preserve">01/31 Sent email to follow up IA report &amp; policy- DE</x18tc:text>
  </x18tc:threadedComment>
  <x18tc:threadedComment ref="A1" dT="2024-02-16T13:27:17.00" personId="{d5498dd3-4a64-46ce-9a8a-c831885a0249}" id="{5ef22706-18c6-45f5-b9b1-6bbc1b60056f}" parentId="{3c19eda2-a91a-4d6f-bec3-d34447433a6b}">
    <x18tc:text xml:space="preserve">02/16 left a VM and email req. docs (CM)</x18tc:text>
  </x18tc:threadedComment>
  <x18tc:threadedComment ref="A1" dT="2024-03-08T15:25:08.00" personId="{d5498dd3-4a64-46ce-9a8a-c831885a0249}" id="{615576ff-860d-43b1-8e1f-c33ed54b35df}" done="1">
    <x18tc:text xml:space="preserve">03/08 left VM and emailed DA requesting IA (CM)</x18tc:text>
  </x18tc:threadedComment>
  <x18tc:threadedComment ref="A1" dT="2024-03-08T15:55:59.00" personId="{d5498dd3-4a64-46ce-9a8a-c831885a0249}" id="{00c61a6d-8fa1-417a-8e12-18c531ece4bb}" done="0">
    <x18tc:text xml:space="preserve">03/08 left a VM and emailed req. policy (CM)</x18tc:text>
  </x18tc:threadedComment>
  <x18tc:threadedComment ref="A1" dT="2024-03-18T19:40:59.00" personId="{d5498dd3-4a64-46ce-9a8a-c831885a0249}" id="{6294b46c-4473-4c60-8c46-628fdd41aafd}" parentId="{00c61a6d-8fa1-417a-8e12-18c531ece4bb}">
    <x18tc:text xml:space="preserve">03/18 left a VM and emailed req. IA and policy (CM)</x18tc:text>
  </x18tc:threadedComment>
  <x18tc:threadedComment ref="A1" dT="2024-02-09T12:14:48.00" personId="{d5498dd3-4a64-46ce-9a8a-c831885a0249}" id="{764c23e4-4e9d-4815-8192-0a8a8ca313b3}" done="1">
    <x18tc:text xml:space="preserve">02/09 left VM and email policy / insp will be on 02/19 (CM)</x18tc:text>
  </x18tc:threadedComment>
  <x18tc:threadedComment ref="A1" dT="2024-02-27T21:29:50.00" personId="{d5498dd3-4a64-46ce-9a8a-c831885a0249}" id="{8ef42a15-4471-4c66-8051-155dcd5e52d5}" parentId="{764c23e4-4e9d-4815-8192-0a8a8ca313b3}">
    <x18tc:text xml:space="preserve">02/27 received a denial letter</x18tc:text>
  </x18tc:threadedComment>
  <x18tc:threadedComment ref="A1" dT="2024-02-14T16:38:48.00" personId="{d5498dd3-4a64-46ce-9a8a-c831885a0249}" id="{cfa30e3b-a217-4fd7-8e2f-da94471bfcc1}" done="1">
    <x18tc:text xml:space="preserve">02/14 takes 60 to 90 days for a response (CM)</x18tc:text>
  </x18tc:threadedComment>
  <x18tc:threadedComment ref="A1" dT="2024-03-07T16:29:15.00" personId="{d5498dd3-4a64-46ce-9a8a-c831885a0249}" id="{56929df3-c1e0-4b0a-9e51-2adaae73e189}" parentId="{cfa30e3b-a217-4fd7-8e2f-da94471bfcc1}">
    <x18tc:text xml:space="preserve">03/04 asked for a copy of the policy (CM)</x18tc:text>
  </x18tc:threadedComment>
  <x18tc:threadedComment ref="A1" dT="2024-02-19T16:18:39.00" personId="{d5498dd3-4a64-46ce-9a8a-c831885a0249}" id="{290abaf7-06ae-4f64-b849-d28d5a694dc7}" done="1">
    <x18tc:text xml:space="preserve">02/19 left a VM and email req. engineering report (CM)</x18tc:text>
  </x18tc:threadedComment>
  <x18tc:threadedComment ref="A1" dT="2024-03-07T16:07:16.00" personId="{d5498dd3-4a64-46ce-9a8a-c831885a0249}" id="{02d74b03-d310-4e59-bded-c946f2b34591}" parentId="{290abaf7-06ae-4f64-b849-d28d5a694dc7}">
    <x18tc:text xml:space="preserve">02/22 DA called and said that in the engineering inspection they only found a shingle damage, gave Peter's info (CM)</x18tc:text>
  </x18tc:threadedComment>
  <x18tc:threadedComment ref="A1" dT="2024-03-27T15:40:49.00" personId="{d5498dd3-4a64-46ce-9a8a-c831885a0249}" id="{e62b1618-7b57-4d77-a334-e813620eff14}" parentId="{290abaf7-06ae-4f64-b849-d28d5a694dc7}">
    <x18tc:text xml:space="preserve">03/27 left a vm to DA asked if they have a initial determination letter (CM)</x18tc:text>
  </x18tc:threadedComment>
  <x18tc:threadedComment ref="A1" dT="2024-03-18T19:49:28.00" personId="{d5498dd3-4a64-46ce-9a8a-c831885a0249}" id="{27810793-f9a1-41e1-803f-2132e629d3d6}" done="0">
    <x18tc:text xml:space="preserve">04/11 left a VM to the DA and sent an email, asking to send us the policy to verify the information that the client is giving us (CM)</x18tc:text>
  </x18tc:threadedComment>
  <x18tc:threadedComment ref="A1" dT="2024-03-08T18:30:13.00" personId="{d5498dd3-4a64-46ce-9a8a-c831885a0249}" id="{bd155d94-6cc2-4f74-ae52-95b655cdfa93}" done="0">
    <x18tc:text xml:space="preserve">Blue: denial or determination letter, waiting for further actions
Green: DA makes an offer need PA response
Yellow: undisputed payment
Red: DA says is settled, pending for PA confirmation
Purple: Need to answer DA
Orange: claim closed by DA</x18tc:text>
  </x18tc:threadedComment>
  <x18tc:threadedComment ref="A1" dT="2024-03-07T16:09:17.00" personId="{d5498dd3-4a64-46ce-9a8a-c831885a0249}" id="{1398c5f0-77a5-4f1c-a60d-ee3bc0260d20}" done="0">
    <x18tc:text xml:space="preserve">04/16 received a letter, DA says claim will close if they don't receive the estimate (CM)</x18tc:text>
  </x18tc:threadedComment>
  <x18tc:threadedComment ref="A1" dT="2024-03-06T20:30:31.00" personId="{d5498dd3-4a64-46ce-9a8a-c831885a0249}" id="{79fff2fb-4190-480e-aa96-82397ff08c0c}" done="0">
    <x18tc:text xml:space="preserve">04/26 received a denial letter (CM)</x18tc:text>
  </x18tc:threadedComment>
  <x18tc:threadedComment ref="A1" dT="2024-03-10T22:19:47.00" personId="{d5498dd3-4a64-46ce-9a8a-c831885a0249}" id="{2c3db686-d235-49ad-a1bc-0c66a51c4bc7}" done="0">
    <x18tc:text xml:space="preserve">04/12 received a determination letter, sent to PAs and asked how to proceed next (CM)</x18tc:text>
  </x18tc:threadedComment>
  <x18tc:threadedComment ref="A1" dT="2024-04-03T13:44:59.00" personId="{d5498dd3-4a64-46ce-9a8a-c831885a0249}" id="{38f46225-aa2d-4942-adc4-677424312af2}" done="0">
    <x18tc:text xml:space="preserve">03/25 received denial letter (CM)</x18tc:text>
  </x18tc:threadedComment>
  <x18tc:threadedComment ref="A1" dT="2024-04-05T15:21:28.00" personId="{d5498dd3-4a64-46ce-9a8a-c831885a0249}" id="{d4e8b60d-29e9-4630-b0a0-07f55e71c774}" done="0">
    <x18tc:text xml:space="preserve">05/30 left a VM and emailed to DA requesting the status of this claim and the IA report (CM)</x18tc:text>
  </x18tc:threadedComment>
  <x18tc:threadedComment ref="A1" dT="2024-03-28T09:11:09.00" personId="{d5498dd3-4a64-46ce-9a8a-c831885a0249}" id="{dc342eea-8bb8-420b-b840-988c4e502be2}" done="0">
    <x18tc:text xml:space="preserve">12/19 determination letter received</x18tc:text>
  </x18tc:threadedComment>
  <x18tc:threadedComment ref="A1" dT="2024-03-28T10:13:07.00" personId="{d5498dd3-4a64-46ce-9a8a-c831885a0249}" id="{d2e01c00-580f-4e43-a09e-8d618b2d7ac0}" done="0">
    <x18tc:text xml:space="preserve">03/12 received denial letter (CM)</x18tc:text>
  </x18tc:threadedComment>
  <x18tc:threadedComment ref="A1" dT="2024-03-28T10:34:16.00" personId="{d5498dd3-4a64-46ce-9a8a-c831885a0249}" id="{d7670179-c5e1-4f71-ba9e-f2138f06265e}" done="0">
    <x18tc:text xml:space="preserve">02/26 received a loss than deductible letter (CM)</x18tc:text>
  </x18tc:threadedComment>
  <x18tc:threadedComment ref="A1" dT="2024-04-09T13:49:31.00" personId="{d5498dd3-4a64-46ce-9a8a-c831885a0249}" id="{bc3f1f43-2f20-4770-b2d7-11d7ca8b4c87}" parentId="{d7670179-c5e1-4f71-ba9e-f2138f06265e}">
    <x18tc:text xml:space="preserve">04/09 received a partial denial (CM)</x18tc:text>
  </x18tc:threadedComment>
  <x18tc:threadedComment ref="A1" dT="2024-03-28T09:59:15.00" personId="{d5498dd3-4a64-46ce-9a8a-c831885a0249}" id="{b231d977-5268-454c-a4d6-aa636115b07e}" done="0">
    <x18tc:text xml:space="preserve">05/20 received a 10k offer, sent to PAs (CM)</x18tc:text>
  </x18tc:threadedComment>
  <x18tc:threadedComment ref="A1" dT="2024-03-28T11:07:10.00" personId="{d5498dd3-4a64-46ce-9a8a-c831885a0249}" id="{197e65f2-6243-45d6-a6b7-1687e24acc75}" done="0">
    <x18tc:text xml:space="preserve">02/28 DA asked some info (CM)</x18tc:text>
  </x18tc:threadedComment>
  <x18tc:threadedComment ref="A1" dT="2024-03-28T11:14:05.00" personId="{d5498dd3-4a64-46ce-9a8a-c831885a0249}" id="{736777e2-4927-439b-9b6a-131009be1996}" done="0">
    <x18tc:text xml:space="preserve">04/18 received a denial, sent to PAs (CM)</x18tc:text>
  </x18tc:threadedComment>
  <x18tc:threadedComment ref="A1" dT="2024-04-01T15:14:37.00" personId="{d5498dd3-4a64-46ce-9a8a-c831885a0249}" id="{8fe4c5d2-e0ad-4ef1-ba4c-a33a5f2cabd9}" done="0">
    <x18tc:text xml:space="preserve">04/05 received a denial letter, forwarded to PAs, asked is they want to request mediation (CM)</x18tc:text>
  </x18tc:threadedComment>
  <x18tc:threadedComment ref="A1" dT="2024-04-02T20:57:39.00" personId="{d5498dd3-4a64-46ce-9a8a-c831885a0249}" id="{cb075d56-7ee6-44e3-9b1d-c0682975d798}" done="0">
    <x18tc:text xml:space="preserve">05/22 appraiser is offering 38.2k (CM)</x18tc:text>
  </x18tc:threadedComment>
  <x18tc:threadedComment ref="A1" dT="2024-04-02T17:57:07.00" personId="{610be7ce-9288-4df9-9aac-427cc105bbe1}" id="{f3b09b66-e6b1-49d1-92e9-5761ac47e5a6}" done="1">
    <x18tc:text xml:space="preserve">04/02 Denial letter rcvd. (DE)</x18tc:text>
  </x18tc:threadedComment>
  <x18tc:threadedComment ref="A1" dT="2024-04-12T15:52:02.00" personId="{d5498dd3-4a64-46ce-9a8a-c831885a0249}" id="{2feeaa62-9681-4dfc-97fc-5aec3d849432}" done="0">
    <x18tc:text xml:space="preserve">04/12 sent Peter some inquiries of the DA (cm)</x18tc:text>
  </x18tc:threadedComment>
  <x18tc:threadedComment ref="A1" dT="2024-04-11T16:19:29.00" personId="{d5498dd3-4a64-46ce-9a8a-c831885a0249}" id="{dd0ddbc7-ab84-47f7-94b2-e1ce9dfe3921}" done="0">
    <x18tc:text xml:space="preserve">05/01 called the FA as per DA resquest, asked her to send the IA report, sent an email as well because she was driving (CM)</x18tc:text>
  </x18tc:threadedComment>
  <x18tc:threadedComment ref="A1" dT="2024-07-18T16:51:07.00" personId="{d5498dd3-4a64-46ce-9a8a-c831885a0249}" id="{2a618f2e-62ec-4ac1-8ea6-0a08bc763212}" done="1">
    <x18tc:text xml:space="preserve">sent sarah spol @sarah@ipadjustinggroup.com
Assigned to sarah@ipadjustinggroup.com</x18tc:text>
    <x18tc:mentions>
      <x18tc:mention mentionpersonId="{96de1e6f-5074-4371-82e1-7da1ab62b8e3}" mentionId="{10150b3b-264d-47c3-8538-56de137d7516}" startIndex="16" length="27"/>
    </x18tc:mentions>
  </x18tc:threadedComment>
  <x18tc:threadedComment ref="V190" dT="2024-07-18T16:52:47.00" personId="{d5498dd3-4a64-46ce-9a8a-c831885a0249}" id="{dce8ac5b-53c3-48e2-88f5-baf15d1b8969}" done="1">
    <x18tc:text xml:space="preserve">@sarah@ipadjustinggroup.com hola</x18tc:text>
    <x18tc:mentions>
      <x18tc:mention mentionpersonId="{96de1e6f-5074-4371-82e1-7da1ab62b8e3}" mentionId="{147eae2e-949b-4927-a57f-5eabcc65fb6f}" startIndex="0" length="27"/>
    </x18tc:mentions>
  </x18tc:threadedComment>
  <x18tc:threadedComment ref="A156" dT="2024-07-18T16:53:34.00" personId="{d5498dd3-4a64-46ce-9a8a-c831885a0249}" id="{5039d4c1-4179-44d4-961a-4691952a6887}" done="1">
    <x18tc:text xml:space="preserve">@scheduling@ipadjustinggroup.com</x18tc:text>
    <x18tc:mentions>
      <x18tc:mention mentionpersonId="{2c8ec519-d5db-42bb-a5e2-52abe8ff6abf}" mentionId="{c3089151-1e77-46c3-b3df-6b6df3f05488}" startIndex="0" length="32"/>
    </x18tc:mentions>
  </x18tc:threadedComment>
  <x18tc:threadedComment ref="A1" dT="2024-05-08T15:34:31.00" personId="{d5498dd3-4a64-46ce-9a8a-c831885a0249}" id="{64af215e-ab52-4bd9-8777-f76b813c53bb}" done="0">
    <x18tc:text xml:space="preserve">05/10 received a determination letter, asked PAs how to proceed (CM)</x18tc:text>
  </x18tc:threadedComment>
  <x18tc:threadedComment ref="A1" dT="2024-05-08T03:14:14.00" personId="{d5498dd3-4a64-46ce-9a8a-c831885a0249}" id="{b8aa21ce-967d-42b2-b04c-e430c11493fd}" done="0">
    <x18tc:text xml:space="preserve">05/08 received a denial letter (CM)</x18tc:text>
  </x18tc:threadedComment>
  <x18tc:threadedComment ref="A1" dT="2024-05-01T16:10:40.00" personId="{d5498dd3-4a64-46ce-9a8a-c831885a0249}" id="{407d338d-9bf7-497c-bc6f-e4e8707b82da}" done="0">
    <x18tc:text xml:space="preserve">05/01 sent an email following up on this claim (CM)</x18tc:text>
  </x18tc:threadedComment>
  <x18tc:threadedComment ref="A1" dT="2024-05-01T13:32:59.00" personId="{d5498dd3-4a64-46ce-9a8a-c831885a0249}" id="{0d5b1499-530d-42e0-9e0b-7442344fcf01}" done="0">
    <x18tc:text xml:space="preserve">05/01 sent an email requesting policy and IA (CM)</x18tc:text>
  </x18tc:threadedComment>
  <x18tc:threadedComment ref="A1" dT="2024-05-01T16:12:18.00" personId="{d5498dd3-4a64-46ce-9a8a-c831885a0249}" id="{557fec52-79f9-4725-93ed-ab4bc3f2659b}" done="0">
    <x18tc:text xml:space="preserve">inspec will be on 05/14 (CM)</x18tc:text>
  </x18tc:threadedComment>
  <x18tc:threadedComment ref="A1" dT="2024-05-02T15:36:19.00" personId="{d5498dd3-4a64-46ce-9a8a-c831885a0249}" id="{9bdacae6-6c52-42f6-ae6d-047971113c3a}" done="0">
    <x18tc:text xml:space="preserve">05/02 received a determination letter, sen to I&amp;P (JP)</x18tc:text>
  </x18tc:threadedComment>
  <x18tc:threadedComment ref="A1" dT="2024-05-21T19:17:44.00" personId="{d5498dd3-4a64-46ce-9a8a-c831885a0249}" id="{9e615e2e-c7a1-47d0-b558-c69222b3e7a8}" done="0">
    <x18tc:text xml:space="preserve">05/21 RECEIVED A DETERMINATION LETTER (CM)</x18tc:text>
  </x18tc:threadedComment>
  <x18tc:threadedComment ref="M171" dT="2024-07-09T15:27:08.00" personId="{d5498dd3-4a64-46ce-9a8a-c831885a0249}" id="{14764118-d2e3-4186-9dc6-30fcf6a5a635}" done="1">
    <x18tc:text xml:space="preserve">7/09 esperando el IA report</x18tc:text>
  </x18tc:threadedComment>
  <x18tc:threadedComment ref="M171" dT="2024-07-30T15:31:46.00" personId="{651ebe9d-f120-479c-8376-36973fff1cc1}" id="{39716058-1354-42a1-a0fa-3e35b5b57edd}" parentId="{14764118-d2e3-4186-9dc6-30fcf6a5a635}">
    <x18tc:text xml:space="preserve">7/30 juan envio a la DA</x18tc:text>
  </x18tc:threadedComment>
  <x18tc:threadedComment ref="A1" dT="2024-07-09T15:44:06.00" personId="{d5498dd3-4a64-46ce-9a8a-c831885a0249}" id="{03478090-3816-4d3f-864b-04c334a232d9}" done="1">
    <x18tc:text xml:space="preserve">07/02</x18tc:text>
  </x18tc:threadedComment>
  <x18tc:threadedComment ref="A1" dT="2024-07-09T15:34:56.00" personId="{d5498dd3-4a64-46ce-9a8a-c831885a0249}" id="{8426a33d-ae0a-448d-a9b1-4184343f29e3}" done="0">
    <x18tc:text xml:space="preserve">wrong number, asked Juan</x18tc:text>
  </x18tc:threadedComment>
  <x18tc:threadedComment ref="A1" dT="2024-07-09T15:35:41.00" personId="{d5498dd3-4a64-46ce-9a8a-c831885a0249}" id="{2e56a61d-ba4a-495d-81a0-39f3f0e9c49e}" done="1">
    <x18tc:text xml:space="preserve">waiting for Ivan decision with the appraisal</x18tc:text>
  </x18tc:threadedComment>
  <x18tc:threadedComment ref="A1" dT="2024-07-09T15:36:10.00" personId="{d5498dd3-4a64-46ce-9a8a-c831885a0249}" id="{2649ef28-b2b2-4087-babc-36794c337280}" done="1">
    <x18tc:text xml:space="preserve">08/15</x18tc:text>
  </x18tc:threadedComment>
  <x18tc:threadedComment ref="A1" dT="2024-07-09T15:36:19.00" personId="{d5498dd3-4a64-46ce-9a8a-c831885a0249}" id="{24a167b3-8adc-4fd3-a43c-983f5fd80f34}" done="0">
    <x18tc:text xml:space="preserve">07/03</x18tc:text>
  </x18tc:threadedComment>
  <x18tc:threadedComment ref="A1" dT="2024-07-09T15:37:22.00" personId="{d5498dd3-4a64-46ce-9a8a-c831885a0249}" id="{a260495b-3b1f-48c9-91f1-c54dfa67030e}" done="0">
    <x18tc:text xml:space="preserve">04/29</x18tc:text>
  </x18tc:threadedComment>
  <x18tc:threadedComment ref="A1" dT="2024-07-09T15:37:31.00" personId="{d5498dd3-4a64-46ce-9a8a-c831885a0249}" id="{d6898605-2b7c-46a6-9197-5ae01e90a91e}" done="1">
    <x18tc:text xml:space="preserve">04/29</x18tc:text>
  </x18tc:threadedComment>
  <x18tc:threadedComment ref="M156" dT="2024-07-09T15:40:10.00" personId="{d5498dd3-4a64-46ce-9a8a-c831885a0249}" id="{bfba450e-e7d6-4c86-8311-0c231489e662}" done="1">
    <x18tc:text xml:space="preserve">enviar, no tengo el picture file</x18tc:text>
  </x18tc:threadedComment>
  <x18tc:threadedComment ref="M156" dT="2024-07-16T17:00:23.00" personId="{d5498dd3-4a64-46ce-9a8a-c831885a0249}" id="{6a003f4f-ba3b-4e3d-8b77-66ddec64a401}" parentId="{bfba450e-e7d6-4c86-8311-0c231489e662}">
    <x18tc:text xml:space="preserve">manda estimado!! mira el IA report que te mande antes @jp.ipestimates@gmail.com</x18tc:text>
    <x18tc:mentions>
      <x18tc:mention mentionpersonId="{f5ec41ac-eb21-45bf-aaa5-f7dfbc04c8e9}" mentionId="{c097feb4-b1de-403b-a2ab-06c349340f0a}" startIndex="54" length="25"/>
    </x18tc:mentions>
  </x18tc:threadedComment>
  <x18tc:threadedComment ref="M156" dT="2024-07-16T21:16:04.00" personId="{d5498dd3-4a64-46ce-9a8a-c831885a0249}" id="{4446e117-1371-4ef3-b25d-72c836c8907d}" parentId="{bfba450e-e7d6-4c86-8311-0c231489e662}">
    <x18tc:text xml:space="preserve">7/16 ENVIADO</x18tc:text>
  </x18tc:threadedComment>
  <x18tc:threadedComment ref="A1" dT="2024-07-09T15:41:31.00" personId="{d5498dd3-4a64-46ce-9a8a-c831885a0249}" id="{78448726-984f-423c-821f-d181efaa9f14}" done="1">
    <x18tc:text xml:space="preserve">08/15</x18tc:text>
  </x18tc:threadedComment>
  <x18tc:threadedComment ref="A1" dT="2024-07-09T15:41:38.00" personId="{d5498dd3-4a64-46ce-9a8a-c831885a0249}" id="{d9f82702-84f4-4cc5-9c9e-677a6e394e06}" done="1">
    <x18tc:text xml:space="preserve">08/07</x18tc:text>
  </x18tc:threadedComment>
  <x18tc:threadedComment ref="A1" dT="2024-07-09T15:41:46.00" personId="{d5498dd3-4a64-46ce-9a8a-c831885a0249}" id="{174a5476-9fe3-4f09-a77e-5154e5a4a6a9}" done="1">
    <x18tc:text xml:space="preserve">08/15</x18tc:text>
  </x18tc:threadedComment>
  <x18tc:threadedComment ref="A1" dT="2024-07-09T15:42:05.00" personId="{d5498dd3-4a64-46ce-9a8a-c831885a0249}" id="{7768224c-eb81-4317-b142-137a588c05fd}" done="1">
    <x18tc:text xml:space="preserve">07/02</x18tc:text>
  </x18tc:threadedComment>
  <x18tc:threadedComment ref="A1" dT="2024-07-09T15:46:22.00" personId="{d5498dd3-4a64-46ce-9a8a-c831885a0249}" id="{09f4f7ad-a79c-40d0-b15a-2b6326563aa0}" done="1">
    <x18tc:text xml:space="preserve">07/02</x18tc:text>
  </x18tc:threadedComment>
  <x18tc:threadedComment ref="A1" dT="2024-07-09T15:47:43.00" personId="{d5498dd3-4a64-46ce-9a8a-c831885a0249}" id="{4139234d-7ea2-4d72-b13f-dc3e6d1ec2aa}" done="1">
    <x18tc:text xml:space="preserve">08/15</x18tc:text>
  </x18tc:threadedComment>
  <x18tc:threadedComment ref="A1" dT="2024-07-09T15:47:51.00" personId="{d5498dd3-4a64-46ce-9a8a-c831885a0249}" id="{ac0775d0-24d9-4aa3-b618-801ac3d43b2e}" done="1">
    <x18tc:text xml:space="preserve">07/03</x18tc:text>
  </x18tc:threadedComment>
  <x18tc:threadedComment ref="A1" dT="2024-07-09T15:44:21.00" personId="{d5498dd3-4a64-46ce-9a8a-c831885a0249}" id="{6474b259-5101-41b5-bdfc-0e7fe3e1d220}" done="0">
    <x18tc:text xml:space="preserve">09/16</x18tc:text>
  </x18tc:threadedComment>
  <x18tc:threadedComment ref="A1" dT="2024-07-09T15:44:42.00" personId="{d5498dd3-4a64-46ce-9a8a-c831885a0249}" id="{ec197874-7f41-4c26-b7ff-8406b9effe9e}" done="1">
    <x18tc:text xml:space="preserve">05/28</x18tc:text>
  </x18tc:threadedComment>
  <x18tc:threadedComment ref="A1" dT="2024-07-09T15:44:50.00" personId="{d5498dd3-4a64-46ce-9a8a-c831885a0249}" id="{ec25c552-a6c1-43b4-a7d6-cf6ba2f7a990}" done="1">
    <x18tc:text xml:space="preserve">08/15</x18tc:text>
  </x18tc:threadedComment>
  <x18tc:threadedComment ref="A1" dT="2024-07-09T15:44:56.00" personId="{d5498dd3-4a64-46ce-9a8a-c831885a0249}" id="{fc9a5474-9cdc-4234-bcc7-e0c10bf422e8}" done="1">
    <x18tc:text xml:space="preserve">08/15</x18tc:text>
  </x18tc:threadedComment>
  <x18tc:threadedComment ref="A1" dT="2024-07-09T15:45:08.00" personId="{d5498dd3-4a64-46ce-9a8a-c831885a0249}" id="{e9778491-5042-47f0-bd7f-e3cef274c13f}" done="1">
    <x18tc:text xml:space="preserve">08/15</x18tc:text>
  </x18tc:threadedComment>
  <x18tc:threadedComment ref="A1" dT="2024-07-09T15:45:17.00" personId="{d5498dd3-4a64-46ce-9a8a-c831885a0249}" id="{9feb3239-b35e-4475-9ea7-8be7749ac9e5}" done="1">
    <x18tc:text xml:space="preserve">08/02</x18tc:text>
  </x18tc:threadedComment>
  <x18tc:threadedComment ref="A1" dT="2024-07-09T15:45:23.00" personId="{d5498dd3-4a64-46ce-9a8a-c831885a0249}" id="{cf6279fb-aad6-428c-b885-a4773a77fa61}" done="1">
    <x18tc:text xml:space="preserve">08/15</x18tc:text>
  </x18tc:threadedComment>
  <x18tc:threadedComment ref="A1" dT="2024-07-09T15:45:50.00" personId="{d5498dd3-4a64-46ce-9a8a-c831885a0249}" id="{d38d5604-ca39-4dfe-aeac-6a5a3cd1fffa}" done="1">
    <x18tc:text xml:space="preserve">07/02</x18tc:text>
  </x18tc:threadedComment>
  <x18tc:threadedComment ref="A1" dT="2024-07-09T15:46:00.00" personId="{d5498dd3-4a64-46ce-9a8a-c831885a0249}" id="{0e83b614-a1cc-42fc-8c0d-86356438d139}" done="1">
    <x18tc:text xml:space="preserve">10/21</x18tc:text>
  </x18tc:threadedComment>
  <x18tc:threadedComment ref="A1" dT="2024-07-09T15:46:05.00" personId="{d5498dd3-4a64-46ce-9a8a-c831885a0249}" id="{d2b70ccd-9e7e-41ba-9796-e8242ed47163}" done="1">
    <x18tc:text xml:space="preserve">08/15</x18tc:text>
  </x18tc:threadedComment>
  <x18tc:threadedComment ref="A1" dT="2024-07-09T15:46:16.00" personId="{d5498dd3-4a64-46ce-9a8a-c831885a0249}" id="{71edf210-a0ea-4ff8-a2d6-c79eec500df3}" done="0">
    <x18tc:text xml:space="preserve">Joshua needs to correct the policy</x18tc:text>
  </x18tc:threadedComment>
  <x18tc:threadedComment ref="A1" dT="2024-07-09T16:16:12.00" personId="{d5498dd3-4a64-46ce-9a8a-c831885a0249}" id="{5d6b8f28-5c27-4d72-adc0-4a06172e9320}" done="1">
    <x18tc:text xml:space="preserve">08/15</x18tc:text>
  </x18tc:threadedComment>
  <x18tc:threadedComment ref="A1" dT="2024-07-09T16:16:19.00" personId="{d5498dd3-4a64-46ce-9a8a-c831885a0249}" id="{9e1d3642-57ba-4886-9114-0c0a52cf3531}" done="1">
    <x18tc:text xml:space="preserve">08/15</x18tc:text>
  </x18tc:threadedComment>
  <x18tc:threadedComment ref="A1" dT="2024-07-09T16:16:25.00" personId="{d5498dd3-4a64-46ce-9a8a-c831885a0249}" id="{6547f112-6c14-41e8-aa68-98cebd685563}" done="1">
    <x18tc:text xml:space="preserve">08/07</x18tc:text>
  </x18tc:threadedComment>
  <x18tc:threadedComment ref="A1" dT="2024-07-09T15:47:58.00" personId="{d5498dd3-4a64-46ce-9a8a-c831885a0249}" id="{eeb95852-2d8e-4960-80bc-44e9c5110f0e}" done="1">
    <x18tc:text xml:space="preserve">08/15</x18tc:text>
  </x18tc:threadedComment>
  <x18tc:threadedComment ref="A1" dT="2024-07-09T15:48:03.00" personId="{d5498dd3-4a64-46ce-9a8a-c831885a0249}" id="{43c87667-97ff-4618-90a6-a2d507334bcf}" done="1">
    <x18tc:text xml:space="preserve">08/15</x18tc:text>
  </x18tc:threadedComment>
  <x18tc:threadedComment ref="A1" dT="2024-07-09T15:48:13.00" personId="{d5498dd3-4a64-46ce-9a8a-c831885a0249}" id="{2472ccda-ec17-4eeb-b4d5-aec58e5df7ff}" done="1">
    <x18tc:text xml:space="preserve">08/15</x18tc:text>
  </x18tc:threadedComment>
  <x18tc:threadedComment ref="A1" dT="2024-07-09T16:14:55.00" personId="{d5498dd3-4a64-46ce-9a8a-c831885a0249}" id="{abe691bf-202f-4bed-bad7-69123bbe1aef}" done="0">
    <x18tc:text xml:space="preserve">client recently updated 5/28</x18tc:text>
  </x18tc:threadedComment>
  <x18tc:threadedComment ref="A1" dT="2024-07-09T16:14:59.00" personId="{d5498dd3-4a64-46ce-9a8a-c831885a0249}" id="{6ac85794-80c2-4836-81fb-87590e9c90bf}" done="0">
    <x18tc:text xml:space="preserve">client recently updated 5/28</x18tc:text>
  </x18tc:threadedComment>
  <x18tc:threadedComment ref="A1" dT="2024-07-09T16:15:12.00" personId="{d5498dd3-4a64-46ce-9a8a-c831885a0249}" id="{f6026292-3caf-4c0e-8332-b28060dc5e6b}" done="1">
    <x18tc:text xml:space="preserve">spoke to client 4/28</x18tc:text>
  </x18tc:threadedComment>
  <x18tc:threadedComment ref="A1" dT="2024-07-09T16:15:33.00" personId="{d5498dd3-4a64-46ce-9a8a-c831885a0249}" id="{dc87a539-88a0-4d5a-a44c-08f4659d5e5b}" done="1">
    <x18tc:text xml:space="preserve">08/15</x18tc:text>
  </x18tc:threadedComment>
  <x18tc:threadedComment ref="A1" dT="2024-07-09T16:15:43.00" personId="{d5498dd3-4a64-46ce-9a8a-c831885a0249}" id="{01ade180-6da7-4fef-a01f-af3e7ae34c87}" done="0">
    <x18tc:text xml:space="preserve">08/15</x18tc:text>
  </x18tc:threadedComment>
  <x18tc:threadedComment ref="A1" dT="2024-07-09T16:15:52.00" personId="{d5498dd3-4a64-46ce-9a8a-c831885a0249}" id="{81b957ff-afd6-457c-857c-16f1f9fc6353}" done="1">
    <x18tc:text xml:space="preserve">08/15</x18tc:text>
  </x18tc:threadedComment>
  <x18tc:threadedComment ref="A1" dT="2024-07-09T16:15:59.00" personId="{d5498dd3-4a64-46ce-9a8a-c831885a0249}" id="{9fd8ada3-13cf-4bf8-b7a9-7f99a32ecfa8}" done="1">
    <x18tc:text xml:space="preserve">08/15</x18tc:text>
  </x18tc:threadedComment>
  <x18tc:threadedComment ref="A1" dT="2024-07-09T16:16:06.00" personId="{d5498dd3-4a64-46ce-9a8a-c831885a0249}" id="{2b6bea3d-039f-48b8-ac59-24c2c72fa365}" done="1">
    <x18tc:text xml:space="preserve">08/15</x18tc:text>
  </x18tc:threadedComment>
  <x18tc:threadedComment ref="A1" dT="2024-07-09T16:16:32.00" personId="{d5498dd3-4a64-46ce-9a8a-c831885a0249}" id="{8c824e4d-f441-490b-8d23-1004ceb5df21}" done="1">
    <x18tc:text xml:space="preserve">07/03</x18tc:text>
  </x18tc:threadedComment>
  <x18tc:threadedComment ref="A1" dT="2024-07-09T16:16:42.00" personId="{d5498dd3-4a64-46ce-9a8a-c831885a0249}" id="{58c5413f-c759-471f-914b-2b14ae8f4ae6}" done="1">
    <x18tc:text xml:space="preserve">08/15</x18tc:text>
  </x18tc:threadedComment>
  <x18tc:threadedComment ref="B176" dT="2024-07-09T16:26:21.00" personId="{d5498dd3-4a64-46ce-9a8a-c831885a0249}" id="{f59f33bd-36e8-47b5-92d0-8a2d17a75231}" done="1">
    <x18tc:text xml:space="preserve">David F.</x18tc:text>
  </x18tc:threadedComment>
  <x18tc:threadedComment ref="B50" dT="2024-07-09T16:26:42.00" personId="{d5498dd3-4a64-46ce-9a8a-c831885a0249}" id="{c7cf9164-8d5c-461f-930b-aeedf2974182}" done="0">
    <x18tc:text xml:space="preserve">Peter / Alex</x18tc:text>
  </x18tc:threadedComment>
  <x18tc:threadedComment ref="B51" dT="2024-07-09T16:26:48.00" personId="{d5498dd3-4a64-46ce-9a8a-c831885a0249}" id="{cebb556d-3a6d-4f19-9ab8-e369efebecdf}" done="0">
    <x18tc:text xml:space="preserve">Peter / Alex</x18tc:text>
  </x18tc:threadedComment>
  <x18tc:threadedComment ref="B59" dT="2024-07-09T16:27:02.00" personId="{d5498dd3-4a64-46ce-9a8a-c831885a0249}" id="{7215ed26-0224-44bd-89a3-eee0216def35}" done="0">
    <x18tc:text xml:space="preserve">Jacob S.</x18tc:text>
  </x18tc:threadedComment>
  <x18tc:threadedComment ref="B94" dT="2024-07-09T16:27:52.00" personId="{d5498dd3-4a64-46ce-9a8a-c831885a0249}" id="{70f4e24a-69a8-4259-96b4-890971a5df80}" done="1">
    <x18tc:text xml:space="preserve">Ivan / Jose</x18tc:text>
  </x18tc:threadedComment>
  <x18tc:threadedComment ref="B142" dT="2024-07-09T16:28:41.00" personId="{d5498dd3-4a64-46ce-9a8a-c831885a0249}" id="{1aaf19bc-5790-468b-bb17-2daeafe0a02d}" done="1">
    <x18tc:text xml:space="preserve">Angie / Ivan</x18tc:text>
  </x18tc:threadedComment>
  <x18tc:threadedComment ref="B149" dT="2024-07-09T16:28:51.00" personId="{d5498dd3-4a64-46ce-9a8a-c831885a0249}" id="{efd3fc38-ae19-4289-95fd-e4ab489ef4ba}" done="1">
    <x18tc:text xml:space="preserve">Angie / Ivan</x18tc:text>
  </x18tc:threadedComment>
  <x18tc:threadedComment ref="B153" dT="2024-07-09T16:29:03.00" personId="{d5498dd3-4a64-46ce-9a8a-c831885a0249}" id="{306c5384-a14d-466b-bd91-8f62d09bd67b}" done="1">
    <x18tc:text xml:space="preserve">David / Ivan</x18tc:text>
  </x18tc:threadedComment>
  <x18tc:threadedComment ref="B8" dT="2024-07-09T16:30:19.00" personId="{d5498dd3-4a64-46ce-9a8a-c831885a0249}" id="{dfee85e8-29e6-40f3-9e38-414f121cdb8a}" done="0">
    <x18tc:text xml:space="preserve">Angie / Ivan</x18tc:text>
  </x18tc:threadedComment>
  <x18tc:threadedComment ref="A1" dT="2024-07-09T16:31:02.00" personId="{d5498dd3-4a64-46ce-9a8a-c831885a0249}" id="{487362a4-2d48-49b7-8631-2a1c08a46408}" done="0">
    <x18tc:text xml:space="preserve">Peter / Alex</x18tc:text>
  </x18tc:threadedComment>
  <x18tc:threadedComment ref="A1" dT="2024-07-10T17:02:05.00" personId="{610be7ce-9288-4df9-9aac-427cc105bbe1}" id="{1ebfa6d9-09ec-4db1-98bc-4c1775d04a6a}" done="1">
    <x18tc:text xml:space="preserve">@admin@ipadjustinggroup.com
Assigned to admin@ipadjustinggroup.com</x18tc:text>
    <x18tc:mentions>
      <x18tc:mention mentionpersonId="{1ffc25a2-3f83-4ed1-a701-edf0aba99522}" mentionId="{69328766-b3ab-4707-9378-7cb477042ebc}" startIndex="0" length="27"/>
    </x18tc:mentions>
  </x18tc:threadedComment>
  <x18tc:threadedComment ref="A1" dT="2024-07-10T17:03:16.00" personId="{610be7ce-9288-4df9-9aac-427cc105bbe1}" id="{15ac3cdd-49e7-4362-b4a3-145e2fcd4c87}" done="0">
    <x18tc:text xml:space="preserve">@admin@ipadjustinggroup.com
Assigned to admin@ipadjustinggroup.com</x18tc:text>
    <x18tc:mentions>
      <x18tc:mention mentionpersonId="{1ffc25a2-3f83-4ed1-a701-edf0aba99522}" mentionId="{62df003b-2470-48cf-9d1f-74b3af81a05c}" startIndex="0" length="27"/>
    </x18tc:mentions>
  </x18tc:threadedComment>
  <x18tc:threadedComment ref="A1" dT="2024-07-10T17:04:14.00" personId="{d5498dd3-4a64-46ce-9a8a-c831885a0249}" id="{757e43d0-bcd0-47fe-a7c4-048d56b450ca}" parentId="{15ac3cdd-49e7-4362-b4a3-145e2fcd4c87}">
    <x18tc:text xml:space="preserve">Marked as done</x18tc:text>
  </x18tc:threadedComment>
  <x18tc:threadedComment ref="A1" dT="2024-07-10T18:46:29.00" personId="{610be7ce-9288-4df9-9aac-427cc105bbe1}" id="{960fae9c-736a-4186-8a84-de316d7f9f31}" parentId="{15ac3cdd-49e7-4362-b4a3-145e2fcd4c87}">
    <x18tc:text xml:space="preserve">POOOSI JAJAJ
Re-opened</x18tc:text>
  </x18tc:threadedComment>
  <x18tc:threadedComment ref="N189" dT="2024-07-10T21:45:31.00" personId="{d5498dd3-4a64-46ce-9a8a-c831885a0249}" id="{3bd83812-418a-4f94-b460-9170814552fa}" done="1">
    <x18tc:text xml:space="preserve">7/10 aprobado por ivan</x18tc:text>
  </x18tc:threadedComment>
  <x18tc:threadedComment ref="V153" dT="2024-07-12T20:07:54.00" personId="{d5498dd3-4a64-46ce-9a8a-c831885a0249}" id="{0f97371b-78cb-419b-a4f3-b77b55ea1883}" done="1">
    <x18tc:text xml:space="preserve">07/15 DA says the claim will be closed until we submit additional documentation (CM)</x18tc:text>
  </x18tc:threadedComment>
  <x18tc:threadedComment ref="A1" dT="2024-07-12T20:17:32.00" personId="{d5498dd3-4a64-46ce-9a8a-c831885a0249}" id="{62b608af-e83e-4545-9427-e3f70b27acbb}" done="0">
    <x18tc:text xml:space="preserve">06/13 ask Joshua about this claim and the other PA firm (CM)</x18tc:text>
  </x18tc:threadedComment>
  <x18tc:threadedComment ref="V161" dT="2024-07-12T20:19:24.00" personId="{d5498dd3-4a64-46ce-9a8a-c831885a0249}" id="{c2a5ac62-8016-4ecd-a688-88ac861d32b5}" done="1">
    <x18tc:text xml:space="preserve">07/09 received a letter, an additional payment has been issued to JD restorations, forwarded to PAs (CM)</x18tc:text>
  </x18tc:threadedComment>
  <x18tc:threadedComment ref="V192" dT="2024-07-15T14:25:19.00" personId="{d5498dd3-4a64-46ce-9a8a-c831885a0249}" id="{2da023aa-6c09-4440-81fd-a3429adef04a}" done="1">
    <x18tc:text xml:space="preserve">07/15 DA is asking for an updated W9, she also have some questions, sent to PAs (CM)</x18tc:text>
  </x18tc:threadedComment>
  <x18tc:threadedComment ref="A1" dT="2024-07-15T16:21:39.00" personId="{d5498dd3-4a64-46ce-9a8a-c831885a0249}" id="{f608ae9d-72ac-48be-a37b-5f0c3af95fe6}" done="1">
    <x18tc:text xml:space="preserve">08/15</x18tc:text>
  </x18tc:threadedComment>
  <x18tc:threadedComment ref="M189" dT="2024-07-15T15:32:09.00" personId="{d5498dd3-4a64-46ce-9a8a-c831885a0249}" id="{57e79fda-093e-4735-9321-94ab055a3617}" done="1">
    <x18tc:text xml:space="preserve">7/15 en espera q ivan decida si enviarmos el estimado
7/16 ENVIADO</x18tc:text>
  </x18tc:threadedComment>
  <x18tc:threadedComment ref="M146" dT="2024-07-15T15:40:17.00" personId="{d5498dd3-4a64-46ce-9a8a-c831885a0249}" id="{4375c538-c93d-4280-8ae3-fa5b291cc64f}" done="1">
    <x18tc:text xml:space="preserve">7/15 sent to carrier</x18tc:text>
  </x18tc:threadedComment>
  <x18tc:threadedComment ref="M145" dT="2024-07-15T15:44:13.00" personId="{d5498dd3-4a64-46ce-9a8a-c831885a0249}" id="{d870b729-e051-4469-a8c0-51f22ff0a7bf}" done="1">
    <x18tc:text xml:space="preserve">7/15 enviar con el estimado aprobado,tenemos una denial @jp.ipestimates@gmail.com y asvisame porfa tenq pedir mediacion</x18tc:text>
    <x18tc:mentions>
      <x18tc:mention mentionpersonId="{f5ec41ac-eb21-45bf-aaa5-f7dfbc04c8e9}" mentionId="{e5738db4-40e8-4a64-aafe-a5440c3959b5}" startIndex="56" length="25"/>
    </x18tc:mentions>
  </x18tc:threadedComment>
  <x18tc:threadedComment ref="M145" dT="2024-07-17T17:44:43.00" personId="{651ebe9d-f120-479c-8376-36973fff1cc1}" id="{64543e70-78d7-42e9-b060-bb059e2d1e6b}" parentId="{d870b729-e051-4469-a8c0-51f22ff0a7bf}">
    <x18tc:text xml:space="preserve">Hoy envie el estimado, estoy esperando q apruebe Peter</x18tc:text>
  </x18tc:threadedComment>
  <x18tc:threadedComment ref="M145" dT="2024-07-30T14:34:25.00" personId="{651ebe9d-f120-479c-8376-36973fff1cc1}" id="{8084bf08-f84d-47f9-aed3-43febff9c456}" parentId="{d870b729-e051-4469-a8c0-51f22ff0a7bf}">
    <x18tc:text xml:space="preserve">7/30 enviado al carrier</x18tc:text>
  </x18tc:threadedComment>
  <x18tc:threadedComment ref="V189" dT="2024-07-15T15:50:38.00" personId="{d5498dd3-4a64-46ce-9a8a-c831885a0249}" id="{ba725b27-1d00-4bcc-a2c0-7d3d607efdfb}" done="1">
    <x18tc:text xml:space="preserve">07/15 DA is asking for our estimate, asked Ivan if we send it because this is a new claim (CM)</x18tc:text>
  </x18tc:threadedComment>
  <x18tc:threadedComment ref="R174" dT="2024-07-15T16:04:24.00" personId="{d5498dd3-4a64-46ce-9a8a-c831885a0249}" id="{a93664c6-0892-48f9-8191-f2519ebafc80}" done="1">
    <x18tc:text xml:space="preserve">@scheduling@ipadjustinggroup.com They will assign DA after the IA is received
Assigned to scheduling@ipadjustinggroup.com</x18tc:text>
    <x18tc:mentions>
      <x18tc:mention mentionpersonId="{2c8ec519-d5db-42bb-a5e2-52abe8ff6abf}" mentionId="{fefa4c33-e59e-4fa9-b524-31aedc6712a5}" startIndex="0" length="32"/>
    </x18tc:mentions>
  </x18tc:threadedComment>
  <x18tc:threadedComment ref="R174" dT="2024-07-17T19:01:23.00" personId="{610be7ce-9288-4df9-9aac-427cc105bbe1}" id="{a09f59ff-deb6-4d87-ae4b-559a63da3374}" parentId="{a93664c6-0892-48f9-8191-f2519ebafc80}">
    <x18tc:text xml:space="preserve">Marked as done</x18tc:text>
  </x18tc:threadedComment>
  <x18tc:threadedComment ref="R174" dT="2024-07-19T14:30:00.00" personId="{610be7ce-9288-4df9-9aac-427cc105bbe1}" id="{bcb78f68-c9d4-4a90-a01e-5a6e72c5368f}" parentId="{a93664c6-0892-48f9-8191-f2519ebafc80}">
    <x18tc:text xml:space="preserve">Re-opened</x18tc:text>
  </x18tc:threadedComment>
  <x18tc:threadedComment ref="A1" dT="2024-07-15T18:12:57.00" personId="{d5498dd3-4a64-46ce-9a8a-c831885a0249}" id="{cf502a93-4e11-4eb7-826a-6c10b5a5b1d3}" done="0">
    <x18tc:text xml:space="preserve">08/07</x18tc:text>
  </x18tc:threadedComment>
  <x18tc:threadedComment ref="A1" dT="2024-07-15T18:37:07.00" personId="{d5498dd3-4a64-46ce-9a8a-c831885a0249}" id="{a9b6696b-71b5-4941-b222-9f80526f5b7d}" done="1">
    <x18tc:text xml:space="preserve">08/15</x18tc:text>
  </x18tc:threadedComment>
  <x18tc:threadedComment ref="A1" dT="2024-07-15T17:13:32.00" personId="{d5498dd3-4a64-46ce-9a8a-c831885a0249}" id="{daf3f06d-2650-4fcb-81bf-f34f4d164f3d}" done="1">
    <x18tc:text xml:space="preserve">08/15</x18tc:text>
  </x18tc:threadedComment>
  <x18tc:threadedComment ref="A1" dT="2024-07-15T17:20:35.00" personId="{d5498dd3-4a64-46ce-9a8a-c831885a0249}" id="{02bfca19-48a2-4645-a83f-f2cb4a3a7a90}" done="1">
    <x18tc:text xml:space="preserve">08/15</x18tc:text>
  </x18tc:threadedComment>
  <x18tc:threadedComment ref="A1" dT="2024-07-15T18:05:54.00" personId="{d5498dd3-4a64-46ce-9a8a-c831885a0249}" id="{9341e5c0-9333-445f-a7f2-d9f89e619408}" done="1">
    <x18tc:text xml:space="preserve">08/15</x18tc:text>
  </x18tc:threadedComment>
  <x18tc:threadedComment ref="A1" dT="2024-07-15T18:06:01.00" personId="{d5498dd3-4a64-46ce-9a8a-c831885a0249}" id="{68db4482-c688-4ce1-8608-b1dc5c3cbfbe}" done="1">
    <x18tc:text xml:space="preserve">08/15</x18tc:text>
  </x18tc:threadedComment>
  <x18tc:threadedComment ref="V169" dT="2024-07-15T18:07:53.00" personId="{d5498dd3-4a64-46ce-9a8a-c831885a0249}" id="{1d642280-df95-4fa9-b84a-7783c078f50e}" done="1">
    <x18tc:text xml:space="preserve">07/17 DA is requesting appraisal, asked PAs if they agree on it, and if I should ask Wilber if he agree on been the appraiser (CM)</x18tc:text>
  </x18tc:threadedComment>
  <x18tc:threadedComment ref="V175" dT="2024-07-15T18:56:44.00" personId="{d5498dd3-4a64-46ce-9a8a-c831885a0249}" id="{0c96329f-0818-4cb5-8369-e488f78e3d50}" done="1">
    <x18tc:text xml:space="preserve">07/08 carrier is requesting the plumbing invoice to continue with the claim process, asked Ivan via ws (CM)</x18tc:text>
  </x18tc:threadedComment>
  <x18tc:threadedComment ref="V176" dT="2024-07-15T18:57:12.00" personId="{d5498dd3-4a64-46ce-9a8a-c831885a0249}" id="{9a73ce4e-d46d-41b6-a062-46998f3b3b74}" done="1">
    <x18tc:text xml:space="preserve">07/03 Received a denial letter, asked how to proceed next (CM)</x18tc:text>
  </x18tc:threadedComment>
  <x18tc:threadedComment ref="N140" dT="2024-07-16T15:19:43.00" personId="{d5498dd3-4a64-46ce-9a8a-c831885a0249}" id="{b19844a8-6fb7-4d5c-b3c3-6f1c87f34813}" done="1">
    <x18tc:text xml:space="preserve">7/15 Joshua aprobo el estimado</x18tc:text>
  </x18tc:threadedComment>
  <x18tc:threadedComment ref="M140" dT="2024-07-16T15:20:12.00" personId="{d5498dd3-4a64-46ce-9a8a-c831885a0249}" id="{5dba16d0-5b4d-4683-be77-ba463f69a4f9}" done="1">
    <x18tc:text xml:space="preserve">7/15 esperando IA report</x18tc:text>
  </x18tc:threadedComment>
  <x18tc:threadedComment ref="M140" dT="2024-08-13T22:10:11.00" personId="{651ebe9d-f120-479c-8376-36973fff1cc1}" id="{d4c8d5c5-8b2e-48ec-b5b1-70e75e01f4a4}" parentId="{5dba16d0-5b4d-4683-be77-ba463f69a4f9}">
    <x18tc:text xml:space="preserve">8/13 enviado al DA con fotos @admin@ipadjustinggroup.com</x18tc:text>
    <x18tc:mentions>
      <x18tc:mention mentionpersonId="{1ffc25a2-3f83-4ed1-a701-edf0aba99522}" mentionId="{3bf1e071-7d62-45f9-9234-ab5113999b62}" startIndex="29" length="27"/>
    </x18tc:mentions>
  </x18tc:threadedComment>
  <x18tc:threadedComment ref="N185" dT="2024-07-16T15:30:16.00" personId="{d5498dd3-4a64-46ce-9a8a-c831885a0249}" id="{0b4d15f0-deff-4515-a5f2-a9943c8a97a0}" done="1">
    <x18tc:text xml:space="preserve">6/29 sent to Juan</x18tc:text>
  </x18tc:threadedComment>
  <x18tc:threadedComment ref="A1" dT="2024-07-16T13:10:24.00" personId="{610be7ce-9288-4df9-9aac-427cc105bbe1}" id="{862fe01b-52a2-4d62-b1b4-4cd37233c483}" done="0">
    <x18tc:text xml:space="preserve">07/16 FA will be reassigned. Conrad will be out of town.</x18tc:text>
  </x18tc:threadedComment>
  <x18tc:threadedComment ref="A113" dT="2024-07-17T12:51:30.00" personId="{d5498dd3-4a64-46ce-9a8a-c831885a0249}" id="{518050b0-9d42-4a6d-9c5d-df836bc1d338}" done="1">
    <x18tc:text xml:space="preserve">07/16 Peter will file NOI (cm) @scheduling@ipadjustinggroup.com</x18tc:text>
    <x18tc:mentions>
      <x18tc:mention mentionpersonId="{2c8ec519-d5db-42bb-a5e2-52abe8ff6abf}" mentionId="{3f0942d6-f1f3-432c-a14d-a95f6489414a}" startIndex="31" length="32"/>
    </x18tc:mentions>
  </x18tc:threadedComment>
  <x18tc:threadedComment ref="A121" dT="2024-07-17T12:52:15.00" personId="{d5498dd3-4a64-46ce-9a8a-c831885a0249}" id="{23105361-b868-46bd-ad1b-0f61e432d86e}" done="1">
    <x18tc:text xml:space="preserve">07/16 Day has to push the appraisal (CM) @scheduling@ipadjustinggroup.com</x18tc:text>
    <x18tc:mentions>
      <x18tc:mention mentionpersonId="{2c8ec519-d5db-42bb-a5e2-52abe8ff6abf}" mentionId="{336b1fe8-ebac-4626-9398-26c2c28a05ca}" startIndex="41" length="32"/>
    </x18tc:mentions>
  </x18tc:threadedComment>
  <x18tc:threadedComment ref="A130" dT="2024-07-17T12:52:51.00" personId="{d5498dd3-4a64-46ce-9a8a-c831885a0249}" id="{a708630c-a760-4fbf-92eb-45beeddf8ec0}" done="1">
    <x18tc:text xml:space="preserve">07/16 Peter will file NOI (cm) @scheduling@ipadjustinggroup.com</x18tc:text>
    <x18tc:mentions>
      <x18tc:mention mentionpersonId="{2c8ec519-d5db-42bb-a5e2-52abe8ff6abf}" mentionId="{e69d4c41-32eb-424e-b4df-6249aa84b656}" startIndex="31" length="32"/>
    </x18tc:mentions>
  </x18tc:threadedComment>
  <x18tc:threadedComment ref="M141" dT="2024-07-17T12:18:32.00" personId="{d5498dd3-4a64-46ce-9a8a-c831885a0249}" id="{540f4e00-f38b-44d5-9867-f6adab510901}" done="1">
    <x18tc:text xml:space="preserve">enviar a penas se tenga el estimado aprobado @jp.ipestimates@gmail.com y avisame porque tengo q pedir mediacion porfa</x18tc:text>
    <x18tc:mentions>
      <x18tc:mention mentionpersonId="{f5ec41ac-eb21-45bf-aaa5-f7dfbc04c8e9}" mentionId="{4cc60cd8-9413-4d1b-b603-ebcd775484ca}" startIndex="45" length="25"/>
    </x18tc:mentions>
  </x18tc:threadedComment>
  <x18tc:threadedComment ref="M141" dT="2024-11-05T14:21:14.00" personId="{651ebe9d-f120-479c-8376-36973fff1cc1}" id="{4397b754-5d6a-4b0d-95f4-f0d2ebd69641}" parentId="{540f4e00-f38b-44d5-9867-f6adab510901}">
    <x18tc:text xml:space="preserve">11/05 Sent estimate to DA and client. No picture file</x18tc:text>
  </x18tc:threadedComment>
  <x18tc:threadedComment ref="A176" dT="2024-07-17T12:50:20.00" personId="{d5498dd3-4a64-46ce-9a8a-c831885a0249}" id="{f0d98dfb-bdea-4f9d-975b-c1ed35786736}" done="1">
    <x18tc:text xml:space="preserve">noi @scheduling@ipadjustinggroup.com</x18tc:text>
    <x18tc:mentions>
      <x18tc:mention mentionpersonId="{2c8ec519-d5db-42bb-a5e2-52abe8ff6abf}" mentionId="{44fa427f-3e60-45be-ac8d-15203de8fe9f}" startIndex="4" length="32"/>
    </x18tc:mentions>
  </x18tc:threadedComment>
  <x18tc:threadedComment ref="A59" dT="2024-07-17T12:50:56.00" personId="{d5498dd3-4a64-46ce-9a8a-c831885a0249}" id="{afbdad98-b681-4605-8680-3959902efa65}" done="1">
    <x18tc:text xml:space="preserve">07/16 we are going umpire (CM) @scheduling@ipadjustinggroup.com</x18tc:text>
    <x18tc:mentions>
      <x18tc:mention mentionpersonId="{2c8ec519-d5db-42bb-a5e2-52abe8ff6abf}" mentionId="{52c3db9d-e4d3-4a67-a795-fee29f0f2ca5}" startIndex="31" length="32"/>
    </x18tc:mentions>
  </x18tc:threadedComment>
  <x18tc:threadedComment ref="A136" dT="2024-07-17T12:53:05.00" personId="{d5498dd3-4a64-46ce-9a8a-c831885a0249}" id="{eac99e58-b780-4ee9-9972-6914584e33f5}" done="1">
    <x18tc:text xml:space="preserve">07/16 Peter will file NOI (cm) @scheduling@ipadjustinggroup.com</x18tc:text>
    <x18tc:mentions>
      <x18tc:mention mentionpersonId="{2c8ec519-d5db-42bb-a5e2-52abe8ff6abf}" mentionId="{41199abb-13a8-4404-a08a-7f1cc19ec48a}" startIndex="31" length="32"/>
    </x18tc:mentions>
  </x18tc:threadedComment>
  <x18tc:threadedComment ref="A138" dT="2024-07-17T12:53:24.00" personId="{d5498dd3-4a64-46ce-9a8a-c831885a0249}" id="{0d209226-f8a4-428c-8834-ef54acd300d3}" done="1">
    <x18tc:text xml:space="preserve">07/16 Peter informs the claim is settled, payment pending (CM) @scheduling@ipadjustinggroup.com</x18tc:text>
    <x18tc:mentions>
      <x18tc:mention mentionpersonId="{2c8ec519-d5db-42bb-a5e2-52abe8ff6abf}" mentionId="{61160973-1a42-47ac-9be4-4bb539757117}" startIndex="63" length="32"/>
    </x18tc:mentions>
  </x18tc:threadedComment>
  <x18tc:threadedComment ref="A143" dT="2024-07-17T12:53:44.00" personId="{d5498dd3-4a64-46ce-9a8a-c831885a0249}" id="{d84bd03c-22d8-4d81-ad29-6679a7647550}" done="1">
    <x18tc:text xml:space="preserve">07/16 Peter will file NOI (cm) @scheduling@ipadjustinggroup.com</x18tc:text>
    <x18tc:mentions>
      <x18tc:mention mentionpersonId="{2c8ec519-d5db-42bb-a5e2-52abe8ff6abf}" mentionId="{1bdb55fd-2080-4c3e-a88d-da85dc572112}" startIndex="31" length="32"/>
    </x18tc:mentions>
  </x18tc:threadedComment>
  <x18tc:threadedComment ref="A151" dT="2024-07-17T12:54:22.00" personId="{d5498dd3-4a64-46ce-9a8a-c831885a0249}" id="{e93303bd-42d1-4b6d-ac23-599f167e4b08}" done="1">
    <x18tc:text xml:space="preserve">07/16 request mediation (CM) @scheduling@ipadjustinggroup.com</x18tc:text>
    <x18tc:mentions>
      <x18tc:mention mentionpersonId="{2c8ec519-d5db-42bb-a5e2-52abe8ff6abf}" mentionId="{822e9d0b-c48a-419c-90eb-5bab335bf086}" startIndex="29" length="32"/>
    </x18tc:mentions>
  </x18tc:threadedComment>
  <x18tc:threadedComment ref="A1" dT="2024-07-17T12:56:14.00" personId="{d5498dd3-4a64-46ce-9a8a-c831885a0249}" id="{8fef4d78-2a39-4c8a-90e5-7d6266e1ed3b}" done="1">
    <x18tc:text xml:space="preserve">07/16 Joshua needs to call the client to find out about the settlement with the other PA firm (CM) @scheduling@ipadjustinggroup.com</x18tc:text>
    <x18tc:mentions>
      <x18tc:mention mentionpersonId="{2c8ec519-d5db-42bb-a5e2-52abe8ff6abf}" mentionId="{aae93325-d4dd-4b30-86cb-7164f2a56bda}" startIndex="99" length="32"/>
    </x18tc:mentions>
  </x18tc:threadedComment>
  <x18tc:threadedComment ref="A159" dT="2024-07-17T12:56:25.00" personId="{d5498dd3-4a64-46ce-9a8a-c831885a0249}" id="{0eb1899a-afef-4c52-9020-829dde4c082f}" done="1">
    <x18tc:text xml:space="preserve">07/16 request mediation (CM) @scheduling@ipadjustinggroup.com</x18tc:text>
    <x18tc:mentions>
      <x18tc:mention mentionpersonId="{2c8ec519-d5db-42bb-a5e2-52abe8ff6abf}" mentionId="{7df1f50c-95f1-4ba0-aff8-6d7c2f0c01bc}" startIndex="29" length="32"/>
    </x18tc:mentions>
  </x18tc:threadedComment>
  <x18tc:threadedComment ref="A1" dT="2024-07-17T13:08:11.00" personId="{d5498dd3-4a64-46ce-9a8a-c831885a0249}" id="{1972fa03-1a4a-4a29-9449-366f48b08e21}" done="1">
    <x18tc:text xml:space="preserve">07/16 Peter sent to closed claims (CM) @scheduling@ipadjustinggroup.com</x18tc:text>
    <x18tc:mentions>
      <x18tc:mention mentionpersonId="{2c8ec519-d5db-42bb-a5e2-52abe8ff6abf}" mentionId="{df49eddc-1ee0-4f15-a079-7d405b8ba6ff}" startIndex="39" length="32"/>
    </x18tc:mentions>
  </x18tc:threadedComment>
  <x18tc:threadedComment ref="A1" dT="2024-07-17T13:08:26.00" personId="{d5498dd3-4a64-46ce-9a8a-c831885a0249}" id="{795c1d0d-0f98-47c0-bf65-794b8e6b0e98}" done="1">
    <x18tc:text xml:space="preserve">07/16 Peter sent to closed claims (CM) @scheduling@ipadjustinggroup.com</x18tc:text>
    <x18tc:mentions>
      <x18tc:mention mentionpersonId="{2c8ec519-d5db-42bb-a5e2-52abe8ff6abf}" mentionId="{41891546-4e2d-4c51-9407-0503d3ad76d0}" startIndex="39" length="32"/>
    </x18tc:mentions>
  </x18tc:threadedComment>
  <x18tc:threadedComment ref="A1" dT="2024-07-17T13:08:38.00" personId="{d5498dd3-4a64-46ce-9a8a-c831885a0249}" id="{e78ea263-8e86-491b-8911-906593b154f7}" done="1">
    <x18tc:text xml:space="preserve">07/16 Ivan sent to closed claims (CM) @scheduling@ipadjustinggroup.com</x18tc:text>
    <x18tc:mentions>
      <x18tc:mention mentionpersonId="{2c8ec519-d5db-42bb-a5e2-52abe8ff6abf}" mentionId="{d533f471-af89-4c8d-b593-8da5a12e1d35}" startIndex="38" length="32"/>
    </x18tc:mentions>
  </x18tc:threadedComment>
  <x18tc:threadedComment ref="M190" dT="2024-07-17T15:09:32.00" personId="{d5498dd3-4a64-46ce-9a8a-c831885a0249}" id="{9960ad7a-b93d-407d-820c-622e643ef4cb}" done="1">
    <x18tc:text xml:space="preserve">7/17 enviado</x18tc:text>
  </x18tc:threadedComment>
  <x18tc:threadedComment ref="N145" dT="2024-07-17T16:44:06.00" personId="{d5498dd3-4a64-46ce-9a8a-c831885a0249}" id="{ea292a34-8f9b-4fdf-b051-56b272da473e}" done="1">
    <x18tc:text xml:space="preserve">7/17 enviado a peter
7/30 follow a peter</x18tc:text>
  </x18tc:threadedComment>
  <x18tc:threadedComment ref="N145" dT="2024-07-30T14:28:38.00" personId="{651ebe9d-f120-479c-8376-36973fff1cc1}" id="{344260a6-5d41-4af4-bb56-569658ee6df5}" parentId="{ea292a34-8f9b-4fdf-b051-56b272da473e}">
    <x18tc:text xml:space="preserve">7/30 aprobado</x18tc:text>
  </x18tc:threadedComment>
  <x18tc:threadedComment ref="N90" dT="2024-07-17T17:39:10.00" personId="{d5498dd3-4a64-46ce-9a8a-c831885a0249}" id="{7475044e-b2f4-4987-8ff8-27e441c1f442}" done="0">
    <x18tc:text xml:space="preserve">7/17 enviado a peter</x18tc:text>
  </x18tc:threadedComment>
  <x18tc:threadedComment ref="N90" dT="2024-08-12T20:30:36.00" personId="{651ebe9d-f120-479c-8376-36973fff1cc1}" id="{6243ef24-2215-4a05-b6d2-2faa70dc64c5}" parentId="{7475044e-b2f4-4987-8ff8-27e441c1f442}">
    <x18tc:text xml:space="preserve">8/12 sent Peter an update for 25k</x18tc:text>
  </x18tc:threadedComment>
  <x18tc:threadedComment ref="N90" dT="2024-08-21T13:54:39.00" personId="{651ebe9d-f120-479c-8376-36973fff1cc1}" id="{a96a3df4-3f8b-44a6-9d2a-20f208257700}" parentId="{7475044e-b2f4-4987-8ff8-27e441c1f442}">
    <x18tc:text xml:space="preserve">8/20 Peter aprobo y pide enviar al carrier</x18tc:text>
  </x18tc:threadedComment>
  <x18tc:threadedComment ref="A145" dT="2024-07-17T20:49:02.00" personId="{d5498dd3-4a64-46ce-9a8a-c831885a0249}" id="{51b6b791-6ed9-4af0-9197-7fc563a096f7}" done="1">
    <x18tc:text xml:space="preserve">07/17 requested mediation @scheduling@ipadjustinggroup.com</x18tc:text>
    <x18tc:mentions>
      <x18tc:mention mentionpersonId="{2c8ec519-d5db-42bb-a5e2-52abe8ff6abf}" mentionId="{4b5938a6-24f8-4593-843b-2543e4402fa0}" startIndex="26" length="32"/>
    </x18tc:mentions>
  </x18tc:threadedComment>
  <x18tc:threadedComment ref="M90" dT="2024-07-17T20:52:26.00" personId="{d5498dd3-4a64-46ce-9a8a-c831885a0249}" id="{a0dd8c03-6452-44ec-8637-517da8b16cf0}" done="1">
    <x18tc:text xml:space="preserve">pregunta a Peter si mandas estimado una vez aprobado, es nuevo reclamo (estoy segura que te va a decir que si) igual me dejas saber porfa @jp.ipestimates@gmail.com
Assigned to jp.ipestimates@gmail.com</x18tc:text>
    <x18tc:mentions>
      <x18tc:mention mentionpersonId="{f5ec41ac-eb21-45bf-aaa5-f7dfbc04c8e9}" mentionId="{4666bbe7-e2f1-4fbc-a9e7-9fab23ca8b9b}" startIndex="138" length="25"/>
    </x18tc:mentions>
  </x18tc:threadedComment>
  <x18tc:threadedComment ref="M90" dT="2024-07-17T22:10:11.00" personId="{651ebe9d-f120-479c-8376-36973fff1cc1}" id="{cc3b554e-edc6-4726-b818-2d00d97c1829}" parentId="{a0dd8c03-6452-44ec-8637-517da8b16cf0}">
    <x18tc:text xml:space="preserve">ok te aviso a penas me apruebe</x18tc:text>
  </x18tc:threadedComment>
  <x18tc:threadedComment ref="M90" dT="2024-07-17T22:44:55.00" personId="{651ebe9d-f120-479c-8376-36973fff1cc1}" id="{ea51e094-feef-42c6-95b2-d07ae8bf1b03}" parentId="{a0dd8c03-6452-44ec-8637-517da8b16cf0}">
    <x18tc:text xml:space="preserve">simon jeje asi podemos trabajar si te parece Caito</x18tc:text>
  </x18tc:threadedComment>
  <x18tc:threadedComment ref="M90" dT="2024-07-18T17:14:12.00" personId="{651ebe9d-f120-479c-8376-36973fff1cc1}" id="{1fe750c0-8ed9-4bd8-863d-b7f58a033c8a}" parentId="{a0dd8c03-6452-44ec-8637-517da8b16cf0}">
    <x18tc:text xml:space="preserve">hola Carito :)</x18tc:text>
  </x18tc:threadedComment>
  <x18tc:threadedComment ref="M90" dT="2024-08-21T14:10:40.00" personId="{651ebe9d-f120-479c-8376-36973fff1cc1}" id="{32ef2709-04ed-41fb-a6db-d16e969edfa5}" parentId="{a0dd8c03-6452-44ec-8637-517da8b16cf0}">
    <x18tc:text xml:space="preserve">8/21 enviado al carrier y cliente @admin@ipadjustinggroup.com</x18tc:text>
    <x18tc:mentions>
      <x18tc:mention mentionpersonId="{1ffc25a2-3f83-4ed1-a701-edf0aba99522}" mentionId="{38c2a4c8-b7f0-4825-8f5c-c62d0da5ff85}" startIndex="34" length="27"/>
    </x18tc:mentions>
  </x18tc:threadedComment>
  <x18tc:threadedComment ref="N166" dT="2024-07-17T22:45:37.00" personId="{d5498dd3-4a64-46ce-9a8a-c831885a0249}" id="{e18a4679-c90c-407e-b230-9753d67f98cb}" done="1">
    <x18tc:text xml:space="preserve">7/17 enviado a Juan
7/24 aprobado por juan</x18tc:text>
  </x18tc:threadedComment>
  <x18tc:threadedComment ref="M166" dT="2024-07-17T22:46:23.00" personId="{d5498dd3-4a64-46ce-9a8a-c831885a0249}" id="{14b2248e-8daa-4eb8-a417-7661e7ff8802}" done="1">
    <x18tc:text xml:space="preserve">7/24 enviado al carrier, sin fotos.
7/17 enviar a penas apruebe Juan, es re-open
y enviar el SPOL porque estan pidiendo con angustia (CM) @jp.ipestimates@gmail.com</x18tc:text>
    <x18tc:mentions>
      <x18tc:mention mentionpersonId="{f5ec41ac-eb21-45bf-aaa5-f7dfbc04c8e9}" mentionId="{9f4855cd-f736-4e75-931e-1dbfd434d161}" startIndex="140" length="25"/>
    </x18tc:mentions>
  </x18tc:threadedComment>
  <x18tc:threadedComment ref="M166" dT="2024-07-23T13:16:52.00" personId="{d5498dd3-4a64-46ce-9a8a-c831885a0249}" id="{7c89c985-32df-4dc8-aab8-8dac6e22f07d}" parentId="{14b2248e-8daa-4eb8-a417-7661e7ff8802}">
    <x18tc:text xml:space="preserve">ya lo hago</x18tc:text>
  </x18tc:threadedComment>
  <x18tc:threadedComment ref="M166" dT="2024-07-23T13:24:59.00" personId="{651ebe9d-f120-479c-8376-36973fff1cc1}" id="{0519d920-6d40-415f-b71d-6c7c3890468e}" parentId="{14b2248e-8daa-4eb8-a417-7661e7ff8802}">
    <x18tc:text xml:space="preserve">Carito, necesito la poliza, la tienes?</x18tc:text>
  </x18tc:threadedComment>
  <x18tc:threadedComment ref="A156" dT="2024-07-17T23:24:46.00" personId="{d5498dd3-4a64-46ce-9a8a-c831885a0249}" id="{5b01c7fe-965c-49f4-9fb9-d908f792ef6d}" done="1">
    <x18tc:text xml:space="preserve">07/17 asked Wilber if he want to take this claim for the appraisal (CM) @scheduling@ipadjustinggroup.com
Assigned to scheduling@ipadjustinggroup.com</x18tc:text>
    <x18tc:mentions>
      <x18tc:mention mentionpersonId="{2c8ec519-d5db-42bb-a5e2-52abe8ff6abf}" mentionId="{a4973bfc-38da-4c84-a6a2-c4e01c14b953}" startIndex="72" length="32"/>
    </x18tc:mentions>
  </x18tc:threadedComment>
  <x18tc:threadedComment ref="A161" dT="2024-07-17T23:25:00.00" personId="{d5498dd3-4a64-46ce-9a8a-c831885a0249}" id="{5f91f646-f257-434f-bc14-ea2e6c6b06dd}" done="1">
    <x18tc:text xml:space="preserve">07/17 asked Wilber if he want to take this claim for the appraisal (CM) @scheduling@ipadjustinggroup.com</x18tc:text>
    <x18tc:mentions>
      <x18tc:mention mentionpersonId="{2c8ec519-d5db-42bb-a5e2-52abe8ff6abf}" mentionId="{bc546e58-47b0-49f6-8baa-e11dfbce2dbd}" startIndex="72" length="32"/>
    </x18tc:mentions>
  </x18tc:threadedComment>
  <x18tc:threadedComment ref="V99" dT="2024-07-20T13:46:52.00" personId="{d5498dd3-4a64-46ce-9a8a-c831885a0249}" id="{96cfed26-370a-4fe6-acff-92a2ad7fb6d3}" done="1">
    <x18tc:text xml:space="preserve">07/22 DA is offering 14k for Jose Hernandez (CM)
@ivan@ipadjustinggroup.com @peter@ipadjustinggroup.com</x18tc:text>
    <x18tc:mentions>
      <x18tc:mention mentionpersonId="{b266a086-4b60-4ebe-b1c0-272efe0833b6}" mentionId="{e0957633-e3f5-43af-af42-07d7477c0b03}" startIndex="50" length="26"/>
      <x18tc:mention mentionpersonId="{a90e7136-7222-4115-902b-b36ed88b071a}" mentionId="{41223588-66da-47c4-9303-f6ee93c17750}" startIndex="77" length="27"/>
    </x18tc:mentions>
  </x18tc:threadedComment>
  <x18tc:threadedComment ref="V140" dT="2024-07-20T13:55:44.00" personId="{d5498dd3-4a64-46ce-9a8a-c831885a0249}" id="{09e3768b-efce-41db-bf5f-d2f37a552e4c}" done="1">
    <x18tc:text xml:space="preserve">08/12 The FA informs she is working on the estimate, she is asking for the measurements of the interior (CM) @joshua@ipadjustinggroup.com</x18tc:text>
    <x18tc:mentions>
      <x18tc:mention mentionpersonId="{0ded1b8b-4eea-4335-8538-9d68812f3531}" mentionId="{312dc521-2017-4a86-8245-50419ff6e3a4}" startIndex="109" length="28"/>
    </x18tc:mentions>
  </x18tc:threadedComment>
  <x18tc:threadedComment ref="V161" dT="2024-07-20T14:05:40.00" personId="{d5498dd3-4a64-46ce-9a8a-c831885a0249}" id="{170de5af-9552-42ab-8573-a4769356949b}" done="1">
    <x18tc:text xml:space="preserve">07/22 Ivan is asking 45k to settle (CM)</x18tc:text>
  </x18tc:threadedComment>
  <x18tc:threadedComment ref="A165" dT="2024-07-20T14:27:41.00" personId="{d5498dd3-4a64-46ce-9a8a-c831885a0249}" id="{51fc16dc-5ff5-45e5-a8c1-51e23500748d}" done="1">
    <x18tc:text xml:space="preserve">07/20 requested mediation (CM) @scheduling@ipadjustinggroup.com</x18tc:text>
    <x18tc:mentions>
      <x18tc:mention mentionpersonId="{2c8ec519-d5db-42bb-a5e2-52abe8ff6abf}" mentionId="{aca5e789-6f71-4077-8980-2c9fcb0adbfd}" startIndex="31" length="32"/>
    </x18tc:mentions>
  </x18tc:threadedComment>
  <x18tc:threadedComment ref="C180" dT="2024-07-26T13:15:54.00" personId="{d5498dd3-4a64-46ce-9a8a-c831885a0249}" id="{ada5d2d5-333c-4713-8f49-5ea648a19b7a}" done="1">
    <x18tc:text xml:space="preserve">@admin@ipadjustinggroup.com Carito este numero de CW no corresponde a este cliente, porfa revisa. JP</x18tc:text>
    <x18tc:mentions>
      <x18tc:mention mentionpersonId="{1ffc25a2-3f83-4ed1-a701-edf0aba99522}" mentionId="{70647b00-ed05-4dd0-9b9f-8a1d031a400d}" startIndex="0" length="27"/>
    </x18tc:mentions>
  </x18tc:threadedComment>
  <x18tc:threadedComment ref="N179" dT="2024-07-26T13:50:59.00" personId="{d5498dd3-4a64-46ce-9a8a-c831885a0249}" id="{a347cd5a-a038-40d7-af49-a409483ae7e8}" done="1">
    <x18tc:text xml:space="preserve">7/29 sent to Juan for approval</x18tc:text>
  </x18tc:threadedComment>
  <x18tc:threadedComment ref="N179" dT="2024-08-15T20:20:21.00" personId="{651ebe9d-f120-479c-8376-36973fff1cc1}" id="{b6c4492e-56dc-4fc8-8477-1e5e6eb5df70}" parentId="{a347cd5a-a038-40d7-af49-a409483ae7e8}">
    <x18tc:text xml:space="preserve">8/15 pedi a juan q apruebe</x18tc:text>
  </x18tc:threadedComment>
  <x18tc:threadedComment ref="N179" dT="2024-08-16T17:35:13.00" personId="{d5498dd3-4a64-46ce-9a8a-c831885a0249}" id="{af5b2949-b25c-4a26-85ae-771fbb28a375}" parentId="{a347cd5a-a038-40d7-af49-a409483ae7e8}">
    <x18tc:text xml:space="preserve">08/16 sent estimate and pictures to carrier (CM)</x18tc:text>
  </x18tc:threadedComment>
  <x18tc:threadedComment ref="M179" dT="2024-07-26T13:51:36.00" personId="{d5498dd3-4a64-46ce-9a8a-c831885a0249}" id="{a5abef4c-82ea-4b92-8e9d-ade9b7d8f3f9}" done="1">
    <x18tc:text xml:space="preserve">enviar cuando apruebe juan
08/16 sent estimate and pictures to carrier (CM)</x18tc:text>
  </x18tc:threadedComment>
  <x18tc:threadedComment ref="O190" dT="2024-07-26T13:54:34.00" personId="{d5498dd3-4a64-46ce-9a8a-c831885a0249}" id="{8cf8aee0-52f6-4126-b54f-72ff931b4666}" done="1">
    <x18tc:text xml:space="preserve">estan pidiendo el SPOL (CM)
7/26 enviado al cliente (JP) @admin@ipadjustinggroup.com
08/13 sent spol to carrier (CM)</x18tc:text>
    <x18tc:mentions>
      <x18tc:mention mentionpersonId="{1ffc25a2-3f83-4ed1-a701-edf0aba99522}" mentionId="{6d7426fa-f7a6-4363-8960-af39307dfb91}" startIndex="57" length="27"/>
    </x18tc:mentions>
  </x18tc:threadedComment>
  <x18tc:threadedComment ref="O146" dT="2024-07-31T03:30:27.00" personId="{651ebe9d-f120-479c-8376-36973fff1cc1}" id="{7ebdd82c-41ce-49ec-8188-11ae4dc1b748}" done="0">
    <x18tc:text xml:space="preserve">7/30 sent to client</x18tc:text>
  </x18tc:threadedComment>
  <x18tc:threadedComment ref="V159" dT="2024-07-30T01:13:47.00" personId="{d5498dd3-4a64-46ce-9a8a-c831885a0249}" id="{7f6dcb74-b3f6-4653-a766-2c016c73db8f}" done="1">
    <x18tc:text xml:space="preserve">08/07 asked her to sign the SPOL, she told me that she spoke with Juan about the estimate, she want a correct estimate before the mediation</x18tc:text>
  </x18tc:threadedComment>
  <x18tc:threadedComment ref="V165" dT="2024-07-30T01:28:55.00" personId="{d5498dd3-4a64-46ce-9a8a-c831885a0249}" id="{bff42558-fee6-4b87-964c-2adf11ff381c}" done="1">
    <x18tc:text xml:space="preserve">07/30 followed up on the SPOL with the client (CM)</x18tc:text>
  </x18tc:threadedComment>
  <x18tc:threadedComment ref="N191" dT="2024-08-01T01:13:19.00" personId="{651ebe9d-f120-479c-8376-36973fff1cc1}" id="{25dcc6ff-d28d-4036-a3cf-926063286cff}" done="1">
    <x18tc:text xml:space="preserve">7/31 sent to Ivan
8/06 ivan approved</x18tc:text>
  </x18tc:threadedComment>
  <x18tc:threadedComment ref="N197" dT="2024-08-03T13:48:41.00" personId="{651ebe9d-f120-479c-8376-36973fff1cc1}" id="{3ecbbd61-c057-43dd-adfd-e27482c48ff5}" done="1">
    <x18tc:text xml:space="preserve">8/03 sent to Ivan
8/05 ivan approved</x18tc:text>
  </x18tc:threadedComment>
  <x18tc:threadedComment ref="O155" dT="2024-08-03T14:25:49.00" personId="{651ebe9d-f120-479c-8376-36973fff1cc1}" id="{bf6d9350-d656-4400-95ed-5e61194840a6}" done="1">
    <x18tc:text xml:space="preserve">8/03 sent to client</x18tc:text>
  </x18tc:threadedComment>
  <x18tc:threadedComment ref="O158" dT="2024-08-03T14:49:27.00" personId="{651ebe9d-f120-479c-8376-36973fff1cc1}" id="{82631492-464a-4415-858a-451530f9e3ff}" done="1">
    <x18tc:text xml:space="preserve">8/03 sent to client</x18tc:text>
  </x18tc:threadedComment>
  <x18tc:threadedComment ref="O158" dT="2024-08-27T18:56:14.00" personId="{d5498dd3-4a64-46ce-9a8a-c831885a0249}" id="{d372aef8-5f35-428c-8b9b-d9f80124064a}" parentId="{82631492-464a-4415-858a-451530f9e3ff}">
    <x18tc:text xml:space="preserve">08/27 Sent the spol to tower hill (CM)</x18tc:text>
  </x18tc:threadedComment>
  <x18tc:threadedComment ref="O196" dT="2024-08-03T15:01:06.00" personId="{651ebe9d-f120-479c-8376-36973fff1cc1}" id="{8fb3cde6-f433-4672-be44-d599fa630b25}" done="1">
    <x18tc:text xml:space="preserve">8/03 sent SPOL to the client to sign.
8/08 sent updated to client added husband name</x18tc:text>
  </x18tc:threadedComment>
  <x18tc:threadedComment ref="O196" dT="2024-08-08T01:38:30.00" personId="{d5498dd3-4a64-46ce-9a8a-c831885a0249}" id="{0b875c76-963a-4d4e-b1fe-b1a4b4b323e6}" parentId="{8fb3cde6-f433-4672-be44-d599fa630b25}">
    <x18tc:text xml:space="preserve">08/08 received the spol notarized, asked Joshua if he wants to send this claim anyways as this is a new claim (CM)</x18tc:text>
  </x18tc:threadedComment>
  <x18tc:threadedComment ref="O196" dT="2024-08-27T16:45:40.00" personId="{651ebe9d-f120-479c-8376-36973fff1cc1}" id="{0d789a21-ce8e-4d49-836e-46bc56f4d6e3}" parentId="{8fb3cde6-f433-4672-be44-d599fa630b25}">
    <x18tc:text xml:space="preserve">enaviado al cliente para que firme @admin@ipadjustinggroup.com</x18tc:text>
    <x18tc:mentions>
      <x18tc:mention mentionpersonId="{1ffc25a2-3f83-4ed1-a701-edf0aba99522}" mentionId="{6839679b-091d-4f0c-a3b4-be160e8ada55}" startIndex="35" length="27"/>
    </x18tc:mentions>
  </x18tc:threadedComment>
  <x18tc:threadedComment ref="O182" dT="2024-08-03T15:32:05.00" personId="{651ebe9d-f120-479c-8376-36973fff1cc1}" id="{7b6f1113-37b8-4339-b9b3-32b23c7eb2e5}" done="0">
    <x18tc:text xml:space="preserve">8/03 resquest b. spol</x18tc:text>
  </x18tc:threadedComment>
  <x18tc:threadedComment ref="O189" dT="2024-08-03T15:49:25.00" personId="{651ebe9d-f120-479c-8376-36973fff1cc1}" id="{7ac62fc6-68bd-4551-b8c2-8435761e85a7}" done="1">
    <x18tc:text xml:space="preserve">8/03 sent to client</x18tc:text>
  </x18tc:threadedComment>
  <x18tc:threadedComment ref="O189" dT="2024-08-05T18:49:32.00" personId="{d5498dd3-4a64-46ce-9a8a-c831885a0249}" id="{73680eaf-85ea-4d62-b87a-c08a3463add8}" parentId="{7ac62fc6-68bd-4551-b8c2-8435761e85a7}">
    <x18tc:text xml:space="preserve">08/07 sent to Sarah to get it notarize (CM)
08/07 sent to Insurance company (CM)</x18tc:text>
  </x18tc:threadedComment>
  <x18tc:threadedComment ref="A1" dT="2024-07-31T13:37:03.00" personId="{d5498dd3-4a64-46ce-9a8a-c831885a0249}" id="{c2e0a62a-5e7c-46da-aa8a-c47483c8c500}" done="0">
    <x18tc:text xml:space="preserve">07/30 assurant says the client didn't have an active policy with them on the DOL (CM)</x18tc:text>
  </x18tc:threadedComment>
  <x18tc:threadedComment ref="A1" dT="2024-10-07T17:10:03.00" personId="{d5498dd3-4a64-46ce-9a8a-c831885a0249}" id="{2854d2c8-5bfe-4bd8-b83d-aa2c5109f162}" parentId="{c2e0a62a-5e7c-46da-aa8a-c47483c8c500}">
    <x18tc:text xml:space="preserve">09/30 JD is following up on this claim as there is pending payments, informed about the issue with the policy (CM)</x18tc:text>
  </x18tc:threadedComment>
  <x18tc:threadedComment ref="N196" dT="2024-08-01T23:21:30.00" personId="{651ebe9d-f120-479c-8376-36973fff1cc1}" id="{950bdd1f-3901-4806-84d7-ba21d9a81df0}" done="1">
    <x18tc:text xml:space="preserve">8/01 aprobado por Joshua</x18tc:text>
  </x18tc:threadedComment>
  <x18tc:threadedComment ref="M196" dT="2024-08-01T23:22:03.00" personId="{651ebe9d-f120-479c-8376-36973fff1cc1}" id="{2dd8fa11-a658-4e82-ae01-eddc19a3e965}" done="1">
    <x18tc:text xml:space="preserve">esperar IA report</x18tc:text>
  </x18tc:threadedComment>
  <x18tc:threadedComment ref="M196" dT="2024-08-28T17:26:45.00" personId="{651ebe9d-f120-479c-8376-36973fff1cc1}" id="{a39c0c0c-7266-494f-883c-db67bff73513}" parentId="{2dd8fa11-a658-4e82-ae01-eddc19a3e965}">
    <x18tc:text xml:space="preserve">8/28 sent (CM)</x18tc:text>
  </x18tc:threadedComment>
  <x18tc:threadedComment ref="N192" dT="2024-07-31T21:36:21.00" personId="{651ebe9d-f120-479c-8376-36973fff1cc1}" id="{ee009268-97aa-401b-bfb5-813f5b32d4be}" done="1">
    <x18tc:text xml:space="preserve">7/31 enviado a ivan
8/05 ivan approved</x18tc:text>
  </x18tc:threadedComment>
  <x18tc:threadedComment ref="O181" dT="2024-07-31T20:39:21.00" personId="{d5498dd3-4a64-46ce-9a8a-c831885a0249}" id="{9cb051b9-f0d2-480c-a651-5da5d107c18e}" done="1">
    <x18tc:text xml:space="preserve">07/31 in cw there is a SPOL to be completed, this was sent by the DA (cm)</x18tc:text>
  </x18tc:threadedComment>
  <x18tc:threadedComment ref="O173" dT="2024-08-02T02:13:04.00" personId="{d5498dd3-4a64-46ce-9a8a-c831885a0249}" id="{5278b607-41dc-4aba-971c-42386d69dc95}" done="1">
    <x18tc:text xml:space="preserve">08/02 sent to client the spol that the carrier sent to us to get it signed and notarized (CM)</x18tc:text>
  </x18tc:threadedComment>
  <x18tc:threadedComment ref="O173" dT="2024-08-13T22:49:39.00" personId="{d5498dd3-4a64-46ce-9a8a-c831885a0249}" id="{5812274d-bdd1-4ee2-a939-2bf59a1081a2}" parentId="{5278b607-41dc-4aba-971c-42386d69dc95}">
    <x18tc:text xml:space="preserve">08/13 Jakey sent the SPOL and drivers license to get this one notarized (CM)</x18tc:text>
  </x18tc:threadedComment>
  <x18tc:threadedComment ref="M202" dT="2024-08-26T15:31:49.00" personId="{651ebe9d-f120-479c-8376-36973fff1cc1}" id="{a317fc65-cbfb-40fe-962a-6936098dcef1}" done="1">
    <x18tc:text xml:space="preserve">8/26 enviado al DA y cliente</x18tc:text>
  </x18tc:threadedComment>
  <x18tc:threadedComment ref="A187" dT="2024-08-26T20:15:05.00" personId="{d5498dd3-4a64-46ce-9a8a-c831885a0249}" id="{2fe54859-cf6b-410f-b319-38ddee5eac92}" done="1">
    <x18tc:text xml:space="preserve">08/26 requested appraisal with Wilber info (CM) @scheduling@ipadjustinggroup.com</x18tc:text>
    <x18tc:mentions>
      <x18tc:mention mentionpersonId="{2c8ec519-d5db-42bb-a5e2-52abe8ff6abf}" mentionId="{100491c3-07f2-4b6f-9966-d58c0870806d}" startIndex="48" length="32"/>
    </x18tc:mentions>
  </x18tc:threadedComment>
  <x18tc:threadedComment ref="V180" dT="2024-08-26T20:29:40.00" personId="{d5498dd3-4a64-46ce-9a8a-c831885a0249}" id="{8621c7a6-c044-4865-983c-d6c9afcf479e}" done="1">
    <x18tc:text xml:space="preserve">08/26received the previous IA report, and coverage letter, asked PAs to review it (CM)</x18tc:text>
  </x18tc:threadedComment>
  <x18tc:threadedComment ref="B45" dT="2024-08-21T18:35:07.00" personId="{d5498dd3-4a64-46ce-9a8a-c831885a0249}" id="{5df8bbf6-258e-4609-8127-2e5c36368502}" done="0">
    <x18tc:text xml:space="preserve">Jose Picado</x18tc:text>
  </x18tc:threadedComment>
  <x18tc:threadedComment ref="O202" dT="2024-08-21T17:19:45.00" personId="{651ebe9d-f120-479c-8376-36973fff1cc1}" id="{b3b5520c-60f1-4ab4-81e5-2ec0a9b16937}" done="1">
    <x18tc:text xml:space="preserve">8/21 listo en el drive, ivan dice q se envie 8/29</x18tc:text>
  </x18tc:threadedComment>
  <x18tc:threadedComment ref="O199" dT="2024-08-21T18:06:45.00" personId="{d5498dd3-4a64-46ce-9a8a-c831885a0249}" id="{84e79a64-f659-4f98-a9e0-e91b41eaa6c3}" done="1">
    <x18tc:text xml:space="preserve">@jp.ipestimates@gmail.com 08/21 te mande el spol vacio para completar por pedido de la DA</x18tc:text>
    <x18tc:mentions>
      <x18tc:mention mentionpersonId="{f5ec41ac-eb21-45bf-aaa5-f7dfbc04c8e9}" mentionId="{e789d9bb-8858-4586-8adf-881bf68ba28e}" startIndex="0" length="25"/>
    </x18tc:mentions>
  </x18tc:threadedComment>
  <x18tc:threadedComment ref="V199" dT="2024-08-21T18:08:14.00" personId="{d5498dd3-4a64-46ce-9a8a-c831885a0249}" id="{b7b3bdb7-b281-4dea-91f8-4cac557672ef}" done="1">
    <x18tc:text xml:space="preserve">08/21 DA is asking for the estimate, photos and SPOL, says this claim was settled (CM)</x18tc:text>
  </x18tc:threadedComment>
  <x18tc:threadedComment ref="A1" dT="2024-08-21T18:19:35.00" personId="{d5498dd3-4a64-46ce-9a8a-c831885a0249}" id="{8d9faf76-373a-455b-aa32-fefb7660ebeb}" done="0">
    <x18tc:text xml:space="preserve">08/07 Joshua said that the client informed that she is still waiting for approval for her new loan. Once that's done Joshua will send the correct information. (CM)</x18tc:text>
  </x18tc:threadedComment>
  <x18tc:threadedComment ref="V146" dT="2024-08-21T18:19:59.00" personId="{d5498dd3-4a64-46ce-9a8a-c831885a0249}" id="{1a435d55-e5b3-4c5a-981b-120b31ae6659}" done="1">
    <x18tc:text xml:space="preserve">08/15 Peter is consulting the attorneys for this claim (CM)</x18tc:text>
  </x18tc:threadedComment>
  <x18tc:threadedComment ref="V159" dT="2024-08-21T18:24:10.00" personId="{d5498dd3-4a64-46ce-9a8a-c831885a0249}" id="{22fe971d-1982-4cf1-a3ea-9e72ba1e93ba}" done="1">
    <x18tc:text xml:space="preserve">08/20 asked Stephen Forker if he wants to take this appraisal (CM)</x18tc:text>
  </x18tc:threadedComment>
  <x18tc:threadedComment ref="M174" dT="2024-08-21T20:58:06.00" personId="{d5498dd3-4a64-46ce-9a8a-c831885a0249}" id="{fc927cf4-b901-48e3-8cba-fa62d5fa256c}" done="1">
    <x18tc:text xml:space="preserve">@jp.ipestimates@gmail.com mandar estimado</x18tc:text>
    <x18tc:mentions>
      <x18tc:mention mentionpersonId="{f5ec41ac-eb21-45bf-aaa5-f7dfbc04c8e9}" mentionId="{c386049a-d391-4254-b1b2-e22b99a7aa60}" startIndex="0" length="25"/>
    </x18tc:mentions>
  </x18tc:threadedComment>
  <x18tc:threadedComment ref="M174" dT="2024-08-26T15:20:08.00" personId="{651ebe9d-f120-479c-8376-36973fff1cc1}" id="{7bb09de6-7305-49e8-9677-c8b7da1847e3}" parentId="{fc927cf4-b901-48e3-8cba-fa62d5fa256c}">
    <x18tc:text xml:space="preserve">8/26 enviado al carrier y cliente @admin@ipadjustinggroup.com</x18tc:text>
    <x18tc:mentions>
      <x18tc:mention mentionpersonId="{1ffc25a2-3f83-4ed1-a701-edf0aba99522}" mentionId="{2482ff8f-1362-40c4-a021-d96940cf1a88}" startIndex="34" length="27"/>
    </x18tc:mentions>
  </x18tc:threadedComment>
  <x18tc:threadedComment ref="M203" dT="2024-08-21T22:14:19.00" personId="{d5498dd3-4a64-46ce-9a8a-c831885a0249}" id="{3485c2b0-2e9e-47f6-8016-ab11e2bb7181}" done="1">
    <x18tc:text xml:space="preserve">mandar estimado @jp.ipestimates@gmail.com</x18tc:text>
    <x18tc:mentions>
      <x18tc:mention mentionpersonId="{f5ec41ac-eb21-45bf-aaa5-f7dfbc04c8e9}" mentionId="{8bf2111f-ed34-4dce-836e-c34c5bf6788d}" startIndex="16" length="25"/>
    </x18tc:mentions>
  </x18tc:threadedComment>
  <x18tc:threadedComment ref="M203" dT="2024-08-22T21:37:06.00" personId="{d5498dd3-4a64-46ce-9a8a-c831885a0249}" id="{8a1089f5-a23f-45a9-aedb-1d59c9239bd5}" parentId="{3485c2b0-2e9e-47f6-8016-ab11e2bb7181}">
    <x18tc:text xml:space="preserve">ya mande yo (CM)</x18tc:text>
  </x18tc:threadedComment>
  <x18tc:threadedComment ref="M203" dT="2024-08-23T15:46:33.00" personId="{651ebe9d-f120-479c-8376-36973fff1cc1}" id="{2a88c52a-b1a6-445c-9c3e-ec993206d678}" parentId="{3485c2b0-2e9e-47f6-8016-ab11e2bb7181}">
    <x18tc:text xml:space="preserve">ok</x18tc:text>
  </x18tc:threadedComment>
  <x18tc:threadedComment ref="A187" dT="2024-08-21T21:38:25.00" personId="{d5498dd3-4a64-46ce-9a8a-c831885a0249}" id="{ff2ac651-f4f9-4ecd-b030-cc45902ca126}" done="1">
    <x18tc:text xml:space="preserve">08/16 Ivan asked me to send docs to Stephen Forker, waiting for his estimate (CM)</x18tc:text>
  </x18tc:threadedComment>
  <x18tc:threadedComment ref="A1" dT="2024-08-22T15:15:14.00" personId="{d5498dd3-4a64-46ce-9a8a-c831885a0249}" id="{3fb4029b-2c32-4e13-9376-e6c94d485397}" done="1">
    <x18tc:text xml:space="preserve">08/22 Donald Gordon is going to Closed claims @scheduling@ipadjustinggroup.com @sarah@ipadjustinggroup.com
Assigned to scheduling@ipadjustinggroup.com</x18tc:text>
    <x18tc:mentions>
      <x18tc:mention mentionpersonId="{2c8ec519-d5db-42bb-a5e2-52abe8ff6abf}" mentionId="{0b7bbae2-4d5f-4a27-a902-05cc439fbc63}" startIndex="46" length="32"/>
      <x18tc:mention mentionpersonId="{96de1e6f-5074-4371-82e1-7da1ab62b8e3}" mentionId="{7abbd612-dfd5-4017-9a08-79ebafda3a74}" startIndex="79" length="27"/>
    </x18tc:mentions>
  </x18tc:threadedComment>
  <x18tc:threadedComment ref="A154" dT="2024-08-22T15:24:38.00" personId="{d5498dd3-4a64-46ce-9a8a-c831885a0249}" id="{f88be9b4-7aa0-43af-aff7-fda5b68b53ae}" done="1">
    <x18tc:text xml:space="preserve">08/22 request mediation (CM) @scheduling@ipadjustinggroup.com</x18tc:text>
    <x18tc:mentions>
      <x18tc:mention mentionpersonId="{2c8ec519-d5db-42bb-a5e2-52abe8ff6abf}" mentionId="{902d1c17-611a-4abd-84a7-493f3bf04ea1}" startIndex="29" length="32"/>
    </x18tc:mentions>
  </x18tc:threadedComment>
  <x18tc:threadedComment ref="A168" dT="2024-08-22T15:30:33.00" personId="{d5498dd3-4a64-46ce-9a8a-c831885a0249}" id="{078f112a-c396-4337-bcdc-af88af15e7e8}" done="1">
    <x18tc:text xml:space="preserve">08/22 request mediation (CM) @scheduling@ipadjustinggroup.com</x18tc:text>
    <x18tc:mentions>
      <x18tc:mention mentionpersonId="{2c8ec519-d5db-42bb-a5e2-52abe8ff6abf}" mentionId="{e96c1c5b-fc7c-4c01-97cf-b4a7343169e5}" startIndex="29" length="32"/>
    </x18tc:mentions>
  </x18tc:threadedComment>
  <x18tc:threadedComment ref="A170" dT="2024-08-22T15:32:55.00" personId="{d5498dd3-4a64-46ce-9a8a-c831885a0249}" id="{03b8373e-184d-4f21-8f5b-fb1693e68711}" done="1">
    <x18tc:text xml:space="preserve">08/22 requested mediation (CM)
@scheduling@ipadjustinggroup.com</x18tc:text>
    <x18tc:mentions>
      <x18tc:mention mentionpersonId="{2c8ec519-d5db-42bb-a5e2-52abe8ff6abf}" mentionId="{9a1c9a21-c128-4973-a9ac-ef898caeef58}" startIndex="31" length="32"/>
    </x18tc:mentions>
  </x18tc:threadedComment>
  <x18tc:threadedComment ref="A170" dT="2024-09-03T15:07:52.00" personId="{d5498dd3-4a64-46ce-9a8a-c831885a0249}" id="{52f8dc70-4c9f-4ecd-9cc7-b9724b8e1061}" parentId="{03b8373e-184d-4f21-8f5b-fb1693e68711}">
    <x18tc:text xml:space="preserve">Marked as resolved</x18tc:text>
  </x18tc:threadedComment>
  <x18tc:threadedComment ref="A170" dT="2024-09-03T22:35:07.00" personId="{610be7ce-9288-4df9-9aac-427cc105bbe1}" id="{33e7d15b-c398-44cd-88df-088ccb76816a}" parentId="{03b8373e-184d-4f21-8f5b-fb1693e68711}">
    <x18tc:text xml:space="preserve">Yalaaa, ya estamos casi agendados
Re-opened</x18tc:text>
  </x18tc:threadedComment>
  <x18tc:threadedComment ref="A172" dT="2024-08-22T15:35:20.00" personId="{d5498dd3-4a64-46ce-9a8a-c831885a0249}" id="{96e681d4-5a63-469b-a9fe-41da1ae249b2}" done="1">
    <x18tc:text xml:space="preserve">08/22 requested mediation (CM)
@scheduling@ipadjustinggroup.com</x18tc:text>
    <x18tc:mentions>
      <x18tc:mention mentionpersonId="{2c8ec519-d5db-42bb-a5e2-52abe8ff6abf}" mentionId="{02ff3157-9c35-40f3-93f1-916fe83f7f9a}" startIndex="31" length="32"/>
    </x18tc:mentions>
  </x18tc:threadedComment>
  <x18tc:threadedComment ref="V164" dT="2024-08-22T15:47:23.00" personId="{d5498dd3-4a64-46ce-9a8a-c831885a0249}" id="{c309394c-9a09-47d9-b7f6-b89c3391501b}" done="1">
    <x18tc:text xml:space="preserve">08/14 DA is now offering 20k on this claim as per roof invoice sent by Jakey, he is asking why we have stated in our estimate 44k for the roof if the client has an invoice for 18k, sent to PAs (CM)</x18tc:text>
  </x18tc:threadedComment>
  <x18tc:threadedComment ref="O199" dT="2024-08-23T15:36:57.00" personId="{651ebe9d-f120-479c-8376-36973fff1cc1}" id="{2633424b-f1e3-48d2-a910-5ae6666eda56}" done="0">
    <x18tc:text xml:space="preserve">8/23 enviado al clienre para q firme. @admin@ipadjustinggroup.com</x18tc:text>
    <x18tc:mentions>
      <x18tc:mention mentionpersonId="{1ffc25a2-3f83-4ed1-a701-edf0aba99522}" mentionId="{b335aa6d-f35f-469f-a695-ae41f13152a3}" startIndex="38" length="27"/>
    </x18tc:mentions>
  </x18tc:threadedComment>
  <x18tc:threadedComment ref="O199" dT="2024-09-11T16:14:33.00" personId="{d5498dd3-4a64-46ce-9a8a-c831885a0249}" id="{33e5ad44-06df-4635-896d-3644e0da9aba}" parentId="{2633424b-f1e3-48d2-a910-5ae6666eda56}">
    <x18tc:text xml:space="preserve">09/11 Jakey informs that the client doesn't want to sign the SPOL, he asked me to continue this claim without it, asked Day about this reinspection (CM)</x18tc:text>
  </x18tc:threadedComment>
  <x18tc:threadedComment ref="M199" dT="2024-08-23T15:40:33.00" personId="{651ebe9d-f120-479c-8376-36973fff1cc1}" id="{a8c05bc5-0168-4c9d-af28-421c4aefc344}" done="1">
    <x18tc:text xml:space="preserve">8/23 sent</x18tc:text>
  </x18tc:threadedComment>
  <x18tc:threadedComment ref="A181" dT="2024-08-28T13:59:41.00" personId="{d5498dd3-4a64-46ce-9a8a-c831885a0249}" id="{24fc1bf0-2cb4-4de7-a93a-3ed43a475b59}" done="1">
    <x18tc:text xml:space="preserve">08/28 requested mediation (CM) @scheduling@ipadjustinggroup.com</x18tc:text>
    <x18tc:mentions>
      <x18tc:mention mentionpersonId="{2c8ec519-d5db-42bb-a5e2-52abe8ff6abf}" mentionId="{95ec4184-65d3-4bff-81b6-4647b087a7af}" startIndex="31" length="32"/>
    </x18tc:mentions>
  </x18tc:threadedComment>
  <x18tc:threadedComment ref="A181" dT="2024-08-29T16:27:58.00" personId="{610be7ce-9288-4df9-9aac-427cc105bbe1}" id="{46603846-d5b3-4787-a4c3-7ce90c841619}" parentId="{24fc1bf0-2cb4-4de7-a93a-3ed43a475b59}">
    <x18tc:text xml:space="preserve">Marked as resolved</x18tc:text>
  </x18tc:threadedComment>
  <x18tc:threadedComment ref="V171" dT="2024-08-28T14:10:04.00" personId="{d5498dd3-4a64-46ce-9a8a-c831885a0249}" id="{48403e61-19bb-4660-9f3e-a949fed33d39}" done="1">
    <x18tc:text xml:space="preserve">08/28 Ivan is asking 60k for this claim (CM)</x18tc:text>
  </x18tc:threadedComment>
  <x18tc:threadedComment ref="V171" dT="2024-08-29T15:14:45.00" personId="{d5498dd3-4a64-46ce-9a8a-c831885a0249}" id="{5829576a-33b7-4d47-90bd-9476a38abc69}" parentId="{48403e61-19bb-4660-9f3e-a949fed33d39}">
    <x18tc:text xml:space="preserve">08/29 DA stands on the 25k offer (CM)</x18tc:text>
  </x18tc:threadedComment>
  <x18tc:threadedComment ref="A1" dT="2024-08-28T14:17:54.00" personId="{d5498dd3-4a64-46ce-9a8a-c831885a0249}" id="{a279cceb-b3a7-4bb6-8dd1-1e6bd41d1caf}" done="1">
    <x18tc:text xml:space="preserve">08/27 they won't assgin DA until they receive the estimate, informed Joshua (CM)</x18tc:text>
  </x18tc:threadedComment>
  <x18tc:threadedComment ref="A1" dT="2024-08-28T17:11:04.00" personId="{651ebe9d-f120-479c-8376-36973fff1cc1}" id="{d1b2cde5-9938-4255-9afe-2cc29d77756f}" done="1">
    <x18tc:text xml:space="preserve">8/28 enviado a david</x18tc:text>
  </x18tc:threadedComment>
  <x18tc:threadedComment ref="A1" dT="2024-08-28T18:36:14.00" personId="{651ebe9d-f120-479c-8376-36973fff1cc1}" id="{7d780433-f266-4866-a158-006f9bad89b5}" parentId="{d1b2cde5-9938-4255-9afe-2cc29d77756f}">
    <x18tc:text xml:space="preserve">8/28 APROBADO</x18tc:text>
  </x18tc:threadedComment>
  <x18tc:threadedComment ref="V186" dT="2024-08-28T02:05:50.00" personId="{d5498dd3-4a64-46ce-9a8a-c831885a0249}" id="{281169b4-1cf7-4527-9961-0bf3c59d2179}" done="1">
    <x18tc:text xml:space="preserve">08/28 they sent all the documentation from before denial and engineer report, sent to PAs (CM)</x18tc:text>
  </x18tc:threadedComment>
  <x18tc:threadedComment ref="A167" dT="2024-08-28T02:35:33.00" personId="{d5498dd3-4a64-46ce-9a8a-c831885a0249}" id="{8b295135-18fe-415e-a9b7-d7da23dd992e}" done="1">
    <x18tc:text xml:space="preserve">08/28 sent docs to Wilber to see if he wants to accpet this appraisal (CM)</x18tc:text>
  </x18tc:threadedComment>
  <x18tc:threadedComment ref="A1" dT="2024-08-28T14:54:43.00" personId="{d5498dd3-4a64-46ce-9a8a-c831885a0249}" id="{5f6a1621-bcc3-4381-bbaf-5fb19591cf90}" done="0">
    <x18tc:text xml:space="preserve">09/20 follow up with Juan the policy issue via Whatsapp (CM)</x18tc:text>
  </x18tc:threadedComment>
  <x18tc:threadedComment ref="V87" dT="2024-08-28T14:54:47.00" personId="{d5498dd3-4a64-46ce-9a8a-c831885a0249}" id="{1a8c7838-1435-4cf9-9259-9b227fabd20b}" done="1">
    <x18tc:text xml:space="preserve">09/20 follow up with Juan this estimate via Whatsapp (CM)</x18tc:text>
  </x18tc:threadedComment>
  <x18tc:threadedComment ref="V107" dT="2024-08-28T14:55:13.00" personId="{d5498dd3-4a64-46ce-9a8a-c831885a0249}" id="{1bcd38e9-822c-4f04-992c-2f5f96d9a418}" done="1">
    <x18tc:text xml:space="preserve">09/20 asked Juan to review the estimate and photos via Whatsapp (CM)</x18tc:text>
  </x18tc:threadedComment>
  <x18tc:threadedComment ref="V108" dT="2024-08-28T14:55:19.00" personId="{d5498dd3-4a64-46ce-9a8a-c831885a0249}" id="{d6ed3116-fda0-4248-be98-fdf4ba5b9c1b}" done="1">
    <x18tc:text xml:space="preserve">01/27 DA says he stands on his denial, sent to PAs (CM)</x18tc:text>
  </x18tc:threadedComment>
  <x18tc:threadedComment ref="V188" dT="2024-08-28T14:55:50.00" personId="{d5498dd3-4a64-46ce-9a8a-c831885a0249}" id="{33dd046f-45a6-4571-9db9-3180a5467e40}" done="1">
    <x18tc:text xml:space="preserve">08/28 follow up with Juan this estimate (CM)</x18tc:text>
  </x18tc:threadedComment>
  <x18tc:threadedComment ref="V195" dT="2024-08-28T14:55:54.00" personId="{d5498dd3-4a64-46ce-9a8a-c831885a0249}" id="{eefa1f1c-86a1-4dca-b0cc-79fcd67cc1fd}" done="1">
    <x18tc:text xml:space="preserve">08/28 follow up with Juan this estimate (CM)</x18tc:text>
  </x18tc:threadedComment>
  <x18tc:threadedComment ref="N205" dT="2024-08-28T15:16:13.00" personId="{651ebe9d-f120-479c-8376-36973fff1cc1}" id="{6270741d-3179-404a-b47f-5c430bd4898d}" done="1">
    <x18tc:text xml:space="preserve">8/28 enviado a Jakey</x18tc:text>
  </x18tc:threadedComment>
  <x18tc:threadedComment ref="N205" dT="2024-08-28T18:17:48.00" personId="{651ebe9d-f120-479c-8376-36973fff1cc1}" id="{4a218023-e6fa-46c1-b4c3-21bd9ce803a5}" parentId="{6270741d-3179-404a-b47f-5c430bd4898d}">
    <x18tc:text xml:space="preserve">8/28 aprobado</x18tc:text>
  </x18tc:threadedComment>
  <x18tc:threadedComment ref="V166" dT="2024-08-05T15:54:46.00" personId="{d5498dd3-4a64-46ce-9a8a-c831885a0249}" id="{93098a26-8aca-4d3d-bbd4-0a8cb7ebda39}" done="1">
    <x18tc:text xml:space="preserve">review the second rfi letter</x18tc:text>
  </x18tc:threadedComment>
  <x18tc:threadedComment ref="M197" dT="2024-08-06T13:01:11.00" personId="{651ebe9d-f120-479c-8376-36973fff1cc1}" id="{69e3df0f-4338-4f38-a908-86d888769dbe}" done="1">
    <x18tc:text xml:space="preserve">esperar IA report</x18tc:text>
  </x18tc:threadedComment>
  <x18tc:threadedComment ref="M197" dT="2024-08-28T18:35:02.00" personId="{651ebe9d-f120-479c-8376-36973fff1cc1}" id="{89baec70-46d5-48ae-9de7-3d74c1506f0d}" parentId="{69e3df0f-4338-4f38-a908-86d888769dbe}">
    <x18tc:text xml:space="preserve">ENVIAR ESTIMADO</x18tc:text>
  </x18tc:threadedComment>
  <x18tc:threadedComment ref="N198" dT="2024-08-07T12:47:30.00" personId="{651ebe9d-f120-479c-8376-36973fff1cc1}" id="{325195d4-ceea-45b1-9065-7bf9ee7d66e2}" done="1">
    <x18tc:text xml:space="preserve">8/07 sent to jakey
8/07 approved</x18tc:text>
  </x18tc:threadedComment>
  <x18tc:threadedComment ref="M198" dT="2024-08-07T12:47:48.00" personId="{651ebe9d-f120-479c-8376-36973fff1cc1}" id="{e86bbab7-81a8-4e0b-92ee-2345f933834a}" done="1">
    <x18tc:text xml:space="preserve">ENVIAR CON ESTIMADO APROBADO-REOPEN</x18tc:text>
  </x18tc:threadedComment>
  <x18tc:threadedComment ref="V99" dT="2024-08-07T13:25:04.00" personId="{d5498dd3-4a64-46ce-9a8a-c831885a0249}" id="{04f04e4f-36ea-4c39-a4a9-5fbe7ba61903}" done="1">
    <x18tc:text xml:space="preserve">08/12 Peter is asking 65k (CM)</x18tc:text>
  </x18tc:threadedComment>
  <x18tc:threadedComment ref="V192" dT="2024-08-06T17:58:43.00" personId="{d5498dd3-4a64-46ce-9a8a-c831885a0249}" id="{26b4f13c-3bd5-46ef-93be-0e42d17c213c}" done="1">
    <x18tc:text xml:space="preserve">08/06 received a letter with an undisputed payment and the IA report (CM)</x18tc:text>
  </x18tc:threadedComment>
  <x18tc:threadedComment ref="A157" dT="2024-08-06T14:27:30.00" personId="{d5498dd3-4a64-46ce-9a8a-c831885a0249}" id="{ea25cbb6-78cc-4a80-a06b-926db02cab49}" done="1">
    <x18tc:text xml:space="preserve">08/06 requested mediation (CM) @scheduling@ipadjustinggroup.com</x18tc:text>
    <x18tc:mentions>
      <x18tc:mention mentionpersonId="{2c8ec519-d5db-42bb-a5e2-52abe8ff6abf}" mentionId="{a796fff7-2601-4861-9403-9d111a377a7e}" startIndex="31" length="32"/>
    </x18tc:mentions>
  </x18tc:threadedComment>
  <x18tc:threadedComment ref="M198" dT="2024-08-07T13:43:53.00" personId="{651ebe9d-f120-479c-8376-36973fff1cc1}" id="{e333febe-b0e8-490b-8b8e-65bc22460efe}" done="1">
    <x18tc:text xml:space="preserve">8/07 sent</x18tc:text>
  </x18tc:threadedComment>
  <x18tc:threadedComment ref="A161" dT="2024-08-07T15:05:20.00" personId="{d5498dd3-4a64-46ce-9a8a-c831885a0249}" id="{e08021b2-516a-43de-8250-72c519cc1fcb}" done="1">
    <x18tc:text xml:space="preserve">08/07 requested appraisal (CM) @scheduling@ipadjustinggroup.com</x18tc:text>
    <x18tc:mentions>
      <x18tc:mention mentionpersonId="{2c8ec519-d5db-42bb-a5e2-52abe8ff6abf}" mentionId="{b4d7120b-9b0d-45db-8185-d604d86e33f4}" startIndex="31" length="32"/>
    </x18tc:mentions>
  </x18tc:threadedComment>
  <x18tc:threadedComment ref="A161" dT="2024-08-11T04:15:24.00" personId="{610be7ce-9288-4df9-9aac-427cc105bbe1}" id="{cda66f68-1c85-4cab-b82b-b31a6e0f13ed}" parentId="{e08021b2-516a-43de-8250-72c519cc1fcb}">
    <x18tc:text xml:space="preserve">Marked as resolved</x18tc:text>
  </x18tc:threadedComment>
  <x18tc:threadedComment ref="V197" dT="2024-08-08T01:51:21.00" personId="{d5498dd3-4a64-46ce-9a8a-c831885a0249}" id="{ab5198ed-b93e-482d-a1a6-a044e0377f43}" done="1">
    <x18tc:text xml:space="preserve">08/08 received an email in which they are asking to schedule the examination under oath for 10/09/2024 at 10 am, sent to Pas (CM)</x18tc:text>
  </x18tc:threadedComment>
  <x18tc:threadedComment ref="V197" dT="2024-09-03T15:48:48.00" personId="{d5498dd3-4a64-46ce-9a8a-c831885a0249}" id="{3a2ac33f-d73f-4fdd-9600-703acf09e8f6}" parentId="{ab5198ed-b93e-482d-a1a6-a044e0377f43}">
    <x18tc:text xml:space="preserve">09/03 carrier is following up on the EUO requested before, asked her to give us until the end of the week, I&amp;P are cc'd (CM)</x18tc:text>
  </x18tc:threadedComment>
  <x18tc:threadedComment ref="V190" dT="2024-08-08T02:06:04.00" personId="{d5498dd3-4a64-46ce-9a8a-c831885a0249}" id="{1eabb879-3cb9-48af-adf5-29530f67689b}" done="1">
    <x18tc:text xml:space="preserve">08/08 Asked Ivan if he complete the recorded statement, and asked if he want me to send the SPOL now (CM)</x18tc:text>
  </x18tc:threadedComment>
  <x18tc:threadedComment ref="O172" dT="2024-08-08T17:00:19.00" personId="{d5498dd3-4a64-46ce-9a8a-c831885a0249}" id="{2309e8fc-16e3-4f55-9e87-e465b65a1c51}" done="1">
    <x18tc:text xml:space="preserve">8/08 sent to client</x18tc:text>
  </x18tc:threadedComment>
  <x18tc:threadedComment ref="O172" dT="2024-08-13T22:49:31.00" personId="{d5498dd3-4a64-46ce-9a8a-c831885a0249}" id="{2140605d-77af-4fe3-a6fb-98e94bef8330}" parentId="{2309e8fc-16e3-4f55-9e87-e465b65a1c51}">
    <x18tc:text xml:space="preserve">08/13 Jakey sent the SPOL and drivers license to get this one notarized (CM)</x18tc:text>
  </x18tc:threadedComment>
  <x18tc:threadedComment ref="P154" dT="2024-08-09T14:24:20.00" personId="{d5498dd3-4a64-46ce-9a8a-c831885a0249}" id="{db674ca5-bf69-4041-be01-a296e3218700}" done="1">
    <x18tc:text xml:space="preserve">insp 06/26
08/09 asked for IA</x18tc:text>
  </x18tc:threadedComment>
  <x18tc:threadedComment ref="P132" dT="2024-08-09T15:12:34.00" personId="{d5498dd3-4a64-46ce-9a8a-c831885a0249}" id="{6b76df43-31d9-4dcd-9b4f-ac7e7ae40947}" done="0">
    <x18tc:text xml:space="preserve">08/09 left a VM to DA, asking for the IA report or determination letter, sent an email too (CM)</x18tc:text>
  </x18tc:threadedComment>
  <x18tc:threadedComment ref="V168" dT="2024-08-08T21:36:03.00" personId="{d5498dd3-4a64-46ce-9a8a-c831885a0249}" id="{e91f12ba-da96-489b-820d-709bc54561e5}" done="1">
    <x18tc:text xml:space="preserve">08/08 received a denial, asked PAs how to proceed, asked JP to send our estimate (CM)</x18tc:text>
  </x18tc:threadedComment>
  <x18tc:threadedComment ref="A193" dT="2024-08-09T12:59:59.00" personId="{d5498dd3-4a64-46ce-9a8a-c831885a0249}" id="{cb4f0bf1-efec-4e03-807b-6d10d65328a9}" done="1">
    <x18tc:text xml:space="preserve">@scheduling@ipadjustinggroup.com on litigation</x18tc:text>
    <x18tc:mentions>
      <x18tc:mention mentionpersonId="{2c8ec519-d5db-42bb-a5e2-52abe8ff6abf}" mentionId="{8d672408-0658-462a-a59f-5a719e1f1f2b}" startIndex="0" length="32"/>
    </x18tc:mentions>
  </x18tc:threadedComment>
  <x18tc:threadedComment ref="O181" dT="2024-08-09T12:49:23.00" personId="{d5498dd3-4a64-46ce-9a8a-c831885a0249}" id="{6935ecf6-2b1d-4f55-8798-ee9ef8dafa68}" done="1">
    <x18tc:text xml:space="preserve">paul porfa llena SPOL te mande mail hoy  @jp.ipestimates@gmail.com</x18tc:text>
    <x18tc:mentions>
      <x18tc:mention mentionpersonId="{f5ec41ac-eb21-45bf-aaa5-f7dfbc04c8e9}" mentionId="{0c463b06-b479-42b6-af4d-f4e034f84392}" startIndex="41" length="25"/>
    </x18tc:mentions>
  </x18tc:threadedComment>
  <x18tc:threadedComment ref="O181" dT="2024-08-13T02:04:15.00" personId="{651ebe9d-f120-479c-8376-36973fff1cc1}" id="{4cfecc6c-ca97-45ea-b063-d3c797c0f421}" parentId="{6935ecf6-2b1d-4f55-8798-ee9ef8dafa68}">
    <x18tc:text xml:space="preserve">este es de UNIVERSAL tiene q subirlo perry</x18tc:text>
  </x18tc:threadedComment>
  <x18tc:threadedComment ref="O181" dT="2024-08-13T03:09:18.00" personId="{d5498dd3-4a64-46ce-9a8a-c831885a0249}" id="{1aa90d30-be3d-4da5-b6fd-62ec140ce4df}" parentId="{6935ecf6-2b1d-4f55-8798-ee9ef8dafa68}">
    <x18tc:text xml:space="preserve">pero vos hacerlo primero y hacerle firmar al cliente y notarizar...</x18tc:text>
  </x18tc:threadedComment>
  <x18tc:threadedComment ref="O181" dT="2024-08-13T16:24:24.00" personId="{651ebe9d-f120-479c-8376-36973fff1cc1}" id="{80288447-0026-4c2f-93db-fe2cba5296f2}" parentId="{6935ecf6-2b1d-4f55-8798-ee9ef8dafa68}">
    <x18tc:text xml:space="preserve">8/13 enviado al cliente para firma @admin@ipadjustinggroup.com</x18tc:text>
    <x18tc:mentions>
      <x18tc:mention mentionpersonId="{1ffc25a2-3f83-4ed1-a701-edf0aba99522}" mentionId="{db5fd65a-e9e9-498b-9bb8-a20fd328ce83}" startIndex="35" length="27"/>
    </x18tc:mentions>
  </x18tc:threadedComment>
  <x18tc:threadedComment ref="V193" dT="2024-08-09T12:59:06.00" personId="{d5498dd3-4a64-46ce-9a8a-c831885a0249}" id="{3ce4d058-5dd0-4649-9b37-1bf61556658a}" done="1">
    <x18tc:text xml:space="preserve">08/09 Ivan sent lit docs to client (CM)</x18tc:text>
  </x18tc:threadedComment>
  <x18tc:threadedComment ref="P180" dT="2024-08-12T23:19:34.00" personId="{d5498dd3-4a64-46ce-9a8a-c831885a0249}" id="{4c5f5538-6331-41f3-97f0-e9c4520dc498}" done="1">
    <x18tc:text xml:space="preserve">08/12 asked for a copy of the IA report (CM)</x18tc:text>
  </x18tc:threadedComment>
  <x18tc:threadedComment ref="V147" dT="2024-08-12T23:03:09.00" personId="{d5498dd3-4a64-46ce-9a8a-c831885a0249}" id="{69767a3f-4638-4912-8b1e-36c30012b072}" done="1">
    <x18tc:text xml:space="preserve">08/12 Peter sent the flooring invoice and asked 12.5k to settle (CM)</x18tc:text>
  </x18tc:threadedComment>
  <x18tc:threadedComment ref="V147" dT="2024-09-06T13:37:39.00" personId="{d5498dd3-4a64-46ce-9a8a-c831885a0249}" id="{f48ecc35-416b-4793-8334-cef8cf5f70f4}" parentId="{69767a3f-4638-4912-8b1e-36c30012b072}">
    <x18tc:text xml:space="preserve">09/06 carrier has make a counteroffer for 5k (CM)</x18tc:text>
  </x18tc:threadedComment>
  <x18tc:threadedComment ref="V122" dT="2024-08-12T23:13:55.00" personId="{d5498dd3-4a64-46ce-9a8a-c831885a0249}" id="{f926dcfc-55c4-472b-ad1c-2ba0df4846ab}" done="1">
    <x18tc:text xml:space="preserve">08/12 received a denial letter, from 2023, asked PAs how to proceed (CM)</x18tc:text>
  </x18tc:threadedComment>
  <x18tc:threadedComment ref="O154" dT="2024-08-12T23:43:06.00" personId="{d5498dd3-4a64-46ce-9a8a-c831885a0249}" id="{427fc3e5-53e0-40e5-bd20-bee8c0308a98}" done="1">
    <x18tc:text xml:space="preserve">haz el SPOL @jp.ipestimates@gmail.com</x18tc:text>
    <x18tc:mentions>
      <x18tc:mention mentionpersonId="{f5ec41ac-eb21-45bf-aaa5-f7dfbc04c8e9}" mentionId="{a710e1c4-49a2-4f83-a305-01efa1fd5d3d}" startIndex="12" length="25"/>
    </x18tc:mentions>
  </x18tc:threadedComment>
  <x18tc:threadedComment ref="V198" dT="2024-08-13T00:00:18.00" personId="{d5498dd3-4a64-46ce-9a8a-c831885a0249}" id="{f5a2dd4e-4a21-431b-b859-208bf228f4f4}" done="1">
    <x18tc:text xml:space="preserve">08/12 received a denial letter, asked PAs how to proceed, and if they want to request mediation (CM)</x18tc:text>
  </x18tc:threadedComment>
  <x18tc:threadedComment ref="P191" dT="2024-08-12T23:30:45.00" personId="{d5498dd3-4a64-46ce-9a8a-c831885a0249}" id="{37c03f6d-a849-45b8-ae1f-32eef95a4306}" done="1">
    <x18tc:text xml:space="preserve">08/08 insp.
08/13 DA won't send the IA report but he is going to review it and then reach out to us (CM)</x18tc:text>
  </x18tc:threadedComment>
  <x18tc:threadedComment ref="O154" dT="2024-08-13T14:28:51.00" personId="{651ebe9d-f120-479c-8376-36973fff1cc1}" id="{ddd0155f-e91e-4786-9f6e-83e6af903aad}" done="1">
    <x18tc:text xml:space="preserve">8/13 enviado al cliente y david</x18tc:text>
  </x18tc:threadedComment>
  <x18tc:threadedComment ref="O154" dT="2024-08-13T14:29:04.00" personId="{651ebe9d-f120-479c-8376-36973fff1cc1}" id="{fc3d3dd0-0414-4a63-9139-980f8c52609b}" parentId="{ddd0155f-e91e-4786-9f6e-83e6af903aad}">
    <x18tc:text xml:space="preserve">@admin@ipadjustinggroup.com enviado</x18tc:text>
    <x18tc:mentions>
      <x18tc:mention mentionpersonId="{1ffc25a2-3f83-4ed1-a701-edf0aba99522}" mentionId="{17df280c-e6ee-4165-8435-12b795298df5}" startIndex="0" length="27"/>
    </x18tc:mentions>
  </x18tc:threadedComment>
  <x18tc:threadedComment ref="A165" dT="2024-08-13T15:07:52.00" personId="{d5498dd3-4a64-46ce-9a8a-c831885a0249}" id="{24268bba-25b6-4c96-ab99-7ee1fb8dfdc5}" done="1">
    <x18tc:text xml:space="preserve">08/13 Mediation won't be needed cause Josh and Pete will close the claim soon. (DE) @admin@ipadjustinggroup.com
Assigned to admin@ipadjustinggroup.com</x18tc:text>
    <x18tc:mentions>
      <x18tc:mention mentionpersonId="{1ffc25a2-3f83-4ed1-a701-edf0aba99522}" mentionId="{c424fae1-bcef-431a-844b-be1f8e553f49}" startIndex="84" length="27"/>
    </x18tc:mentions>
  </x18tc:threadedComment>
  <x18tc:threadedComment ref="M181" dT="2024-08-13T16:28:32.00" personId="{651ebe9d-f120-479c-8376-36973fff1cc1}" id="{5838cb9b-bdf2-4826-a9f2-6948767e26c2}" done="1">
    <x18tc:text xml:space="preserve">8/13 enviado @admin@ipadjustinggroup.com</x18tc:text>
    <x18tc:mentions>
      <x18tc:mention mentionpersonId="{1ffc25a2-3f83-4ed1-a701-edf0aba99522}" mentionId="{6091295a-6683-4e5a-b0fc-800e8effc21b}" startIndex="13" length="27"/>
    </x18tc:mentions>
  </x18tc:threadedComment>
  <x18tc:threadedComment ref="O181" dT="2024-08-13T20:42:49.00" personId="{d5498dd3-4a64-46ce-9a8a-c831885a0249}" id="{c8bea39e-a761-49b0-8cef-f39339f3b255}" done="1">
    <x18tc:text xml:space="preserve">8/13 enviado al cliente para q firme</x18tc:text>
  </x18tc:threadedComment>
  <x18tc:threadedComment ref="O181" dT="2024-08-13T20:43:59.00" personId="{651ebe9d-f120-479c-8376-36973fff1cc1}" id="{df7630b7-5eaa-46ad-8314-d919b5f694cb}" done="1">
    <x18tc:text xml:space="preserve">8/13 enviado al cliente para q firme @admin@ipadjustinggroup.com</x18tc:text>
    <x18tc:mentions>
      <x18tc:mention mentionpersonId="{1ffc25a2-3f83-4ed1-a701-edf0aba99522}" mentionId="{9348f953-e898-4095-ab06-1cdefcb029db}" startIndex="37" length="27"/>
    </x18tc:mentions>
  </x18tc:threadedComment>
  <x18tc:threadedComment ref="A122" dT="2024-08-14T22:47:31.00" personId="{d5498dd3-4a64-46ce-9a8a-c831885a0249}" id="{b5c26f07-b10a-4c87-9b49-9f9a242d6126}" done="1">
    <x18tc:text xml:space="preserve">08/14 Requested mediation (CM) @scheduling@ipadjustinggroup.com
Assigned to scheduling@ipadjustinggroup.com</x18tc:text>
    <x18tc:mentions>
      <x18tc:mention mentionpersonId="{2c8ec519-d5db-42bb-a5e2-52abe8ff6abf}" mentionId="{a6dde876-48e4-44f2-9fd3-defdf29ea93b}" startIndex="31" length="32"/>
    </x18tc:mentions>
  </x18tc:threadedComment>
  <x18tc:threadedComment ref="M183" dT="2024-08-14T20:34:07.00" personId="{651ebe9d-f120-479c-8376-36973fff1cc1}" id="{e63d2a7b-93cd-48e2-aa9c-8b626f512fb2}" done="1">
    <x18tc:text xml:space="preserve">8/14 sent @admin@ipadjustinggroup.com</x18tc:text>
    <x18tc:mentions>
      <x18tc:mention mentionpersonId="{1ffc25a2-3f83-4ed1-a701-edf0aba99522}" mentionId="{c1ba0d97-27ca-427d-baf8-f1deb0ce8a11}" startIndex="10" length="27"/>
    </x18tc:mentions>
  </x18tc:threadedComment>
  <x18tc:threadedComment ref="O183" dT="2024-08-14T21:11:31.00" personId="{651ebe9d-f120-479c-8376-36973fff1cc1}" id="{06a8cfa9-c0ce-40d5-a465-30a3d1d0a580}" done="1">
    <x18tc:text xml:space="preserve">8/14 enviado al cliente @admin@ipadjustinggroup.com</x18tc:text>
    <x18tc:mentions>
      <x18tc:mention mentionpersonId="{1ffc25a2-3f83-4ed1-a701-edf0aba99522}" mentionId="{c0aa3005-f076-4437-8ce9-208bd190315a}" startIndex="24" length="27"/>
    </x18tc:mentions>
  </x18tc:threadedComment>
  <x18tc:threadedComment ref="N200" dT="2024-08-14T21:17:18.00" personId="{651ebe9d-f120-479c-8376-36973fff1cc1}" id="{814d67fe-da6a-4d4a-9313-ddd75d4d1302}" done="1">
    <x18tc:text xml:space="preserve">8/14 aprobado por David
falta subir info a CW</x18tc:text>
  </x18tc:threadedComment>
  <x18tc:threadedComment ref="A203" dT="2024-08-20T17:24:11.00" personId="{d5498dd3-4a64-46ce-9a8a-c831885a0249}" id="{3b785c8f-996d-4e46-9a08-edee3675bfd4}" done="1">
    <x18tc:text xml:space="preserve">08/15 invoke appraisal after we send our estimate as per Joshua request (CM)</x18tc:text>
  </x18tc:threadedComment>
  <x18tc:threadedComment ref="A141" dT="2024-08-20T17:24:56.00" personId="{d5498dd3-4a64-46ce-9a8a-c831885a0249}" id="{c5479ef7-e894-4f1a-9831-44ae51715b2a}" done="1">
    <x18tc:text xml:space="preserve">07/16 Once received the estimate we request mediation (CM)</x18tc:text>
  </x18tc:threadedComment>
  <x18tc:threadedComment ref="A198" dT="2024-08-20T17:46:21.00" personId="{d5498dd3-4a64-46ce-9a8a-c831885a0249}" id="{210a10ee-d697-4d8c-8f56-5903e262c672}" done="1">
    <x18tc:text xml:space="preserve">08/14 Peter says maybe he will invoke appraisal, waiting for the previous IA report (CM)</x18tc:text>
  </x18tc:threadedComment>
  <x18tc:threadedComment ref="A1" dT="2024-08-15T15:48:07.00" personId="{d5498dd3-4a64-46ce-9a8a-c831885a0249}" id="{689e40ba-6330-4740-9624-75fa75165d9e}" done="1">
    <x18tc:text xml:space="preserve">08/15</x18tc:text>
  </x18tc:threadedComment>
  <x18tc:threadedComment ref="A1" dT="2024-08-15T15:40:28.00" personId="{d5498dd3-4a64-46ce-9a8a-c831885a0249}" id="{6bbf7978-3340-4dd1-96e3-ddeb1f440594}" done="1">
    <x18tc:text xml:space="preserve">08/15</x18tc:text>
  </x18tc:threadedComment>
  <x18tc:threadedComment ref="M200" dT="2024-08-15T16:40:03.00" personId="{651ebe9d-f120-479c-8376-36973fff1cc1}" id="{8e3671d9-ed14-48f6-a242-30f47e4b3b3a}" done="1">
    <x18tc:text xml:space="preserve">8/15 enviado - no se envio al cliente</x18tc:text>
  </x18tc:threadedComment>
  <x18tc:threadedComment ref="O200" dT="2024-08-15T16:40:19.00" personId="{651ebe9d-f120-479c-8376-36973fff1cc1}" id="{9d9b1559-5509-43ad-b876-0f53feeb465d}" done="1">
    <x18tc:text xml:space="preserve">hcaer en la pag de FIGA</x18tc:text>
  </x18tc:threadedComment>
  <x18tc:threadedComment ref="A1" dT="2024-08-15T18:00:47.00" personId="{d5498dd3-4a64-46ce-9a8a-c831885a0249}" id="{37a4578d-1237-4968-a3f3-081bc3984fa3}" done="1">
    <x18tc:text xml:space="preserve">08/15</x18tc:text>
  </x18tc:threadedComment>
  <x18tc:threadedComment ref="A1" dT="2024-08-15T18:07:08.00" personId="{d5498dd3-4a64-46ce-9a8a-c831885a0249}" id="{39a3181c-c272-4767-9d70-386df20e47bf}" done="0">
    <x18tc:text xml:space="preserve">08/15</x18tc:text>
  </x18tc:threadedComment>
  <x18tc:threadedComment ref="A1" dT="2024-08-15T19:06:42.00" personId="{d5498dd3-4a64-46ce-9a8a-c831885a0249}" id="{019bfbbd-7838-4b0b-869d-673d460e7065}" done="1">
    <x18tc:text xml:space="preserve">08/15</x18tc:text>
  </x18tc:threadedComment>
  <x18tc:threadedComment ref="V163" dT="2024-08-15T18:40:04.00" personId="{d5498dd3-4a64-46ce-9a8a-c831885a0249}" id="{03ab18b4-78fd-4741-b37a-002a486e8683}" done="1">
    <x18tc:text xml:space="preserve">08/15 spoke with the DA, and he mentioned that during the 2022 inspection, no damages were found. He also said that a re-inspection is not covered by the policy, and we would need to file a new claim for the damages. asked PAs how to proceed (CM)</x18tc:text>
  </x18tc:threadedComment>
  <x18tc:threadedComment ref="P171" dT="2024-08-15T19:02:23.00" personId="{d5498dd3-4a64-46ce-9a8a-c831885a0249}" id="{81f93fc5-3ed0-41d4-a826-53a7a785dddf}" done="1">
    <x18tc:text xml:space="preserve">07/09 insp</x18tc:text>
  </x18tc:threadedComment>
  <x18tc:threadedComment ref="M170" dT="2024-08-15T20:08:33.00" personId="{651ebe9d-f120-479c-8376-36973fff1cc1}" id="{d3dfe556-e4a8-4824-a19c-f29231501193}" done="1">
    <x18tc:text xml:space="preserve">8/15 sent to DA Jorge @admin@ipadjustinggroup.com</x18tc:text>
    <x18tc:mentions>
      <x18tc:mention mentionpersonId="{1ffc25a2-3f83-4ed1-a701-edf0aba99522}" mentionId="{b1e377e8-410b-488e-a798-f891bbbb5190}" startIndex="22" length="27"/>
    </x18tc:mentions>
  </x18tc:threadedComment>
  <x18tc:threadedComment ref="N204" dT="2024-08-19T15:24:36.00" personId="{651ebe9d-f120-479c-8376-36973fff1cc1}" id="{28b43e05-9b15-4818-9e43-ccf286064e6a}" done="1">
    <x18tc:text xml:space="preserve">8/19 Sent to David</x18tc:text>
  </x18tc:threadedComment>
  <x18tc:threadedComment ref="N204" dT="2024-08-19T17:46:55.00" personId="{651ebe9d-f120-479c-8376-36973fff1cc1}" id="{a24553b2-0a78-40b6-b1a3-8f45bb718881}" parentId="{28b43e05-9b15-4818-9e43-ccf286064e6a}">
    <x18tc:text xml:space="preserve">8/19 David approved</x18tc:text>
  </x18tc:threadedComment>
  <x18tc:threadedComment ref="O204" dT="2024-08-19T15:52:56.00" personId="{d5498dd3-4a64-46ce-9a8a-c831885a0249}" id="{c6e5ea00-b486-4801-bf5b-c31e9e6ac3dd}" done="1">
    <x18tc:text xml:space="preserve">08/19 DA is requesting a RS and SPOL (CM)</x18tc:text>
  </x18tc:threadedComment>
  <x18tc:threadedComment ref="O204" dT="2024-08-19T19:22:16.00" personId="{651ebe9d-f120-479c-8376-36973fff1cc1}" id="{8146a91d-d4b0-40de-8418-782a52933e0a}" parentId="{c6e5ea00-b486-4801-bf5b-c31e9e6ac3dd}">
    <x18tc:text xml:space="preserve">8/19 sent to the client to sign @admin@ipadjustinggroup.com</x18tc:text>
    <x18tc:mentions>
      <x18tc:mention mentionpersonId="{1ffc25a2-3f83-4ed1-a701-edf0aba99522}" mentionId="{ccf3dc8d-6f5b-42a5-a7a5-9ee8f949e0f9}" startIndex="32" length="27"/>
    </x18tc:mentions>
  </x18tc:threadedComment>
  <x18tc:threadedComment ref="V174" dT="2024-08-19T14:14:48.00" personId="{d5498dd3-4a64-46ce-9a8a-c831885a0249}" id="{14b2af20-390f-4407-999a-ee22be193136}" done="1">
    <x18tc:text xml:space="preserve">08/19 received the IA report, the claim is under deductible, asked IP's how to proceed (CM)</x18tc:text>
  </x18tc:threadedComment>
  <x18tc:threadedComment ref="A171" dT="2024-08-19T14:30:18.00" personId="{d5498dd3-4a64-46ce-9a8a-c831885a0249}" id="{4f6b1d99-2b55-43dd-a572-312650f75c0a}" done="1">
    <x18tc:text xml:space="preserve">08/19 requested mediation (CM) @scheduling@ipadjustinggroup.com</x18tc:text>
    <x18tc:mentions>
      <x18tc:mention mentionpersonId="{2c8ec519-d5db-42bb-a5e2-52abe8ff6abf}" mentionId="{99297f59-6434-427c-9518-7b6c03ead674}" startIndex="31" length="32"/>
    </x18tc:mentions>
  </x18tc:threadedComment>
  <x18tc:threadedComment ref="N204" dT="2024-08-19T15:23:05.00" personId="{d5498dd3-4a64-46ce-9a8a-c831885a0249}" id="{1b16d0dc-ea92-41f7-a61d-d1e1f12e9fa0}" done="1">
    <x18tc:text xml:space="preserve">8/19 sent to david</x18tc:text>
  </x18tc:threadedComment>
  <x18tc:threadedComment ref="N187" dT="2024-08-19T16:19:18.00" personId="{651ebe9d-f120-479c-8376-36973fff1cc1}" id="{a72f81da-1126-47af-bd6a-930b49ba67a5}" done="1">
    <x18tc:text xml:space="preserve">8/19 Sent to ivan
8/20 ivan pide aumentar el estimado a 25k, enviado el update</x18tc:text>
  </x18tc:threadedComment>
  <x18tc:threadedComment ref="N187" dT="2024-08-26T15:48:35.00" personId="{651ebe9d-f120-479c-8376-36973fff1cc1}" id="{811bc5ba-4585-4dbc-b6fb-2eb3651ee870}" parentId="{a72f81da-1126-47af-bd6a-930b49ba67a5}">
    <x18tc:text xml:space="preserve">8/23 aprobado por ivan</x18tc:text>
  </x18tc:threadedComment>
  <x18tc:threadedComment ref="V158" dT="2024-08-19T17:45:13.00" personId="{d5498dd3-4a64-46ce-9a8a-c831885a0249}" id="{97ada80b-300d-430d-aebb-3e53b220a08e}" done="1">
    <x18tc:text xml:space="preserve">07/31 DA is requesting the supporting photos, asked Juan via email and JP vis ws (CM)</x18tc:text>
  </x18tc:threadedComment>
  <x18tc:threadedComment ref="V132" dT="2024-08-19T21:11:16.00" personId="{d5498dd3-4a64-46ce-9a8a-c831885a0249}" id="{9cdbc9b3-57f7-426c-9229-3b91518b4e0f}" done="1">
    <x18tc:text xml:space="preserve">08/19 received the settlement release for 26.5k, sent to PAs, and informed I&amp;P via WS (CM)</x18tc:text>
  </x18tc:threadedComment>
  <x18tc:threadedComment ref="V160" dT="2024-08-20T15:17:24.00" personId="{d5498dd3-4a64-46ce-9a8a-c831885a0249}" id="{480b2de3-2c40-48c8-92d5-e0e0fca155f5}" done="1">
    <x18tc:text xml:space="preserve">08/21 Peter says now they increseaded the offer to 14k, he is asking 25k (CM)</x18tc:text>
  </x18tc:threadedComment>
  <x18tc:threadedComment ref="A1" dT="2024-06-10T19:21:05.00" personId="{d5498dd3-4a64-46ce-9a8a-c831885a0249}" id="{83e3e055-70be-42bc-bdbd-3bb3de10a154}" done="0">
    <x18tc:text xml:space="preserve">06/10 received a denial letter, sent to PAs, asked if they want to request mediation (CM)</x18tc:text>
  </x18tc:threadedComment>
  <x18tc:threadedComment ref="A1" dT="2024-06-11T16:35:36.00" personId="{d5498dd3-4a64-46ce-9a8a-c831885a0249}" id="{ea212d79-7a17-4832-8edc-7beb1de1fbbc}" done="0">
    <x18tc:text xml:space="preserve">05/09 stand by Peter's decision</x18tc:text>
  </x18tc:threadedComment>
  <x18tc:threadedComment ref="N206" dT="2024-08-28T18:08:59.00" personId="{651ebe9d-f120-479c-8376-36973fff1cc1}" id="{612df5f3-59f7-47b4-a639-9ce2d37bb6a4}" done="1">
    <x18tc:text xml:space="preserve">8/28 enviado a david</x18tc:text>
  </x18tc:threadedComment>
  <x18tc:threadedComment ref="N206" dT="2024-08-28T21:52:30.00" personId="{651ebe9d-f120-479c-8376-36973fff1cc1}" id="{54ac3a8d-652f-4aee-8465-50f8f81b0c5d}" parentId="{612df5f3-59f7-47b4-a639-9ce2d37bb6a4}">
    <x18tc:text xml:space="preserve">8/28 aprobado por Juan
Marked as resolved</x18tc:text>
  </x18tc:threadedComment>
  <x18tc:threadedComment ref="A1" dT="2024-08-28T18:35:49.00" personId="{651ebe9d-f120-479c-8376-36973fff1cc1}" id="{d18888f0-ee6d-45a8-aac6-09e0187743c8}" done="1">
    <x18tc:text xml:space="preserve">ENVIAR</x18tc:text>
  </x18tc:threadedComment>
  <x18tc:threadedComment ref="A1" dT="2024-08-28T18:42:47.00" personId="{651ebe9d-f120-479c-8376-36973fff1cc1}" id="{c190d085-0a9e-447b-ba6f-6d8aa14c586d}" done="1">
    <x18tc:text xml:space="preserve">8/28 sent to DA</x18tc:text>
  </x18tc:threadedComment>
  <x18tc:threadedComment ref="M197" dT="2024-08-28T21:34:41.00" personId="{651ebe9d-f120-479c-8376-36973fff1cc1}" id="{fc6f4aa4-bc88-4e00-b0f9-e5f86c50587a}" done="1">
    <x18tc:text xml:space="preserve">8/28 enviado al DA</x18tc:text>
  </x18tc:threadedComment>
  <x18tc:threadedComment ref="A148" dT="2024-08-28T21:40:14.00" personId="{d5498dd3-4a64-46ce-9a8a-c831885a0249}" id="{22347d22-17be-4cab-8ac4-f29eec81eec6}" done="1">
    <x18tc:text xml:space="preserve">We were paid for this @admin@ipadjustinggroup.com
Assigned to admin@ipadjustinggroup.com</x18tc:text>
    <x18tc:mentions>
      <x18tc:mention mentionpersonId="{1ffc25a2-3f83-4ed1-a701-edf0aba99522}" mentionId="{787231dd-0496-4a2c-b0db-2f785a0f1402}" startIndex="22" length="27"/>
    </x18tc:mentions>
  </x18tc:threadedComment>
  <x18tc:threadedComment ref="M205" dT="2024-08-28T21:41:29.00" personId="{651ebe9d-f120-479c-8376-36973fff1cc1}" id="{69d1b661-cf22-424b-acbf-c5ce73adc20d}" done="1">
    <x18tc:text xml:space="preserve">8/28 sent to carrier</x18tc:text>
  </x18tc:threadedComment>
  <x18tc:threadedComment ref="M204" dT="2024-08-28T21:42:33.00" personId="{651ebe9d-f120-479c-8376-36973fff1cc1}" id="{b2546984-dc92-4641-aa90-1b8f2292e82e}" done="1">
    <x18tc:text xml:space="preserve">ESPERAR IA REPORT</x18tc:text>
  </x18tc:threadedComment>
  <x18tc:threadedComment ref="M204" dT="2024-09-20T19:21:56.00" personId="{d5498dd3-4a64-46ce-9a8a-c831885a0249}" id="{eb3d59a7-ff87-4986-9a6f-79d77c9e360f}" parentId="{b2546984-dc92-4641-aa90-1b8f2292e82e}">
    <x18tc:text xml:space="preserve">09/20 tenemos determination, preguntar a los chicos si mandamos nuestro estimado con el roof report que tenemos cliete 169</x18tc:text>
  </x18tc:threadedComment>
  <x18tc:threadedComment ref="N206" dT="2024-08-28T21:52:41.00" personId="{651ebe9d-f120-479c-8376-36973fff1cc1}" id="{d9973d10-f9f1-4aef-9d6c-f81c6d66dedb}" done="1">
    <x18tc:text xml:space="preserve">8/28 aprobado por juan</x18tc:text>
  </x18tc:threadedComment>
  <x18tc:threadedComment ref="M206" dT="2024-08-28T21:52:59.00" personId="{651ebe9d-f120-479c-8376-36973fff1cc1}" id="{6587a109-4a0a-45ce-a6b8-2beb9fb1fb3e}" done="1">
    <x18tc:text xml:space="preserve">ESPERAR IA REPORT</x18tc:text>
  </x18tc:threadedComment>
  <x18tc:threadedComment ref="M206" dT="2024-10-16T20:18:11.00" personId="{651ebe9d-f120-479c-8376-36973fff1cc1}" id="{b7428aea-48c5-4f7e-ad8f-c638b28106fe}" parentId="{6587a109-4a0a-45ce-a6b8-2beb9fb1fb3e}">
    <x18tc:text xml:space="preserve">10/16 enviado @admin@ipadjustinggroup.com</x18tc:text>
    <x18tc:mentions>
      <x18tc:mention mentionpersonId="{1ffc25a2-3f83-4ed1-a701-edf0aba99522}" mentionId="{d31a65f1-f593-4324-8de8-6f63a21d6b63}" startIndex="14" length="27"/>
    </x18tc:mentions>
  </x18tc:threadedComment>
  <x18tc:threadedComment ref="N87" dT="2024-08-28T23:48:16.00" personId="{651ebe9d-f120-479c-8376-36973fff1cc1}" id="{7e8e1260-574a-43fc-985d-72075779806d}" done="0">
    <x18tc:text xml:space="preserve">8/28 enviado a juan para revision</x18tc:text>
  </x18tc:threadedComment>
  <x18tc:threadedComment ref="M87" dT="2024-08-28T23:56:05.00" personId="{651ebe9d-f120-479c-8376-36973fff1cc1}" id="{3ae090bd-3956-48b6-b181-276a8341dfac}" done="0">
    <x18tc:text xml:space="preserve">ENVIAR CON ESTIMADO APROBADO</x18tc:text>
  </x18tc:threadedComment>
  <x18tc:threadedComment ref="M87" dT="2025-01-13T17:44:02.00" personId="{651ebe9d-f120-479c-8376-36973fff1cc1}" id="{a7d10ee0-7a29-4d34-a46c-2017926567e4}" parentId="{3ae090bd-3956-48b6-b181-276a8341dfac}">
    <x18tc:text xml:space="preserve">1/13/25 peter dice que se haga y envie un solo claim por huracan Ian</x18tc:text>
  </x18tc:threadedComment>
  <x18tc:threadedComment ref="K87" dT="2024-08-28T23:17:37.00" personId="{651ebe9d-f120-479c-8376-36973fff1cc1}" id="{1fd9ec5d-bba1-4a6b-a9f6-f42458827a65}" done="1">
    <x18tc:text xml:space="preserve">8/28 Carito en el estimado que me envio Juan esta Water damage @admin@ipadjustinggroup.com</x18tc:text>
    <x18tc:mentions>
      <x18tc:mention mentionpersonId="{1ffc25a2-3f83-4ed1-a701-edf0aba99522}" mentionId="{36e200c0-4e00-4438-8b0c-5703fb9beb16}" startIndex="63" length="27"/>
    </x18tc:mentions>
  </x18tc:threadedComment>
  <x18tc:threadedComment ref="V147" dT="2024-07-11T18:12:01.00" personId="{d5498dd3-4a64-46ce-9a8a-c831885a0249}" id="{dec63f9d-84e2-40b1-b3c1-64f8192aea1c}" done="1">
    <x18tc:text xml:space="preserve">07/11 DA offered 2k to settled (CM)</x18tc:text>
  </x18tc:threadedComment>
  <x18tc:threadedComment ref="V145" dT="2024-07-11T18:23:44.00" personId="{d5498dd3-4a64-46ce-9a8a-c831885a0249}" id="{62a1ec50-857b-4f12-ab48-50b9e0210b8d}" done="1">
    <x18tc:text xml:space="preserve">07/11 DA sent us the denial letter, asked PA's how to proceed (CM)</x18tc:text>
  </x18tc:threadedComment>
  <x18tc:threadedComment ref="V159" dT="2024-07-11T18:32:36.00" personId="{d5498dd3-4a64-46ce-9a8a-c831885a0249}" id="{e9d7c3bf-35be-409a-81ac-d13ff99b507e}" done="1">
    <x18tc:text xml:space="preserve">07/11 DA says that State Farm decision has remined unchanged total roof replacement is not warranted, asked PAs how to proceed (CM)</x18tc:text>
  </x18tc:threadedComment>
  <x18tc:threadedComment ref="N146" dT="2024-07-11T21:01:05.00" personId="{d5498dd3-4a64-46ce-9a8a-c831885a0249}" id="{a7f9063a-1449-4105-9131-7bcc12c98c7f}" done="1">
    <x18tc:text xml:space="preserve">7/11 Peter approved estimate</x18tc:text>
  </x18tc:threadedComment>
  <x18tc:threadedComment ref="V173" dT="2024-07-11T22:03:55.00" personId="{d5498dd3-4a64-46ce-9a8a-c831885a0249}" id="{ef6c9c75-4ef0-4b77-83b3-1c9f356de9c8}" done="1">
    <x18tc:text xml:space="preserve">07/11 DA says that the property is owned by Robertson Joseph and Yrose Dieujuste, he is requesting a copy of the current mortgage statement, a copy of the property title as well as a copy of the pre-purchase inspection report that the client obtained at the time of purchase of the property in 2022. Asked PAs to contact the client, and let me know how to proceed. (CM)</x18tc:text>
  </x18tc:threadedComment>
  <x18tc:threadedComment ref="V19" dT="2024-07-11T22:06:42.00" personId="{d5498dd3-4a64-46ce-9a8a-c831885a0249}" id="{c2de4ed6-fc3f-41cb-8e24-692fd79b04e3}" done="1">
    <x18tc:text xml:space="preserve">01/09 determination letter received (CM)</x18tc:text>
  </x18tc:threadedComment>
  <x18tc:threadedComment ref="V112" dT="2024-07-11T22:24:37.00" personId="{d5498dd3-4a64-46ce-9a8a-c831885a0249}" id="{0332d32d-085b-4dab-bc82-78306534d497}" done="1">
    <x18tc:text xml:space="preserve">07/08 as per letter received, asked David what info is the appraiser requesting (CM)</x18tc:text>
  </x18tc:threadedComment>
  <x18tc:threadedComment ref="A1" dT="2024-07-11T22:26:11.00" personId="{d5498dd3-4a64-46ce-9a8a-c831885a0249}" id="{1dd549e3-27ee-4a26-a9a6-688e61f0f9b3}" done="1">
    <x18tc:text xml:space="preserve">07/17 recieved the IA report, DA informs she has issued a check for 13k, PAs cc'd (CM)</x18tc:text>
  </x18tc:threadedComment>
  <x18tc:threadedComment ref="V138" dT="2024-07-11T22:29:27.00" personId="{d5498dd3-4a64-46ce-9a8a-c831885a0249}" id="{815adf17-d3c0-40a8-8a27-567c9172a2cd}" done="1">
    <x18tc:text xml:space="preserve">07/09 received the settlement packet, informed PAs (CM)</x18tc:text>
  </x18tc:threadedComment>
  <x18tc:threadedComment ref="V57" dT="2024-07-11T22:07:22.00" personId="{d5498dd3-4a64-46ce-9a8a-c831885a0249}" id="{b9e1380e-f6cb-4de7-a7a0-1bdb02144a3a}" done="1">
    <x18tc:text xml:space="preserve">07/16 Peter is asking 275k</x18tc:text>
  </x18tc:threadedComment>
  <x18tc:threadedComment ref="V73" dT="2024-07-11T22:14:40.00" personId="{d5498dd3-4a64-46ce-9a8a-c831885a0249}" id="{b7e0fba7-d844-4cc9-8e2e-b57e4e946e46}" done="1">
    <x18tc:text xml:space="preserve">06/27 Ivan is asking 25k to settled (CM)</x18tc:text>
  </x18tc:threadedComment>
  <x18tc:threadedComment ref="V17" dT="2024-07-11T22:18:17.00" personId="{d5498dd3-4a64-46ce-9a8a-c831885a0249}" id="{17daa247-bd12-4689-9c02-1b44dd6dd493}" done="0">
    <x18tc:text xml:space="preserve">06/10 DA says, that the insured informed on 04/17 that she didn't want to pursue this claim, and she stated this claim should not have been filed. ask Jakey to call the client to find out (CM)</x18tc:text>
  </x18tc:threadedComment>
  <x18tc:threadedComment ref="A1" dT="2024-07-11T22:19:31.00" personId="{d5498dd3-4a64-46ce-9a8a-c831885a0249}" id="{dd4ff7e6-87bf-474c-afb2-f3bb6431f96f}" done="1">
    <x18tc:text xml:space="preserve">06/12 asked Juan the correct policy (CM)
07/16 Peter will talk with Juan (CM)</x18tc:text>
  </x18tc:threadedComment>
  <x18tc:threadedComment ref="V87" dT="2024-07-11T22:19:45.00" personId="{d5498dd3-4a64-46ce-9a8a-c831885a0249}" id="{66b909ec-9c16-4440-98a5-18ad21e808b3}" done="1">
    <x18tc:text xml:space="preserve">06/12 asked Juan for the estimate and photos (CM)
07/16 Peter will talk with Juan (CM)</x18tc:text>
  </x18tc:threadedComment>
  <x18tc:threadedComment ref="V88" dT="2024-07-11T22:20:00.00" personId="{d5498dd3-4a64-46ce-9a8a-c831885a0249}" id="{2a8bdec6-c034-459f-aa54-85efebe10202}" done="1">
    <x18tc:text xml:space="preserve">DENIAL LETTER
09/20 follow up with Juan this estimate via Whatsapp (CM)</x18tc:text>
  </x18tc:threadedComment>
  <x18tc:threadedComment ref="V90" dT="2024-07-11T22:21:05.00" personId="{d5498dd3-4a64-46ce-9a8a-c831885a0249}" id="{30eedbdb-40eb-4182-9507-2b008ad581f6}" done="1">
    <x18tc:text xml:space="preserve">04/16 received a letter, DA says claim will close if they don't receive the estimate (CM)</x18tc:text>
  </x18tc:threadedComment>
  <x18tc:threadedComment ref="V107" dT="2024-07-11T22:22:57.00" personId="{d5498dd3-4a64-46ce-9a8a-c831885a0249}" id="{6aa0fb2d-d643-4c72-8910-019924e12f3e}" done="1">
    <x18tc:text xml:space="preserve">06/12 asked Juan to review the estimate and photos (CM)</x18tc:text>
  </x18tc:threadedComment>
  <x18tc:threadedComment ref="V108" dT="2024-07-11T22:23:12.00" personId="{d5498dd3-4a64-46ce-9a8a-c831885a0249}" id="{39693bf3-aa90-4874-aa36-f4af174de905}" done="1">
    <x18tc:text xml:space="preserve">05/09 Ivan sent an email to DA (CM)</x18tc:text>
  </x18tc:threadedComment>
  <x18tc:threadedComment ref="V110" dT="2024-07-11T22:23:51.00" personId="{d5498dd3-4a64-46ce-9a8a-c831885a0249}" id="{a13ea31f-83f8-493b-ae50-0308ef070ed5}" done="1">
    <x18tc:text xml:space="preserve">07/03 the client informed that on the estimate is not the pool, asked Juan to review the estimate (CM)</x18tc:text>
  </x18tc:threadedComment>
  <x18tc:threadedComment ref="V110" dT="2024-09-02T03:03:53.00" personId="{d5498dd3-4a64-46ce-9a8a-c831885a0249}" id="{abeb2396-fc09-4ba9-b51c-b17689f5684d}" parentId="{a13ea31f-83f8-493b-ae50-0308ef070ed5}">
    <x18tc:text xml:space="preserve">08/28 followed up with Juan (CM)</x18tc:text>
  </x18tc:threadedComment>
  <x18tc:threadedComment ref="V151" dT="2024-07-11T22:32:29.00" personId="{d5498dd3-4a64-46ce-9a8a-c831885a0249}" id="{bf0e8356-e07b-4c9a-bcd0-eb324ce7993e}" done="1">
    <x18tc:text xml:space="preserve">06/21 DA offered 10k, informed PAs via email and WS, asked for a copy of the policy (CM)</x18tc:text>
  </x18tc:threadedComment>
  <x18tc:threadedComment ref="M155" dT="2024-07-12T16:45:11.00" personId="{d5498dd3-4a64-46ce-9a8a-c831885a0249}" id="{15e868dd-d803-4e03-9d4a-4539efc64817}" done="1">
    <x18tc:text xml:space="preserve">7/12 enviado sin fotos.</x18tc:text>
  </x18tc:threadedComment>
  <x18tc:threadedComment ref="V164" dT="2024-09-04T02:07:16.00" personId="{d5498dd3-4a64-46ce-9a8a-c831885a0249}" id="{a6e42ea6-0c20-41fa-8b97-ea1ee4cd1500}" done="1">
    <x18tc:text xml:space="preserve">09/04 Peter is asking 45k (CM)</x18tc:text>
  </x18tc:threadedComment>
  <x18tc:threadedComment ref="O194" dT="2024-09-24T21:43:34.00" personId="{651ebe9d-f120-479c-8376-36973fff1cc1}" id="{c9338825-5e70-4130-8a13-474606a10064}" done="0">
    <x18tc:text xml:space="preserve">9/24 ask blank form</x18tc:text>
  </x18tc:threadedComment>
  <x18tc:threadedComment ref="O179" dT="2024-09-24T20:47:24.00" personId="{651ebe9d-f120-479c-8376-36973fff1cc1}" id="{2e17033f-37a3-40df-b497-0d0156734915}" done="0">
    <x18tc:text xml:space="preserve">9/24 enviado al cliente</x18tc:text>
  </x18tc:threadedComment>
  <x18tc:threadedComment ref="O203" dT="2024-09-24T20:55:05.00" personId="{651ebe9d-f120-479c-8376-36973fff1cc1}" id="{5fc670be-00f7-446a-b973-a19183299398}" done="0">
    <x18tc:text xml:space="preserve">9/24 enviado al cliente</x18tc:text>
  </x18tc:threadedComment>
  <x18tc:threadedComment ref="O156" dT="2024-09-24T21:04:07.00" personId="{651ebe9d-f120-479c-8376-36973fff1cc1}" id="{03f054a9-f9cd-4ce1-b856-7481570f0c17}" done="0">
    <x18tc:text xml:space="preserve">9/24 Request spol form</x18tc:text>
  </x18tc:threadedComment>
  <x18tc:threadedComment ref="O180" dT="2024-09-24T21:29:46.00" personId="{651ebe9d-f120-479c-8376-36973fff1cc1}" id="{fcf0af17-5f2f-4ba3-addb-6a6e31184236}" done="1">
    <x18tc:text xml:space="preserve">9/24 enviado al cliente</x18tc:text>
  </x18tc:threadedComment>
  <x18tc:threadedComment ref="O187" dT="2024-09-24T21:36:57.00" personId="{651ebe9d-f120-479c-8376-36973fff1cc1}" id="{912ccb26-54b4-4c75-917d-abed043a77a3}" done="0">
    <x18tc:text xml:space="preserve">9/24 enviado al cliente</x18tc:text>
  </x18tc:threadedComment>
  <x18tc:threadedComment ref="V270" dT="2024-11-12T19:38:54.00" personId="{d5498dd3-4a64-46ce-9a8a-c831885a0249}" id="{839cb8ab-9640-43a4-a4e5-7f984f7e175c}" done="1">
    <x18tc:text xml:space="preserve">11/12 Asked Juan to send the scope again, filed it with description of loss: hurricane cause damage to the roof resulting in leaks (AL)</x18tc:text>
  </x18tc:threadedComment>
  <x18tc:threadedComment ref="V271" dT="2024-11-12T19:38:59.00" personId="{d5498dd3-4a64-46ce-9a8a-c831885a0249}" id="{619138d8-ee3b-4f3b-83d8-e282ca90440d}" done="1">
    <x18tc:text xml:space="preserve">11/12 Asked Juan to send the scope again, filed it with description of loss: hurricane cause damage to the roof resulting in leaks (AL)</x18tc:text>
  </x18tc:threadedComment>
  <x18tc:threadedComment ref="V273" dT="2024-11-12T19:39:30.00" personId="{d5498dd3-4a64-46ce-9a8a-c831885a0249}" id="{6ddbcfd1-a4f0-46dd-9b4f-db7e57e9d65e}" done="1">
    <x18tc:text xml:space="preserve">11/11 Asked Juan to sign the LOR and send the scope, and asked if this claim is already filed and if he did already the inspection as in the contract says the contract date 10/23 (CM)</x18tc:text>
  </x18tc:threadedComment>
  <x18tc:threadedComment ref="P235" dT="2024-11-12T19:50:01.00" personId="{d5498dd3-4a64-46ce-9a8a-c831885a0249}" id="{cc9ff124-a390-450a-a831-9c927ca2d128}" done="1">
    <x18tc:text xml:space="preserve">11//12 followed up on the IA report and his determination on writing (CM)</x18tc:text>
  </x18tc:threadedComment>
  <x18tc:threadedComment ref="V235" dT="2024-11-12T19:50:17.00" personId="{d5498dd3-4a64-46ce-9a8a-c831885a0249}" id="{44bcd617-4ed7-400a-82eb-9b06bb36dbe0}" done="1">
    <x18tc:text xml:space="preserve">11/08 received a call from DA he said that we are going to receive a payment for 21k, asked him to send us a copy of the IA, policy and the payment letter, he said that he mailed those with the check, asked him to send via email as well (CM)</x18tc:text>
  </x18tc:threadedComment>
  <x18tc:threadedComment ref="V179" dT="2024-07-15T23:41:55.00" personId="{d5498dd3-4a64-46ce-9a8a-c831885a0249}" id="{7dbc7c24-9b49-4661-a181-7207071ee446}" done="1">
    <x18tc:text xml:space="preserve">06/25 asked Juan the estimate and photos as per DA request (CM)</x18tc:text>
  </x18tc:threadedComment>
  <x18tc:threadedComment ref="V180" dT="2024-07-16T00:20:07.00" personId="{d5498dd3-4a64-46ce-9a8a-c831885a0249}" id="{48cd417b-9cc9-4c3c-a8b0-e706b074c046}" done="1">
    <x18tc:text xml:space="preserve">07/16 asked DA for a copy of the policy, and Juan to send the estimate (CM)</x18tc:text>
  </x18tc:threadedComment>
  <x18tc:threadedComment ref="V177" dT="2024-07-15T23:12:24.00" personId="{d5498dd3-4a64-46ce-9a8a-c831885a0249}" id="{01a5c0b6-eb91-4641-adf7-830777ff720a}" done="1">
    <x18tc:text xml:space="preserve">06/26 received the previous determination letter, and the previous IA report, sent to PAs, asked if they want to request mediation, also asked Jakey to review the estimate sent by JP (CM)</x18tc:text>
  </x18tc:threadedComment>
  <x18tc:threadedComment ref="V18" dT="2024-07-15T23:14:03.00" personId="{d5498dd3-4a64-46ce-9a8a-c831885a0249}" id="{88981f0f-7633-47f6-8465-c8d717470c11}" done="0">
    <x18tc:text xml:space="preserve">06/21 DA inform that this claim is paid and settled (CM)</x18tc:text>
  </x18tc:threadedComment>
  <x18tc:threadedComment ref="V183" dT="2024-07-16T00:57:03.00" personId="{d5498dd3-4a64-46ce-9a8a-c831885a0249}" id="{19fa0275-b989-4e58-a103-7054a1397c27}" done="1">
    <x18tc:text xml:space="preserve">07/08 DA is asking for our estimate, asked for it to Juan, asked for the policy(CM)</x18tc:text>
  </x18tc:threadedComment>
  <x18tc:threadedComment ref="V186" dT="2024-07-16T01:03:17.00" personId="{d5498dd3-4a64-46ce-9a8a-c831885a0249}" id="{dceb5837-8465-445c-9cd9-31f7a941202c}" done="1">
    <x18tc:text xml:space="preserve">07/10 received a letter in which the carrier request the NFIP compliant LOR, sent to PAs (CM)</x18tc:text>
  </x18tc:threadedComment>
  <x18tc:threadedComment ref="V191" dT="2024-07-16T01:07:57.00" personId="{d5498dd3-4a64-46ce-9a8a-c831885a0249}" id="{0e9ec5c7-eb2f-4edb-8497-e1fc14505c4c}" done="1">
    <x18tc:text xml:space="preserve">07/12 Carrier informs that the insured didn't have an active policy in 2022, informed Ivan, he said he will correct the LOR, the client has a heritage policy (CM)</x18tc:text>
  </x18tc:threadedComment>
  <x18tc:threadedComment ref="M169" dT="2024-07-16T19:40:30.00" personId="{d5498dd3-4a64-46ce-9a8a-c831885a0249}" id="{bfd7b4ba-2204-4122-b2db-614c1adb6c2f}" done="1">
    <x18tc:text xml:space="preserve">7/16 sent an updated estimate without roof (peter)</x18tc:text>
  </x18tc:threadedComment>
  <x18tc:threadedComment ref="M169" dT="2024-07-17T12:39:40.00" personId="{d5498dd3-4a64-46ce-9a8a-c831885a0249}" id="{2dd24176-390e-45b9-9b64-4d4a9dd64932}" parentId="{bfd7b4ba-2204-4122-b2db-614c1adb6c2f}">
    <x18tc:text xml:space="preserve">cuando apruebe el estimado el PA sin el roof, por fa manda a la compania con copia al cliente @jp.ipestimates@gmail.com</x18tc:text>
    <x18tc:mentions>
      <x18tc:mention mentionpersonId="{f5ec41ac-eb21-45bf-aaa5-f7dfbc04c8e9}" mentionId="{dde579a3-fe43-4061-b376-00d82337e569}" startIndex="94" length="25"/>
    </x18tc:mentions>
  </x18tc:threadedComment>
  <x18tc:threadedComment ref="M169" dT="2024-07-17T17:46:04.00" personId="{651ebe9d-f120-479c-8376-36973fff1cc1}" id="{46421e6f-92fd-4764-901d-b4fc1e84615c}" parentId="{bfd7b4ba-2204-4122-b2db-614c1adb6c2f}">
    <x18tc:text xml:space="preserve">ya envie ayer</x18tc:text>
  </x18tc:threadedComment>
  <x18tc:threadedComment ref="M185" dT="2024-07-16T19:20:36.00" personId="{d5498dd3-4a64-46ce-9a8a-c831885a0249}" id="{9d5fc167-af40-4c36-8b71-a3d7dabdec61}" done="1">
    <x18tc:text xml:space="preserve">enviar estimado una vez aprobado JP
7/29 sento to carrier, no picture file</x18tc:text>
  </x18tc:threadedComment>
  <x18tc:threadedComment ref="N158" dT="2024-07-16T15:45:11.00" personId="{d5498dd3-4a64-46ce-9a8a-c831885a0249}" id="{f5767609-50ad-4607-b2b6-e2e79741da1c}" done="1">
    <x18tc:text xml:space="preserve">7/16 sent to Juan
7/24 aprobado por juan</x18tc:text>
  </x18tc:threadedComment>
  <x18tc:threadedComment ref="M110" dT="2024-07-16T16:25:59.00" personId="{d5498dd3-4a64-46ce-9a8a-c831885a0249}" id="{c1d6c875-ee9c-4b04-9d8b-38b865883606}" done="1">
    <x18tc:text xml:space="preserve">07/03 the client informed that on the estimate is not the pool, asked Juan to review the estimate (CM)</x18tc:text>
  </x18tc:threadedComment>
  <x18tc:threadedComment ref="A1" dT="2024-07-16T17:27:14.00" personId="{610be7ce-9288-4df9-9aac-427cc105bbe1}" id="{d5db29b2-2610-4f28-ab44-2ff5cec0b532}" done="0">
    <x18tc:text xml:space="preserve">NEED TO CONFIRM ASAP FOR FRIDAY 07/19</x18tc:text>
  </x18tc:threadedComment>
  <x18tc:threadedComment ref="M176" dT="2024-07-16T17:39:37.00" personId="{d5498dd3-4a64-46ce-9a8a-c831885a0249}" id="{daa79360-aa9e-459a-be25-158ed6730b74}" done="1">
    <x18tc:text xml:space="preserve">Manda estimado, tenemos denial @jp.ipestimates@gmail.com</x18tc:text>
    <x18tc:mentions>
      <x18tc:mention mentionpersonId="{f5ec41ac-eb21-45bf-aaa5-f7dfbc04c8e9}" mentionId="{548f0611-eb4e-4a1b-905a-4e849aeabceb}" startIndex="31" length="25"/>
    </x18tc:mentions>
  </x18tc:threadedComment>
  <x18tc:threadedComment ref="M176" dT="2024-07-30T15:50:01.00" personId="{651ebe9d-f120-479c-8376-36973fff1cc1}" id="{3da58e9e-8d6f-46e0-817c-bcd61886d64e}" parentId="{daa79360-aa9e-459a-be25-158ed6730b74}">
    <x18tc:text xml:space="preserve">7/30 enviado al carrier</x18tc:text>
  </x18tc:threadedComment>
  <x18tc:threadedComment ref="N160" dT="2024-07-16T19:17:30.00" personId="{d5498dd3-4a64-46ce-9a8a-c831885a0249}" id="{701f2d04-086b-4008-924a-076e44bc889f}" done="1">
    <x18tc:text xml:space="preserve">7/16 sent to Juan
7/29 sent to perry (Universal)</x18tc:text>
  </x18tc:threadedComment>
  <x18tc:threadedComment ref="V173" dT="2024-07-19T10:02:04.00" personId="{d5498dd3-4a64-46ce-9a8a-c831885a0249}" id="{f4c9eb68-c184-4970-a26d-ab9654b550f1}" done="1">
    <x18tc:text xml:space="preserve">07/25 received a letter saying they have issued a settlement check for 10k (CM) @ivan@ipadjustinggroup.com @peter@ipadjustinggroup.com</x18tc:text>
    <x18tc:mentions>
      <x18tc:mention mentionpersonId="{b266a086-4b60-4ebe-b1c0-272efe0833b6}" mentionId="{fb375223-c2bb-4c35-82d3-f6192f40da7b}" startIndex="80" length="26"/>
      <x18tc:mention mentionpersonId="{a90e7136-7222-4115-902b-b36ed88b071a}" mentionId="{4b8e61cc-9475-4105-b76a-81d52d5961eb}" startIndex="107" length="27"/>
    </x18tc:mentions>
  </x18tc:threadedComment>
  <x18tc:threadedComment ref="V172" dT="2024-07-19T10:02:10.00" personId="{d5498dd3-4a64-46ce-9a8a-c831885a0249}" id="{eb6b4c91-02e1-4351-81c1-0b373ed70f6c}" done="1">
    <x18tc:text xml:space="preserve">07/30 received a letter saying they have issued a settlement check for $13.530 (CM) 
@ivan@ipadjustinggroup.com @peter@ipadjustinggroup.com</x18tc:text>
    <x18tc:mentions>
      <x18tc:mention mentionpersonId="{b266a086-4b60-4ebe-b1c0-272efe0833b6}" mentionId="{635bb812-d487-434a-869f-a70dd855769f}" startIndex="86" length="26"/>
      <x18tc:mention mentionpersonId="{a90e7136-7222-4115-902b-b36ed88b071a}" mentionId="{ed9b97c1-1cb8-4eb9-ba0f-bf333639e5a0}" startIndex="113" length="27"/>
    </x18tc:mentions>
  </x18tc:threadedComment>
  <x18tc:threadedComment ref="V172" dT="2024-07-30T21:36:37.00" personId="{d5498dd3-4a64-46ce-9a8a-c831885a0249}" id="{b0d484aa-56db-4d6e-985d-9bf94ed3b2d4}" parentId="{eb6b4c91-02e1-4351-81c1-0b373ed70f6c}">
    <x18tc:text xml:space="preserve">DA is asking to sign the SPOL he sent, asked PAs about it (CM)</x18tc:text>
  </x18tc:threadedComment>
  <x18tc:threadedComment ref="V167" dT="2024-07-19T10:02:51.00" personId="{d5498dd3-4a64-46ce-9a8a-c831885a0249}" id="{033275dd-72db-4f0b-8096-6565f523c0d0}" done="1">
    <x18tc:text xml:space="preserve">08/27 DA is offering 17k, and says "the insured provide a roofer estimate to replace the roof for less than half the cost then your estimate. Will proceed with appraisal to resolve claim." asked PA's who should i ask for this appraisal (CM)</x18tc:text>
  </x18tc:threadedComment>
  <x18tc:threadedComment ref="V73" dT="2024-07-19T10:10:25.00" personId="{d5498dd3-4a64-46ce-9a8a-c831885a0249}" id="{89d22889-1b9a-463f-be92-4de3a3c2eab6}" done="1">
    <x18tc:text xml:space="preserve">08/12 Peter followed up on the 22.5k offer (CM)</x18tc:text>
  </x18tc:threadedComment>
  <x18tc:threadedComment ref="V145" dT="2024-07-29T21:17:05.00" personId="{d5498dd3-4a64-46ce-9a8a-c831885a0249}" id="{bb7258d5-172c-47f3-b7d0-70577e675bb4}" done="1">
    <x18tc:text xml:space="preserve">07/29 asked Peter to review JP's estimate and approved it if he agrees via ws (CM)</x18tc:text>
  </x18tc:threadedComment>
  <x18tc:threadedComment ref="O150" dT="2024-07-29T21:21:33.00" personId="{d5498dd3-4a64-46ce-9a8a-c831885a0249}" id="{249c89fa-2cdd-49dd-943c-c1b9ce1ddb3e}" done="0">
    <x18tc:text xml:space="preserve">DA is requesting SPOL @jp.ipestimates@gmail.com</x18tc:text>
    <x18tc:mentions>
      <x18tc:mention mentionpersonId="{f5ec41ac-eb21-45bf-aaa5-f7dfbc04c8e9}" mentionId="{6afbffe6-be1e-4af7-8060-ea754eeab6e6}" startIndex="22" length="25"/>
    </x18tc:mentions>
  </x18tc:threadedComment>
  <x18tc:threadedComment ref="O150" dT="2024-07-31T13:38:18.00" personId="{651ebe9d-f120-479c-8376-36973fff1cc1}" id="{99c86a8e-50c2-4b6f-a89b-afe2cf2f34c4}" parentId="{249c89fa-2cdd-49dd-943c-c1b9ce1ddb3e}">
    <x18tc:text xml:space="preserve">7/31 sent to client</x18tc:text>
  </x18tc:threadedComment>
  <x18tc:threadedComment ref="O150" dT="2024-09-03T17:11:20.00" personId="{651ebe9d-f120-479c-8376-36973fff1cc1}" id="{2e8511b6-c63e-408f-bfe9-5341e651bfec}" parentId="{249c89fa-2cdd-49dd-943c-c1b9ce1ddb3e}">
    <x18tc:text xml:space="preserve">9/03 se hizo seguimiento al cliente</x18tc:text>
  </x18tc:threadedComment>
  <x18tc:threadedComment ref="R160" dT="2024-07-29T21:02:19.00" personId="{d5498dd3-4a64-46ce-9a8a-c831885a0249}" id="{a9c8ea2b-aee9-42b4-986a-a7e8f9db5a14}" done="1">
    <x18tc:text xml:space="preserve">07/29 uploaded estimate</x18tc:text>
  </x18tc:threadedComment>
  <x18tc:threadedComment ref="V141" dT="2024-07-29T21:11:22.00" personId="{d5498dd3-4a64-46ce-9a8a-c831885a0249}" id="{3b8f1064-0d15-4711-871b-de418c67927c}" done="1">
    <x18tc:text xml:space="preserve">07/16 Once received the estimate we request mediation (CM)</x18tc:text>
  </x18tc:threadedComment>
  <x18tc:threadedComment ref="V141" dT="2024-08-28T14:55:26.00" personId="{d5498dd3-4a64-46ce-9a8a-c831885a0249}" id="{5623af54-ea3c-4d2b-9840-ef6d235612b2}" parentId="{3b8f1064-0d15-4711-871b-de418c67927c}">
    <x18tc:text xml:space="preserve">08/28 follow up with Juan this estimate (CM)</x18tc:text>
  </x18tc:threadedComment>
  <x18tc:threadedComment ref="N107" dT="2024-07-30T13:46:06.00" personId="{d5498dd3-4a64-46ce-9a8a-c831885a0249}" id="{8a1eae02-0c9f-4b5b-9755-bc02827f2e1d}" done="0">
    <x18tc:text xml:space="preserve">5/26 sent to juan</x18tc:text>
  </x18tc:threadedComment>
  <x18tc:threadedComment ref="N107" dT="2025-01-20T15:59:49.00" personId="{651ebe9d-f120-479c-8376-36973fff1cc1}" id="{2082d1bd-3053-4b97-a431-59946d8b6b31}" parentId="{8a1eae02-0c9f-4b5b-9755-bc02827f2e1d}">
    <x18tc:text xml:space="preserve">1/17/25 Juan approved</x18tc:text>
  </x18tc:threadedComment>
  <x18tc:threadedComment ref="O132" dT="2024-07-30T13:56:44.00" personId="{d5498dd3-4a64-46ce-9a8a-c831885a0249}" id="{92df73fc-04c2-4a25-9a7e-f73cad294226}" done="0">
    <x18tc:text xml:space="preserve">7/29 caro hizo follow
07/31 send the notarized SPOL to DA, asked Perry to upload it on claimspath (CM)</x18tc:text>
  </x18tc:threadedComment>
  <x18tc:threadedComment ref="O110" dT="2024-07-30T13:53:47.00" personId="{d5498dd3-4a64-46ce-9a8a-c831885a0249}" id="{559f6dc5-a410-4ce5-9bc9-33bc21212795}" done="1">
    <x18tc:text xml:space="preserve">hacer nuevo SPOL agregado la pool cuando juan revise</x18tc:text>
  </x18tc:threadedComment>
  <x18tc:threadedComment ref="O110" dT="2024-09-09T14:42:28.00" personId="{d5498dd3-4a64-46ce-9a8a-c831885a0249}" id="{81044bda-f255-4439-9b3a-30737053b32f}" parentId="{559f6dc5-a410-4ce5-9bc9-33bc21212795}">
    <x18tc:text xml:space="preserve">cliente pide que el SPOL este en una sola hoja @jp.ipestimates@gmail.com  cliente 69</x18tc:text>
    <x18tc:mentions>
      <x18tc:mention mentionpersonId="{f5ec41ac-eb21-45bf-aaa5-f7dfbc04c8e9}" mentionId="{9e4b51ff-ef47-47e6-b8a7-cd7109050e04}" startIndex="47" length="25"/>
    </x18tc:mentions>
  </x18tc:threadedComment>
  <x18tc:threadedComment ref="M154" dT="2024-07-30T14:39:34.00" personId="{651ebe9d-f120-479c-8376-36973fff1cc1}" id="{e4003750-b9c4-4125-a9fb-9b6509770dee}" done="1">
    <x18tc:text xml:space="preserve">7/30 esperando IA report</x18tc:text>
  </x18tc:threadedComment>
  <x18tc:threadedComment ref="M154" dT="2024-08-12T23:42:47.00" personId="{d5498dd3-4a64-46ce-9a8a-c831885a0249}" id="{c6e33ec1-40d7-4305-9a4d-e0a5b927f312}" parentId="{e4003750-b9c4-4125-a9fb-9b6509770dee}">
    <x18tc:text xml:space="preserve">08/12 tenemos el IA report, manda el estimado fotos y haz el SPOL please @jp.ipestimates@gmail.com</x18tc:text>
    <x18tc:mentions>
      <x18tc:mention mentionpersonId="{f5ec41ac-eb21-45bf-aaa5-f7dfbc04c8e9}" mentionId="{c052b767-3d3a-45f1-81d4-45965d15fcea}" startIndex="73" length="25"/>
    </x18tc:mentions>
  </x18tc:threadedComment>
  <x18tc:threadedComment ref="M154" dT="2024-08-13T14:09:46.00" personId="{651ebe9d-f120-479c-8376-36973fff1cc1}" id="{72937616-0e7d-41d8-90e7-70524e15f7c3}" parentId="{e4003750-b9c4-4125-a9fb-9b6509770dee}">
    <x18tc:text xml:space="preserve">8/13 enviado al carrier y cliente</x18tc:text>
  </x18tc:threadedComment>
  <x18tc:threadedComment ref="A1" dT="2024-07-30T14:09:35.00" personId="{d5498dd3-4a64-46ce-9a8a-c831885a0249}" id="{75d1eaff-6e48-43a2-a831-2d3730cdd3a6}" done="0">
    <x18tc:text xml:space="preserve">Peter dice q el cliente va a cambiar de carrier.</x18tc:text>
  </x18tc:threadedComment>
  <x18tc:threadedComment ref="O147" dT="2024-07-30T14:27:27.00" personId="{651ebe9d-f120-479c-8376-36973fff1cc1}" id="{7b166fa3-8ebe-46dc-8c1f-f08e909f636d}" done="1">
    <x18tc:text xml:space="preserve">7/30 follow</x18tc:text>
  </x18tc:threadedComment>
  <x18tc:threadedComment ref="N152" dT="2024-07-30T14:36:45.00" personId="{651ebe9d-f120-479c-8376-36973fff1cc1}" id="{303082ad-53f5-434f-b5c8-4a56138c868e}" done="1">
    <x18tc:text xml:space="preserve">YA ESTA SETTLED, NO HACER.</x18tc:text>
  </x18tc:threadedComment>
  <x18tc:threadedComment ref="O163" dT="2024-07-30T14:54:34.00" personId="{651ebe9d-f120-479c-8376-36973fff1cc1}" id="{668bbb1d-c53f-4c0d-ac65-6324150e4f7b}" done="1">
    <x18tc:text xml:space="preserve">7/30 follow up</x18tc:text>
  </x18tc:threadedComment>
  <x18tc:threadedComment ref="O159" dT="2024-07-30T14:45:59.00" personId="{651ebe9d-f120-479c-8376-36973fff1cc1}" id="{5ed983dc-2a9c-4727-acec-435ea2b41a27}" done="0">
    <x18tc:text xml:space="preserve">7/30 FOLLOW UP</x18tc:text>
  </x18tc:threadedComment>
  <x18tc:threadedComment ref="O162" dT="2024-07-30T14:52:25.00" personId="{651ebe9d-f120-479c-8376-36973fff1cc1}" id="{7b2dccfd-9f12-4df6-ac66-5df8315e6b6f}" done="1">
    <x18tc:text xml:space="preserve">7/30 follow up</x18tc:text>
  </x18tc:threadedComment>
  <x18tc:threadedComment ref="O162" dT="2024-08-02T20:51:46.00" personId="{d5498dd3-4a64-46ce-9a8a-c831885a0249}" id="{dba2ed12-449a-4dfa-8c6a-60887378f395}" parentId="{7b2dccfd-9f12-4df6-ac66-5df8315e6b6f}">
    <x18tc:text xml:space="preserve">08/02 asked Perry via email to upload SPOL to claimspath, send the SPOL signed and notarized to the DA (cm)</x18tc:text>
  </x18tc:threadedComment>
  <x18tc:threadedComment ref="A1" dT="2024-07-30T14:56:49.00" personId="{651ebe9d-f120-479c-8376-36973fff1cc1}" id="{5193c159-4d24-42a5-894b-b8b20212f791}" done="0">
    <x18tc:text xml:space="preserve">ESPERAR IA REPORT</x18tc:text>
  </x18tc:threadedComment>
  <x18tc:threadedComment ref="M170" dT="2024-07-30T15:28:49.00" personId="{651ebe9d-f120-479c-8376-36973fff1cc1}" id="{76f9d47c-d222-4df1-9964-8264d2a905c6}" done="1">
    <x18tc:text xml:space="preserve">waiting IA REPORT
enviar el spol al carrier cuando este el ia report</x18tc:text>
  </x18tc:threadedComment>
  <x18tc:threadedComment ref="M170" dT="2024-08-12T15:03:16.00" personId="{d5498dd3-4a64-46ce-9a8a-c831885a0249}" id="{c61637ca-5ecf-4b87-8e98-474df67dd768}" parentId="{76f9d47c-d222-4df1-9964-8264d2a905c6}">
    <x18tc:text xml:space="preserve">08/12 tenemos denial, porfa envie estimado y spol que ya esta notariza y subido en cw @jp.ipestimates@gmail.com</x18tc:text>
    <x18tc:mentions>
      <x18tc:mention mentionpersonId="{f5ec41ac-eb21-45bf-aaa5-f7dfbc04c8e9}" mentionId="{5f2f84c0-31b6-4eba-9ad2-ab3f8310c2f7}" startIndex="86" length="25"/>
    </x18tc:mentions>
  </x18tc:threadedComment>
  <x18tc:threadedComment ref="O170" dT="2024-07-30T15:29:10.00" personId="{d5498dd3-4a64-46ce-9a8a-c831885a0249}" id="{3b5892af-8ed6-46c4-9920-9ae720d88b4d}" done="1">
    <x18tc:text xml:space="preserve">07/31 SPOL notarized by Sarah is uploaded on CW, ready to be sent to carrier once received the IA report @jp.ipestimates@gmail.com</x18tc:text>
    <x18tc:mentions>
      <x18tc:mention mentionpersonId="{f5ec41ac-eb21-45bf-aaa5-f7dfbc04c8e9}" mentionId="{b954f59a-5b6c-40a6-b1bc-d2a1736aa34e}" startIndex="105" length="25"/>
    </x18tc:mentions>
  </x18tc:threadedComment>
  <x18tc:threadedComment ref="O170" dT="2024-08-21T20:45:52.00" personId="{d5498dd3-4a64-46ce-9a8a-c831885a0249}" id="{4b264d77-3b0c-425c-b5a4-205c50f8dcbf}" parentId="{3b5892af-8ed6-46c4-9920-9ae720d88b4d}">
    <x18tc:text xml:space="preserve">Paul envia este spol ya recibimos la denial @jp.ipestimates@gmail.com</x18tc:text>
    <x18tc:mentions>
      <x18tc:mention mentionpersonId="{f5ec41ac-eb21-45bf-aaa5-f7dfbc04c8e9}" mentionId="{9b00f36d-6329-4656-9830-f6ffa36872be}" startIndex="44" length="25"/>
    </x18tc:mentions>
  </x18tc:threadedComment>
  <x18tc:threadedComment ref="A1" dT="2024-07-30T15:09:40.00" personId="{651ebe9d-f120-479c-8376-36973fff1cc1}" id="{a3503810-7748-4dbe-bcc1-842f5829d8f6}" done="0">
    <x18tc:text xml:space="preserve">7/30 sent to joshua
7/30 david approved</x18tc:text>
  </x18tc:threadedComment>
  <x18tc:threadedComment ref="M168" dT="2024-07-30T15:12:31.00" personId="{651ebe9d-f120-479c-8376-36973fff1cc1}" id="{34321742-a418-4bc6-ab5e-275074e83429}" done="1">
    <x18tc:text xml:space="preserve">waiting IA report</x18tc:text>
  </x18tc:threadedComment>
  <x18tc:threadedComment ref="M168" dT="2024-08-08T21:35:13.00" personId="{d5498dd3-4a64-46ce-9a8a-c831885a0249}" id="{f07a0310-4817-4b77-8e17-385369c4cf63}" parentId="{34321742-a418-4bc6-ab5e-275074e83429}">
    <x18tc:text xml:space="preserve">08/08 received a denial, send the IA report please @jp.ipestimates@gmail.com</x18tc:text>
    <x18tc:mentions>
      <x18tc:mention mentionpersonId="{f5ec41ac-eb21-45bf-aaa5-f7dfbc04c8e9}" mentionId="{fd8c4a57-3901-4c91-b4cc-4d2ac0c16628}" startIndex="51" length="25"/>
    </x18tc:mentions>
  </x18tc:threadedComment>
  <x18tc:threadedComment ref="M168" dT="2024-08-12T20:37:32.00" personId="{651ebe9d-f120-479c-8376-36973fff1cc1}" id="{e016af95-54b4-4a67-8a7b-c067337b1dbf}" parentId="{34321742-a418-4bc6-ab5e-275074e83429}">
    <x18tc:text xml:space="preserve">envio el estimado diras jeje. ok ya envio.</x18tc:text>
  </x18tc:threadedComment>
  <x18tc:threadedComment ref="M168" dT="2024-08-12T20:44:35.00" personId="{651ebe9d-f120-479c-8376-36973fff1cc1}" id="{5ef99339-f833-4474-b270-0dae68cc758e}" parentId="{34321742-a418-4bc6-ab5e-275074e83429}">
    <x18tc:text xml:space="preserve">8/12 enviado al DA y cliente</x18tc:text>
  </x18tc:threadedComment>
  <x18tc:threadedComment ref="M168" dT="2024-08-12T22:53:47.00" personId="{d5498dd3-4a64-46ce-9a8a-c831885a0249}" id="{76b4e1bd-aa6b-463c-9fc1-0f85174e5bdc}" parentId="{34321742-a418-4bc6-ab5e-275074e83429}">
    <x18tc:text xml:space="preserve">perfect! gracias Paulillo</x18tc:text>
  </x18tc:threadedComment>
  <x18tc:threadedComment ref="O168" dT="2024-07-30T15:13:04.00" personId="{651ebe9d-f120-479c-8376-36973fff1cc1}" id="{78f0515b-499b-4365-9311-ba9eaf8fd835}" done="1">
    <x18tc:text xml:space="preserve">enviar cuando este el IA report</x18tc:text>
  </x18tc:threadedComment>
  <x18tc:threadedComment ref="O169" dT="2024-07-30T15:14:57.00" personId="{651ebe9d-f120-479c-8376-36973fff1cc1}" id="{e7c173e8-1f5c-4795-bc5e-98660bb9a318}" done="1">
    <x18tc:text xml:space="preserve">7/30 enviado update SPOL con valor sin roof</x18tc:text>
  </x18tc:threadedComment>
  <x18tc:threadedComment ref="N171" dT="2024-07-30T15:31:25.00" personId="{651ebe9d-f120-479c-8376-36973fff1cc1}" id="{ce588d2d-03ea-4636-a0a2-001e11dcdc01}" done="1">
    <x18tc:text xml:space="preserve">7/25 aprobado</x18tc:text>
  </x18tc:threadedComment>
  <x18tc:threadedComment ref="O171" dT="2024-07-30T15:33:24.00" personId="{651ebe9d-f120-479c-8376-36973fff1cc1}" id="{124c231f-f4cc-44b1-a93b-993d5c0bbfba}" done="1">
    <x18tc:text xml:space="preserve">FIGA hacer en el sistema cuando se necesite</x18tc:text>
  </x18tc:threadedComment>
  <x18tc:threadedComment ref="M173" dT="2024-07-30T15:42:33.00" personId="{651ebe9d-f120-479c-8376-36973fff1cc1}" id="{7a18089c-650e-4a46-9705-59e6f5f5d430}" done="1">
    <x18tc:text xml:space="preserve">7/30 enviado al carrier</x18tc:text>
  </x18tc:threadedComment>
  <x18tc:threadedComment ref="O176" dT="2024-07-30T15:47:42.00" personId="{d5498dd3-4a64-46ce-9a8a-c831885a0249}" id="{b8dd40cd-f518-409e-917f-19bb14450340}" done="1">
    <x18tc:text xml:space="preserve">07/30 FOLLOWED UP</x18tc:text>
  </x18tc:threadedComment>
  <x18tc:threadedComment ref="M178" dT="2024-07-30T15:51:54.00" personId="{651ebe9d-f120-479c-8376-36973fff1cc1}" id="{c95faffc-7c5c-4b00-86f1-3bbc7b6ad32b}" done="1">
    <x18tc:text xml:space="preserve">waiting IA report</x18tc:text>
  </x18tc:threadedComment>
  <x18tc:threadedComment ref="M178" dT="2024-09-11T16:08:59.00" personId="{651ebe9d-f120-479c-8376-36973fff1cc1}" id="{3a4f7db2-d9a8-4cac-9576-2c0a3aa81b2d}" parentId="{c95faffc-7c5c-4b00-86f1-3bbc7b6ad32b}">
    <x18tc:text xml:space="preserve">9/11 enviado</x18tc:text>
  </x18tc:threadedComment>
  <x18tc:threadedComment ref="N180" dT="2024-07-30T15:55:22.00" personId="{651ebe9d-f120-479c-8376-36973fff1cc1}" id="{71bce92a-7cc0-453f-a3c3-83b5d762a1b2}" done="1">
    <x18tc:text xml:space="preserve">7/26 ENVIADO A JUAN</x18tc:text>
  </x18tc:threadedComment>
  <x18tc:threadedComment ref="N180" dT="2024-08-15T20:22:41.00" personId="{651ebe9d-f120-479c-8376-36973fff1cc1}" id="{1524eb0f-e49d-462c-9063-758281400144}" parentId="{71bce92a-7cc0-453f-a3c3-83b5d762a1b2}">
    <x18tc:text xml:space="preserve">8/15 8/15 pedi a juan q apruebe</x18tc:text>
  </x18tc:threadedComment>
  <x18tc:threadedComment ref="N180" dT="2024-08-29T14:50:11.00" personId="{651ebe9d-f120-479c-8376-36973fff1cc1}" id="{5b00117e-772d-41b6-8ca7-5191470bb96f}" parentId="{71bce92a-7cc0-453f-a3c3-83b5d762a1b2}">
    <x18tc:text xml:space="preserve">8/29 aprobado por Juan (144) @admin@ipadjustinggroup.com</x18tc:text>
    <x18tc:mentions>
      <x18tc:mention mentionpersonId="{1ffc25a2-3f83-4ed1-a701-edf0aba99522}" mentionId="{dab3625c-d70c-487d-86b4-54192bf1bb9b}" startIndex="29" length="27"/>
    </x18tc:mentions>
  </x18tc:threadedComment>
  <x18tc:threadedComment ref="M191" dT="2024-07-30T16:24:45.00" personId="{651ebe9d-f120-479c-8376-36973fff1cc1}" id="{15b1c0c4-869c-4545-b477-f8b5791d4f44}" done="1">
    <x18tc:text xml:space="preserve">WAITING IA REPORT</x18tc:text>
  </x18tc:threadedComment>
  <x18tc:threadedComment ref="M191" dT="2024-09-20T15:00:08.00" personId="{d5498dd3-4a64-46ce-9a8a-c831885a0249}" id="{5f62b823-8b5e-448f-9ac5-a1596ddc0309}" parentId="{15b1c0c4-869c-4545-b477-f8b5791d4f44}">
    <x18tc:text xml:space="preserve">revisa engineer report y manda estimado 155</x18tc:text>
  </x18tc:threadedComment>
  <x18tc:threadedComment ref="M192" dT="2024-07-30T16:25:51.00" personId="{651ebe9d-f120-479c-8376-36973fff1cc1}" id="{a28b6fa0-dce7-4bcd-8cdc-373369b29aaf}" done="1">
    <x18tc:text xml:space="preserve">WAITING IA REPORT</x18tc:text>
  </x18tc:threadedComment>
  <x18tc:threadedComment ref="M180" dT="2024-07-30T15:56:31.00" personId="{651ebe9d-f120-479c-8376-36973fff1cc1}" id="{c475b815-e2bb-4330-9538-54f3f0a940b8}" done="1">
    <x18tc:text xml:space="preserve">ENVIAR CUANDO EL ESTIMADO APROBADO</x18tc:text>
  </x18tc:threadedComment>
  <x18tc:threadedComment ref="N181" dT="2024-07-30T15:58:13.00" personId="{651ebe9d-f120-479c-8376-36973fff1cc1}" id="{302ed177-3b3f-48e9-860b-8b6c3db7372b}" done="1">
    <x18tc:text xml:space="preserve">6/21 aprobado por david</x18tc:text>
  </x18tc:threadedComment>
  <x18tc:threadedComment ref="M181" dT="2024-07-30T15:58:41.00" personId="{651ebe9d-f120-479c-8376-36973fff1cc1}" id="{c5c867e3-e95a-43e4-a2be-ffea7eb15728}" done="1">
    <x18tc:text xml:space="preserve">waiting IA report</x18tc:text>
  </x18tc:threadedComment>
  <x18tc:threadedComment ref="M181" dT="2024-08-08T23:12:24.00" personId="{d5498dd3-4a64-46ce-9a8a-c831885a0249}" id="{6cfe28fc-b95f-4369-94f6-d05f690d27e2}" parentId="{c5c867e3-e95a-43e4-a2be-ffea7eb15728}">
    <x18tc:text xml:space="preserve">08/08 received a denial letter send the estimate (CM) @jp.ipestimates@gmail.com</x18tc:text>
    <x18tc:mentions>
      <x18tc:mention mentionpersonId="{f5ec41ac-eb21-45bf-aaa5-f7dfbc04c8e9}" mentionId="{3e005adc-6dfb-4d99-a116-06b9cef10f07}" startIndex="54" length="25"/>
    </x18tc:mentions>
  </x18tc:threadedComment>
  <x18tc:threadedComment ref="O183" dT="2024-07-30T16:08:53.00" personId="{651ebe9d-f120-479c-8376-36973fff1cc1}" id="{df4d4c34-3fdb-434b-bd27-8a31c5fb545c}" done="1">
    <x18tc:text xml:space="preserve">ENVIAR CON ESTIMADO APROBADO</x18tc:text>
  </x18tc:threadedComment>
  <x18tc:threadedComment ref="O183" dT="2024-08-08T22:39:36.00" personId="{d5498dd3-4a64-46ce-9a8a-c831885a0249}" id="{8eaa36f5-0fc3-4211-b928-435d9983bb3a}" parentId="{df4d4c34-3fdb-434b-bd27-8a31c5fb545c}">
    <x18tc:text xml:space="preserve">Paulillo please haz este SPOL y manda a la cliente, nos estan pidiendo con desesperacion y angustia @jp.ipestimates@gmail.com jaja</x18tc:text>
    <x18tc:mentions>
      <x18tc:mention mentionpersonId="{f5ec41ac-eb21-45bf-aaa5-f7dfbc04c8e9}" mentionId="{7fdf2e03-3f4e-4583-9637-dd7baf0813bb}" startIndex="100" length="25"/>
    </x18tc:mentions>
  </x18tc:threadedComment>
  <x18tc:threadedComment ref="O183" dT="2024-08-13T23:21:35.00" personId="{d5498dd3-4a64-46ce-9a8a-c831885a0249}" id="{802a10ae-ad4a-4ddc-9fad-df4dfc0cbb50}" parentId="{df4d4c34-3fdb-434b-bd27-8a31c5fb545c}">
    <x18tc:text xml:space="preserve">@jp.ipestimates@gmail.com no te olvides este SPOL</x18tc:text>
    <x18tc:mentions>
      <x18tc:mention mentionpersonId="{f5ec41ac-eb21-45bf-aaa5-f7dfbc04c8e9}" mentionId="{98f657bf-ab37-4989-9c64-f136f89a300e}" startIndex="0" length="25"/>
    </x18tc:mentions>
  </x18tc:threadedComment>
  <x18tc:threadedComment ref="N186" dT="2024-07-30T16:18:11.00" personId="{651ebe9d-f120-479c-8376-36973fff1cc1}" id="{143953b7-9783-4d34-9622-0d688ae71373}" done="0">
    <x18tc:text xml:space="preserve">7/30 pedi info a ivan del estimado</x18tc:text>
  </x18tc:threadedComment>
  <x18tc:threadedComment ref="N186" dT="2024-09-03T16:36:16.00" personId="{651ebe9d-f120-479c-8376-36973fff1cc1}" id="{fc7e626e-e4ec-429d-937e-6ca77ff50059}" parentId="{143953b7-9783-4d34-9622-0d688ae71373}">
    <x18tc:text xml:space="preserve">8/28 pedi a ivan alguna info</x18tc:text>
  </x18tc:threadedComment>
  <x18tc:threadedComment ref="N186" dT="2024-11-05T14:25:37.00" personId="{651ebe9d-f120-479c-8376-36973fff1cc1}" id="{b8ea0cd0-a5d6-4a93-8d74-d7dab2f965e9}" parentId="{143953b7-9783-4d34-9622-0d688ae71373}">
    <x18tc:text xml:space="preserve">11/05 pedi info a Ivan para hacer estimado</x18tc:text>
  </x18tc:threadedComment>
  <x18tc:threadedComment ref="N186" dT="2025-01-28T17:17:25.00" personId="{651ebe9d-f120-479c-8376-36973fff1cc1}" id="{aac72030-38c0-4273-9197-3b1ea8d40234}" parentId="{143953b7-9783-4d34-9622-0d688ae71373}">
    <x18tc:text xml:space="preserve">1/28/25 ivan esta esperando a ver q hace el carrier</x18tc:text>
  </x18tc:threadedComment>
  <x18tc:threadedComment ref="M186" dT="2024-07-30T16:18:34.00" personId="{651ebe9d-f120-479c-8376-36973fff1cc1}" id="{de774b27-e09b-4463-96ea-92664944425f}" done="0">
    <x18tc:text xml:space="preserve">enviar con estimado aprobado</x18tc:text>
  </x18tc:threadedComment>
  <x18tc:threadedComment ref="M187" dT="2024-07-30T16:20:11.00" personId="{651ebe9d-f120-479c-8376-36973fff1cc1}" id="{7fc994d8-8e7d-423f-8250-f32a8ea80453}" done="1">
    <x18tc:text xml:space="preserve">WAITING IA REPORT</x18tc:text>
  </x18tc:threadedComment>
  <x18tc:threadedComment ref="M187" dT="2024-08-16T01:17:54.00" personId="{d5498dd3-4a64-46ce-9a8a-c831885a0249}" id="{3111730c-86ab-4032-96b5-7f735b309b65}" parentId="{7fc994d8-8e7d-423f-8250-f32a8ea80453}">
    <x18tc:text xml:space="preserve">tenemos IA @jp.ipestimates@gmail.com</x18tc:text>
    <x18tc:mentions>
      <x18tc:mention mentionpersonId="{f5ec41ac-eb21-45bf-aaa5-f7dfbc04c8e9}" mentionId="{c71cbb7b-d0fb-4899-bb33-93e2dcb7176f}" startIndex="11" length="25"/>
    </x18tc:mentions>
  </x18tc:threadedComment>
  <x18tc:threadedComment ref="M188" dT="2024-07-30T16:21:30.00" personId="{651ebe9d-f120-479c-8376-36973fff1cc1}" id="{d8e7e082-8529-438d-a957-0252b632d068}" done="0">
    <x18tc:text xml:space="preserve">WAITING IA REPORT</x18tc:text>
  </x18tc:threadedComment>
  <x18tc:threadedComment ref="M188" dT="2025-05-27T16:18:54.00" personId="{651ebe9d-f120-479c-8376-36973fff1cc1}" id="{3d307e0d-5f6c-491e-8578-c4521ec76be3}" parentId="{d8e7e082-8529-438d-a957-0252b632d068}">
    <x18tc:text xml:space="preserve">5/27 uploaded to CP</x18tc:text>
  </x18tc:threadedComment>
  <x18tc:threadedComment ref="M188" dT="2025-06-11T16:16:32.00" personId="{651ebe9d-f120-479c-8376-36973fff1cc1}" id="{bbd22873-5555-41fe-b515-94aa04a2337c}" parentId="{d8e7e082-8529-438d-a957-0252b632d068}">
    <x18tc:text xml:space="preserve">6/11 sent the offer and estimate to DA
offer $27,615.84</x18tc:text>
  </x18tc:threadedComment>
  <x18tc:threadedComment ref="M195" dT="2024-07-30T16:38:23.00" personId="{651ebe9d-f120-479c-8376-36973fff1cc1}" id="{03bed58c-7299-4b33-83ad-5189ac8f1890}" done="0">
    <x18tc:text xml:space="preserve">WAITING IA REPORT</x18tc:text>
  </x18tc:threadedComment>
  <x18tc:threadedComment ref="M195" dT="2024-11-05T14:37:17.00" personId="{651ebe9d-f120-479c-8376-36973fff1cc1}" id="{b2d505a7-67e8-4feb-b432-5637936d4d6f}" parentId="{03bed58c-7299-4b33-83ad-5189ac8f1890}">
    <x18tc:text xml:space="preserve">11/05 Sent the estimate and picture file to DA and client</x18tc:text>
  </x18tc:threadedComment>
  <x18tc:threadedComment ref="O141" dT="2024-07-30T16:40:30.00" personId="{651ebe9d-f120-479c-8376-36973fff1cc1}" id="{b2b4231e-5e9e-4da0-a619-ef186e10d931}" done="1">
    <x18tc:text xml:space="preserve">ENVIAR SPOL A PENES ESTE APROBADO ESTIMADO</x18tc:text>
  </x18tc:threadedComment>
  <x18tc:threadedComment ref="O145" dT="2024-07-30T17:49:17.00" personId="{651ebe9d-f120-479c-8376-36973fff1cc1}" id="{f4c7aa5f-cbcb-48d0-ba9b-45c60bf1cc22}" done="1">
    <x18tc:text xml:space="preserve">7/30 sent to client</x18tc:text>
  </x18tc:threadedComment>
  <x18tc:threadedComment ref="V162" dT="2024-07-30T18:54:09.00" personId="{d5498dd3-4a64-46ce-9a8a-c831885a0249}" id="{953c8556-94e9-4f98-b733-ae9cdb207f95}" done="1">
    <x18tc:text xml:space="preserve">08/09 David is asking 55k (CM)</x18tc:text>
  </x18tc:threadedComment>
  <x18tc:threadedComment ref="V185" dT="2024-07-30T20:15:22.00" personId="{d5498dd3-4a64-46ce-9a8a-c831885a0249}" id="{576ca547-885c-4540-a8ff-7c1be540375a}" done="1">
    <x18tc:text xml:space="preserve">07/30 received a determination letter, with an undisputted payment for 13k and IA report (CM)
09/10 followed up with DA, and asked to PAs to confirm how to proceed as we have a determination letter (CM)</x18tc:text>
  </x18tc:threadedComment>
  <x18tc:threadedComment ref="V197" dT="2024-08-02T21:30:26.00" personId="{d5498dd3-4a64-46ce-9a8a-c831885a0249}" id="{153d5731-1fcf-4126-8c1c-0fd2b542c2a1}" done="1">
    <x18tc:text xml:space="preserve">08/02 DA is asking for an examination under oath and the SPOL, asked PAs to explain me better that doc (CM)
08/06 Ivan explained that examination under oath is like a recorded statement but with lawyers, asked if I should ask Day or Perry for that (CM)</x18tc:text>
  </x18tc:threadedComment>
  <x18tc:threadedComment ref="V194" dT="2024-08-02T21:16:22.00" personId="{d5498dd3-4a64-46ce-9a8a-c831885a0249}" id="{ebcf6838-2bea-46db-a4e0-a219cccc5224}" done="1">
    <x18tc:text xml:space="preserve">08/02 DA is asking about the repairs on the roof, sent email to Jakey (CM)</x18tc:text>
  </x18tc:threadedComment>
  <x18tc:threadedComment ref="O197" dT="2024-08-02T21:27:05.00" personId="{d5498dd3-4a64-46ce-9a8a-c831885a0249}" id="{42d9a68f-b797-4c52-854e-fc09345bda8c}" done="0">
    <x18tc:text xml:space="preserve">DA is asking SPOL</x18tc:text>
  </x18tc:threadedComment>
  <x18tc:threadedComment ref="O197" dT="2024-08-03T13:51:16.00" personId="{651ebe9d-f120-479c-8376-36973fff1cc1}" id="{a07782df-6e9d-44d6-9dea-e7ca3c3b1f54}" parentId="{42d9a68f-b797-4c52-854e-fc09345bda8c}">
    <x18tc:text xml:space="preserve">waiting for Ivans approval (JP)</x18tc:text>
  </x18tc:threadedComment>
  <x18tc:threadedComment ref="O197" dT="2024-08-06T21:49:11.00" personId="{651ebe9d-f120-479c-8376-36973fff1cc1}" id="{7e5457f5-388b-43d8-a512-9ceee2fa3195}" parentId="{42d9a68f-b797-4c52-854e-fc09345bda8c}">
    <x18tc:text xml:space="preserve">8/06 sent to client to sign</x18tc:text>
  </x18tc:threadedComment>
  <x18tc:threadedComment ref="M159" dT="2024-07-31T23:53:41.00" personId="{651ebe9d-f120-479c-8376-36973fff1cc1}" id="{c463c1a0-2d9b-4432-8d03-b71189e1ba49}" done="1">
    <x18tc:text xml:space="preserve">6/13 sent to carrier.</x18tc:text>
  </x18tc:threadedComment>
  <x18tc:threadedComment ref="A1" dT="2024-12-05T16:59:05.00" personId="{dce94d92-92ea-454e-be01-6696a4edd87f}" id="{39189f8c-3691-41a4-a500-6c3bea87ddf8}" done="1">
    <x18tc:text xml:space="preserve">spoke to client on 12/5</x18tc:text>
  </x18tc:threadedComment>
  <x18tc:threadedComment ref="A153" dT="2024-07-25T01:10:40.00" personId="{d5498dd3-4a64-46ce-9a8a-c831885a0249}" id="{12fb1439-56f4-4ba0-a4c0-2eb8fa1ccb9b}" done="1">
    <x18tc:text xml:space="preserve">07/25 requested mediation (CM)
@scheduling@ipadjustinggroup.com</x18tc:text>
    <x18tc:mentions>
      <x18tc:mention mentionpersonId="{2c8ec519-d5db-42bb-a5e2-52abe8ff6abf}" mentionId="{ffe41ceb-a4f2-4ce2-8250-882c9abff2b7}" startIndex="31" length="32"/>
    </x18tc:mentions>
  </x18tc:threadedComment>
  <x18tc:threadedComment ref="M166" dT="2024-07-25T01:43:32.00" personId="{d5498dd3-4a64-46ce-9a8a-c831885a0249}" id="{f1b96b93-cb7c-49a9-a8a7-7bae2cff4a1c}" done="1">
    <x18tc:text xml:space="preserve">7/24 enviado al carrier, sin fotos.</x18tc:text>
  </x18tc:threadedComment>
  <x18tc:threadedComment ref="M166" dT="2024-07-25T01:43:54.00" personId="{d5498dd3-4a64-46ce-9a8a-c831885a0249}" id="{740203fc-6ff6-4a90-a52e-2c4eac93cccb}" parentId="{f1b96b93-cb7c-49a9-a8a7-7bae2cff4a1c}">
    <x18tc:text xml:space="preserve">@jp.ipestimates@gmail.com no te olvides este SPOL que necesita el DA por fa</x18tc:text>
    <x18tc:mentions>
      <x18tc:mention mentionpersonId="{f5ec41ac-eb21-45bf-aaa5-f7dfbc04c8e9}" mentionId="{56d69906-d575-4eff-be0f-73be52eadf47}" startIndex="0" length="25"/>
    </x18tc:mentions>
  </x18tc:threadedComment>
  <x18tc:threadedComment ref="N195" dT="2024-07-25T02:08:27.00" personId="{d5498dd3-4a64-46ce-9a8a-c831885a0249}" id="{6998a0c7-1e45-43e2-91bd-5c00444f5030}" done="0">
    <x18tc:text xml:space="preserve">7/26 enviado a Juan.
Este estimado ya tienes revisaras el mail, la semana pasada te mando me acuerdo @jp.ipestimates@gmail.com</x18tc:text>
    <x18tc:mentions>
      <x18tc:mention mentionpersonId="{f5ec41ac-eb21-45bf-aaa5-f7dfbc04c8e9}" mentionId="{161fcc5d-e493-4369-971f-7edf845a503e}" startIndex="102" length="25"/>
    </x18tc:mentions>
  </x18tc:threadedComment>
  <x18tc:threadedComment ref="N195" dT="2024-08-29T00:09:13.00" personId="{651ebe9d-f120-479c-8376-36973fff1cc1}" id="{9fde2d20-e256-48fd-acbd-b320b33951e7}" parentId="{6998a0c7-1e45-43e2-91bd-5c00444f5030}">
    <x18tc:text xml:space="preserve">8/28 aprobado por juan @admin@ipadjustinggroup.com</x18tc:text>
    <x18tc:mentions>
      <x18tc:mention mentionpersonId="{1ffc25a2-3f83-4ed1-a701-edf0aba99522}" mentionId="{112b494a-c910-432d-9698-d5c15384bcf3}" startIndex="23" length="27"/>
    </x18tc:mentions>
  </x18tc:threadedComment>
  <x18tc:threadedComment ref="M183" dT="2024-07-23T17:37:23.00" personId="{d5498dd3-4a64-46ce-9a8a-c831885a0249}" id="{bcbb8cdc-9bbc-4908-b014-5fac86594865}" done="1">
    <x18tc:text xml:space="preserve">enviar SPOL a penas tengamos estimado porfa @jp.ipestimates@gmail.com</x18tc:text>
    <x18tc:mentions>
      <x18tc:mention mentionpersonId="{f5ec41ac-eb21-45bf-aaa5-f7dfbc04c8e9}" mentionId="{9462bbc7-dedd-4eff-8630-185c6c40d56c}" startIndex="44" length="25"/>
    </x18tc:mentions>
  </x18tc:threadedComment>
  <x18tc:threadedComment ref="M183" dT="2024-07-23T21:49:19.00" personId="{651ebe9d-f120-479c-8376-36973fff1cc1}" id="{e21632b0-185f-4b22-b251-9e1e499b3ea9}" parentId="{bcbb8cdc-9bbc-4908-b014-5fac86594865}">
    <x18tc:text xml:space="preserve">OK</x18tc:text>
  </x18tc:threadedComment>
  <x18tc:threadedComment ref="N150" dT="2024-07-24T14:25:03.00" personId="{d5498dd3-4a64-46ce-9a8a-c831885a0249}" id="{2c5ca035-6f42-48b5-88eb-ba5c3682fb8b}" done="1">
    <x18tc:text xml:space="preserve">5/15 sent to Juan
7/24 juan approved</x18tc:text>
  </x18tc:threadedComment>
  <x18tc:threadedComment ref="A169" dT="2024-07-25T23:08:16.00" personId="{d5498dd3-4a64-46ce-9a8a-c831885a0249}" id="{6ffe7128-21aa-4a48-a7b4-7a34a043fa77}" done="1">
    <x18tc:text xml:space="preserve">07/25 received the appraisal agreement to be signed, sent to Peter and Day to schedule (CM)
@scheduling@ipadjustinggroup.com</x18tc:text>
    <x18tc:mentions>
      <x18tc:mention mentionpersonId="{2c8ec519-d5db-42bb-a5e2-52abe8ff6abf}" mentionId="{63e29fdd-74aa-4e52-91ad-5762d2a52039}" startIndex="92" length="32"/>
    </x18tc:mentions>
  </x18tc:threadedComment>
  <x18tc:threadedComment ref="A169" dT="2024-07-26T13:33:05.00" personId="{610be7ce-9288-4df9-9aac-427cc105bbe1}" id="{54f1a39a-de72-41aa-a3e9-9a14fcf41240}" parentId="{6ffe7128-21aa-4a48-a7b4-7a34a043fa77}">
    <x18tc:text xml:space="preserve">Marked as resolved</x18tc:text>
  </x18tc:threadedComment>
  <x18tc:threadedComment ref="M281" dT="2024-12-30T15:56:37.00" personId="{651ebe9d-f120-479c-8376-36973fff1cc1}" id="{ca95a2c7-efec-418b-9dd5-d27beda4da8c}" done="0">
    <x18tc:text xml:space="preserve">12/30 sent to DA</x18tc:text>
  </x18tc:threadedComment>
  <x18tc:threadedComment ref="M292" dT="2024-12-30T16:01:17.00" personId="{651ebe9d-f120-479c-8376-36973fff1cc1}" id="{6be491b4-b083-4f81-989f-a8a120389c46}" done="0">
    <x18tc:text xml:space="preserve">12/30 sent to DA</x18tc:text>
  </x18tc:threadedComment>
  <x18tc:threadedComment ref="M247" dT="2024-12-30T15:44:29.00" personId="{651ebe9d-f120-479c-8376-36973fff1cc1}" id="{d0b787b3-923a-46f1-b8a7-35f6e8601c5c}" done="0">
    <x18tc:text xml:space="preserve">12/30 sent to carrier</x18tc:text>
  </x18tc:threadedComment>
  <x18tc:threadedComment ref="M254" dT="2024-12-30T15:51:02.00" personId="{651ebe9d-f120-479c-8376-36973fff1cc1}" id="{24fc1000-1144-454f-9cdc-cb1a0841ab3d}" done="0">
    <x18tc:text xml:space="preserve">12/30 sent to DA</x18tc:text>
  </x18tc:threadedComment>
  <x18tc:threadedComment ref="N183" dT="2024-07-29T12:26:58.00" personId="{d5498dd3-4a64-46ce-9a8a-c831885a0249}" id="{073a80d1-3b6d-47ce-bf32-06119f0cf895}" done="1">
    <x18tc:text xml:space="preserve">7/29 enviado a juan</x18tc:text>
  </x18tc:threadedComment>
  <x18tc:threadedComment ref="N183" dT="2024-08-14T20:29:05.00" personId="{651ebe9d-f120-479c-8376-36973fff1cc1}" id="{7e8cd929-5ce7-4282-a7f9-cbc85386d8db}" parentId="{073a80d1-3b6d-47ce-bf32-06119f0cf895}">
    <x18tc:text xml:space="preserve">8/14 Juan aprobo</x18tc:text>
  </x18tc:threadedComment>
  <x18tc:threadedComment ref="N50" dT="2024-07-29T13:35:36.00" personId="{d5498dd3-4a64-46ce-9a8a-c831885a0249}" id="{9eec5892-b692-4a2a-a882-ce04d06b0c7b}" done="1">
    <x18tc:text xml:space="preserve">7/29 envie a ivan un update.</x18tc:text>
  </x18tc:threadedComment>
  <x18tc:threadedComment ref="N188" dT="2024-07-29T13:03:50.00" personId="{d5498dd3-4a64-46ce-9a8a-c831885a0249}" id="{57cf2fa1-04e0-4033-afc2-24e85575e856}" done="1">
    <x18tc:text xml:space="preserve">7/29 sent to juan for approval</x18tc:text>
  </x18tc:threadedComment>
  <x18tc:threadedComment ref="N141" dT="2024-07-29T14:19:09.00" personId="{d5498dd3-4a64-46ce-9a8a-c831885a0249}" id="{26f21350-a81b-4610-af0d-a77ce41584f4}" done="0">
    <x18tc:text xml:space="preserve">ENVIAR A MEDIACION CON EL ESTIMADO APROBADO JP</x18tc:text>
  </x18tc:threadedComment>
  <x18tc:threadedComment ref="N141" dT="2024-08-28T22:59:27.00" personId="{651ebe9d-f120-479c-8376-36973fff1cc1}" id="{15deca9c-d163-4a2f-8c9b-7cf16db13d99}" parentId="{26f21350-a81b-4610-af0d-a77ce41584f4}">
    <x18tc:text xml:space="preserve">8/28 enviado a Juan para revision @admin@ipadjustinggroup.com</x18tc:text>
    <x18tc:mentions>
      <x18tc:mention mentionpersonId="{1ffc25a2-3f83-4ed1-a701-edf0aba99522}" mentionId="{7fc9a0a7-7a2b-471b-b5f0-9a43197a6c61}" startIndex="34" length="27"/>
    </x18tc:mentions>
  </x18tc:threadedComment>
  <x18tc:threadedComment ref="N141" dT="2024-11-05T14:16:09.00" personId="{651ebe9d-f120-479c-8376-36973fff1cc1}" id="{24d4552b-cad5-4136-b019-db2b150d5172}" parentId="{26f21350-a81b-4610-af0d-a77ce41584f4}">
    <x18tc:text xml:space="preserve">10/30 Juan approved the estimate</x18tc:text>
  </x18tc:threadedComment>
  <x18tc:threadedComment ref="M194" dT="2024-07-29T14:23:37.00" personId="{d5498dd3-4a64-46ce-9a8a-c831885a0249}" id="{658896aa-1172-4679-b0e4-bb8309f6b22a}" done="1">
    <x18tc:text xml:space="preserve">Enviar cuando este aprobado-reopen</x18tc:text>
  </x18tc:threadedComment>
  <x18tc:threadedComment ref="M194" dT="2024-07-30T16:32:31.00" personId="{651ebe9d-f120-479c-8376-36973fff1cc1}" id="{0fb8cc48-8614-4f89-973a-ae6c2c3b3f4a}" parentId="{658896aa-1172-4679-b0e4-bb8309f6b22a}">
    <x18tc:text xml:space="preserve">7/30 enviado</x18tc:text>
  </x18tc:threadedComment>
  <x18tc:threadedComment ref="M194" dT="2024-08-13T20:38:40.00" personId="{651ebe9d-f120-479c-8376-36973fff1cc1}" id="{b20dc5e1-e2fd-4eb3-a849-9f341c12d0fc}" parentId="{658896aa-1172-4679-b0e4-bb8309f6b22a}">
    <x18tc:text xml:space="preserve">8/13 enviado updated estimate</x18tc:text>
  </x18tc:threadedComment>
  <x18tc:threadedComment ref="N194" dT="2024-07-29T15:05:27.00" personId="{d5498dd3-4a64-46ce-9a8a-c831885a0249}" id="{ff45a1e9-44b7-42df-843a-987385202c58}" done="1">
    <x18tc:text xml:space="preserve">7/29 sent to Jakey</x18tc:text>
  </x18tc:threadedComment>
  <x18tc:threadedComment ref="N194" dT="2024-07-30T16:32:15.00" personId="{651ebe9d-f120-479c-8376-36973fff1cc1}" id="{1c10fc62-7c70-4865-a7b5-9c0ab4740f66}" parentId="{ff45a1e9-44b7-42df-843a-987385202c58}">
    <x18tc:text xml:space="preserve">7/29 aprobado por jakey</x18tc:text>
  </x18tc:threadedComment>
  <x18tc:threadedComment ref="O166" dT="2024-07-29T15:28:01.00" personId="{d5498dd3-4a64-46ce-9a8a-c831885a0249}" id="{028096c9-29ef-45f5-b652-479cfad43035}" done="1">
    <x18tc:text xml:space="preserve">7/29 enviado para q firme cliente
7/29 enviado al DA y perry</x18tc:text>
  </x18tc:threadedComment>
  <x18tc:threadedComment ref="V164" dT="2024-07-29T16:33:30.00" personId="{d5498dd3-4a64-46ce-9a8a-c831885a0249}" id="{011886ad-2346-4459-b338-227b430f26dc}" done="1">
    <x18tc:text xml:space="preserve">08/02 Peter is asking 35k (CM)
08/06 DA says he can pay $25k max on this claim, tell Ivan and Peter via ws, they are also cc'd on the email (CM)</x18tc:text>
  </x18tc:threadedComment>
  <x18tc:threadedComment ref="N193" dT="2024-07-29T16:56:25.00" personId="{d5498dd3-4a64-46ce-9a8a-c831885a0249}" id="{95e745bf-b897-4a6c-b640-945136d2f9d5}" done="1">
    <x18tc:text xml:space="preserve">7/29 sent to David</x18tc:text>
  </x18tc:threadedComment>
  <x18tc:threadedComment ref="N193" dT="2024-07-30T18:00:13.00" personId="{651ebe9d-f120-479c-8376-36973fff1cc1}" id="{24e26f23-6217-40f7-ba27-2a8e3d6c9a3c}" parentId="{95e745bf-b897-4a6c-b640-945136d2f9d5}">
    <x18tc:text xml:space="preserve">7/30 aprobado por david</x18tc:text>
  </x18tc:threadedComment>
  <x18tc:threadedComment ref="M193" dT="2024-07-29T16:56:58.00" personId="{d5498dd3-4a64-46ce-9a8a-c831885a0249}" id="{0dc9adfc-67a1-4eba-8442-6654b890d881}" done="1">
    <x18tc:text xml:space="preserve">enviar con estimado aprobado</x18tc:text>
  </x18tc:threadedComment>
  <x18tc:threadedComment ref="M193" dT="2024-07-30T18:10:04.00" personId="{651ebe9d-f120-479c-8376-36973fff1cc1}" id="{d62bf25f-9384-484d-9378-d8cb3c51bd05}" parentId="{0dc9adfc-67a1-4eba-8442-6654b890d881}">
    <x18tc:text xml:space="preserve">7/30 enviado con picture file</x18tc:text>
  </x18tc:threadedComment>
  <x18tc:threadedComment ref="M150" dT="2024-07-29T17:09:50.00" personId="{d5498dd3-4a64-46ce-9a8a-c831885a0249}" id="{c11d1a66-ce9d-4e35-bd35-dc0596714159}" done="1">
    <x18tc:text xml:space="preserve">7/29 sent to carrier and client</x18tc:text>
  </x18tc:threadedComment>
  <x18tc:threadedComment ref="V132" dT="2024-07-29T17:27:41.00" personId="{d5498dd3-4a64-46ce-9a8a-c831885a0249}" id="{4acd563a-e810-4650-ae1d-fa634ededb96}" done="1">
    <x18tc:text xml:space="preserve">08/13 follow up on the IA and determination with DA, informed PAs about it before the mediation 08/14 (CM)</x18tc:text>
  </x18tc:threadedComment>
  <x18tc:threadedComment ref="M158" dT="2024-07-29T17:30:41.00" personId="{d5498dd3-4a64-46ce-9a8a-c831885a0249}" id="{c09843eb-4518-4ee0-b4ed-89bc4a8624fc}" done="1">
    <x18tc:text xml:space="preserve">7/29 enviado sin fotos</x18tc:text>
  </x18tc:threadedComment>
  <x18tc:threadedComment ref="V156" dT="2024-07-26T16:11:03.00" personId="{d5498dd3-4a64-46ce-9a8a-c831885a0249}" id="{84d2759e-e24e-4287-80aa-a9d189ff1856}" done="1">
    <x18tc:text xml:space="preserve">07/25 Ivan is asking 30k, he is going to talk with DA on 07/26 (CM)</x18tc:text>
  </x18tc:threadedComment>
  <x18tc:threadedComment ref="V193" dT="2024-07-26T16:44:52.00" personId="{d5498dd3-4a64-46ce-9a8a-c831885a0249}" id="{f0d0bbb8-7bbe-41dd-9796-0efe52a735fc}" done="1">
    <x18tc:text xml:space="preserve">07/25 received a letter, the client has accepted an indemnity for 20k in 2022, so they will close the claim (CM)
08/06 David and Joshua says that Peter said that we are moving to litigation or NOI (CM)</x18tc:text>
  </x18tc:threadedComment>
  <x18tc:threadedComment ref="V187" dT="2024-08-16T01:18:15.00" personId="{d5498dd3-4a64-46ce-9a8a-c831885a0249}" id="{183ed5e4-4535-4565-86d8-6c170bd9393f}" done="1">
    <x18tc:text xml:space="preserve">08/15 Received a denial, and the IA report sent to PAs, asked how to proceed (CM)</x18tc:text>
  </x18tc:threadedComment>
  <x18tc:threadedComment ref="V171" dT="2024-08-16T01:34:34.00" personId="{d5498dd3-4a64-46ce-9a8a-c831885a0249}" id="{e5c263a5-e171-4b0f-9138-37b1396e2e96}" done="1">
    <x18tc:text xml:space="preserve">08/16 DA has sent the IA and says she has made an offer to Juan on 08/05 for 25k, asked PAs to respond to that offer (CM)</x18tc:text>
  </x18tc:threadedComment>
  <x18tc:threadedComment ref="A192" dT="2024-08-16T02:34:37.00" personId="{d5498dd3-4a64-46ce-9a8a-c831885a0249}" id="{d2d1ea29-bbad-4e85-adb4-a79c8b795dc4}" done="1">
    <x18tc:text xml:space="preserve">08/16 sent appraisal letter with Stephen Forker info (CM) @scheduling@ipadjustinggroup.com</x18tc:text>
    <x18tc:mentions>
      <x18tc:mention mentionpersonId="{2c8ec519-d5db-42bb-a5e2-52abe8ff6abf}" mentionId="{191df00b-c9ee-4b9a-8bd6-060ec7a910e4}" startIndex="58" length="32"/>
    </x18tc:mentions>
  </x18tc:threadedComment>
  <x18tc:threadedComment ref="M187" dT="2024-08-16T13:19:15.00" personId="{651ebe9d-f120-479c-8376-36973fff1cc1}" id="{534a6106-9ee2-44f8-8082-985d8d477d95}" done="1">
    <x18tc:text xml:space="preserve">enviar con estimado aprobado, revisar el IA report</x18tc:text>
  </x18tc:threadedComment>
  <x18tc:threadedComment ref="M187" dT="2024-08-26T15:52:56.00" personId="{651ebe9d-f120-479c-8376-36973fff1cc1}" id="{69afcd51-daea-497a-be26-af272fb503ab}" parentId="{534a6106-9ee2-44f8-8082-985d8d477d95}">
    <x18tc:text xml:space="preserve">8/26 enviado al carrier y cliente @admin@ipadjustinggroup.com</x18tc:text>
    <x18tc:mentions>
      <x18tc:mention mentionpersonId="{1ffc25a2-3f83-4ed1-a701-edf0aba99522}" mentionId="{a75a77cd-e6ed-40ab-96e1-bdb56b014cfc}" startIndex="34" length="27"/>
    </x18tc:mentions>
  </x18tc:threadedComment>
  <x18tc:threadedComment ref="N203" dT="2024-08-16T14:15:32.00" personId="{651ebe9d-f120-479c-8376-36973fff1cc1}" id="{76e03432-62b2-4d04-b67a-63b717c08fa3}" done="1">
    <x18tc:text xml:space="preserve">8/16 enviado a david</x18tc:text>
  </x18tc:threadedComment>
  <x18tc:threadedComment ref="N203" dT="2024-08-16T14:22:43.00" personId="{651ebe9d-f120-479c-8376-36973fff1cc1}" id="{841d67c1-da06-46cf-9271-7191198ff679}" done="1">
    <x18tc:text xml:space="preserve">8/16 aprobado por david</x18tc:text>
  </x18tc:threadedComment>
  <x18tc:threadedComment ref="S191" dT="2024-08-16T14:38:49.00" personId="{d5498dd3-4a64-46ce-9a8a-c831885a0249}" id="{cf9ec8d3-76cb-4291-9a83-6943b7b25930}" done="1">
    <x18tc:text xml:space="preserve">08/16 DA called and asked for Day's info to schedule a engineer inspection (CM) @scheduling@ipadjustinggroup.com
Assigned to scheduling@ipadjustinggroup.com</x18tc:text>
    <x18tc:mentions>
      <x18tc:mention mentionpersonId="{2c8ec519-d5db-42bb-a5e2-52abe8ff6abf}" mentionId="{4ec19e18-238f-49bd-9ac5-4c79e6cf24a3}" startIndex="80" length="32"/>
    </x18tc:mentions>
  </x18tc:threadedComment>
  <x18tc:threadedComment ref="S191" dT="2024-08-17T04:30:09.00" personId="{610be7ce-9288-4df9-9aac-427cc105bbe1}" id="{8f58cf99-495c-4a2e-91e5-dd6b9b287508}" parentId="{cf9ec8d3-76cb-4291-9a83-6943b7b25930}">
    <x18tc:text xml:space="preserve">Marked as done</x18tc:text>
  </x18tc:threadedComment>
  <x18tc:threadedComment ref="A1" dT="2024-10-16T13:23:49.00" personId="{651ebe9d-f120-479c-8376-36973fff1cc1}" id="{80f9bc67-bbe7-4963-965c-0e4f858b25fc}" done="0">
    <x18tc:text xml:space="preserve">10/16 enviado a jacob</x18tc:text>
  </x18tc:threadedComment>
  <x18tc:threadedComment ref="A1" dT="2024-10-17T17:52:55.00" personId="{651ebe9d-f120-479c-8376-36973fff1cc1}" id="{1290dd6b-3ae7-4842-b274-27bf1448236d}" parentId="{80f9bc67-bbe7-4963-965c-0e4f858b25fc}">
    <x18tc:text xml:space="preserve">10/17 aprobado</x18tc:text>
  </x18tc:threadedComment>
  <x18tc:threadedComment ref="A1" dT="2024-10-18T00:08:30.00" personId="{651ebe9d-f120-479c-8376-36973fff1cc1}" id="{2d3c01cc-7c6a-4143-aeea-c33c68da08e9}" done="0">
    <x18tc:text xml:space="preserve">esperar IA report</x18tc:text>
  </x18tc:threadedComment>
  <x18tc:threadedComment ref="P190" dT="2024-10-17T14:03:29.00" personId="{d5498dd3-4a64-46ce-9a8a-c831885a0249}" id="{7e901349-343a-4267-93c2-b14a371bb240}" done="1">
    <x18tc:text xml:space="preserve">10/17</x18tc:text>
  </x18tc:threadedComment>
  <x18tc:threadedComment ref="A69" dT="2024-10-18T16:36:32.00" personId="{d5498dd3-4a64-46ce-9a8a-c831885a0249}" id="{fd4a1a96-6c93-4229-9926-07293147cde8}" done="1">
    <x18tc:text xml:space="preserve">we were paid on this @admin@ipadjustinggroup.com
Assigned to admin@ipadjustinggroup.com</x18tc:text>
    <x18tc:mentions>
      <x18tc:mention mentionpersonId="{1ffc25a2-3f83-4ed1-a701-edf0aba99522}" mentionId="{f022a96e-db24-4d64-b455-4d6aa86d9974}" startIndex="21" length="27"/>
    </x18tc:mentions>
  </x18tc:threadedComment>
  <x18tc:threadedComment ref="A112" dT="2024-10-18T16:37:10.00" personId="{d5498dd3-4a64-46ce-9a8a-c831885a0249}" id="{a3dea2fa-5f26-4501-9778-83eb24ed4b43}" done="1">
    <x18tc:text xml:space="preserve">we were paid on this @admin@ipadjustinggroup.com
Assigned to admin@ipadjustinggroup.com</x18tc:text>
    <x18tc:mentions>
      <x18tc:mention mentionpersonId="{1ffc25a2-3f83-4ed1-a701-edf0aba99522}" mentionId="{db170f61-ceeb-4cc7-86bc-710a79cdca65}" startIndex="21" length="27"/>
    </x18tc:mentions>
  </x18tc:threadedComment>
  <x18tc:threadedComment ref="N225" dT="2024-10-18T16:04:01.00" personId="{651ebe9d-f120-479c-8376-36973fff1cc1}" id="{064ed4ed-6ee1-4590-8977-527c7722262c}" done="1">
    <x18tc:text xml:space="preserve">10/18 aprobado</x18tc:text>
  </x18tc:threadedComment>
  <x18tc:threadedComment ref="N229" dT="2024-10-18T20:27:01.00" personId="{651ebe9d-f120-479c-8376-36973fff1cc1}" id="{ddc939ca-2313-4cca-bfbe-4a7043c866ad}" done="0">
    <x18tc:text xml:space="preserve">10/18 sent to Joshua</x18tc:text>
  </x18tc:threadedComment>
  <x18tc:threadedComment ref="N229" dT="2024-10-22T14:27:45.00" personId="{651ebe9d-f120-479c-8376-36973fff1cc1}" id="{7932a7bf-aac7-4109-b538-782921dc5541}" parentId="{ddc939ca-2313-4cca-bfbe-4a7043c866ad}">
    <x18tc:text xml:space="preserve">10/22 aprobado</x18tc:text>
  </x18tc:threadedComment>
  <x18tc:threadedComment ref="M229" dT="2024-10-18T20:27:17.00" personId="{651ebe9d-f120-479c-8376-36973fff1cc1}" id="{9fbf2099-5dbd-484e-9d94-511ac31c04fc}" done="0">
    <x18tc:text xml:space="preserve">esperar IA report</x18tc:text>
  </x18tc:threadedComment>
  <x18tc:threadedComment ref="M229" dT="2024-12-11T16:25:34.00" personId="{651ebe9d-f120-479c-8376-36973fff1cc1}" id="{ff48ae87-d816-4310-9cb8-f3a8349c9d5f}" parentId="{9fbf2099-5dbd-484e-9d94-511ac31c04fc}">
    <x18tc:text xml:space="preserve">12/11 sent to DA</x18tc:text>
  </x18tc:threadedComment>
  <x18tc:threadedComment ref="P163" dT="2024-08-13T03:20:48.00" personId="{d5498dd3-4a64-46ce-9a8a-c831885a0249}" id="{7c0e0e9a-00a8-4fee-9205-1dd46336f4ad}" done="1">
    <x18tc:text xml:space="preserve">no insp. yet</x18tc:text>
  </x18tc:threadedComment>
  <x18tc:threadedComment ref="A1" dT="2024-08-13T03:21:06.00" personId="{d5498dd3-4a64-46ce-9a8a-c831885a0249}" id="{11d3148f-285e-4eb0-8274-e75f5dc478c5}" done="1">
    <x18tc:text xml:space="preserve">08/12 asked DA a copy of the policy (CM)</x18tc:text>
  </x18tc:threadedComment>
  <x18tc:threadedComment ref="V133" dT="2024-08-14T17:43:10.00" personId="{d5498dd3-4a64-46ce-9a8a-c831885a0249}" id="{3d482d8b-3234-4958-ad0f-ca24681e6c84}" done="1">
    <x18tc:text xml:space="preserve">08/14 received a settlement release for 25k sent to PAs (CM)</x18tc:text>
  </x18tc:threadedComment>
  <x18tc:threadedComment ref="O164" dT="2024-08-13T22:35:15.00" personId="{d5498dd3-4a64-46ce-9a8a-c831885a0249}" id="{7be3c7fd-042e-4747-8b8a-d5a4cdd5d143}" done="1">
    <x18tc:text xml:space="preserve">08/13 sent SPOL to DA, asked Perry to upload ir to claimspath (CM)</x18tc:text>
  </x18tc:threadedComment>
  <x18tc:threadedComment ref="P178" dT="2024-08-13T23:02:02.00" personId="{d5498dd3-4a64-46ce-9a8a-c831885a0249}" id="{8c0748d6-22ce-439d-be49-7867beee3ba5}" done="1">
    <x18tc:text xml:space="preserve">06/26 insp, 08/01 engineer
08/13 followed up on the engineer, IA report or determination on this claim (CM)</x18tc:text>
  </x18tc:threadedComment>
  <x18tc:threadedComment ref="P182" dT="2024-08-13T23:18:55.00" personId="{d5498dd3-4a64-46ce-9a8a-c831885a0249}" id="{27d1040d-4f66-44d4-b789-32a448d5135c}" done="1">
    <x18tc:text xml:space="preserve">08/07 insp
08/14 asked for a copy of the IA report or determination on this claim (CM)</x18tc:text>
  </x18tc:threadedComment>
  <x18tc:threadedComment ref="P183" dT="2024-08-13T23:20:46.00" personId="{d5498dd3-4a64-46ce-9a8a-c831885a0249}" id="{f8fc8359-cfbb-4fe4-8402-140b6af4df41}" done="1">
    <x18tc:text xml:space="preserve">08/13 no insp yet</x18tc:text>
  </x18tc:threadedComment>
  <x18tc:threadedComment ref="P187" dT="2024-08-14T00:01:42.00" personId="{d5498dd3-4a64-46ce-9a8a-c831885a0249}" id="{4cd3dc1c-4057-4898-af08-18886391f2a9}" done="1">
    <x18tc:text xml:space="preserve">07/22 insp
08/14 followed on the status of the IA report or determination on this claim with DA (CM)</x18tc:text>
  </x18tc:threadedComment>
  <x18tc:threadedComment ref="V164" dT="2024-08-14T03:03:05.00" personId="{d5498dd3-4a64-46ce-9a8a-c831885a0249}" id="{b10c6598-16d8-4473-85fe-0bf7ef2f03dd}" done="1">
    <x18tc:text xml:space="preserve">08/14 DA is now offering 20k on this claim as per roof invoice sent by Jakey, he is asking why we have stated in our estimate 44k for the roof if the client has an invoice for 18k, sent to PAs (CM)</x18tc:text>
  </x18tc:threadedComment>
  <x18tc:threadedComment ref="V184" dT="2024-08-14T14:18:53.00" personId="{d5498dd3-4a64-46ce-9a8a-c831885a0249}" id="{b552aa10-d19f-4b99-aff6-8c03d5241971}" done="1">
    <x18tc:text xml:space="preserve">08/14 received a determination letter with an undisputted check asked PAs how to proceed (CM)</x18tc:text>
  </x18tc:threadedComment>
  <x18tc:threadedComment ref="V184" dT="2024-08-28T14:55:44.00" personId="{d5498dd3-4a64-46ce-9a8a-c831885a0249}" id="{d5bcdce8-8241-4832-8fe2-73cca559ce84}" parentId="{b552aa10-d19f-4b99-aff6-8c03d5241971}">
    <x18tc:text xml:space="preserve">08/28 follow up with Juan this estimate (CM)</x18tc:text>
  </x18tc:threadedComment>
  <x18tc:threadedComment ref="N184" dT="2024-08-14T14:22:13.00" personId="{d5498dd3-4a64-46ce-9a8a-c831885a0249}" id="{eb69786d-bd6e-4b2c-98e5-c8612f494ac2}" done="0">
    <x18tc:text xml:space="preserve">08/14 asked Juan for this estimate (CM)</x18tc:text>
  </x18tc:threadedComment>
  <x18tc:threadedComment ref="N184" dT="2024-10-30T18:33:15.00" personId="{d5498dd3-4a64-46ce-9a8a-c831885a0249}" id="{fb935b14-31df-4cb0-afcb-0ddf2cd599dd}" parentId="{eb69786d-bd6e-4b2c-98e5-c8612f494ac2}">
    <x18tc:text xml:space="preserve">@jp.ipestimates@gmail.com haz follow up 148</x18tc:text>
    <x18tc:mentions>
      <x18tc:mention mentionpersonId="{f5ec41ac-eb21-45bf-aaa5-f7dfbc04c8e9}" mentionId="{7cda37d6-717a-46e0-a1ad-3f85cce02c93}" startIndex="0" length="25"/>
    </x18tc:mentions>
  </x18tc:threadedComment>
  <x18tc:threadedComment ref="N184" dT="2024-11-06T17:37:59.00" personId="{651ebe9d-f120-479c-8376-36973fff1cc1}" id="{28c4397e-abad-4aec-8a97-aef4d9926da9}" parentId="{eb69786d-bd6e-4b2c-98e5-c8612f494ac2}">
    <x18tc:text xml:space="preserve">11/06 pedi a Juan enviar el estimado. 
@admin@ipadjustinggroup.com Carito has estado enviando al email de nostrees de Juan, ya le envie al de IP. cliente 148</x18tc:text>
    <x18tc:mentions>
      <x18tc:mention mentionpersonId="{1ffc25a2-3f83-4ed1-a701-edf0aba99522}" mentionId="{00ba29c5-db11-4054-ad97-64556faade95}" startIndex="39" length="27"/>
    </x18tc:mentions>
  </x18tc:threadedComment>
  <x18tc:threadedComment ref="N184" dT="2024-11-06T19:58:19.00" personId="{d5498dd3-4a64-46ce-9a8a-c831885a0249}" id="{decc2397-03b3-419b-a8a4-75b625832a8e}" parentId="{eb69786d-bd6e-4b2c-98e5-c8612f494ac2}">
    <x18tc:text xml:space="preserve">yo le puse reply ahorita veo que el mando del mail de no stress que vaina</x18tc:text>
  </x18tc:threadedComment>
  <x18tc:threadedComment ref="N184" dT="2024-11-19T14:22:01.00" personId="{651ebe9d-f120-479c-8376-36973fff1cc1}" id="{ccb81cf8-c03f-44ec-ab68-2ee097e9e167}" parentId="{eb69786d-bd6e-4b2c-98e5-c8612f494ac2}">
    <x18tc:text xml:space="preserve">11/19 juan envio el estimado sin medidas</x18tc:text>
  </x18tc:threadedComment>
  <x18tc:threadedComment ref="N184" dT="2025-01-15T13:54:44.00" personId="{651ebe9d-f120-479c-8376-36973fff1cc1}" id="{846ab253-fddb-447e-89c5-176530569865}" parentId="{eb69786d-bd6e-4b2c-98e5-c8612f494ac2}">
    <x18tc:text xml:space="preserve">1/15/25 sent to Juan for review</x18tc:text>
  </x18tc:threadedComment>
  <x18tc:threadedComment ref="N184" dT="2025-01-20T13:39:13.00" personId="{651ebe9d-f120-479c-8376-36973fff1cc1}" id="{4f05616f-8031-4e68-b796-0a61f3ca3a4e}" parentId="{eb69786d-bd6e-4b2c-98e5-c8612f494ac2}">
    <x18tc:text xml:space="preserve">1/17/25 approved by JUan</x18tc:text>
  </x18tc:threadedComment>
  <x18tc:threadedComment ref="V190" dT="2024-08-06T23:18:36.00" personId="{d5498dd3-4a64-46ce-9a8a-c831885a0249}" id="{df9d8e9c-748c-48ee-b9d2-9d13416460d8}" done="1">
    <x18tc:text xml:space="preserve">08/06 got the SPOL notarized by Sarah, waiting for Ivan's confirmation of the recorded statement (CM)</x18tc:text>
  </x18tc:threadedComment>
  <x18tc:threadedComment ref="V171" dT="2024-09-12T14:00:08.00" personId="{d5498dd3-4a64-46ce-9a8a-c831885a0249}" id="{16479c50-1e1a-4f9c-9258-147091ec0069}" done="1">
    <x18tc:text xml:space="preserve">09/12 received an email saying that they have settled in 40k this claim on the mediation conference, pending the settlement release (CM)</x18tc:text>
  </x18tc:threadedComment>
  <x18tc:threadedComment ref="P150" dT="2024-09-12T14:35:06.00" personId="{d5498dd3-4a64-46ce-9a8a-c831885a0249}" id="{320ce581-4356-4eeb-9e07-ed6296d2b915}" done="1">
    <x18tc:text xml:space="preserve">09/12</x18tc:text>
  </x18tc:threadedComment>
  <x18tc:threadedComment ref="A1" dT="2024-09-12T15:49:48.00" personId="{651ebe9d-f120-479c-8376-36973fff1cc1}" id="{1869e2c8-8ddd-44b5-b803-75960583c3e3}" done="1">
    <x18tc:text xml:space="preserve">9/12 enviado a josh</x18tc:text>
  </x18tc:threadedComment>
  <x18tc:threadedComment ref="A1" dT="2024-09-17T16:20:03.00" personId="{651ebe9d-f120-479c-8376-36973fff1cc1}" id="{4f265eec-60b6-4edf-aeb8-b18e1b0128c7}" parentId="{1869e2c8-8ddd-44b5-b803-75960583c3e3}">
    <x18tc:text xml:space="preserve">9/12 aprobado por josh</x18tc:text>
  </x18tc:threadedComment>
  <x18tc:threadedComment ref="A1" dT="2024-09-12T15:08:35.00" personId="{d5498dd3-4a64-46ce-9a8a-c831885a0249}" id="{c206966e-10ae-4aff-8397-827509d9e6ac}" done="0">
    <x18tc:text xml:space="preserve">12/30</x18tc:text>
  </x18tc:threadedComment>
  <x18tc:threadedComment ref="A1" dT="2024-09-12T15:13:49.00" personId="{d5498dd3-4a64-46ce-9a8a-c831885a0249}" id="{9f4859cc-20b9-4657-a880-2158d4b2e8f3}" done="1">
    <x18tc:text xml:space="preserve">09/12</x18tc:text>
  </x18tc:threadedComment>
  <x18tc:threadedComment ref="A1" dT="2024-09-12T15:18:37.00" personId="{d5498dd3-4a64-46ce-9a8a-c831885a0249}" id="{03da153f-121f-4f61-998b-ca35a0ddd309}" done="1">
    <x18tc:text xml:space="preserve">09/12</x18tc:text>
  </x18tc:threadedComment>
  <x18tc:threadedComment ref="A1" dT="2024-09-12T15:18:56.00" personId="{d5498dd3-4a64-46ce-9a8a-c831885a0249}" id="{489913dd-0fec-42fe-a356-39b40ea67a72}" done="0">
    <x18tc:text xml:space="preserve">09/12</x18tc:text>
  </x18tc:threadedComment>
  <x18tc:threadedComment ref="A1" dT="2024-09-12T15:23:46.00" personId="{d5498dd3-4a64-46ce-9a8a-c831885a0249}" id="{93c0fb48-4bfb-44b0-8684-2fdfd72d58e3}" done="1">
    <x18tc:text xml:space="preserve">09/12</x18tc:text>
  </x18tc:threadedComment>
  <x18tc:threadedComment ref="A1" dT="2024-09-12T15:26:52.00" personId="{651ebe9d-f120-479c-8376-36973fff1cc1}" id="{b5f3f6fa-9d09-4da9-8066-67cabe5ea53a}" done="1">
    <x18tc:text xml:space="preserve">ENVIAR CON ESTIMADO APROBADO</x18tc:text>
  </x18tc:threadedComment>
  <x18tc:threadedComment ref="A1" dT="2024-09-12T15:29:16.00" personId="{d5498dd3-4a64-46ce-9a8a-c831885a0249}" id="{1ae65e2e-9292-4277-93f2-dba3d414e7fe}" done="0">
    <x18tc:text xml:space="preserve">09/12</x18tc:text>
  </x18tc:threadedComment>
  <x18tc:threadedComment ref="A178" dT="2024-09-12T16:20:38.00" personId="{d5498dd3-4a64-46ce-9a8a-c831885a0249}" id="{97e95ff4-6086-4b48-8c15-0bf6b871e2d9}" done="1">
    <x18tc:text xml:space="preserve">09/12 requested mediation @scheduling@ipadjustinggroup.com</x18tc:text>
    <x18tc:mentions>
      <x18tc:mention mentionpersonId="{2c8ec519-d5db-42bb-a5e2-52abe8ff6abf}" mentionId="{269544a7-33e0-4359-a8b1-037796de31d3}" startIndex="26" length="32"/>
    </x18tc:mentions>
  </x18tc:threadedComment>
  <x18tc:threadedComment ref="A178" dT="2024-09-13T16:07:30.00" personId="{610be7ce-9288-4df9-9aac-427cc105bbe1}" id="{e9d20615-3df8-4e96-8cbb-bdd0ecc3d1b1}" parentId="{97e95ff4-6086-4b48-8c15-0bf6b871e2d9}">
    <x18tc:text xml:space="preserve">Marked as resolved</x18tc:text>
  </x18tc:threadedComment>
  <x18tc:threadedComment ref="A163" dT="2024-09-12T16:36:28.00" personId="{d5498dd3-4a64-46ce-9a8a-c831885a0249}" id="{461693b6-7f2c-4f32-97c4-76e46bb08ebf}" done="1">
    <x18tc:text xml:space="preserve">09/12 requested mediation @scheduling@ipadjustinggroup.com
Assigned to scheduling@ipadjustinggroup.com</x18tc:text>
    <x18tc:mentions>
      <x18tc:mention mentionpersonId="{2c8ec519-d5db-42bb-a5e2-52abe8ff6abf}" mentionId="{14fa762b-1cbd-4d30-8fc4-efc12cc8ec39}" startIndex="26" length="32"/>
    </x18tc:mentions>
  </x18tc:threadedComment>
  <x18tc:threadedComment ref="A185" dT="2024-09-12T16:37:36.00" personId="{d5498dd3-4a64-46ce-9a8a-c831885a0249}" id="{fbe31a5f-8bc4-4da2-a078-60ddd36192f0}" done="1">
    <x18tc:text xml:space="preserve">09/12 mediation @scheduling@ipadjustinggroup.com
Assigned to scheduling@ipadjustinggroup.com</x18tc:text>
    <x18tc:mentions>
      <x18tc:mention mentionpersonId="{2c8ec519-d5db-42bb-a5e2-52abe8ff6abf}" mentionId="{6767fa3b-dfb3-4b99-b495-3176862aab12}" startIndex="16" length="32"/>
    </x18tc:mentions>
  </x18tc:threadedComment>
  <x18tc:threadedComment ref="A185" dT="2024-09-13T19:19:48.00" personId="{610be7ce-9288-4df9-9aac-427cc105bbe1}" id="{ec2a5488-74b4-42e1-b538-1272f1c7de09}" parentId="{fbe31a5f-8bc4-4da2-a078-60ddd36192f0}">
    <x18tc:text xml:space="preserve">Marked as done</x18tc:text>
  </x18tc:threadedComment>
  <x18tc:threadedComment ref="A147" dT="2024-09-12T16:39:37.00" personId="{d5498dd3-4a64-46ce-9a8a-c831885a0249}" id="{f67a97fb-407c-49f5-b321-175cd6f55e71}" done="1">
    <x18tc:text xml:space="preserve">09/12 requested mediation @scheduling@ipadjustinggroup.com
Assigned to scheduling@ipadjustinggroup.com</x18tc:text>
    <x18tc:mentions>
      <x18tc:mention mentionpersonId="{2c8ec519-d5db-42bb-a5e2-52abe8ff6abf}" mentionId="{f5792d56-f84a-47ad-9c04-45cd2dc97b8c}" startIndex="26" length="32"/>
    </x18tc:mentions>
  </x18tc:threadedComment>
  <x18tc:threadedComment ref="A147" dT="2024-09-13T19:20:00.00" personId="{610be7ce-9288-4df9-9aac-427cc105bbe1}" id="{075602fc-79f5-4458-bd53-5cce76f3c4b8}" parentId="{f67a97fb-407c-49f5-b321-175cd6f55e71}">
    <x18tc:text xml:space="preserve">Marked as done</x18tc:text>
  </x18tc:threadedComment>
  <x18tc:threadedComment ref="A140" dT="2024-09-12T16:42:21.00" personId="{d5498dd3-4a64-46ce-9a8a-c831885a0249}" id="{be640adf-30d8-4531-b167-521bc4ccb529}" done="1">
    <x18tc:text xml:space="preserve">09/12 request mediation @scheduling@ipadjustinggroup.com
Assigned to scheduling@ipadjustinggroup.com</x18tc:text>
    <x18tc:mentions>
      <x18tc:mention mentionpersonId="{2c8ec519-d5db-42bb-a5e2-52abe8ff6abf}" mentionId="{eb31d5ae-3b00-4a19-998b-e5e3d948d82f}" startIndex="24" length="32"/>
    </x18tc:mentions>
  </x18tc:threadedComment>
  <x18tc:threadedComment ref="A140" dT="2024-09-13T19:20:22.00" personId="{610be7ce-9288-4df9-9aac-427cc105bbe1}" id="{df8f4113-5a9e-4c7c-af6c-d3bf97a12f61}" parentId="{be640adf-30d8-4531-b167-521bc4ccb529}">
    <x18tc:text xml:space="preserve">Marked as done</x18tc:text>
  </x18tc:threadedComment>
  <x18tc:threadedComment ref="A156" dT="2024-09-12T17:22:48.00" personId="{d5498dd3-4a64-46ce-9a8a-c831885a0249}" id="{42fc62ae-2433-4abb-9975-bf187e880973}" done="0">
    <x18tc:text xml:space="preserve">Stephen</x18tc:text>
  </x18tc:threadedComment>
  <x18tc:threadedComment ref="A156" dT="2025-08-09T00:00:21.00" personId="{d5498dd3-4a64-46ce-9a8a-c831885a0249}" id="{fd75582b-2c58-4c51-ab99-8c7077d063c1}" parentId="{42fc62ae-2433-4abb-9975-bf187e880973}">
    <x18tc:text xml:space="preserve">not sure if recoverable</x18tc:text>
  </x18tc:threadedComment>
  <x18tc:threadedComment ref="A202" dT="2024-09-12T17:28:58.00" personId="{d5498dd3-4a64-46ce-9a8a-c831885a0249}" id="{0a1fc043-eeda-4b94-aad2-0f80bd5a5194}" done="1">
    <x18tc:text xml:space="preserve">09/12 invoke appraisal @scheduling@ipadjustinggroup.com</x18tc:text>
    <x18tc:mentions>
      <x18tc:mention mentionpersonId="{2c8ec519-d5db-42bb-a5e2-52abe8ff6abf}" mentionId="{98b5f755-f6af-401d-b80f-b1f07f99ff76}" startIndex="23" length="32"/>
    </x18tc:mentions>
  </x18tc:threadedComment>
  <x18tc:threadedComment ref="A202" dT="2024-09-13T19:15:25.00" personId="{610be7ce-9288-4df9-9aac-427cc105bbe1}" id="{44ca620a-8305-4b5f-81c6-91798c768213}" parentId="{0a1fc043-eeda-4b94-aad2-0f80bd5a5194}">
    <x18tc:text xml:space="preserve">Marked as resolved</x18tc:text>
  </x18tc:threadedComment>
  <x18tc:threadedComment ref="V203" dT="2024-09-11T15:21:04.00" personId="{d5498dd3-4a64-46ce-9a8a-c831885a0249}" id="{18d35678-525a-4ace-a868-65d31e360934}" done="1">
    <x18tc:text xml:space="preserve">09/11 waiting for the certified policy, sent docs to Wilber with a general policy (CM)</x18tc:text>
  </x18tc:threadedComment>
  <x18tc:threadedComment ref="A1" dT="2024-09-11T15:37:03.00" personId="{d5498dd3-4a64-46ce-9a8a-c831885a0249}" id="{8d04cc9c-4e78-4dda-94f2-16c5bbd6b7fd}" done="0">
    <x18tc:text xml:space="preserve">09/10</x18tc:text>
  </x18tc:threadedComment>
  <x18tc:threadedComment ref="A1" dT="2024-09-11T15:39:43.00" personId="{d5498dd3-4a64-46ce-9a8a-c831885a0249}" id="{9f4fd8b8-9fd0-4cfd-8c2c-3ec17a03641b}" done="1">
    <x18tc:text xml:space="preserve">09/11</x18tc:text>
  </x18tc:threadedComment>
  <x18tc:threadedComment ref="O202" dT="2024-09-11T16:19:08.00" personId="{651ebe9d-f120-479c-8376-36973fff1cc1}" id="{a40bc7e5-c137-4975-974d-672aa1d5830e}" done="0">
    <x18tc:text xml:space="preserve">Ivan dice no enviar y que esperemos</x18tc:text>
  </x18tc:threadedComment>
  <x18tc:threadedComment ref="O122" dT="2024-09-11T16:48:04.00" personId="{651ebe9d-f120-479c-8376-36973fff1cc1}" id="{6d2253cc-8846-477a-b4b8-e2f4ea96f367}" done="1">
    <x18tc:text xml:space="preserve">9/11 enviado a cliente</x18tc:text>
  </x18tc:threadedComment>
  <x18tc:threadedComment ref="V140" dT="2024-09-11T17:11:24.00" personId="{d5498dd3-4a64-46ce-9a8a-c831885a0249}" id="{a272a70d-a1ce-48f6-b7b4-5939286e5fd4}" done="1">
    <x18tc:text xml:space="preserve">09/11 recieved a determination letter, IA report, asked PAs how to proceed (CM)</x18tc:text>
  </x18tc:threadedComment>
  <x18tc:threadedComment ref="A133" dT="2024-09-11T21:24:51.00" personId="{d5498dd3-4a64-46ce-9a8a-c831885a0249}" id="{a737b835-e9c1-4aef-83f4-cb4f88fa0de0}" done="1">
    <x18tc:text xml:space="preserve">We were paid on this @admin@ipadjustinggroup.com
Assigned to admin@ipadjustinggroup.com</x18tc:text>
    <x18tc:mentions>
      <x18tc:mention mentionpersonId="{1ffc25a2-3f83-4ed1-a701-edf0aba99522}" mentionId="{f3cee49c-af83-49a9-879d-d2a50f1baef3}" startIndex="21" length="27"/>
    </x18tc:mentions>
  </x18tc:threadedComment>
  <x18tc:threadedComment ref="A142" dT="2024-09-11T21:25:17.00" personId="{d5498dd3-4a64-46ce-9a8a-c831885a0249}" id="{605a80c5-44b1-47be-8983-c8d39773fa76}" done="1">
    <x18tc:text xml:space="preserve">We were paid on this @admin@ipadjustinggroup.com
Assigned to admin@ipadjustinggroup.com</x18tc:text>
    <x18tc:mentions>
      <x18tc:mention mentionpersonId="{1ffc25a2-3f83-4ed1-a701-edf0aba99522}" mentionId="{b519c779-058d-4dae-b0be-f87872dc7554}" startIndex="21" length="27"/>
    </x18tc:mentions>
  </x18tc:threadedComment>
  <x18tc:threadedComment ref="A50" dT="2024-09-11T21:25:56.00" personId="{d5498dd3-4a64-46ce-9a8a-c831885a0249}" id="{3d954a95-1804-4ee9-b31f-7f620531f4dd}" done="1">
    <x18tc:text xml:space="preserve">We were paid on this @admin@ipadjustinggroup.com
Assigned to admin@ipadjustinggroup.com</x18tc:text>
    <x18tc:mentions>
      <x18tc:mention mentionpersonId="{1ffc25a2-3f83-4ed1-a701-edf0aba99522}" mentionId="{211768de-e1d8-4bc2-a6d3-632461a917bb}" startIndex="21" length="27"/>
    </x18tc:mentions>
  </x18tc:threadedComment>
  <x18tc:threadedComment ref="A180" dT="2024-09-12T17:40:59.00" personId="{d5498dd3-4a64-46ce-9a8a-c831885a0249}" id="{097bd483-f59e-435e-81e6-e1f095d11b93}" done="1">
    <x18tc:text xml:space="preserve">09/12 requested mediation @scheduling@ipadjustinggroup.com
Assigned to scheduling@ipadjustinggroup.com</x18tc:text>
    <x18tc:mentions>
      <x18tc:mention mentionpersonId="{2c8ec519-d5db-42bb-a5e2-52abe8ff6abf}" mentionId="{6be4ffb9-d29e-42ad-8c12-9a806b482750}" startIndex="26" length="32"/>
    </x18tc:mentions>
  </x18tc:threadedComment>
  <x18tc:threadedComment ref="A180" dT="2024-09-13T19:20:44.00" personId="{610be7ce-9288-4df9-9aac-427cc105bbe1}" id="{4ce55234-d397-4a3d-9348-dcc09cb5ca36}" parentId="{097bd483-f59e-435e-81e6-e1f095d11b93}">
    <x18tc:text xml:space="preserve">Marked as done</x18tc:text>
  </x18tc:threadedComment>
  <x18tc:threadedComment ref="A183" dT="2024-09-12T17:44:08.00" personId="{d5498dd3-4a64-46ce-9a8a-c831885a0249}" id="{0f8453b8-989d-4fc0-8dc6-cc28512b6637}" done="1">
    <x18tc:text xml:space="preserve">09/12 request mediation @scheduling@ipadjustinggroup.com
Assigned to scheduling@ipadjustinggroup.com</x18tc:text>
    <x18tc:mentions>
      <x18tc:mention mentionpersonId="{2c8ec519-d5db-42bb-a5e2-52abe8ff6abf}" mentionId="{2a199617-3925-4ea4-ad5c-2f291fe59396}" startIndex="24" length="32"/>
    </x18tc:mentions>
  </x18tc:threadedComment>
  <x18tc:threadedComment ref="A183" dT="2024-09-13T19:21:07.00" personId="{610be7ce-9288-4df9-9aac-427cc105bbe1}" id="{4a8a4cb7-6872-4c35-ae89-1d04ed74f451}" parentId="{0f8453b8-989d-4fc0-8dc6-cc28512b6637}">
    <x18tc:text xml:space="preserve">Marked as done</x18tc:text>
  </x18tc:threadedComment>
  <x18tc:threadedComment ref="A1" dT="2024-09-16T13:59:10.00" personId="{d5498dd3-4a64-46ce-9a8a-c831885a0249}" id="{8a0e464f-b514-40f6-9614-50002828479d}" done="1">
    <x18tc:text xml:space="preserve">09/16</x18tc:text>
  </x18tc:threadedComment>
  <x18tc:threadedComment ref="P189" dT="2024-09-13T16:04:31.00" personId="{d5498dd3-4a64-46ce-9a8a-c831885a0249}" id="{5e69b179-491d-4e3f-9f15-79b2f4ca9cb4}" done="1">
    <x18tc:text xml:space="preserve">09/13</x18tc:text>
  </x18tc:threadedComment>
  <x18tc:threadedComment ref="A1" dT="2024-09-19T14:46:28.00" personId="{651ebe9d-f120-479c-8376-36973fff1cc1}" id="{81512847-57a6-494a-9ebf-9918349fc23f}" done="1">
    <x18tc:text xml:space="preserve">9/19 sent to carrier FIGA</x18tc:text>
  </x18tc:threadedComment>
  <x18tc:threadedComment ref="O160" dT="2024-09-19T15:04:15.00" personId="{651ebe9d-f120-479c-8376-36973fff1cc1}" id="{305ae05a-41ac-4436-abbf-2fe2fc171d8f}" done="1">
    <x18tc:text xml:space="preserve">9/19 enviado al cliente</x18tc:text>
  </x18tc:threadedComment>
  <x18tc:threadedComment ref="A1" dT="2024-09-19T14:01:27.00" personId="{d5498dd3-4a64-46ce-9a8a-c831885a0249}" id="{14dc71bb-f8e4-468c-808d-8ce440d857ff}" done="1">
    <x18tc:text xml:space="preserve">9/17 aprobado por jacob</x18tc:text>
  </x18tc:threadedComment>
  <x18tc:threadedComment ref="A1" dT="2024-09-19T14:12:05.00" personId="{651ebe9d-f120-479c-8376-36973fff1cc1}" id="{41e552f1-d9be-45a9-9011-e43e54a300db}" done="1">
    <x18tc:text xml:space="preserve">9/17 aprobado por jacob</x18tc:text>
  </x18tc:threadedComment>
  <x18tc:threadedComment ref="V182" dT="2024-09-23T01:55:29.00" personId="{d5498dd3-4a64-46ce-9a8a-c831885a0249}" id="{232feccf-b3b1-45b3-8ac5-6aae695d28cf}" done="1">
    <x18tc:text xml:space="preserve">09/23 received an offer of 11k, sent to PA's (CM)</x18tc:text>
  </x18tc:threadedComment>
  <x18tc:threadedComment ref="V182" dT="2024-10-08T14:23:23.00" personId="{d5498dd3-4a64-46ce-9a8a-c831885a0249}" id="{632fb323-2ff3-4ccb-9510-c9e60732d92f}" parentId="{232feccf-b3b1-45b3-8ac5-6aae695d28cf}">
    <x18tc:text xml:space="preserve">10/07 Peter did a counteroffer for 55k, if not accepted we will continue with appraisal (CM)</x18tc:text>
  </x18tc:threadedComment>
  <x18tc:threadedComment ref="V182" dT="2024-10-21T19:27:57.00" personId="{d5498dd3-4a64-46ce-9a8a-c831885a0249}" id="{e3b399ae-818e-41b6-91e7-3b269037aae5}" parentId="{232feccf-b3b1-45b3-8ac5-6aae695d28cf}">
    <x18tc:text xml:space="preserve">10/21 Peter followed up on the counteroffer (CM)</x18tc:text>
  </x18tc:threadedComment>
  <x18tc:threadedComment ref="V182" dT="2024-10-28T18:37:47.00" personId="{d5498dd3-4a64-46ce-9a8a-c831885a0249}" id="{ea2f662e-5334-4338-9f05-364a9cbbc225}" parentId="{232feccf-b3b1-45b3-8ac5-6aae695d28cf}">
    <x18tc:text xml:space="preserve">10/28 Wilber talked to Ivan, says Ivan will call the insured in order to take a decision about the appraisal (AL)</x18tc:text>
  </x18tc:threadedComment>
  <x18tc:threadedComment ref="P204" dT="2024-09-20T19:09:25.00" personId="{d5498dd3-4a64-46ce-9a8a-c831885a0249}" id="{a0cfadcd-f92a-460e-9c55-645b4f371782}" done="1">
    <x18tc:text xml:space="preserve">09/20</x18tc:text>
  </x18tc:threadedComment>
  <x18tc:threadedComment ref="V204" dT="2024-09-20T19:08:38.00" personId="{d5498dd3-4a64-46ce-9a8a-c831885a0249}" id="{b2c1207c-434e-4d69-80c8-c97f0510d528}" done="1">
    <x18tc:text xml:space="preserve">09/20 receieved a determination letter, and the roof report, they will pay 15k, asked for a copy of the IA report, DA says they can't send it to us, asked PA's their approve to send our estimate and asked if the want to request mediation (CM)</x18tc:text>
  </x18tc:threadedComment>
  <x18tc:threadedComment ref="O155" dT="2024-08-05T23:12:24.00" personId="{d5498dd3-4a64-46ce-9a8a-c831885a0249}" id="{f7c2cb47-c1bc-480a-a268-8eabb394aea7}" done="1">
    <x18tc:text xml:space="preserve">08/06 sent SPOL to carrier (CM)</x18tc:text>
  </x18tc:threadedComment>
  <x18tc:threadedComment ref="S183" dT="2024-08-08T22:38:41.00" personId="{d5498dd3-4a64-46ce-9a8a-c831885a0249}" id="{9953af39-0afe-4da1-a811-95822d708020}" done="1">
    <x18tc:text xml:space="preserve">08/08 asked Juan to approve the estimate that JP sent as per DA request, asked via ws (CM)</x18tc:text>
  </x18tc:threadedComment>
  <x18tc:threadedComment ref="V183" dT="2024-08-08T22:40:04.00" personId="{d5498dd3-4a64-46ce-9a8a-c831885a0249}" id="{cf82de31-cc05-43b2-ad4f-72ff0ddd6216}" done="1">
    <x18tc:text xml:space="preserve">08/08 asked Juan to approve the estimate that JP sent as per DA request, asked via ws (CM)</x18tc:text>
  </x18tc:threadedComment>
  <x18tc:threadedComment ref="V181" dT="2024-08-08T23:11:28.00" personId="{d5498dd3-4a64-46ce-9a8a-c831885a0249}" id="{232bd52c-72db-4b54-82f4-d73e22eadbc9}" done="1">
    <x18tc:text xml:space="preserve">08/08 asked PAs how to proceed as we have a denial letter (CM)</x18tc:text>
  </x18tc:threadedComment>
  <x18tc:threadedComment ref="A169" dT="2024-10-22T20:55:22.00" personId="{d5498dd3-4a64-46ce-9a8a-c831885a0249}" id="{213dafc5-4ead-43d3-b147-36f7130ec369}" done="1">
    <x18tc:text xml:space="preserve">we were paid on this @admin@ipadjustinggroup.com
Assigned to admin@ipadjustinggroup.com</x18tc:text>
    <x18tc:mentions>
      <x18tc:mention mentionpersonId="{1ffc25a2-3f83-4ed1-a701-edf0aba99522}" mentionId="{728f4be1-9654-47b6-b06c-59596ac27fb5}" startIndex="21" length="27"/>
    </x18tc:mentions>
  </x18tc:threadedComment>
  <x18tc:threadedComment ref="A1" dT="2024-10-22T21:07:17.00" personId="{d5498dd3-4a64-46ce-9a8a-c831885a0249}" id="{9f7606f9-6ffe-40e3-8371-18d00331e2b4}" done="1">
    <x18tc:text xml:space="preserve">@iandres.assistant@gmail.com Mayol's policy</x18tc:text>
    <x18tc:mentions>
      <x18tc:mention mentionpersonId="{8530a93b-c25c-4f0c-9adb-d8ddaa7bd49f}" mentionId="{31d58c62-357b-457c-ae42-febb5dc5f9d4}" startIndex="0" length="28"/>
    </x18tc:mentions>
  </x18tc:threadedComment>
  <x18tc:threadedComment ref="M213" dT="2024-10-22T21:56:31.00" personId="{651ebe9d-f120-479c-8376-36973fff1cc1}" id="{e5f19727-84f6-45b9-9fd1-c7cdd69463af}" done="0">
    <x18tc:text xml:space="preserve">10/22 enviado al DA</x18tc:text>
  </x18tc:threadedComment>
  <x18tc:threadedComment ref="A162" dT="2024-10-22T22:08:23.00" personId="{d5498dd3-4a64-46ce-9a8a-c831885a0249}" id="{ab5a7491-1ffe-4b27-b781-ba92deb0e172}" done="1">
    <x18tc:text xml:space="preserve">we were paid on this @admin@ipadjustinggroup.com
Assigned to admin@ipadjustinggroup.com</x18tc:text>
    <x18tc:mentions>
      <x18tc:mention mentionpersonId="{1ffc25a2-3f83-4ed1-a701-edf0aba99522}" mentionId="{d07b18a6-7968-4944-87d2-f1f62497ad4f}" startIndex="21" length="27"/>
    </x18tc:mentions>
  </x18tc:threadedComment>
  <x18tc:threadedComment ref="M30" dT="2024-10-23T18:09:41.00" personId="{651ebe9d-f120-479c-8376-36973fff1cc1}" id="{e922068f-4a5e-41cf-807e-556ed8cb8a6c}" done="0">
    <x18tc:text xml:space="preserve">esperar IA report</x18tc:text>
  </x18tc:threadedComment>
  <x18tc:threadedComment ref="M211" dT="2024-10-23T13:16:52.00" personId="{651ebe9d-f120-479c-8376-36973fff1cc1}" id="{115bcaf4-cbea-420d-81c8-066602cb0a21}" done="0">
    <x18tc:text xml:space="preserve">esperar IA report</x18tc:text>
  </x18tc:threadedComment>
  <x18tc:threadedComment ref="M211" dT="2024-12-10T21:53:55.00" personId="{651ebe9d-f120-479c-8376-36973fff1cc1}" id="{19f8995d-8e28-4286-84a4-3f8d17b6986f}" parentId="{115bcaf4-cbea-420d-81c8-066602cb0a21}">
    <x18tc:text xml:space="preserve">12/10 sent to carrier</x18tc:text>
  </x18tc:threadedComment>
  <x18tc:threadedComment ref="N212" dT="2024-10-23T13:00:35.00" personId="{651ebe9d-f120-479c-8376-36973fff1cc1}" id="{45224c01-93c1-4572-abb5-8db086a4062d}" done="0">
    <x18tc:text xml:space="preserve">10/23 aprobado por Ivan, corregido con H MIlton</x18tc:text>
  </x18tc:threadedComment>
  <x18tc:threadedComment ref="N212" dT="2024-12-12T17:39:22.00" personId="{651ebe9d-f120-479c-8376-36973fff1cc1}" id="{a0728f02-289c-4cb4-b4fe-f92aae06fd53}" parentId="{45224c01-93c1-4572-abb5-8db086a4062d}">
    <x18tc:text xml:space="preserve">12/12 se actualizo el estimado, se agrego rooms</x18tc:text>
  </x18tc:threadedComment>
  <x18tc:threadedComment ref="M212" dT="2024-10-23T13:01:01.00" personId="{651ebe9d-f120-479c-8376-36973fff1cc1}" id="{77978415-8cdb-4c73-aa2c-78d8b896a02c}" done="0">
    <x18tc:text xml:space="preserve">esperar IA report</x18tc:text>
  </x18tc:threadedComment>
  <x18tc:threadedComment ref="M212" dT="2024-11-08T19:11:39.00" personId="{d5498dd3-4a64-46ce-9a8a-c831885a0249}" id="{033f8374-4610-44cb-b5cc-bd6bd9fa1e17}" parentId="{77978415-8cdb-4c73-aa2c-78d8b896a02c}">
    <x18tc:text xml:space="preserve">11/08 received the denial letter, the IA report, sent to Pas asked how to proceed, asked JP to send our estimate (CM)</x18tc:text>
  </x18tc:threadedComment>
  <x18tc:threadedComment ref="M212" dT="2024-11-13T20:31:40.00" personId="{651ebe9d-f120-479c-8376-36973fff1cc1}" id="{9ed62bb2-d2f1-42af-be3f-ad866e25b286}" parentId="{77978415-8cdb-4c73-aa2c-78d8b896a02c}">
    <x18tc:text xml:space="preserve">11/13 Sent estimate and picture file to the carrier and client. @admin@ipadjustinggroup.com</x18tc:text>
    <x18tc:mentions>
      <x18tc:mention mentionpersonId="{1ffc25a2-3f83-4ed1-a701-edf0aba99522}" mentionId="{820c6a73-6ebe-43b5-b95a-5db4f80266cf}" startIndex="64" length="27"/>
    </x18tc:mentions>
  </x18tc:threadedComment>
  <x18tc:threadedComment ref="M212" dT="2024-12-12T17:46:20.00" personId="{651ebe9d-f120-479c-8376-36973fff1cc1}" id="{5f14367c-ca02-4da2-bd83-0b7060cb114f}" parentId="{77978415-8cdb-4c73-aa2c-78d8b896a02c}">
    <x18tc:text xml:space="preserve">12/12 se envio un update al carrier</x18tc:text>
  </x18tc:threadedComment>
  <x18tc:threadedComment ref="R239" dT="2024-10-23T13:08:32.00" personId="{610be7ce-9288-4df9-9aac-427cc105bbe1}" id="{383e43f6-53cf-48b1-a351-09f142b1c2f4}" done="1">
    <x18tc:text xml:space="preserve">@admin@ipadjustinggroup.com subir info del DA a CW.</x18tc:text>
    <x18tc:mentions>
      <x18tc:mention mentionpersonId="{1ffc25a2-3f83-4ed1-a701-edf0aba99522}" mentionId="{25afd061-7bc5-44aa-86e5-eeac7ae4105c}" startIndex="0" length="27"/>
    </x18tc:mentions>
  </x18tc:threadedComment>
  <x18tc:threadedComment ref="N211" dT="2024-10-23T15:03:22.00" personId="{651ebe9d-f120-479c-8376-36973fff1cc1}" id="{68f879c2-94dc-41d3-9c23-ec81b4b7c47e}" done="0">
    <x18tc:text xml:space="preserve">10/23 sent to ivan</x18tc:text>
  </x18tc:threadedComment>
  <x18tc:threadedComment ref="N211" dT="2024-12-10T21:47:13.00" personId="{651ebe9d-f120-479c-8376-36973fff1cc1}" id="{4405e6f9-cc19-4f95-bb1d-71e327ad8776}" parentId="{68f879c2-94dc-41d3-9c23-ec81b4b7c47e}">
    <x18tc:text xml:space="preserve">12/10 David approved the estimate</x18tc:text>
  </x18tc:threadedComment>
  <x18tc:threadedComment ref="N210" dT="2024-10-23T16:12:18.00" personId="{651ebe9d-f120-479c-8376-36973fff1cc1}" id="{d551c810-a808-4e9f-afc6-f402a874b96e}" done="0">
    <x18tc:text xml:space="preserve">10/23 sent to ivan</x18tc:text>
  </x18tc:threadedComment>
  <x18tc:threadedComment ref="N210" dT="2024-10-28T18:12:21.00" personId="{d5498dd3-4a64-46ce-9a8a-c831885a0249}" id="{f583781b-b3fe-4829-bb26-2ab4c664fc73}" parentId="{d551c810-a808-4e9f-afc6-f402a874b96e}">
    <x18tc:text xml:space="preserve">10/28 received a denial send our estimate 177</x18tc:text>
  </x18tc:threadedComment>
  <x18tc:threadedComment ref="N210" dT="2024-11-05T14:03:43.00" personId="{651ebe9d-f120-479c-8376-36973fff1cc1}" id="{f807cc8d-dfce-4bef-bd64-5fe2eba49159}" parentId="{d551c810-a808-4e9f-afc6-f402a874b96e}">
    <x18tc:text xml:space="preserve">10/28 aprobado por ivan</x18tc:text>
  </x18tc:threadedComment>
  <x18tc:threadedComment ref="N30" dT="2024-10-23T17:54:50.00" personId="{651ebe9d-f120-479c-8376-36973fff1cc1}" id="{9efb3076-4d60-432f-a1f0-98fb178870fa}" done="0">
    <x18tc:text xml:space="preserve">10/23 Sent to Jakey</x18tc:text>
  </x18tc:threadedComment>
  <x18tc:threadedComment ref="N30" dT="2024-10-23T18:09:20.00" personId="{651ebe9d-f120-479c-8376-36973fff1cc1}" id="{5debf187-b24b-4e12-b772-50e2202e20b9}" parentId="{9efb3076-4d60-432f-a1f0-98fb178870fa}">
    <x18tc:text xml:space="preserve">10/23 aprobado</x18tc:text>
  </x18tc:threadedComment>
  <x18tc:threadedComment ref="A1" dT="2024-10-23T17:57:00.00" personId="{d5498dd3-4a64-46ce-9a8a-c831885a0249}" id="{cc23061a-cc72-44a6-beb9-27cde284be2e}" done="0">
    <x18tc:text xml:space="preserve">10/23 asked PA's if they want to save the claim to call the client, if not i sent the withdrawal letter (CM)</x18tc:text>
  </x18tc:threadedComment>
  <x18tc:threadedComment ref="N235" dT="2024-10-23T16:55:00.00" personId="{651ebe9d-f120-479c-8376-36973fff1cc1}" id="{0c93dcb3-c5be-4757-8387-084b084b4c61}" done="0">
    <x18tc:text xml:space="preserve">10/23 Sent estimate to David for approval.</x18tc:text>
  </x18tc:threadedComment>
  <x18tc:threadedComment ref="N235" dT="2024-11-05T23:43:31.00" personId="{651ebe9d-f120-479c-8376-36973fff1cc1}" id="{7e1af6ff-59a0-47b2-9f32-b9a73b5ea6af}" parentId="{0c93dcb3-c5be-4757-8387-084b084b4c61}">
    <x18tc:text xml:space="preserve">10/25 David approved the estimate.</x18tc:text>
  </x18tc:threadedComment>
  <x18tc:threadedComment ref="N224" dT="2024-10-22T15:01:39.00" personId="{651ebe9d-f120-479c-8376-36973fff1cc1}" id="{3d3f50c7-59c8-4ff2-920f-529028a2bb85}" done="0">
    <x18tc:text xml:space="preserve">10/22 enviado a Joshua</x18tc:text>
  </x18tc:threadedComment>
  <x18tc:threadedComment ref="N224" dT="2024-10-22T15:55:53.00" personId="{651ebe9d-f120-479c-8376-36973fff1cc1}" id="{670a6de1-f5b5-4f61-a375-00007570a5b7}" parentId="{3d3f50c7-59c8-4ff2-920f-529028a2bb85}">
    <x18tc:text xml:space="preserve">10/22 aprobado</x18tc:text>
  </x18tc:threadedComment>
  <x18tc:threadedComment ref="N213" dT="2024-10-22T14:16:36.00" personId="{651ebe9d-f120-479c-8376-36973fff1cc1}" id="{8074bc67-f46f-4aa1-a818-7448c262a3d7}" done="0">
    <x18tc:text xml:space="preserve">Enviado a Ivan, mismo estimado con adicionales, nuevo carrier.</x18tc:text>
  </x18tc:threadedComment>
  <x18tc:threadedComment ref="N238" dT="2024-10-22T15:30:17.00" personId="{651ebe9d-f120-479c-8376-36973fff1cc1}" id="{d3df4641-2f6e-4d74-bb7b-03f9e3d16170}" done="0">
    <x18tc:text xml:space="preserve">10/22 sent to gregory/peter</x18tc:text>
  </x18tc:threadedComment>
  <x18tc:threadedComment ref="N238" dT="2024-11-05T13:33:39.00" personId="{651ebe9d-f120-479c-8376-36973fff1cc1}" id="{a28d0f9e-ffba-43cb-a3d9-138c76264ea7}" parentId="{d3df4641-2f6e-4d74-bb7b-03f9e3d16170}">
    <x18tc:text xml:space="preserve">11/05 pedi a peter que revise el estimado</x18tc:text>
  </x18tc:threadedComment>
  <x18tc:threadedComment ref="N238" dT="2024-11-05T16:16:41.00" personId="{651ebe9d-f120-479c-8376-36973fff1cc1}" id="{cb611d29-e5bd-4d38-992a-5fca567e3738}" parentId="{d3df4641-2f6e-4d74-bb7b-03f9e3d16170}">
    <x18tc:text xml:space="preserve">11/05 Peter approved the estimate.</x18tc:text>
  </x18tc:threadedComment>
  <x18tc:threadedComment ref="M224" dT="2024-10-22T15:56:20.00" personId="{651ebe9d-f120-479c-8376-36973fff1cc1}" id="{06061c52-b94b-4172-9151-7aeba8fa2b8d}" done="0">
    <x18tc:text xml:space="preserve">esperar IA report</x18tc:text>
  </x18tc:threadedComment>
  <x18tc:threadedComment ref="M224" dT="2024-11-25T17:29:07.00" personId="{651ebe9d-f120-479c-8376-36973fff1cc1}" id="{0eb0c252-9a64-4996-885f-2308f90fba10}" parentId="{06061c52-b94b-4172-9151-7aeba8fa2b8d}">
    <x18tc:text xml:space="preserve">11/25 sent to DA</x18tc:text>
  </x18tc:threadedComment>
  <x18tc:threadedComment ref="P166" dT="2024-10-21T11:07:43.00" personId="{d5498dd3-4a64-46ce-9a8a-c831885a0249}" id="{3ff9a06a-6021-4c37-86af-88864b3c0cc6}" done="1">
    <x18tc:text xml:space="preserve">11/06</x18tc:text>
  </x18tc:threadedComment>
  <x18tc:threadedComment ref="N228" dT="2024-10-21T15:46:13.00" personId="{651ebe9d-f120-479c-8376-36973fff1cc1}" id="{f5d3f23e-c6a2-448a-9ea7-1b8908f344e7}" done="0">
    <x18tc:text xml:space="preserve">10/21 sent to joshua for approval</x18tc:text>
  </x18tc:threadedComment>
  <x18tc:threadedComment ref="N228" dT="2024-10-21T21:27:32.00" personId="{651ebe9d-f120-479c-8376-36973fff1cc1}" id="{1ab8fb80-e111-494c-a942-fe3e3a1a972e}" parentId="{f5d3f23e-c6a2-448a-9ea7-1b8908f344e7}">
    <x18tc:text xml:space="preserve">10/21 aprobado</x18tc:text>
  </x18tc:threadedComment>
  <x18tc:threadedComment ref="N228" dT="2024-11-01T00:31:20.00" personId="{d5498dd3-4a64-46ce-9a8a-c831885a0249}" id="{65f61db8-a7ac-4bcc-ae11-838d51a81e3a}" parentId="{f5d3f23e-c6a2-448a-9ea7-1b8908f344e7}">
    <x18tc:text xml:space="preserve">ya tenemos IA manda nuestro estimado please 197</x18tc:text>
  </x18tc:threadedComment>
  <x18tc:threadedComment ref="M228" dT="2024-10-21T15:47:00.00" personId="{651ebe9d-f120-479c-8376-36973fff1cc1}" id="{6df91eea-df46-4c8b-8ed1-3d9911994eff}" done="1">
    <x18tc:text xml:space="preserve">esperar IA report</x18tc:text>
  </x18tc:threadedComment>
  <x18tc:threadedComment ref="A1" dT="2024-10-21T16:23:30.00" personId="{610be7ce-9288-4df9-9aac-427cc105bbe1}" id="{78a49b81-5a06-485c-8367-9ae824967799}" done="1">
    <x18tc:text xml:space="preserve">@admin@ipadjustinggroup.com CHECA PLIS</x18tc:text>
    <x18tc:mentions>
      <x18tc:mention mentionpersonId="{1ffc25a2-3f83-4ed1-a701-edf0aba99522}" mentionId="{3876c074-5a0b-42f8-8c17-825737d1ae88}" startIndex="0" length="27"/>
    </x18tc:mentions>
  </x18tc:threadedComment>
  <x18tc:threadedComment ref="A1" dT="2024-10-21T16:38:52.00" personId="{d5498dd3-4a64-46ce-9a8a-c831885a0249}" id="{d176ce97-ece7-4ce9-aa17-7cb6041ebed3}" done="1">
    <x18tc:text xml:space="preserve">10/21</x18tc:text>
  </x18tc:threadedComment>
  <x18tc:threadedComment ref="A1" dT="2024-10-21T16:53:27.00" personId="{651ebe9d-f120-479c-8376-36973fff1cc1}" id="{2300c727-86b8-4a54-9446-d69dffb94769}" done="0">
    <x18tc:text xml:space="preserve">10/21 Sent estimate to David for approval.</x18tc:text>
  </x18tc:threadedComment>
  <x18tc:threadedComment ref="A1" dT="2024-10-21T21:24:41.00" personId="{651ebe9d-f120-479c-8376-36973fff1cc1}" id="{b2045591-ac11-4ae9-b828-ef7e16676727}" parentId="{2300c727-86b8-4a54-9446-d69dffb94769}">
    <x18tc:text xml:space="preserve">10/21 aprobado por David</x18tc:text>
  </x18tc:threadedComment>
  <x18tc:threadedComment ref="A1" dT="2024-10-30T22:09:30.00" personId="{d5498dd3-4a64-46ce-9a8a-c831885a0249}" id="{9647bac4-8a28-43c0-8fe7-0669fc0840c5}" parentId="{2300c727-86b8-4a54-9446-d69dffb94769}">
    <x18tc:text xml:space="preserve">10/30 received a determination and a IA, sent to PAs and JP for their review, asked JP to review and send our estimate (CM)</x18tc:text>
  </x18tc:threadedComment>
  <x18tc:threadedComment ref="A1" dT="2024-10-21T16:53:47.00" personId="{651ebe9d-f120-479c-8376-36973fff1cc1}" id="{906580cd-578c-45fa-b490-c35bd97e0cb7}" done="0">
    <x18tc:text xml:space="preserve">esperar IA report</x18tc:text>
  </x18tc:threadedComment>
  <x18tc:threadedComment ref="A1" dT="2024-11-05T14:00:35.00" personId="{651ebe9d-f120-479c-8376-36973fff1cc1}" id="{e9d5aff1-e02c-4bb6-b506-96687b41b015}" parentId="{906580cd-578c-45fa-b490-c35bd97e0cb7}">
    <x18tc:text xml:space="preserve">11/05 Sent estimate and picture file to DA and client</x18tc:text>
  </x18tc:threadedComment>
  <x18tc:threadedComment ref="A1" dT="2024-10-21T16:56:45.00" personId="{d5498dd3-4a64-46ce-9a8a-c831885a0249}" id="{7b142207-4d73-4b7d-b26b-8efe4be7ed72}" done="1">
    <x18tc:text xml:space="preserve">10/21</x18tc:text>
  </x18tc:threadedComment>
  <x18tc:threadedComment ref="A1" dT="2024-10-21T16:57:15.00" personId="{d5498dd3-4a64-46ce-9a8a-c831885a0249}" id="{a623eb4e-5bda-4395-bfde-15bbec80950f}" done="0">
    <x18tc:text xml:space="preserve">10/21</x18tc:text>
  </x18tc:threadedComment>
  <x18tc:threadedComment ref="A1" dT="2024-10-21T16:57:41.00" personId="{d5498dd3-4a64-46ce-9a8a-c831885a0249}" id="{df5b0b3a-52fb-4c33-b9b5-c12eb5572305}" done="0">
    <x18tc:text xml:space="preserve">10/21</x18tc:text>
  </x18tc:threadedComment>
  <x18tc:threadedComment ref="A1" dT="2024-10-21T16:58:11.00" personId="{d5498dd3-4a64-46ce-9a8a-c831885a0249}" id="{2eb4d52d-d6c9-49ee-a329-c0952e7e6d0b}" done="0">
    <x18tc:text xml:space="preserve">10/21</x18tc:text>
  </x18tc:threadedComment>
  <x18tc:threadedComment ref="A1" dT="2024-10-21T17:00:56.00" personId="{d5498dd3-4a64-46ce-9a8a-c831885a0249}" id="{87465af7-f9a3-4c40-bc60-85e2823b5b50}" done="0">
    <x18tc:text xml:space="preserve">01/24</x18tc:text>
  </x18tc:threadedComment>
  <x18tc:threadedComment ref="N219" dT="2024-10-21T17:26:03.00" personId="{651ebe9d-f120-479c-8376-36973fff1cc1}" id="{8d944a91-9b37-4e5e-8105-1d940c7214af}" done="0">
    <x18tc:text xml:space="preserve">10/21 Sent estimate to David for approval.</x18tc:text>
  </x18tc:threadedComment>
  <x18tc:threadedComment ref="N219" dT="2024-10-21T21:20:34.00" personId="{651ebe9d-f120-479c-8376-36973fff1cc1}" id="{1fa46054-96b3-4cfc-84d6-bf429f6579af}" parentId="{8d944a91-9b37-4e5e-8105-1d940c7214af}">
    <x18tc:text xml:space="preserve">10/21 aprobado</x18tc:text>
  </x18tc:threadedComment>
  <x18tc:threadedComment ref="N219" dT="2024-11-09T12:43:23.00" personId="{651ebe9d-f120-479c-8376-36973fff1cc1}" id="{857c0283-74e5-41e2-9021-12b419a7b8aa}" parentId="{8d944a91-9b37-4e5e-8105-1d940c7214af}">
    <x18tc:text xml:space="preserve">11/09 Sent an update estimate to David, waiting for approval</x18tc:text>
  </x18tc:threadedComment>
  <x18tc:threadedComment ref="N219" dT="2024-11-09T12:51:09.00" personId="{651ebe9d-f120-479c-8376-36973fff1cc1}" id="{97c0cf21-dec6-4985-be0f-69a0cb4089d5}" parentId="{8d944a91-9b37-4e5e-8105-1d940c7214af}">
    <x18tc:text xml:space="preserve">11/09 aprobado el update</x18tc:text>
  </x18tc:threadedComment>
  <x18tc:threadedComment ref="M219" dT="2024-10-21T17:26:53.00" personId="{651ebe9d-f120-479c-8376-36973fff1cc1}" id="{2f0ca243-765e-41a2-bc8f-069474ae24f3}" done="0">
    <x18tc:text xml:space="preserve">esperar IA report</x18tc:text>
  </x18tc:threadedComment>
  <x18tc:threadedComment ref="M219" dT="2024-12-13T16:23:49.00" personId="{651ebe9d-f120-479c-8376-36973fff1cc1}" id="{d89f9c2b-12a6-44a1-bb04-f434dd78262f}" parentId="{2f0ca243-765e-41a2-bc8f-069474ae24f3}">
    <x18tc:text xml:space="preserve">12/13 sent to DA</x18tc:text>
  </x18tc:threadedComment>
  <x18tc:threadedComment ref="A1" dT="2024-10-21T19:29:06.00" personId="{d5498dd3-4a64-46ce-9a8a-c831885a0249}" id="{76752936-9c6b-4dd8-90ea-ca9b19b117c0}" done="1">
    <x18tc:text xml:space="preserve">10/21</x18tc:text>
  </x18tc:threadedComment>
  <x18tc:threadedComment ref="A1" dT="2024-10-21T19:54:59.00" personId="{d5498dd3-4a64-46ce-9a8a-c831885a0249}" id="{e3f7585d-232b-412d-8d27-b7c2b868919f}" done="1">
    <x18tc:text xml:space="preserve">10/21</x18tc:text>
  </x18tc:threadedComment>
  <x18tc:threadedComment ref="A1" dT="2024-10-21T19:08:58.00" personId="{d5498dd3-4a64-46ce-9a8a-c831885a0249}" id="{170b5f6b-df5d-4200-a7bd-1838a3f43732}" done="1">
    <x18tc:text xml:space="preserve">10/21</x18tc:text>
  </x18tc:threadedComment>
  <x18tc:threadedComment ref="V187" dT="2024-10-21T19:19:05.00" personId="{d5498dd3-4a64-46ce-9a8a-c831885a0249}" id="{d9f16453-f91a-4072-8882-8c644f015b95}" done="1">
    <x18tc:text xml:space="preserve">10/07 Peter will negotiate with DA (CM)</x18tc:text>
  </x18tc:threadedComment>
  <x18tc:threadedComment ref="M225" dT="2024-10-21T21:25:07.00" personId="{651ebe9d-f120-479c-8376-36973fff1cc1}" id="{45c513d6-3072-4bd9-b271-6be31f1184e4}" done="0">
    <x18tc:text xml:space="preserve">esperar IA report</x18tc:text>
  </x18tc:threadedComment>
  <x18tc:threadedComment ref="M225" dT="2024-10-30T17:22:09.00" personId="{d5498dd3-4a64-46ce-9a8a-c831885a0249}" id="{2336da53-fc6e-4ccd-b2a6-4f3556ed7596}" parentId="{45c513d6-3072-4bd9-b271-6be31f1184e4}">
    <x18tc:text xml:space="preserve">mandar estimado 194</x18tc:text>
  </x18tc:threadedComment>
  <x18tc:threadedComment ref="M225" dT="2024-11-05T13:49:27.00" personId="{651ebe9d-f120-479c-8376-36973fff1cc1}" id="{b08c980a-8497-4a20-88df-045e11d692b9}" parentId="{45c513d6-3072-4bd9-b271-6be31f1184e4}">
    <x18tc:text xml:space="preserve">11/05 Sent the estimate to the DA</x18tc:text>
  </x18tc:threadedComment>
  <x18tc:threadedComment ref="A1" dT="2024-10-22T12:56:02.00" personId="{d5498dd3-4a64-46ce-9a8a-c831885a0249}" id="{18e59285-79c3-4673-804d-d9c7be44a92c}" done="1">
    <x18tc:text xml:space="preserve">@iandres.assistant@gmail.com policy
Assigned to iandres.assistant@gmail.com</x18tc:text>
    <x18tc:mentions>
      <x18tc:mention mentionpersonId="{8530a93b-c25c-4f0c-9adb-d8ddaa7bd49f}" mentionId="{6d8d360d-1fb5-44da-acba-e90d3821773f}" startIndex="0" length="28"/>
    </x18tc:mentions>
  </x18tc:threadedComment>
  <x18tc:threadedComment ref="A1" dT="2024-10-22T12:57:03.00" personId="{d5498dd3-4a64-46ce-9a8a-c831885a0249}" id="{80bc30af-f603-4673-ab0d-b458b05b35f9}" done="1">
    <x18tc:text xml:space="preserve">@iandres.assistant@gmail.com policy received
Assigned to iandres.assistant@gmail.com</x18tc:text>
    <x18tc:mentions>
      <x18tc:mention mentionpersonId="{8530a93b-c25c-4f0c-9adb-d8ddaa7bd49f}" mentionId="{f3d7fc97-97e8-44e1-9a85-18c450486631}" startIndex="0" length="28"/>
    </x18tc:mentions>
  </x18tc:threadedComment>
  <x18tc:threadedComment ref="V170" dT="2024-08-12T15:02:37.00" personId="{d5498dd3-4a64-46ce-9a8a-c831885a0249}" id="{fdb6760f-4fa4-48b1-93db-7ff0bb133402}" done="1">
    <x18tc:text xml:space="preserve">08/12 received a denial letter, asked PAs how to proceed (CM)</x18tc:text>
  </x18tc:threadedComment>
  <x18tc:threadedComment ref="A1" dT="2024-08-12T15:16:13.00" personId="{d5498dd3-4a64-46ce-9a8a-c831885a0249}" id="{c7a2bdf8-e347-4f44-9dad-b9e931b63297}" done="1">
    <x18tc:text xml:space="preserve">08/12 asked DA a copy of the policy (CM)</x18tc:text>
  </x18tc:threadedComment>
  <x18tc:threadedComment ref="B199" dT="2024-08-12T18:58:13.00" personId="{d5498dd3-4a64-46ce-9a8a-c831885a0249}" id="{16bfec47-10e3-44eb-9014-fe66616c629e}" done="1">
    <x18tc:text xml:space="preserve">Ivan / Jakey</x18tc:text>
  </x18tc:threadedComment>
  <x18tc:threadedComment ref="A164" dT="2024-08-12T19:07:58.00" personId="{d5498dd3-4a64-46ce-9a8a-c831885a0249}" id="{f9536738-56c1-41c3-ae2e-3042c5882bbc}" done="1">
    <x18tc:text xml:space="preserve">08/12 requested mediation (CM) @scheduling@ipadjustinggroup.com</x18tc:text>
    <x18tc:mentions>
      <x18tc:mention mentionpersonId="{2c8ec519-d5db-42bb-a5e2-52abe8ff6abf}" mentionId="{b614ad51-db91-40b2-b42c-65edefa119de}" startIndex="31" length="32"/>
    </x18tc:mentions>
  </x18tc:threadedComment>
  <x18tc:threadedComment ref="O164" dT="2024-08-12T19:09:02.00" personId="{d5498dd3-4a64-46ce-9a8a-c831885a0249}" id="{1e837079-50f6-4ffc-9ad4-7a17ee65638f}" done="1">
    <x18tc:text xml:space="preserve">@jp.ipestimates@gmail.com follow up on this spol pedimos mediacion ya</x18tc:text>
    <x18tc:mentions>
      <x18tc:mention mentionpersonId="{f5ec41ac-eb21-45bf-aaa5-f7dfbc04c8e9}" mentionId="{36ca43c0-9f5e-4a1e-8918-9025fee9e7ca}" startIndex="0" length="25"/>
    </x18tc:mentions>
  </x18tc:threadedComment>
  <x18tc:threadedComment ref="O164" dT="2024-08-13T22:35:05.00" personId="{d5498dd3-4a64-46ce-9a8a-c831885a0249}" id="{212ff6df-a8ae-47de-99cf-e2c405b75d40}" parentId="{1e837079-50f6-4ffc-9ad4-7a17ee65638f}">
    <x18tc:text xml:space="preserve">Marked as resolved</x18tc:text>
  </x18tc:threadedComment>
  <x18tc:threadedComment ref="O164" dT="2024-08-14T20:24:10.00" personId="{d5498dd3-4a64-46ce-9a8a-c831885a0249}" id="{5e0e2f1d-221a-4bc4-9803-30da28b77927}" parentId="{1e837079-50f6-4ffc-9ad4-7a17ee65638f}">
    <x18tc:text xml:space="preserve">Re-opened</x18tc:text>
  </x18tc:threadedComment>
  <x18tc:threadedComment ref="V166" dT="2024-08-12T19:15:16.00" personId="{d5498dd3-4a64-46ce-9a8a-c831885a0249}" id="{b7c7618d-8449-43cc-8837-8a2f186c2bf6}" done="1">
    <x18tc:text xml:space="preserve">08/12 DA have some inquiries, asked Juan to respond her (CM)</x18tc:text>
  </x18tc:threadedComment>
  <x18tc:threadedComment ref="V205" dT="2024-09-23T15:22:27.00" personId="{d5498dd3-4a64-46ce-9a8a-c831885a0249}" id="{dcb78104-b7b5-47ae-bfa6-28baf9084a07}" done="1">
    <x18tc:text xml:space="preserve">09/23 received a determination letter, undisputted payment for 3.6k, and the IA report from before our representation, sent to PA's asked how to proceed (CM)</x18tc:text>
  </x18tc:threadedComment>
  <x18tc:threadedComment ref="V205" dT="2024-09-23T15:13:15.00" personId="{d5498dd3-4a64-46ce-9a8a-c831885a0249}" id="{08bfaee4-34f6-4743-8a01-92508030fc1b}" done="1">
    <x18tc:text xml:space="preserve">09/23 received a determination letter, undisputted payment for 3.6k, and the IA report from before our representation, sent to PA's (CM)</x18tc:text>
  </x18tc:threadedComment>
  <x18tc:threadedComment ref="V155" dT="2024-09-23T15:48:48.00" personId="{d5498dd3-4a64-46ce-9a8a-c831885a0249}" id="{6e6aab2b-9c42-4268-9709-5bca0a30d36a}" done="1">
    <x18tc:text xml:space="preserve">09/23 left a VM to DA and emailed requesting for a copy of the IA report or his determination on this claim, EUO scheduled for 10/14 (CM)</x18tc:text>
  </x18tc:threadedComment>
  <x18tc:threadedComment ref="P194" dT="2024-09-23T16:03:38.00" personId="{d5498dd3-4a64-46ce-9a8a-c831885a0249}" id="{6c385680-ce41-4db9-825a-9e8fcc64a8dd}" done="1">
    <x18tc:text xml:space="preserve">09/23</x18tc:text>
  </x18tc:threadedComment>
  <x18tc:threadedComment ref="P110" dT="2024-09-23T17:26:56.00" personId="{d5498dd3-4a64-46ce-9a8a-c831885a0249}" id="{6d163049-b130-4037-abfd-5a5379720bca}" done="1">
    <x18tc:text xml:space="preserve">09/23</x18tc:text>
  </x18tc:threadedComment>
  <x18tc:threadedComment ref="A205" dT="2024-09-25T18:13:57.00" personId="{d5498dd3-4a64-46ce-9a8a-c831885a0249}" id="{bd8a368f-d0fe-4d90-b09b-421c9c3c185e}" done="1">
    <x18tc:text xml:space="preserve">09/25 asked Wilber if he wants to take this case (CM)</x18tc:text>
  </x18tc:threadedComment>
  <x18tc:threadedComment ref="A138" dT="2024-09-25T23:13:24.00" personId="{d5498dd3-4a64-46ce-9a8a-c831885a0249}" id="{2c589d6d-91bc-42ca-8eb8-b0617d6f809d}" done="1">
    <x18tc:text xml:space="preserve">We were paid on this @admin@ipadjustinggroup.com
Assigned to admin@ipadjustinggroup.com</x18tc:text>
    <x18tc:mentions>
      <x18tc:mention mentionpersonId="{1ffc25a2-3f83-4ed1-a701-edf0aba99522}" mentionId="{a170779a-b7c0-4359-8914-9b7ae148eb77}" startIndex="21" length="27"/>
    </x18tc:mentions>
  </x18tc:threadedComment>
  <x18tc:threadedComment ref="D78" dT="2024-09-25T23:15:41.00" personId="{d5498dd3-4a64-46ce-9a8a-c831885a0249}" id="{a4ff0bab-fbbf-4e60-bb8f-839f2e066873}" done="1">
    <x18tc:text xml:space="preserve">We were paid on this @admin@ipadjustinggroup.com
Assigned to admin@ipadjustinggroup.com</x18tc:text>
    <x18tc:mentions>
      <x18tc:mention mentionpersonId="{1ffc25a2-3f83-4ed1-a701-edf0aba99522}" mentionId="{81cc6bd3-0cac-4f35-a10a-d936f5d0c85e}" startIndex="21" length="27"/>
    </x18tc:mentions>
  </x18tc:threadedComment>
  <x18tc:threadedComment ref="V154" dT="2024-09-26T13:07:50.00" personId="{d5498dd3-4a64-46ce-9a8a-c831885a0249}" id="{e3826065-9475-48c2-b4e5-304e37617496}" done="1">
    <x18tc:text xml:space="preserve">09/25 Iván informed that they will send today the withdrawal from the policy to Juan Baltazar to get it signed (CM)</x18tc:text>
  </x18tc:threadedComment>
  <x18tc:threadedComment ref="V184" dT="2024-09-26T13:34:39.00" personId="{d5498dd3-4a64-46ce-9a8a-c831885a0249}" id="{4f296229-29a5-4284-9f4f-8b6aa18a5ab0}" done="1">
    <x18tc:text xml:space="preserve">08/14 DA is saying this claim has another claim#, asked him if he changed it, we have received a determination letter with an undisputted check asked PAs how to proceed, asked Juan for our estimate (CM)
09/20 followed up with Juan on the estimate as we have received a determination letter via Whatsapp and email(CM)</x18tc:text>
  </x18tc:threadedComment>
  <x18tc:threadedComment ref="V199" dT="2024-09-26T13:57:12.00" personId="{d5498dd3-4a64-46ce-9a8a-c831885a0249}" id="{289ebafd-e703-4710-9b2e-2e575a4b5ada}" done="0">
    <x18tc:text xml:space="preserve">09/18 DA is requesting a RS and she also wants to discuss the claim with the PA, Day is cc'd, Day informs that the client doesn't want to continue with this claim, Jakey said that he will confirm about this claim (CM)</x18tc:text>
  </x18tc:threadedComment>
  <x18tc:threadedComment ref="V199" dT="2024-10-08T14:28:49.00" personId="{d5498dd3-4a64-46ce-9a8a-c831885a0249}" id="{c22e9eed-89e3-4892-b8d6-42371f5bf242}" parentId="{289ebafd-e703-4710-9b2e-2e575a4b5ada}">
    <x18tc:text xml:space="preserve">10/07 Peter will call the client to convince her to continue with the claim (CM)</x18tc:text>
  </x18tc:threadedComment>
  <x18tc:threadedComment ref="V199" dT="2024-10-30T14:58:24.00" personId="{d5498dd3-4a64-46ce-9a8a-c831885a0249}" id="{01ff4a23-bbaa-4d19-8930-1e53ffac5219}" parentId="{289ebafd-e703-4710-9b2e-2e575a4b5ada}">
    <x18tc:text xml:space="preserve">10/30 DA is looking for a response til 11/13 if not they will close it (CM)</x18tc:text>
  </x18tc:threadedComment>
  <x18tc:threadedComment ref="M204" dT="2024-09-26T14:40:04.00" personId="{651ebe9d-f120-479c-8376-36973fff1cc1}" id="{4a7be0b2-4ac8-403b-b0b3-bf4f1db176d9}" done="1">
    <x18tc:text xml:space="preserve">9/26 enviado al DA @admin@ipadjustinggroup.com</x18tc:text>
    <x18tc:mentions>
      <x18tc:mention mentionpersonId="{1ffc25a2-3f83-4ed1-a701-edf0aba99522}" mentionId="{39f58194-2f58-4acf-80c9-cd546c27b8fe}" startIndex="19" length="27"/>
    </x18tc:mentions>
  </x18tc:threadedComment>
  <x18tc:threadedComment ref="V184" dT="2024-09-26T16:30:52.00" personId="{d5498dd3-4a64-46ce-9a8a-c831885a0249}" id="{c487e591-8cd6-4815-8fe8-1e92f346a70b}" done="1">
    <x18tc:text xml:space="preserve">08/14 received a determination letter with an undisputted check for 1.3k asked PAs how to proceed (CM)
09/20 followed up with Juan on the estimate as we have received a determination letter via Whatsapp and email(CM)</x18tc:text>
  </x18tc:threadedComment>
  <x18tc:threadedComment ref="P163" dT="2024-09-26T16:51:27.00" personId="{d5498dd3-4a64-46ce-9a8a-c831885a0249}" id="{db02873b-d8d9-4738-9d2f-7b7e09bc02af}" done="1">
    <x18tc:text xml:space="preserve">09/26</x18tc:text>
  </x18tc:threadedComment>
  <x18tc:threadedComment ref="A1" dT="2024-09-26T16:51:34.00" personId="{d5498dd3-4a64-46ce-9a8a-c831885a0249}" id="{6aa63305-cc1d-4c1a-80d6-e48dd3a4b258}" done="1">
    <x18tc:text xml:space="preserve">09/26</x18tc:text>
  </x18tc:threadedComment>
  <x18tc:threadedComment ref="V195" dT="2024-09-27T21:36:08.00" personId="{d5498dd3-4a64-46ce-9a8a-c831885a0249}" id="{fc46cec7-eb14-46ee-89eb-fc488eb8d518}" done="1">
    <x18tc:text xml:space="preserve">09/27 DA responded saying that the loss was valued at $22,251.17. The deductible on this claim is $21,550.00. He has a settlement total of $ 701.17, asked for the IA report for the PA review (CM)</x18tc:text>
  </x18tc:threadedComment>
  <x18tc:threadedComment ref="P166" dT="2024-10-02T14:42:58.00" personId="{d5498dd3-4a64-46ce-9a8a-c831885a0249}" id="{3e37a641-7f68-4d0d-9b03-03b076c40b7e}" done="1">
    <x18tc:text xml:space="preserve">10/09</x18tc:text>
  </x18tc:threadedComment>
  <x18tc:threadedComment ref="V205" dT="2024-10-04T15:12:07.00" personId="{d5498dd3-4a64-46ce-9a8a-c831885a0249}" id="{be561d30-09e4-429c-a495-ec156217dba3}" done="1">
    <x18tc:text xml:space="preserve">10/04 DA is offering 10k to avoid the appraisal process, sent to PA's (CM)</x18tc:text>
  </x18tc:threadedComment>
  <x18tc:threadedComment ref="V205" dT="2024-10-08T13:24:12.00" personId="{d5498dd3-4a64-46ce-9a8a-c831885a0249}" id="{4783860e-8647-4ffc-9b19-a6360e8ff949}" parentId="{be561d30-09e4-429c-a495-ec156217dba3}">
    <x18tc:text xml:space="preserve">10/07 Peter offered 30k to avoid appraisal (CM)</x18tc:text>
  </x18tc:threadedComment>
  <x18tc:threadedComment ref="V205" dT="2024-10-21T18:43:36.00" personId="{d5498dd3-4a64-46ce-9a8a-c831885a0249}" id="{b3b3ef2b-317a-4146-baf3-8ebe29e67fc5}" parentId="{be561d30-09e4-429c-a495-ec156217dba3}">
    <x18tc:text xml:space="preserve">10/21 followed up on the counteroffer that Peter did, asked DA to confirm the OA name (CM)</x18tc:text>
  </x18tc:threadedComment>
  <x18tc:threadedComment ref="P206" dT="2024-10-04T17:23:25.00" personId="{d5498dd3-4a64-46ce-9a8a-c831885a0249}" id="{6190f8ba-9ad0-4bc7-83ec-6fbd27cf11c3}" done="1">
    <x18tc:text xml:space="preserve">10/03</x18tc:text>
  </x18tc:threadedComment>
  <x18tc:threadedComment ref="V134" dT="2024-10-04T18:24:42.00" personId="{d5498dd3-4a64-46ce-9a8a-c831885a0249}" id="{c6a6d173-6f3c-41f8-b00e-0031fca9409c}" done="1">
    <x18tc:text xml:space="preserve">10/04 JD is asking for the payment (CM)</x18tc:text>
  </x18tc:threadedComment>
  <x18tc:threadedComment ref="N207" dT="2024-10-06T15:28:51.00" personId="{651ebe9d-f120-479c-8376-36973fff1cc1}" id="{8c7e69e3-859a-46be-be9c-dcb92ccad401}" done="0">
    <x18tc:text xml:space="preserve">10/06 enviado a joshua</x18tc:text>
  </x18tc:threadedComment>
  <x18tc:threadedComment ref="N207" dT="2024-10-08T13:19:22.00" personId="{651ebe9d-f120-479c-8376-36973fff1cc1}" id="{79aaf620-2c73-42f1-82cc-f3bda401d413}" parentId="{8c7e69e3-859a-46be-be9c-dcb92ccad401}">
    <x18tc:text xml:space="preserve">10/06 aprobado por joshua</x18tc:text>
  </x18tc:threadedComment>
  <x18tc:threadedComment ref="N207" dT="2024-10-30T17:57:00.00" personId="{651ebe9d-f120-479c-8376-36973fff1cc1}" id="{43697940-a938-43d7-9433-d625e83299d6}" parentId="{8c7e69e3-859a-46be-be9c-dcb92ccad401}">
    <x18tc:text xml:space="preserve">10/30 David asked to modify the estimate, sent an update. Waiting for approval</x18tc:text>
  </x18tc:threadedComment>
  <x18tc:threadedComment ref="N207" dT="2024-10-30T18:01:09.00" personId="{651ebe9d-f120-479c-8376-36973fff1cc1}" id="{20351a99-de70-4b8d-8866-af9bb4fffefc}" parentId="{8c7e69e3-859a-46be-be9c-dcb92ccad401}">
    <x18tc:text xml:space="preserve">10/30 aprobado</x18tc:text>
  </x18tc:threadedComment>
  <x18tc:threadedComment ref="V194" dT="2024-10-07T01:19:56.00" personId="{d5498dd3-4a64-46ce-9a8a-c831885a0249}" id="{4b210857-9ebc-4f55-a272-13f8369b97ff}" done="1">
    <x18tc:text xml:space="preserve">10/07 DA is offering $16,963.22 in exchange of a settlement release, offer expires on 10/09 (CM)</x18tc:text>
  </x18tc:threadedComment>
  <x18tc:threadedComment ref="V194" dT="2024-10-07T20:41:20.00" personId="{d5498dd3-4a64-46ce-9a8a-c831885a0249}" id="{372f6223-2579-4a54-93fc-ad9ff575b786}" parentId="{4b210857-9ebc-4f55-a272-13f8369b97ff}">
    <x18tc:text xml:space="preserve">10/07 Peter sent a counteroffer for 85k to DA (CM)</x18tc:text>
  </x18tc:threadedComment>
  <x18tc:threadedComment ref="V194" dT="2024-10-30T22:14:41.00" personId="{d5498dd3-4a64-46ce-9a8a-c831885a0249}" id="{bf1cd069-50d0-4e6f-b789-4dc7cd2205d9}" parentId="{4b210857-9ebc-4f55-a272-13f8369b97ff}">
    <x18tc:text xml:space="preserve">10/30 they are offering 19k in a exchange of a settlement (CM)</x18tc:text>
  </x18tc:threadedComment>
  <x18tc:threadedComment ref="A203" dT="2024-10-07T01:41:12.00" personId="{d5498dd3-4a64-46ce-9a8a-c831885a0249}" id="{d9a1c30c-3016-4ca9-aaa4-afa4203958dd}" done="0">
    <x18tc:text xml:space="preserve">Wilber</x18tc:text>
  </x18tc:threadedComment>
  <x18tc:threadedComment ref="A203" dT="2025-08-09T00:20:24.00" personId="{d5498dd3-4a64-46ce-9a8a-c831885a0249}" id="{1dc136ce-e7b5-4b6a-9a1d-607fa05f02f1}" parentId="{d9a1c30c-3016-4ca9-aaa4-afa4203958dd}">
    <x18tc:text xml:space="preserve">O&amp;L $3,284.91</x18tc:text>
  </x18tc:threadedComment>
  <x18tc:threadedComment ref="V154" dT="2024-10-07T01:48:35.00" personId="{d5498dd3-4a64-46ce-9a8a-c831885a0249}" id="{7705c8e6-3cc9-475e-b810-144bfdd686c9}" done="1">
    <x18tc:text xml:space="preserve">10/04 received the notarized letter form Juan Baltazar asking to be removed from the policy, sent to the DA, asked to reissue the checks, called too an left a VM(CM)</x18tc:text>
  </x18tc:threadedComment>
  <x18tc:threadedComment ref="V206" dT="2024-10-07T02:05:09.00" personId="{d5498dd3-4a64-46ce-9a8a-c831885a0249}" id="{09f4de84-fb5d-49b1-9ca6-9af4e445d24a}" done="1">
    <x18tc:text xml:space="preserve">10/07 JD informs that we are going to receive a denial, ask us to send them the denial letter (CM)</x18tc:text>
  </x18tc:threadedComment>
  <x18tc:threadedComment ref="V178" dT="2024-09-09T21:16:19.00" personId="{d5498dd3-4a64-46ce-9a8a-c831885a0249}" id="{4ee34930-f0c8-4e8b-92b7-e735f8bdf0f9}" done="1">
    <x18tc:text xml:space="preserve">09/09 received a partial denial letter, an undisputed payment, IA and engineer, asked PAs how to proceed and asked JP to send our estimate after reviewing the IA (CM)</x18tc:text>
  </x18tc:threadedComment>
  <x18tc:threadedComment ref="O110" dT="2024-09-09T21:43:27.00" personId="{651ebe9d-f120-479c-8376-36973fff1cc1}" id="{38175d18-1d07-4f48-8cd7-91ad311a34e7}" done="1">
    <x18tc:text xml:space="preserve">9/09 enviado un updated como pidio el cliente</x18tc:text>
  </x18tc:threadedComment>
  <x18tc:threadedComment ref="O110" dT="2024-09-12T21:37:13.00" personId="{d5498dd3-4a64-46ce-9a8a-c831885a0249}" id="{d74bfe8a-1264-435c-bf26-5f044b67a810}" parentId="{38175d18-1d07-4f48-8cd7-91ad311a34e7}">
    <x18tc:text xml:space="preserve">09/12 sent the notarized SPOL to carrier (CM)</x18tc:text>
  </x18tc:threadedComment>
  <x18tc:threadedComment ref="V188" dT="2024-09-04T00:27:48.00" personId="{d5498dd3-4a64-46ce-9a8a-c831885a0249}" id="{27d0e5b5-c0fc-486f-a951-4e618feaa200}" done="1">
    <x18tc:text xml:space="preserve">09/03 received a letter in wich they say that they are closing the claim because they haven't inspect, asked Day to contact the FA (CM)</x18tc:text>
  </x18tc:threadedComment>
  <x18tc:threadedComment ref="A1" dT="2024-09-05T14:41:27.00" personId="{d5498dd3-4a64-46ce-9a8a-c831885a0249}" id="{dcc9a429-c941-4458-b0f8-157638a442f6}" done="1">
    <x18tc:text xml:space="preserve">09/05</x18tc:text>
  </x18tc:threadedComment>
  <x18tc:threadedComment ref="P201" dT="2024-09-05T14:49:48.00" personId="{d5498dd3-4a64-46ce-9a8a-c831885a0249}" id="{05859b4a-d59f-48ae-8c17-e20b883bb47e}" done="1">
    <x18tc:text xml:space="preserve">09/05 insp</x18tc:text>
  </x18tc:threadedComment>
  <x18tc:threadedComment ref="V203" dT="2024-09-05T19:37:23.00" personId="{d5498dd3-4a64-46ce-9a8a-c831885a0249}" id="{d4e673fc-85fe-4697-a5a6-a3ecaf7b5d32}" done="1">
    <x18tc:text xml:space="preserve">09/05 Citizens says it could take up to 45 business days to receive the policy, asked PAs if they want me to send to Wilber all the documentation with out the policy (CM)</x18tc:text>
  </x18tc:threadedComment>
  <x18tc:threadedComment ref="A203" dT="2024-09-05T19:37:55.00" personId="{d5498dd3-4a64-46ce-9a8a-c831885a0249}" id="{5310c20b-3f21-4f22-a6b0-9f7f3f958799}" done="1">
    <x18tc:text xml:space="preserve">08/27 ask Wilber for this appraisal (CM)</x18tc:text>
  </x18tc:threadedComment>
  <x18tc:threadedComment ref="A182" dT="2024-09-05T19:41:16.00" personId="{d5498dd3-4a64-46ce-9a8a-c831885a0249}" id="{22384235-3ed5-493f-a782-5e7b2afed457}" done="1">
    <x18tc:text xml:space="preserve">@jp.ipestimates@gmail.com @scheduling@ipadjustinggroup.com i have file again this client with a different claim# consider it as a reopen (CM)</x18tc:text>
    <x18tc:mentions>
      <x18tc:mention mentionpersonId="{f5ec41ac-eb21-45bf-aaa5-f7dfbc04c8e9}" mentionId="{0e1b45d4-a784-4949-8ff5-ebfa18e59eff}" startIndex="0" length="25"/>
      <x18tc:mention mentionpersonId="{2c8ec519-d5db-42bb-a5e2-52abe8ff6abf}" mentionId="{31cea6ab-2ee7-4926-a748-429a435dd4eb}" startIndex="26" length="32"/>
    </x18tc:mentions>
  </x18tc:threadedComment>
  <x18tc:threadedComment ref="M164" dT="2024-09-06T21:08:53.00" personId="{d5498dd3-4a64-46ce-9a8a-c831885a0249}" id="{173b9998-3e00-484e-9d3e-5bad54c329f3}" done="1">
    <x18tc:text xml:space="preserve">9/03 Peter: I sent it to the DA. I am still trying to negotiate with him directly</x18tc:text>
  </x18tc:threadedComment>
  <x18tc:threadedComment ref="A182" dT="2024-10-24T15:32:40.00" personId="{d5498dd3-4a64-46ce-9a8a-c831885a0249}" id="{d83a3d9a-c634-4249-b9d4-e5c886e9ddd4}" done="1">
    <x18tc:text xml:space="preserve">11/11 we have the appraisal agreement sign by the client (CM)</x18tc:text>
  </x18tc:threadedComment>
  <x18tc:threadedComment ref="N232" dT="2024-10-24T17:51:52.00" personId="{651ebe9d-f120-479c-8376-36973fff1cc1}" id="{7f9853fa-3481-4fe0-b431-2a48a1fb5ea6}" done="0">
    <x18tc:text xml:space="preserve">10/24 Sent the estimate to Jakey for review</x18tc:text>
  </x18tc:threadedComment>
  <x18tc:threadedComment ref="N232" dT="2024-10-24T22:34:21.00" personId="{651ebe9d-f120-479c-8376-36973fff1cc1}" id="{52fd7333-31d1-42f4-aeb6-cb3b65334b08}" parentId="{7f9853fa-3481-4fe0-b431-2a48a1fb5ea6}">
    <x18tc:text xml:space="preserve">10/24 Aprobado</x18tc:text>
  </x18tc:threadedComment>
  <x18tc:threadedComment ref="N222" dT="2024-10-24T18:37:48.00" personId="{651ebe9d-f120-479c-8376-36973fff1cc1}" id="{1dbcec04-2373-44c4-98b7-ab78da99e60f}" done="0">
    <x18tc:text xml:space="preserve">10/24 Sent the estimate to Joshua for review.</x18tc:text>
  </x18tc:threadedComment>
  <x18tc:threadedComment ref="N222" dT="2024-10-28T20:54:38.00" personId="{d5498dd3-4a64-46ce-9a8a-c831885a0249}" id="{0fb63ccf-d129-4f3e-8fc9-5c6886ddba1b}" parentId="{1dbcec04-2373-44c4-98b7-ab78da99e60f}">
    <x18tc:text xml:space="preserve">10/28 RECEIVED IA 191</x18tc:text>
  </x18tc:threadedComment>
  <x18tc:threadedComment ref="N222" dT="2024-10-30T15:04:12.00" personId="{651ebe9d-f120-479c-8376-36973fff1cc1}" id="{2689c51b-3c39-42ce-9973-dfaad0e74177}" parentId="{1dbcec04-2373-44c4-98b7-ab78da99e60f}">
    <x18tc:text xml:space="preserve">0/24 Joshua approved the estimate</x18tc:text>
  </x18tc:threadedComment>
  <x18tc:threadedComment ref="A1" dT="2024-10-24T19:57:01.00" personId="{d5498dd3-4a64-46ce-9a8a-c831885a0249}" id="{cb867bd4-fcc7-4d4d-89d7-e5d2f9d2eca8}" done="1">
    <x18tc:text xml:space="preserve">@iandres.assistant@gmail.com policy</x18tc:text>
    <x18tc:mentions>
      <x18tc:mention mentionpersonId="{8530a93b-c25c-4f0c-9adb-d8ddaa7bd49f}" mentionId="{1c45b0c6-ea50-4443-8de0-216d246cebad}" startIndex="0" length="28"/>
    </x18tc:mentions>
  </x18tc:threadedComment>
  <x18tc:threadedComment ref="V209" dT="2024-10-24T21:04:19.00" personId="{d5498dd3-4a64-46ce-9a8a-c831885a0249}" id="{6e5645d0-0740-4974-a030-a646034319bf}" done="1">
    <x18tc:text xml:space="preserve">10/24 Received the determination letter, the IA report (CM)</x18tc:text>
  </x18tc:threadedComment>
  <x18tc:threadedComment ref="V209" dT="2024-12-28T23:22:03.00" personId="{d5498dd3-4a64-46ce-9a8a-c831885a0249}" id="{11c050bc-5dd7-4ba8-8118-909e23e63fa6}" parentId="{6e5645d0-0740-4974-a030-a646034319bf}">
    <x18tc:text xml:space="preserve">12/30 asked PAs how we can move forward on this claim as we have a determiantion already (CM)</x18tc:text>
  </x18tc:threadedComment>
  <x18tc:threadedComment ref="V161" dT="2024-10-24T21:17:29.00" personId="{d5498dd3-4a64-46ce-9a8a-c831885a0249}" id="{612a2c41-4fbd-442b-9535-ce4a9fe09abf}" done="1">
    <x18tc:text xml:space="preserve">10/24 DA made an offer for 25k, he also sent an undisputted for 15k, sent to PA's (CM)</x18tc:text>
  </x18tc:threadedComment>
  <x18tc:threadedComment ref="V161" dT="2024-10-28T17:22:24.00" personId="{d5498dd3-4a64-46ce-9a8a-c831885a0249}" id="{232b5108-f8c7-4d94-a717-025bb9383541}" parentId="{612a2c41-4fbd-442b-9535-ce4a9fe09abf}">
    <x18tc:text xml:space="preserve">10/25 Peter made a counter offer of $60,000 in new money in exchange for a release. (AL)</x18tc:text>
  </x18tc:threadedComment>
  <x18tc:threadedComment ref="V243" dT="2024-10-24T21:25:35.00" personId="{d5498dd3-4a64-46ce-9a8a-c831885a0249}" id="{83d26a59-8587-4b17-87af-10a520a3a8f5}" done="1">
    <x18tc:text xml:space="preserve">10/24 DA is requesting a copy of a mortgage satisfaction letter from CALIBER HOME LOANS, INC Loan ID: 9779529297 or a loan transfer document as New Rez being the new lienholder sent to PAs (CM)</x18tc:text>
  </x18tc:threadedComment>
  <x18tc:threadedComment ref="N237" dT="2024-10-24T21:26:52.00" personId="{651ebe9d-f120-479c-8376-36973fff1cc1}" id="{0da31890-0b98-4115-9d14-d955713fbf2b}" done="0">
    <x18tc:text xml:space="preserve">10/24 Sent estimate to Peter for approval.</x18tc:text>
  </x18tc:threadedComment>
  <x18tc:threadedComment ref="N237" dT="2024-12-11T16:02:57.00" personId="{651ebe9d-f120-479c-8376-36973fff1cc1}" id="{7c46a9c0-2759-4b2b-8079-97f4b66ffb01}" parentId="{0da31890-0b98-4115-9d14-d955713fbf2b}">
    <x18tc:text xml:space="preserve">12/11 Peter approved</x18tc:text>
  </x18tc:threadedComment>
  <x18tc:threadedComment ref="V190" dT="2024-10-24T21:31:04.00" personId="{d5498dd3-4a64-46ce-9a8a-c831885a0249}" id="{a7895ebd-842f-4935-aeea-be64c6c10c08}" done="1">
    <x18tc:text xml:space="preserve">10/24 received the payment letter for 19k and IA report, sent to PAs asked how to proceed (CM)</x18tc:text>
  </x18tc:threadedComment>
  <x18tc:threadedComment ref="V201" dT="2024-10-28T16:24:18.00" personId="{d5498dd3-4a64-46ce-9a8a-c831885a0249}" id="{3920e79a-e9a0-4af8-a326-65d6982ab890}" done="1">
    <x18tc:text xml:space="preserve">10/28 Uploaded Payment recap, IA report and determination letter, sent to IP. Asked if they wanted to request mediatoin. (AL)</x18tc:text>
  </x18tc:threadedComment>
  <x18tc:threadedComment ref="V201" dT="2024-10-29T20:30:29.00" personId="{d5498dd3-4a64-46ce-9a8a-c831885a0249}" id="{c35383af-5624-4337-8b3f-cc8c034996c3}" parentId="{3920e79a-e9a0-4af8-a326-65d6982ab890}">
    <x18tc:text xml:space="preserve">10/29 Wilber is asking for the estimate. Asked Peter to send it ASAP (AL)
Marked as resolved</x18tc:text>
  </x18tc:threadedComment>
  <x18tc:threadedComment ref="N218" dT="2024-10-28T17:40:39.00" personId="{651ebe9d-f120-479c-8376-36973fff1cc1}" id="{9acb44bb-3f11-4a08-8211-8c5ded0e2651}" done="0">
    <x18tc:text xml:space="preserve">10/28 Sent estimate to Myers for approval.</x18tc:text>
  </x18tc:threadedComment>
  <x18tc:threadedComment ref="N218" dT="2024-11-06T13:24:58.00" personId="{651ebe9d-f120-479c-8376-36973fff1cc1}" id="{122ee3ca-6424-4776-80a5-02ea211fbeb2}" parentId="{9acb44bb-3f11-4a08-8211-8c5ded0e2651}">
    <x18tc:text xml:space="preserve">10/28 Myers approved the estimate</x18tc:text>
  </x18tc:threadedComment>
  <x18tc:threadedComment ref="V210" dT="2024-10-28T18:06:47.00" personId="{d5498dd3-4a64-46ce-9a8a-c831885a0249}" id="{e4709706-4c89-4f93-a974-1ff657bb77f5}" done="1">
    <x18tc:text xml:space="preserve">10/28 recieved a denial letter, sent to PAs, asked JP to send our estimate (CM)</x18tc:text>
  </x18tc:threadedComment>
  <x18tc:threadedComment ref="V210" dT="2024-11-07T16:47:56.00" personId="{d5498dd3-4a64-46ce-9a8a-c831885a0249}" id="{13fff3aa-841c-4537-b96b-5c01fad4f75c}" parentId="{e4709706-4c89-4f93-a974-1ff657bb77f5}">
    <x18tc:text xml:space="preserve">11/07 DA says he reiterates his coverage decision, sent to PA's asked how to proceed (CM)
Marked as resolved</x18tc:text>
  </x18tc:threadedComment>
  <x18tc:threadedComment ref="A189" dT="2024-10-28T19:45:38.00" personId="{d5498dd3-4a64-46ce-9a8a-c831885a0249}" id="{58ea9d51-63d9-4705-8a1c-6010f6d2fede}" done="1">
    <x18tc:text xml:space="preserve">Wilber</x18tc:text>
  </x18tc:threadedComment>
  <x18tc:threadedComment ref="P218" dT="2024-10-29T12:02:07.00" personId="{d5498dd3-4a64-46ce-9a8a-c831885a0249}" id="{f736035f-066e-43ab-8561-b9fc019871c7}" done="1">
    <x18tc:text xml:space="preserve">Inspection done on 10/28 (CM)</x18tc:text>
  </x18tc:threadedComment>
  <x18tc:threadedComment ref="P231" dT="2024-10-29T12:10:12.00" personId="{d5498dd3-4a64-46ce-9a8a-c831885a0249}" id="{614ae216-e22f-4a93-a55a-90194a22ca1b}" done="1">
    <x18tc:text xml:space="preserve">inspection done on 10/25 (CM)</x18tc:text>
  </x18tc:threadedComment>
  <x18tc:threadedComment ref="P236" dT="2024-10-29T12:14:43.00" personId="{d5498dd3-4a64-46ce-9a8a-c831885a0249}" id="{c58f9a18-1b48-404e-a315-587a3c25e4cf}" done="0">
    <x18tc:text xml:space="preserve">inspection done on 10/26 (CM)</x18tc:text>
  </x18tc:threadedComment>
  <x18tc:threadedComment ref="P239" dT="2024-10-29T12:16:37.00" personId="{d5498dd3-4a64-46ce-9a8a-c831885a0249}" id="{619e1f58-0188-45e6-8784-d658aa748505}" done="1">
    <x18tc:text xml:space="preserve">inspection done on 10/28 (CM)</x18tc:text>
  </x18tc:threadedComment>
  <x18tc:threadedComment ref="P247" dT="2024-10-29T12:21:06.00" personId="{d5498dd3-4a64-46ce-9a8a-c831885a0249}" id="{9aba4510-e42f-4999-8c88-459acd6e00ab}" done="1">
    <x18tc:text xml:space="preserve">inspection done on 10/24 (CM)</x18tc:text>
  </x18tc:threadedComment>
  <x18tc:threadedComment ref="A201" dT="2024-10-29T12:41:02.00" personId="{d5498dd3-4a64-46ce-9a8a-c831885a0249}" id="{c9f539b8-11f3-4b2d-a539-3ff491ad4883}" done="1">
    <x18tc:text xml:space="preserve">10/29 asked Wilber if we wanted to take this case (CM)</x18tc:text>
  </x18tc:threadedComment>
  <x18tc:threadedComment ref="V179" dT="2024-10-29T12:51:03.00" personId="{d5498dd3-4a64-46ce-9a8a-c831885a0249}" id="{7950ccf2-d171-423e-a000-90326f1c0a15}" done="1">
    <x18tc:text xml:space="preserve">10/09 Received and uploaded IA report and determination to CW. Also they were sent to Juan and Peter for review (SG)</x18tc:text>
  </x18tc:threadedComment>
  <x18tc:threadedComment ref="P188" dT="2024-10-29T12:54:23.00" personId="{d5498dd3-4a64-46ce-9a8a-c831885a0249}" id="{158777a1-dddd-4f05-80fd-aed058154032}" done="1">
    <x18tc:text xml:space="preserve">02/25</x18tc:text>
  </x18tc:threadedComment>
  <x18tc:threadedComment ref="A183" dT="2024-10-29T15:21:59.00" personId="{d5498dd3-4a64-46ce-9a8a-c831885a0249}" id="{810eabb3-26a1-4b08-b2c9-16073005e954}" done="1">
    <x18tc:text xml:space="preserve">we were paid on this @admin@ipadjustinggroup.com
Assigned to admin@ipadjustinggroup.com</x18tc:text>
    <x18tc:mentions>
      <x18tc:mention mentionpersonId="{1ffc25a2-3f83-4ed1-a701-edf0aba99522}" mentionId="{6b357114-4917-4954-ac09-7ba149e80cfc}" startIndex="21" length="27"/>
    </x18tc:mentions>
  </x18tc:threadedComment>
  <x18tc:threadedComment ref="A1" dT="2024-10-29T17:32:40.00" personId="{d5498dd3-4a64-46ce-9a8a-c831885a0249}" id="{92272d86-80da-4735-a60b-cc3fdcdff458}" done="1">
    <x18tc:text xml:space="preserve">10/29</x18tc:text>
  </x18tc:threadedComment>
  <x18tc:threadedComment ref="A1" dT="2024-10-29T16:56:49.00" personId="{d5498dd3-4a64-46ce-9a8a-c831885a0249}" id="{f58072ba-adcf-4dc7-81bd-085c42327ddb}" done="0">
    <x18tc:text xml:space="preserve">10/29</x18tc:text>
  </x18tc:threadedComment>
  <x18tc:threadedComment ref="A1" dT="2024-10-29T17:05:56.00" personId="{d5498dd3-4a64-46ce-9a8a-c831885a0249}" id="{4d1530f2-e30a-4bd1-ac28-691de06eb509}" done="1">
    <x18tc:text xml:space="preserve">10/29</x18tc:text>
  </x18tc:threadedComment>
  <x18tc:threadedComment ref="A1" dT="2024-10-29T17:12:40.00" personId="{d5498dd3-4a64-46ce-9a8a-c831885a0249}" id="{673f076e-0323-4358-8220-1173f258776c}" done="1">
    <x18tc:text xml:space="preserve">10/29</x18tc:text>
  </x18tc:threadedComment>
  <x18tc:threadedComment ref="A1" dT="2024-10-29T17:27:19.00" personId="{d5498dd3-4a64-46ce-9a8a-c831885a0249}" id="{0dc15857-bbf6-4fed-8459-f7f0d0520569}" done="0">
    <x18tc:text xml:space="preserve">10/29</x18tc:text>
  </x18tc:threadedComment>
  <x18tc:threadedComment ref="A1" dT="2024-10-29T17:40:35.00" personId="{d5498dd3-4a64-46ce-9a8a-c831885a0249}" id="{007adfd0-e976-4c90-9fd1-157b60d44b0c}" done="1">
    <x18tc:text xml:space="preserve">11/18</x18tc:text>
  </x18tc:threadedComment>
  <x18tc:threadedComment ref="A1" dT="2024-10-31T19:33:49.00" personId="{d5498dd3-4a64-46ce-9a8a-c831885a0249}" id="{e1209b3a-c203-4df6-9d39-ac314980f0ef}" done="1">
    <x18tc:text xml:space="preserve">@iandres.assistant@gmail.com policy</x18tc:text>
    <x18tc:mentions>
      <x18tc:mention mentionpersonId="{8530a93b-c25c-4f0c-9adb-d8ddaa7bd49f}" mentionId="{17877b07-3bbb-4768-883b-1f9cc7749860}" startIndex="0" length="28"/>
    </x18tc:mentions>
  </x18tc:threadedComment>
  <x18tc:threadedComment ref="A1" dT="2024-10-31T16:33:30.00" personId="{d5498dd3-4a64-46ce-9a8a-c831885a0249}" id="{dff34ac6-1259-4b68-9597-4042563a3b1d}" done="1">
    <x18tc:text xml:space="preserve">tenemos policy @iandres.assistant@gmail.com</x18tc:text>
    <x18tc:mentions>
      <x18tc:mention mentionpersonId="{8530a93b-c25c-4f0c-9adb-d8ddaa7bd49f}" mentionId="{b146d94b-dbae-4687-84ec-86d8ca9dc0f0}" startIndex="15" length="28"/>
    </x18tc:mentions>
  </x18tc:threadedComment>
  <x18tc:threadedComment ref="A1" dT="2024-08-16T20:56:17.00" personId="{d5498dd3-4a64-46ce-9a8a-c831885a0249}" id="{e59b898c-d9e2-4889-b9ab-89d96825125a}" done="0">
    <x18tc:text xml:space="preserve">12/30</x18tc:text>
  </x18tc:threadedComment>
  <x18tc:threadedComment ref="A1" dT="2024-08-16T20:56:21.00" personId="{d5498dd3-4a64-46ce-9a8a-c831885a0249}" id="{0c461b61-80ef-42c4-9bbb-b0720c080c58}" done="1">
    <x18tc:text xml:space="preserve">08/15</x18tc:text>
  </x18tc:threadedComment>
  <x18tc:threadedComment ref="A1" dT="2024-08-16T20:56:25.00" personId="{d5498dd3-4a64-46ce-9a8a-c831885a0249}" id="{c6c3c302-08a0-4ffe-bc9e-8afc37fa6eee}" done="1">
    <x18tc:text xml:space="preserve">08/15</x18tc:text>
  </x18tc:threadedComment>
  <x18tc:threadedComment ref="A1" dT="2024-08-16T20:57:49.00" personId="{d5498dd3-4a64-46ce-9a8a-c831885a0249}" id="{14932756-f4db-45a2-8241-03f576a5835f}" done="1">
    <x18tc:text xml:space="preserve">08/15</x18tc:text>
  </x18tc:threadedComment>
  <x18tc:threadedComment ref="A162" dT="2024-08-20T21:10:55.00" personId="{d5498dd3-4a64-46ce-9a8a-c831885a0249}" id="{6e2391b9-77d8-48e8-8c41-4627e430822d}" done="1">
    <x18tc:text xml:space="preserve">08/20 requested mediation (CM) @scheduling@ipadjustinggroup.com</x18tc:text>
    <x18tc:mentions>
      <x18tc:mention mentionpersonId="{2c8ec519-d5db-42bb-a5e2-52abe8ff6abf}" mentionId="{e0cf6e15-cab3-465d-9c43-58ae256db299}" startIndex="31" length="32"/>
    </x18tc:mentions>
  </x18tc:threadedComment>
  <x18tc:threadedComment ref="O195" dT="2024-08-20T21:34:18.00" personId="{d5498dd3-4a64-46ce-9a8a-c831885a0249}" id="{3e0def7d-2477-44ec-b949-caf9235a87e7}" done="1">
    <x18tc:text xml:space="preserve">08/20 sent blank SPOL to complete to JP (CM) @jp.ipestimates@gmail.com</x18tc:text>
    <x18tc:mentions>
      <x18tc:mention mentionpersonId="{f5ec41ac-eb21-45bf-aaa5-f7dfbc04c8e9}" mentionId="{c6aa64f6-fa5f-4bbf-9432-76573c00c029}" startIndex="45" length="25"/>
    </x18tc:mentions>
  </x18tc:threadedComment>
  <x18tc:threadedComment ref="O195" dT="2024-08-29T14:44:23.00" personId="{651ebe9d-f120-479c-8376-36973fff1cc1}" id="{2b08b30f-d4a9-4db0-a171-5ff0c3406206}" parentId="{3e0def7d-2477-44ec-b949-caf9235a87e7}">
    <x18tc:text xml:space="preserve">enviado al cliente (159) para que firme @admin@ipadjustinggroup.com</x18tc:text>
    <x18tc:mentions>
      <x18tc:mention mentionpersonId="{1ffc25a2-3f83-4ed1-a701-edf0aba99522}" mentionId="{0b330d23-9895-4d28-b35e-0d2955b73e7a}" startIndex="40" length="27"/>
    </x18tc:mentions>
  </x18tc:threadedComment>
  <x18tc:threadedComment ref="N174" dT="2024-08-20T22:17:55.00" personId="{651ebe9d-f120-479c-8376-36973fff1cc1}" id="{8753bccb-3e80-49e2-b13b-3f17a38673d4}" done="1">
    <x18tc:text xml:space="preserve">8/20 Sent estimate to Peter for approval</x18tc:text>
  </x18tc:threadedComment>
  <x18tc:threadedComment ref="N174" dT="2024-08-26T15:12:36.00" personId="{651ebe9d-f120-479c-8376-36973fff1cc1}" id="{a42e2369-47c6-45d4-9c11-10cab3143930}" parentId="{8753bccb-3e80-49e2-b13b-3f17a38673d4}">
    <x18tc:text xml:space="preserve">8/26 peter approved</x18tc:text>
  </x18tc:threadedComment>
  <x18tc:threadedComment ref="M199" dT="2024-08-21T14:58:05.00" personId="{651ebe9d-f120-479c-8376-36973fff1cc1}" id="{1c36ab4b-7036-42ca-b53e-02922971a441}" done="1">
    <x18tc:text xml:space="preserve">enviar con estimado aprobado</x18tc:text>
  </x18tc:threadedComment>
  <x18tc:threadedComment ref="N202" dT="2024-08-21T14:52:33.00" personId="{651ebe9d-f120-479c-8376-36973fff1cc1}" id="{807c617b-4cc3-4d19-8886-a59e73581d45}" done="1">
    <x18tc:text xml:space="preserve">8/21 enviado a Ivan</x18tc:text>
  </x18tc:threadedComment>
  <x18tc:threadedComment ref="N199" dT="2024-08-21T15:43:19.00" personId="{651ebe9d-f120-479c-8376-36973fff1cc1}" id="{4763b476-8fb9-40d2-957d-6aabb06fcaf9}" done="1">
    <x18tc:text xml:space="preserve">8/21 enviado a Jakey</x18tc:text>
  </x18tc:threadedComment>
  <x18tc:threadedComment ref="N199" dT="2024-08-23T15:35:22.00" personId="{651ebe9d-f120-479c-8376-36973fff1cc1}" id="{baa683ad-f53e-4346-9872-e74d0cbd2a26}" parentId="{4763b476-8fb9-40d2-957d-6aabb06fcaf9}">
    <x18tc:text xml:space="preserve">8/23 aprobado por jakey</x18tc:text>
  </x18tc:threadedComment>
  <x18tc:threadedComment ref="V22" dT="2024-08-21T16:10:43.00" personId="{d5498dd3-4a64-46ce-9a8a-c831885a0249}" id="{d3e1a144-19dd-49c8-bf76-e30cf69b2a4e}" done="1">
    <x18tc:text xml:space="preserve">08/21 as per letter received by DA, this claim is closed (CM)</x18tc:text>
  </x18tc:threadedComment>
  <x18tc:threadedComment ref="N249" dT="2024-11-05T18:19:41.00" personId="{651ebe9d-f120-479c-8376-36973fff1cc1}" id="{4bb61734-eced-47cc-9d31-11acd20a0d90}" done="0">
    <x18tc:text xml:space="preserve">11/05 Sent the estimate to Gregory for approval.</x18tc:text>
  </x18tc:threadedComment>
  <x18tc:threadedComment ref="N249" dT="2024-11-23T13:59:28.00" personId="{651ebe9d-f120-479c-8376-36973fff1cc1}" id="{57cd195d-be67-4338-8e68-c7336aabc37a}" parentId="{4bb61734-eced-47cc-9d31-11acd20a0d90}">
    <x18tc:text xml:space="preserve">11/22 Peter approved</x18tc:text>
  </x18tc:threadedComment>
  <x18tc:threadedComment ref="V195" dT="2024-11-05T19:53:12.00" personId="{d5498dd3-4a64-46ce-9a8a-c831885a0249}" id="{926f472c-b5a5-43e7-8ea2-840708cd12ea}" done="1">
    <x18tc:text xml:space="preserve">11/05 DA is offering 30k in a exchange for a release, asked I&amp;P to respond to the oofer, informed that the mediation is been scheduled (CM)</x18tc:text>
  </x18tc:threadedComment>
  <x18tc:threadedComment ref="V195" dT="2024-11-15T18:51:40.00" personId="{d5498dd3-4a64-46ce-9a8a-c831885a0249}" id="{b859846a-4410-4e55-b2af-11d29c05c2c1}" parentId="{926f472c-b5a5-43e7-8ea2-840708cd12ea}">
    <x18tc:text xml:space="preserve">11/15 Peter says Juan is trying to settle in 75k (CM)</x18tc:text>
  </x18tc:threadedComment>
  <x18tc:threadedComment ref="V194" dT="2024-11-05T20:09:39.00" personId="{d5498dd3-4a64-46ce-9a8a-c831885a0249}" id="{7afe85c0-e3df-4421-982f-aef78706ea92}" done="1">
    <x18tc:text xml:space="preserve">11/05 DA has declined the 19k offer she made on 10/30, asked I&amp;P how to proceed now as she says the claim is closed (CM)</x18tc:text>
  </x18tc:threadedComment>
  <x18tc:threadedComment ref="A59" dT="2024-11-05T22:24:17.00" personId="{d5498dd3-4a64-46ce-9a8a-c831885a0249}" id="{dffefa23-76e3-454e-bf7d-43de3efd94c0}" done="1">
    <x18tc:text xml:space="preserve">we were paid on this @admin@ipadjustinggroup.com
Assigned to admin@ipadjustinggroup.com</x18tc:text>
    <x18tc:mentions>
      <x18tc:mention mentionpersonId="{1ffc25a2-3f83-4ed1-a701-edf0aba99522}" mentionId="{ad1c40a8-8db4-4370-a8c7-b39eaa0babb8}" startIndex="21" length="27"/>
    </x18tc:mentions>
  </x18tc:threadedComment>
  <x18tc:threadedComment ref="A129" dT="2024-11-05T22:24:44.00" personId="{d5498dd3-4a64-46ce-9a8a-c831885a0249}" id="{d6106f66-1a6e-45a5-8b87-2f4a0a565690}" done="1">
    <x18tc:text xml:space="preserve">we were paid on this @admin@ipadjustinggroup.com
Assigned to admin@ipadjustinggroup.com</x18tc:text>
    <x18tc:mentions>
      <x18tc:mention mentionpersonId="{1ffc25a2-3f83-4ed1-a701-edf0aba99522}" mentionId="{6a9059bc-8b02-4461-9316-133449ef0adf}" startIndex="21" length="27"/>
    </x18tc:mentions>
  </x18tc:threadedComment>
  <x18tc:threadedComment ref="V196" dT="2024-08-27T13:43:07.00" personId="{d5498dd3-4a64-46ce-9a8a-c831885a0249}" id="{f40347da-53ee-46ad-b169-56f282b91ba2}" done="1">
    <x18tc:text xml:space="preserve">08/27 carrier is requesting the spol and examination under oath, asked JP to do the spol and informed PAs about the EUO (CM)</x18tc:text>
  </x18tc:threadedComment>
  <x18tc:threadedComment ref="V203" dT="2024-08-27T14:05:51.00" personId="{d5498dd3-4a64-46ce-9a8a-c831885a0249}" id="{2d120ebc-3261-4b45-9993-918813c795da}" done="1">
    <x18tc:text xml:space="preserve">08/27 Citizens is demanding appraisal, asked PAs who should i ask for this appraisal (CM)</x18tc:text>
  </x18tc:threadedComment>
  <x18tc:threadedComment ref="A1" dT="2024-08-27T15:52:06.00" personId="{d5498dd3-4a64-46ce-9a8a-c831885a0249}" id="{b0c5a440-0f1a-4aa4-9cf6-0ed447f9de02}" done="1">
    <x18tc:text xml:space="preserve">08/15</x18tc:text>
  </x18tc:threadedComment>
  <x18tc:threadedComment ref="A1" dT="2024-08-27T15:52:15.00" personId="{d5498dd3-4a64-46ce-9a8a-c831885a0249}" id="{201f1a61-dcdc-4618-b509-6aed78888a71}" done="1">
    <x18tc:text xml:space="preserve">08/27</x18tc:text>
  </x18tc:threadedComment>
  <x18tc:threadedComment ref="V150" dT="2024-08-27T14:55:52.00" personId="{d5498dd3-4a64-46ce-9a8a-c831885a0249}" id="{4f712d17-f0b1-47f7-bbe6-e9413421470a}" done="1">
    <x18tc:text xml:space="preserve">08/27 DA is offering 3k as this claim was paid before, asked PAs how to proceed (CM)</x18tc:text>
  </x18tc:threadedComment>
  <x18tc:threadedComment ref="V150" dT="2024-09-12T17:17:27.00" personId="{d5498dd3-4a64-46ce-9a8a-c831885a0249}" id="{af2e6f57-59dd-4174-a2d4-f9db7fb93439}" parentId="{4f712d17-f0b1-47f7-bbe6-e9413421470a}">
    <x18tc:text xml:space="preserve">09/23 called DA an asked for the IA report, sent it to PA's and asked to respond to the 3k offer that DA made (CM)</x18tc:text>
  </x18tc:threadedComment>
  <x18tc:threadedComment ref="V189" dT="2024-08-27T15:10:13.00" personId="{d5498dd3-4a64-46ce-9a8a-c831885a0249}" id="{43268e46-5023-4c82-bada-ee73441a323f}" done="1">
    <x18tc:text xml:space="preserve">08/27 DA is asking to complete a w9, not sure what they are asking sent to I&amp;P (CM)</x18tc:text>
  </x18tc:threadedComment>
  <x18tc:threadedComment ref="A1" dT="2024-08-27T16:15:26.00" personId="{d5498dd3-4a64-46ce-9a8a-c831885a0249}" id="{4a28dac9-27ee-4122-82d3-daa1cca301f0}" done="1">
    <x18tc:text xml:space="preserve">08/27</x18tc:text>
  </x18tc:threadedComment>
  <x18tc:threadedComment ref="A1" dT="2024-08-27T16:18:51.00" personId="{d5498dd3-4a64-46ce-9a8a-c831885a0249}" id="{8e77d18b-a6b1-4b35-86ad-4e8997c0fa0d}" done="1">
    <x18tc:text xml:space="preserve">08/15</x18tc:text>
  </x18tc:threadedComment>
  <x18tc:threadedComment ref="A1" dT="2024-08-27T16:19:09.00" personId="{d5498dd3-4a64-46ce-9a8a-c831885a0249}" id="{b8994ef4-8eda-4d22-b270-021ae6c907e0}" done="1">
    <x18tc:text xml:space="preserve">08/15</x18tc:text>
  </x18tc:threadedComment>
  <x18tc:threadedComment ref="A1" dT="2024-08-27T16:19:31.00" personId="{d5498dd3-4a64-46ce-9a8a-c831885a0249}" id="{6cbeac30-7865-482a-a5cf-01ed82b2b7ea}" done="1">
    <x18tc:text xml:space="preserve">08/15</x18tc:text>
  </x18tc:threadedComment>
  <x18tc:threadedComment ref="M164" dT="2024-08-27T16:22:25.00" personId="{651ebe9d-f120-479c-8376-36973fff1cc1}" id="{bb76634a-5f33-45ea-a62d-1b80a71160c8}" done="1">
    <x18tc:text xml:space="preserve">8/27 Peter pidio reducir el precio del techo, se le envio un update del estimado @admin@ipadjustinggroup.com</x18tc:text>
    <x18tc:mentions>
      <x18tc:mention mentionpersonId="{1ffc25a2-3f83-4ed1-a701-edf0aba99522}" mentionId="{9721293c-fa5e-4f48-a356-ab81360262f9}" startIndex="81" length="27"/>
    </x18tc:mentions>
  </x18tc:threadedComment>
  <x18tc:threadedComment ref="A1" dT="2024-08-27T17:15:42.00" personId="{d5498dd3-4a64-46ce-9a8a-c831885a0249}" id="{b9931603-61fe-4b6b-bbfa-1bad609a7ed0}" done="1">
    <x18tc:text xml:space="preserve">08/27</x18tc:text>
  </x18tc:threadedComment>
  <x18tc:threadedComment ref="A1" dT="2024-08-27T17:16:38.00" personId="{d5498dd3-4a64-46ce-9a8a-c831885a0249}" id="{aaf314c6-4b55-411d-8a80-b6d9180df4c1}" done="1">
    <x18tc:text xml:space="preserve">08/15</x18tc:text>
  </x18tc:threadedComment>
  <x18tc:threadedComment ref="A1" dT="2024-08-27T17:22:44.00" personId="{d5498dd3-4a64-46ce-9a8a-c831885a0249}" id="{3d474341-45fc-4e9c-abf1-f9abaa2e8f0d}" done="1">
    <x18tc:text xml:space="preserve">08/27</x18tc:text>
  </x18tc:threadedComment>
  <x18tc:threadedComment ref="M180" dT="2024-08-29T15:04:18.00" personId="{651ebe9d-f120-479c-8376-36973fff1cc1}" id="{349385d2-30d5-43e1-9b65-834af55f50cf}" done="1">
    <x18tc:text xml:space="preserve">8/29 enviado</x18tc:text>
  </x18tc:threadedComment>
  <x18tc:threadedComment ref="N188" dT="2024-08-29T21:06:47.00" personId="{651ebe9d-f120-479c-8376-36973fff1cc1}" id="{186f4479-383f-43f7-8b18-3612610b4963}" done="1">
    <x18tc:text xml:space="preserve">8/29 aprobado por juan</x18tc:text>
  </x18tc:threadedComment>
  <x18tc:threadedComment ref="V175" dT="2024-08-29T21:11:03.00" personId="{d5498dd3-4a64-46ce-9a8a-c831885a0249}" id="{f8740fc3-5d4f-4953-94a3-f947b1ccfa98}" done="1">
    <x18tc:text xml:space="preserve">08/29 received a determination letter, they are going to pay 10k for this claim (CM)</x18tc:text>
  </x18tc:threadedComment>
  <x18tc:threadedComment ref="V202" dT="2024-08-29T21:15:53.00" personId="{d5498dd3-4a64-46ce-9a8a-c831885a0249}" id="{89a89be2-56c5-4a53-a224-ad37eba93296}" done="1">
    <x18tc:text xml:space="preserve">08/29 received a determination letter, they are going to pay 8k asked PAs how to proceed (CM)</x18tc:text>
  </x18tc:threadedComment>
  <x18tc:threadedComment ref="A192" dT="2024-08-30T20:40:17.00" personId="{d5498dd3-4a64-46ce-9a8a-c831885a0249}" id="{189e8ff9-39c1-4fc3-b6d0-aab2bb4f5b47}" done="1">
    <x18tc:text xml:space="preserve">08/30 stand by appraisal as per DA request</x18tc:text>
  </x18tc:threadedComment>
  <x18tc:threadedComment ref="V182" dT="2024-08-30T20:45:18.00" personId="{d5498dd3-4a64-46ce-9a8a-c831885a0249}" id="{a4829138-389f-4ca0-9aca-02776a3b852b}" done="1">
    <x18tc:text xml:space="preserve">08/30 received the denial letter, asked PAs how to proceed next (CM)</x18tc:text>
  </x18tc:threadedComment>
  <x18tc:threadedComment ref="V201" dT="2024-08-30T20:22:27.00" personId="{d5498dd3-4a64-46ce-9a8a-c831885a0249}" id="{65a301a3-8f23-409a-bfc3-87bd6c180e29}" done="1">
    <x18tc:text xml:space="preserve">08/30 received a letter from DA requesting estimate, photos and all the support documentation, informed that once completed the ionspection we will send our estimate (CM)</x18tc:text>
  </x18tc:threadedComment>
  <x18tc:threadedComment ref="P110" dT="2024-08-30T13:27:25.00" personId="{d5498dd3-4a64-46ce-9a8a-c831885a0249}" id="{bf05dc1f-03cc-4b50-9dc5-d5cea13f968f}" done="1">
    <x18tc:text xml:space="preserve">08/30</x18tc:text>
  </x18tc:threadedComment>
  <x18tc:threadedComment ref="P140" dT="2024-08-30T13:38:01.00" personId="{d5498dd3-4a64-46ce-9a8a-c831885a0249}" id="{854bfb6a-eb7f-4c86-a9b4-0e46001d6cce}" done="1">
    <x18tc:text xml:space="preserve">08/30</x18tc:text>
  </x18tc:threadedComment>
  <x18tc:threadedComment ref="P179" dT="2024-08-31T23:38:10.00" personId="{d5498dd3-4a64-46ce-9a8a-c831885a0249}" id="{0518e078-249c-4b09-99ae-7302c9b96c0d}" done="1">
    <x18tc:text xml:space="preserve">08/28 they say they will reinspect (CM)</x18tc:text>
  </x18tc:threadedComment>
  <x18tc:threadedComment ref="P180" dT="2024-08-31T23:39:40.00" personId="{d5498dd3-4a64-46ce-9a8a-c831885a0249}" id="{8f5c7bf4-9058-4fbf-ac26-64e5fecaf540}" done="1">
    <x18tc:text xml:space="preserve">08/28 no reinspection scheduled</x18tc:text>
  </x18tc:threadedComment>
  <x18tc:threadedComment ref="V154" dT="2024-08-31T22:51:05.00" personId="{d5498dd3-4a64-46ce-9a8a-c831885a0249}" id="{812323a4-09a3-4f0c-a43b-336b475ffabc}" done="1">
    <x18tc:text xml:space="preserve">08/30 left a vm to DA, and sent an email asking to reissue the checks (CM)</x18tc:text>
  </x18tc:threadedComment>
  <x18tc:threadedComment ref="P155" dT="2024-08-31T23:07:30.00" personId="{d5498dd3-4a64-46ce-9a8a-c831885a0249}" id="{96ca1c3d-1ea1-467e-964e-497d605471fa}" done="1">
    <x18tc:text xml:space="preserve">01/03</x18tc:text>
  </x18tc:threadedComment>
  <x18tc:threadedComment ref="P158" dT="2024-08-31T23:09:33.00" personId="{d5498dd3-4a64-46ce-9a8a-c831885a0249}" id="{e3e1d1bd-0ff3-4395-994f-4658a7e1396f}" done="1">
    <x18tc:text xml:space="preserve">08/26</x18tc:text>
  </x18tc:threadedComment>
  <x18tc:threadedComment ref="V164" dT="2024-08-31T23:29:26.00" personId="{d5498dd3-4a64-46ce-9a8a-c831885a0249}" id="{422697f3-0cb0-4639-9cb8-b5bf228e92eb}" done="1">
    <x18tc:text xml:space="preserve">09/02 asked Peter how to proceed next after he approves the new estimate as we have requested mediation and sent the spol (CM)</x18tc:text>
  </x18tc:threadedComment>
  <x18tc:threadedComment ref="P166" dT="2024-08-31T23:30:32.00" personId="{d5498dd3-4a64-46ce-9a8a-c831885a0249}" id="{9a88054d-b568-4836-8f75-53bb327f871b}" done="1">
    <x18tc:text xml:space="preserve">07/30 rs
09/20 eng insp</x18tc:text>
  </x18tc:threadedComment>
  <x18tc:threadedComment ref="P174" dT="2024-08-31T23:36:19.00" personId="{d5498dd3-4a64-46ce-9a8a-c831885a0249}" id="{2a7911d8-b7cd-4f30-b888-1bdf4f9baedf}" done="1">
    <x18tc:text xml:space="preserve">08/28</x18tc:text>
  </x18tc:threadedComment>
  <x18tc:threadedComment ref="P178" dT="2024-08-31T23:36:45.00" personId="{d5498dd3-4a64-46ce-9a8a-c831885a0249}" id="{ab47d58c-2208-42c3-b1bb-19edfa44e5c1}" done="1">
    <x18tc:text xml:space="preserve">08/27</x18tc:text>
  </x18tc:threadedComment>
  <x18tc:threadedComment ref="P185" dT="2024-08-31T23:40:14.00" personId="{d5498dd3-4a64-46ce-9a8a-c831885a0249}" id="{74abed87-da19-46c2-883c-13359a90650b}" done="1">
    <x18tc:text xml:space="preserve">08/27</x18tc:text>
  </x18tc:threadedComment>
  <x18tc:threadedComment ref="P188" dT="2024-08-31T23:42:39.00" personId="{d5498dd3-4a64-46ce-9a8a-c831885a0249}" id="{2a838475-7f73-47c5-b767-fa53180d3a13}" done="1">
    <x18tc:text xml:space="preserve">08/30 no inspection scheduled</x18tc:text>
  </x18tc:threadedComment>
  <x18tc:threadedComment ref="P189" dT="2024-08-31T23:45:30.00" personId="{d5498dd3-4a64-46ce-9a8a-c831885a0249}" id="{07b43702-c730-4dd1-a1bf-ea3fff8123eb}" done="1">
    <x18tc:text xml:space="preserve">09/03</x18tc:text>
  </x18tc:threadedComment>
  <x18tc:threadedComment ref="P190" dT="2024-08-31T23:45:40.00" personId="{d5498dd3-4a64-46ce-9a8a-c831885a0249}" id="{acd9ef3a-a35d-4713-bea2-f3ba17acf2b8}" done="1">
    <x18tc:text xml:space="preserve">reinsp on 09/12</x18tc:text>
  </x18tc:threadedComment>
  <x18tc:threadedComment ref="P191" dT="2024-08-31T23:47:59.00" personId="{d5498dd3-4a64-46ce-9a8a-c831885a0249}" id="{342fb1b5-7821-4290-9a9a-4cb75db4bde4}" done="1">
    <x18tc:text xml:space="preserve">insp 08/08
eng insp 09/03
follow up on 09/19</x18tc:text>
  </x18tc:threadedComment>
  <x18tc:threadedComment ref="O90" dT="2024-08-30T12:54:58.00" personId="{d5498dd3-4a64-46ce-9a8a-c831885a0249}" id="{12f24b02-0d83-47af-8207-0bcc1ad88d0b}" done="1">
    <x18tc:text xml:space="preserve">haz SPOL cliente 48 @jp.ipestimates@gmail.com</x18tc:text>
    <x18tc:mentions>
      <x18tc:mention mentionpersonId="{f5ec41ac-eb21-45bf-aaa5-f7dfbc04c8e9}" mentionId="{85923699-c1e4-4f5a-a195-52900c8755c6}" startIndex="20" length="25"/>
    </x18tc:mentions>
  </x18tc:threadedComment>
  <x18tc:threadedComment ref="P90" dT="2024-08-30T12:56:26.00" personId="{d5498dd3-4a64-46ce-9a8a-c831885a0249}" id="{00838642-248f-4adb-b752-f799d20d59d5}" done="1">
    <x18tc:text xml:space="preserve">8/30</x18tc:text>
  </x18tc:threadedComment>
  <x18tc:threadedComment ref="P192" dT="2024-09-02T02:44:09.00" personId="{d5498dd3-4a64-46ce-9a8a-c831885a0249}" id="{215ca3ce-677e-4675-838b-917e8bc9e715}" done="1">
    <x18tc:text xml:space="preserve">they will reinspect</x18tc:text>
  </x18tc:threadedComment>
  <x18tc:threadedComment ref="P195" dT="2024-09-02T02:44:57.00" personId="{d5498dd3-4a64-46ce-9a8a-c831885a0249}" id="{e0483d2a-e131-4113-bd7e-0e3639bc283e}" done="1">
    <x18tc:text xml:space="preserve">08/30 insp</x18tc:text>
  </x18tc:threadedComment>
  <x18tc:threadedComment ref="P196" dT="2024-09-02T02:46:26.00" personId="{d5498dd3-4a64-46ce-9a8a-c831885a0249}" id="{e3376274-3f2e-4842-94cf-1adbb0599040}" done="1">
    <x18tc:text xml:space="preserve">08/28</x18tc:text>
  </x18tc:threadedComment>
  <x18tc:threadedComment ref="P197" dT="2024-09-02T02:49:37.00" personId="{d5498dd3-4a64-46ce-9a8a-c831885a0249}" id="{4ee74212-31b7-447f-852b-ea22f80c07f4}" done="1">
    <x18tc:text xml:space="preserve">no insp. scheduled</x18tc:text>
  </x18tc:threadedComment>
  <x18tc:threadedComment ref="V187" dT="2024-09-02T03:37:55.00" personId="{d5498dd3-4a64-46ce-9a8a-c831885a0249}" id="{6e53ec55-f967-4bd1-8488-25e9978dbba4}" done="1">
    <x18tc:text xml:space="preserve">08/28 received a rejection letter for the appraisal, sent to I&amp;P (CM)</x18tc:text>
  </x18tc:threadedComment>
  <x18tc:threadedComment ref="A1" dT="2024-09-02T02:53:37.00" personId="{d5498dd3-4a64-46ce-9a8a-c831885a0249}" id="{5b911a50-2e92-4ade-8a6c-731332fd5acc}" done="1">
    <x18tc:text xml:space="preserve">08/29</x18tc:text>
  </x18tc:threadedComment>
  <x18tc:threadedComment ref="A1" dT="2024-09-02T02:55:08.00" personId="{d5498dd3-4a64-46ce-9a8a-c831885a0249}" id="{605d0c9f-b4a9-4785-9d7a-b52465dce45d}" done="1">
    <x18tc:text xml:space="preserve">08/30</x18tc:text>
  </x18tc:threadedComment>
  <x18tc:threadedComment ref="P204" dT="2024-09-02T02:56:52.00" personId="{d5498dd3-4a64-46ce-9a8a-c831885a0249}" id="{bc7190dc-5383-4ffd-abbf-830f7446181b}" done="1">
    <x18tc:text xml:space="preserve">rs 08/27
insp not yet</x18tc:text>
  </x18tc:threadedComment>
  <x18tc:threadedComment ref="A1" dT="2024-09-02T02:57:17.00" personId="{d5498dd3-4a64-46ce-9a8a-c831885a0249}" id="{42b0fa25-a5d5-498d-b523-3e9ec1abb245}" done="1">
    <x18tc:text xml:space="preserve">08/30</x18tc:text>
  </x18tc:threadedComment>
  <x18tc:threadedComment ref="V183" dT="2024-09-02T03:36:31.00" personId="{d5498dd3-4a64-46ce-9a8a-c831885a0249}" id="{96b53b0b-04a3-47cd-8dc1-1b51f8b7d8cb}" done="1">
    <x18tc:text xml:space="preserve">08/27 received a settlement letter and IA report. sent to PAs and asked how to proceed (CM)</x18tc:text>
  </x18tc:threadedComment>
  <x18tc:threadedComment ref="V183" dT="2024-09-06T13:14:38.00" personId="{d5498dd3-4a64-46ce-9a8a-c831885a0249}" id="{26993750-6b17-4779-8960-11f7b3de26f0}" parentId="{96b53b0b-04a3-47cd-8dc1-1b51f8b7d8cb}">
    <x18tc:text xml:space="preserve">09/06 DA wants to discuss about this claim, asked Day to schedule that call (CM)</x18tc:text>
  </x18tc:threadedComment>
  <x18tc:threadedComment ref="O90" dT="2024-09-02T15:45:01.00" personId="{651ebe9d-f120-479c-8376-36973fff1cc1}" id="{36b2b74b-8019-4eaa-bfda-6b559ad28e84}" done="0">
    <x18tc:text xml:space="preserve">9/02 enviado al cliente @admin@ipadjustinggroup.com</x18tc:text>
    <x18tc:mentions>
      <x18tc:mention mentionpersonId="{1ffc25a2-3f83-4ed1-a701-edf0aba99522}" mentionId="{f575f313-c6c8-42f6-b158-4f95acbc158d}" startIndex="24" length="27"/>
    </x18tc:mentions>
  </x18tc:threadedComment>
  <x18tc:threadedComment ref="O90" dT="2024-09-03T14:44:14.00" personId="{d5498dd3-4a64-46ce-9a8a-c831885a0249}" id="{1fa32721-f886-43f9-ad56-aa6bb6539c2e}" parentId="{36b2b74b-8019-4eaa-bfda-6b559ad28e84}">
    <x18tc:text xml:space="preserve">09/03 Reginald's email address is incorrect, sent the SPOL to Peter (CM)</x18tc:text>
  </x18tc:threadedComment>
  <x18tc:threadedComment ref="O90" dT="2024-09-06T13:44:15.00" personId="{d5498dd3-4a64-46ce-9a8a-c831885a0249}" id="{bf232c08-5a68-4e54-8fa3-f82625ee28f9}" parentId="{36b2b74b-8019-4eaa-bfda-6b559ad28e84}">
    <x18tc:text xml:space="preserve">09/06 sent SPOL to DA, asked Perry to upload it on claimspath (CM)</x18tc:text>
  </x18tc:threadedComment>
  <x18tc:threadedComment ref="A1" dT="2024-09-03T14:58:33.00" personId="{d5498dd3-4a64-46ce-9a8a-c831885a0249}" id="{e9611ab9-1fca-4f59-b31e-36602cbd79f2}" done="1">
    <x18tc:text xml:space="preserve">09/03</x18tc:text>
  </x18tc:threadedComment>
  <x18tc:threadedComment ref="P178" dT="2024-09-03T17:40:06.00" personId="{d5498dd3-4a64-46ce-9a8a-c831885a0249}" id="{b14f3e49-25e1-45e3-bc8d-41be5a72691f}" done="1">
    <x18tc:text xml:space="preserve">09/09</x18tc:text>
  </x18tc:threadedComment>
  <x18tc:threadedComment ref="M110" dT="2024-09-03T16:29:43.00" personId="{651ebe9d-f120-479c-8376-36973fff1cc1}" id="{d61f51e2-4820-49e1-9fd6-6ac571ebf8fa}" done="1">
    <x18tc:text xml:space="preserve">9/3 pedi a Juan q revise el updated con la Pool.</x18tc:text>
  </x18tc:threadedComment>
  <x18tc:threadedComment ref="V110" dT="2024-09-03T16:31:07.00" personId="{d5498dd3-4a64-46ce-9a8a-c831885a0249}" id="{fad2eaab-caf3-4287-83b3-e63e73707deb}" done="1">
    <x18tc:text xml:space="preserve">09/03 Jp asked Juan to confirm the estiamte with the pool added (CM)</x18tc:text>
  </x18tc:threadedComment>
  <x18tc:threadedComment ref="M88" dT="2024-09-03T16:52:22.00" personId="{651ebe9d-f120-479c-8376-36973fff1cc1}" id="{e38b43bc-4d34-4c4f-ac20-5e9b5062f7be}" done="0">
    <x18tc:text xml:space="preserve">ENVIAR CON ESTIMADO APROBADO</x18tc:text>
  </x18tc:threadedComment>
  <x18tc:threadedComment ref="M88" dT="2025-01-13T17:50:02.00" personId="{651ebe9d-f120-479c-8376-36973fff1cc1}" id="{2026f5d1-07bc-467b-a43e-15d5c4991551}" parentId="{e38b43bc-4d34-4c4f-ac20-5e9b5062f7be}">
    <x18tc:text xml:space="preserve">1/13/25 subido a CP</x18tc:text>
  </x18tc:threadedComment>
  <x18tc:threadedComment ref="M107" dT="2024-09-03T16:52:32.00" personId="{651ebe9d-f120-479c-8376-36973fff1cc1}" id="{306a51e1-1816-4305-8289-a7e82f41a02a}" done="0">
    <x18tc:text xml:space="preserve">ENVIAR CON ESTIMADO APROBADO</x18tc:text>
  </x18tc:threadedComment>
  <x18tc:threadedComment ref="M107" dT="2025-01-21T16:32:55.00" personId="{651ebe9d-f120-479c-8376-36973fff1cc1}" id="{2184be3b-153e-44d7-9732-10391b03560b}" parentId="{306a51e1-1816-4305-8289-a7e82f41a02a}">
    <x18tc:text xml:space="preserve">1/21/25 sent to carrier</x18tc:text>
  </x18tc:threadedComment>
  <x18tc:threadedComment ref="M184" dT="2024-09-03T16:53:36.00" personId="{651ebe9d-f120-479c-8376-36973fff1cc1}" id="{c4a6d84e-8835-4438-b53b-5205de24f128}" done="0">
    <x18tc:text xml:space="preserve">ENVIAR CON ESTIMADO APROBADO</x18tc:text>
  </x18tc:threadedComment>
  <x18tc:threadedComment ref="M184" dT="2025-01-20T13:46:28.00" personId="{651ebe9d-f120-479c-8376-36973fff1cc1}" id="{b67e0c28-8ae1-4044-bab6-0eea1107f638}" parentId="{c4a6d84e-8835-4438-b53b-5205de24f128}">
    <x18tc:text xml:space="preserve">1/20/25 sent to DA</x18tc:text>
  </x18tc:threadedComment>
  <x18tc:threadedComment ref="A1" dT="2024-09-03T17:06:44.00" personId="{651ebe9d-f120-479c-8376-36973fff1cc1}" id="{8d67806e-10df-4f72-b174-3abc3de5f086}" done="0">
    <x18tc:text xml:space="preserve">9/01 pedi a juan info de cuartos que no tenia</x18tc:text>
  </x18tc:threadedComment>
  <x18tc:threadedComment ref="N265" dT="2024-11-09T16:00:06.00" personId="{651ebe9d-f120-479c-8376-36973fff1cc1}" id="{d5b0b859-304b-4c4f-a566-39c673849da1}" done="0">
    <x18tc:text xml:space="preserve">11/09 Sent the estimate to Joshua for review.</x18tc:text>
  </x18tc:threadedComment>
  <x18tc:threadedComment ref="N265" dT="2024-11-14T20:50:55.00" personId="{d5498dd3-4a64-46ce-9a8a-c831885a0249}" id="{5847d08c-8409-4c0f-83c6-729b1934762b}" parentId="{d5b0b859-304b-4c4f-a566-39c673849da1}">
    <x18tc:text xml:space="preserve">Peter mando ya el estimado a la companua de seguros pilas</x18tc:text>
  </x18tc:threadedComment>
  <x18tc:threadedComment ref="N265" dT="2024-11-20T22:00:25.00" personId="{651ebe9d-f120-479c-8376-36973fff1cc1}" id="{d6e00584-3db5-4de1-9817-81acc9293f8b}" parentId="{d5b0b859-304b-4c4f-a566-39c673849da1}">
    <x18tc:text xml:space="preserve">11/11 Joshua approved the estimate.</x18tc:text>
  </x18tc:threadedComment>
  <x18tc:threadedComment ref="N265" dT="2024-11-20T22:14:31.00" personId="{651ebe9d-f120-479c-8376-36973fff1cc1}" id="{2450ac88-7fa5-4900-8ef6-e03fd86ff946}" parentId="{d5b0b859-304b-4c4f-a566-39c673849da1}">
    <x18tc:text xml:space="preserve">@admin@ipadjustinggroup.com Carito envio o no este estimado al carrier/DA.? 234</x18tc:text>
    <x18tc:mentions>
      <x18tc:mention mentionpersonId="{1ffc25a2-3f83-4ed1-a701-edf0aba99522}" mentionId="{c9be33dd-4b32-4336-b568-7f479049e214}" startIndex="0" length="27"/>
    </x18tc:mentions>
  </x18tc:threadedComment>
  <x18tc:threadedComment ref="A1" dT="2024-11-14T15:35:16.00" personId="{d5498dd3-4a64-46ce-9a8a-c831885a0249}" id="{94aaeed6-bfc3-41a7-a55c-ca2bae767610}" done="1">
    <x18tc:text xml:space="preserve">12/02</x18tc:text>
  </x18tc:threadedComment>
  <x18tc:threadedComment ref="V57" dT="2024-11-14T14:19:40.00" personId="{d5498dd3-4a64-46ce-9a8a-c831885a0249}" id="{2fe24fde-7664-458b-aa51-6a0180fdef79}" done="1">
    <x18tc:text xml:space="preserve">11/14 the law group from the carrier is requesting some info, sent to I&amp;P (CM)</x18tc:text>
  </x18tc:threadedComment>
  <x18tc:threadedComment ref="V57" dT="2024-12-19T15:39:08.00" personId="{d5498dd3-4a64-46ce-9a8a-c831885a0249}" id="{ca16223c-f305-4761-80fc-5f856276d09e}" parentId="{2fe24fde-7664-458b-aa51-6a0180fdef79}">
    <x18tc:text xml:space="preserve">12/19 Iván says that the client doesn't have the documentation that the law firm is requesting, asked if i should inform to MSPG (CM)</x18tc:text>
  </x18tc:threadedComment>
  <x18tc:threadedComment ref="V201" dT="2024-11-14T14:38:34.00" personId="{d5498dd3-4a64-46ce-9a8a-c831885a0249}" id="{cc84a991-1355-4c3e-904f-927fc9f950d3}" done="1">
    <x18tc:text xml:space="preserve">11/14 Sarah sent a settlement check to the client, asked I&amp;P if they settled this claim so I can inform to Wilber (CM)</x18tc:text>
  </x18tc:threadedComment>
  <x18tc:threadedComment ref="A207" dT="2024-11-14T14:49:34.00" personId="{d5498dd3-4a64-46ce-9a8a-c831885a0249}" id="{27f6ade0-d0f1-4182-820a-d5a6a77cd94f}" done="1">
    <x18tc:text xml:space="preserve">Wilber</x18tc:text>
  </x18tc:threadedComment>
  <x18tc:threadedComment ref="N267" dT="2024-11-17T15:50:20.00" personId="{651ebe9d-f120-479c-8376-36973fff1cc1}" id="{6c9a26e5-11c0-4af7-ba25-acf9c485cb06}" done="0">
    <x18tc:text xml:space="preserve">11/17 Sent the estimate to David for review</x18tc:text>
  </x18tc:threadedComment>
  <x18tc:threadedComment ref="N267" dT="2025-04-18T00:09:27.00" personId="{651ebe9d-f120-479c-8376-36973fff1cc1}" id="{24949a45-7079-4d2e-a339-56e1a99225e6}" parentId="{6c9a26e5-11c0-4af7-ba25-acf9c485cb06}">
    <x18tc:text xml:space="preserve">4/17/25 sent an update to Ivan</x18tc:text>
  </x18tc:threadedComment>
  <x18tc:threadedComment ref="N267" dT="2025-04-30T13:42:40.00" personId="{651ebe9d-f120-479c-8376-36973fff1cc1}" id="{b72e53d5-d345-4548-8c93-c6c3a68d703f}" parentId="{6c9a26e5-11c0-4af7-ba25-acf9c485cb06}">
    <x18tc:text xml:space="preserve">4/28 aprobado</x18tc:text>
  </x18tc:threadedComment>
  <x18tc:threadedComment ref="N268" dT="2024-11-17T17:34:10.00" personId="{651ebe9d-f120-479c-8376-36973fff1cc1}" id="{26e6fae6-940e-4c22-8c0b-4170b2b751af}" done="0">
    <x18tc:text xml:space="preserve">11/17 Sent the estimate to David for review - verificar el SQ del techo</x18tc:text>
  </x18tc:threadedComment>
  <x18tc:threadedComment ref="N268" dT="2025-05-28T18:41:00.00" personId="{651ebe9d-f120-479c-8376-36973fff1cc1}" id="{1fb4b9d8-626f-4765-bfea-ec708627de70}" parentId="{26e6fae6-940e-4c22-8c0b-4170b2b751af}">
    <x18tc:text xml:space="preserve">5/28 sent an update to Peter</x18tc:text>
  </x18tc:threadedComment>
  <x18tc:threadedComment ref="N268" dT="2025-06-11T14:48:54.00" personId="{651ebe9d-f120-479c-8376-36973fff1cc1}" id="{9c751053-d5e0-4ec2-b8f4-69932114223e}" parentId="{26e6fae6-940e-4c22-8c0b-4170b2b751af}">
    <x18tc:text xml:space="preserve">6/6 aprobado por peter el update</x18tc:text>
  </x18tc:threadedComment>
  <x18tc:threadedComment ref="P258" dT="2024-11-14T18:01:48.00" personId="{d5498dd3-4a64-46ce-9a8a-c831885a0249}" id="{8290d267-f5f0-4439-91b5-9aeb7d643e1b}" done="1">
    <x18tc:text xml:space="preserve">insp done on 10/25</x18tc:text>
  </x18tc:threadedComment>
  <x18tc:threadedComment ref="P257" dT="2024-11-14T18:09:19.00" personId="{d5498dd3-4a64-46ce-9a8a-c831885a0249}" id="{d1b234c5-fe46-4775-92ea-f65e84199168}" done="1">
    <x18tc:text xml:space="preserve">11/14 FA informs that the inspection was done (CM)</x18tc:text>
  </x18tc:threadedComment>
  <x18tc:threadedComment ref="V229" dT="2024-11-14T20:31:30.00" personId="{d5498dd3-4a64-46ce-9a8a-c831885a0249}" id="{c811f553-e26a-42f4-86c7-feccb1238233}" done="1">
    <x18tc:text xml:space="preserve">11/14 DA sent 2 estimates sent to for Joshua's review, sent to JP and I&amp;P (CM)</x18tc:text>
  </x18tc:threadedComment>
  <x18tc:threadedComment ref="V229" dT="2024-11-25T17:26:20.00" personId="{d5498dd3-4a64-46ce-9a8a-c831885a0249}" id="{6a3381de-c7da-4b12-b4a1-f7eccb52b227}" parentId="{c811f553-e26a-42f4-86c7-feccb1238233}">
    <x18tc:text xml:space="preserve">11/18 someone sent an offer for 35k on this claim (CM)</x18tc:text>
  </x18tc:threadedComment>
  <x18tc:threadedComment ref="V229" dT="2024-11-25T19:44:30.00" personId="{d5498dd3-4a64-46ce-9a8a-c831885a0249}" id="{4c4606dc-dc0f-46f5-8575-eddaa8fd63f3}" parentId="{c811f553-e26a-42f4-86c7-feccb1238233}">
    <x18tc:text xml:space="preserve">11/25 DA didn't accept the 35k offer, review the info he said  (CM)</x18tc:text>
  </x18tc:threadedComment>
  <x18tc:threadedComment ref="V273" dT="2024-11-14T21:05:42.00" personId="{d5498dd3-4a64-46ce-9a8a-c831885a0249}" id="{599dce74-f43e-4cbf-a78a-79ca340b2471}" done="1">
    <x18tc:text xml:space="preserve">11/14 DA is requesting our estiamte, asked if they have assigned to a FA so we can do the inspection (CM)</x18tc:text>
  </x18tc:threadedComment>
  <x18tc:threadedComment ref="P243" dT="2024-11-14T20:56:43.00" personId="{d5498dd3-4a64-46ce-9a8a-c831885a0249}" id="{9120ff0e-572f-4925-91c0-215d7fb35132}" done="1">
    <x18tc:text xml:space="preserve">Engineer inspection done on 11/05 (CM)</x18tc:text>
  </x18tc:threadedComment>
  <x18tc:threadedComment ref="P257" dT="2024-11-14T21:27:05.00" personId="{d5498dd3-4a64-46ce-9a8a-c831885a0249}" id="{8514627e-fd30-488a-a85c-10375d33199e}" done="1">
    <x18tc:text xml:space="preserve">11/14</x18tc:text>
  </x18tc:threadedComment>
  <x18tc:threadedComment ref="V192" dT="2024-11-15T15:00:04.00" personId="{d5498dd3-4a64-46ce-9a8a-c831885a0249}" id="{a826bbc7-e0a9-4810-8cd0-d4c5b9e0ba87}" done="1">
    <x18tc:text xml:space="preserve">informar que: Day informs that she has the OA info, y ya se mando la info de stepehn</x18tc:text>
  </x18tc:threadedComment>
  <x18tc:threadedComment ref="A212" dT="2024-11-15T15:04:15.00" personId="{d5498dd3-4a64-46ce-9a8a-c831885a0249}" id="{79c8a550-48a6-4a0f-939d-d3841bb8c3a1}" done="1">
    <x18tc:text xml:space="preserve">11/15 Iván will correct the estimate with JP then he will request mediation (CM)</x18tc:text>
  </x18tc:threadedComment>
  <x18tc:threadedComment ref="A1" dT="2024-11-15T16:00:45.00" personId="{d5498dd3-4a64-46ce-9a8a-c831885a0249}" id="{f0875a45-9edc-43f6-85dc-c36b2e5e5a12}" done="0">
    <x18tc:text xml:space="preserve">11/15 spoke with DA, he said the have settlement release back in 10/2022, they issued 3 check, asked him to send that (CM)</x18tc:text>
  </x18tc:threadedComment>
  <x18tc:threadedComment ref="V188" dT="2024-11-15T15:49:33.00" personId="{d5498dd3-4a64-46ce-9a8a-c831885a0249}" id="{5c29bb0d-2793-44ab-88a4-b304d087cc96}" done="1">
    <x18tc:text xml:space="preserve">11/14 left a Vm to the SPV informing that we haven't been able to contact William and we need to move forward with this claim (CM)</x18tc:text>
  </x18tc:threadedComment>
  <x18tc:threadedComment ref="A1" dT="2024-11-15T18:24:48.00" personId="{d5498dd3-4a64-46ce-9a8a-c831885a0249}" id="{6103b862-324e-443a-80e6-fb6f5a4747ca}" done="0">
    <x18tc:text xml:space="preserve">preguntar</x18tc:text>
  </x18tc:threadedComment>
  <x18tc:threadedComment ref="A167" dT="2024-11-15T17:54:57.00" personId="{d5498dd3-4a64-46ce-9a8a-c831885a0249}" id="{8a9a85cc-1141-4ba5-ba79-18fca5efbe39}" done="0">
    <x18tc:text xml:space="preserve">Wilber</x18tc:text>
  </x18tc:threadedComment>
  <x18tc:threadedComment ref="P264" dT="2024-11-15T18:05:53.00" personId="{d5498dd3-4a64-46ce-9a8a-c831885a0249}" id="{82bf4098-56cf-4131-9370-47fc76cfb24e}" done="1">
    <x18tc:text xml:space="preserve">Insp. don on 10/25</x18tc:text>
  </x18tc:threadedComment>
  <x18tc:threadedComment ref="N253" dT="2024-11-17T13:25:14.00" personId="{651ebe9d-f120-479c-8376-36973fff1cc1}" id="{6e4dbde8-07bc-4716-bcba-b0f001305b22}" done="0">
    <x18tc:text xml:space="preserve">11/17 Sent the estimate to Ivan for review.</x18tc:text>
  </x18tc:threadedComment>
  <x18tc:threadedComment ref="N253" dT="2024-11-21T18:26:36.00" personId="{651ebe9d-f120-479c-8376-36973fff1cc1}" id="{ac605e91-ea96-44f9-bcbf-89f18097ad5a}" parentId="{6e4dbde8-07bc-4716-bcba-b0f001305b22}">
    <x18tc:text xml:space="preserve">11/19 Ivan approved the estimate</x18tc:text>
  </x18tc:threadedComment>
  <x18tc:threadedComment ref="N259" dT="2024-11-17T13:54:57.00" personId="{651ebe9d-f120-479c-8376-36973fff1cc1}" id="{89c02937-5bfa-4357-a712-3178b9d8c1b9}" done="0">
    <x18tc:text xml:space="preserve">11/17 Sent the estimate to Ivan for review</x18tc:text>
  </x18tc:threadedComment>
  <x18tc:threadedComment ref="N259" dT="2024-11-25T15:10:17.00" personId="{651ebe9d-f120-479c-8376-36973fff1cc1}" id="{e9babb24-31f6-4b96-93ee-51a3356369d7}" parentId="{89c02937-5bfa-4357-a712-3178b9d8c1b9}">
    <x18tc:text xml:space="preserve">11/24 David approved</x18tc:text>
  </x18tc:threadedComment>
  <x18tc:threadedComment ref="N259" dT="2025-05-28T14:29:03.00" personId="{651ebe9d-f120-479c-8376-36973fff1cc1}" id="{952a0c37-79d9-4a3c-be33-9355a585a1fc}" parentId="{89c02937-5bfa-4357-a712-3178b9d8c1b9}">
    <x18tc:text xml:space="preserve">5/28/25 sent an update to Peter</x18tc:text>
  </x18tc:threadedComment>
  <x18tc:threadedComment ref="N259" dT="2025-05-28T20:57:50.00" personId="{651ebe9d-f120-479c-8376-36973fff1cc1}" id="{02dd9b80-963e-4a86-af2d-4dbcc9572e9f}" parentId="{89c02937-5bfa-4357-a712-3178b9d8c1b9}">
    <x18tc:text xml:space="preserve">5/28 aprobado el update</x18tc:text>
  </x18tc:threadedComment>
  <x18tc:threadedComment ref="N260" dT="2024-11-17T14:14:02.00" personId="{651ebe9d-f120-479c-8376-36973fff1cc1}" id="{1eb49dfe-634b-469f-9855-33c8435544f7}" done="0">
    <x18tc:text xml:space="preserve">11/17 Sent the estimate to Ivan for review</x18tc:text>
  </x18tc:threadedComment>
  <x18tc:threadedComment ref="N260" dT="2025-01-29T14:24:25.00" personId="{651ebe9d-f120-479c-8376-36973fff1cc1}" id="{49ff6dc1-d663-4e6f-8ef9-1ae6da3dce7c}" parentId="{1eb49dfe-634b-469f-9855-33c8435544f7}">
    <x18tc:text xml:space="preserve">1/28/25 david approved</x18tc:text>
  </x18tc:threadedComment>
  <x18tc:threadedComment ref="N266" dT="2024-11-17T14:59:16.00" personId="{651ebe9d-f120-479c-8376-36973fff1cc1}" id="{8e1b3af3-7d51-47ad-a744-bbafae3f7c69}" done="0">
    <x18tc:text xml:space="preserve">11/17 Sent the estimate to Greg for review</x18tc:text>
  </x18tc:threadedComment>
  <x18tc:threadedComment ref="N266" dT="2024-11-23T14:06:16.00" personId="{651ebe9d-f120-479c-8376-36973fff1cc1}" id="{3a913f02-28e1-4cd0-8987-b59af6ed7842}" parentId="{8e1b3af3-7d51-47ad-a744-bbafae3f7c69}">
    <x18tc:text xml:space="preserve">11/22 Peter approved</x18tc:text>
  </x18tc:threadedComment>
  <x18tc:threadedComment ref="A208" dT="2024-11-15T19:40:45.00" personId="{d5498dd3-4a64-46ce-9a8a-c831885a0249}" id="{9089d752-fad1-4725-850d-6e88f2d3843d}" done="1">
    <x18tc:text xml:space="preserve">Wilber</x18tc:text>
  </x18tc:threadedComment>
  <x18tc:threadedComment ref="A223" dT="2024-11-18T13:40:30.00" personId="{d5498dd3-4a64-46ce-9a8a-c831885a0249}" id="{6da253ea-d94c-446c-83da-dc86d58b1539}" done="1">
    <x18tc:text xml:space="preserve">11/18 sent to Stephen (CM)</x18tc:text>
  </x18tc:threadedComment>
  <x18tc:threadedComment ref="V204" dT="2024-11-18T13:49:46.00" personId="{d5498dd3-4a64-46ce-9a8a-c831885a0249}" id="{0ff5e253-9370-4c4e-bcc5-92cca1c33d3a}" done="1">
    <x18tc:text xml:space="preserve">11/18 DA says that he is waiting the confirmation to do the breakdown payment as Peter asked (CM)</x18tc:text>
  </x18tc:threadedComment>
  <x18tc:threadedComment ref="V232" dT="2024-11-18T14:12:54.00" personId="{d5498dd3-4a64-46ce-9a8a-c831885a0249}" id="{bffd91ce-397b-4489-8fbc-0ecae463297f}" done="1">
    <x18tc:text xml:space="preserve">11/18 Claim is under deductible, sent to JP, asked him to send our estimate (CM)</x18tc:text>
  </x18tc:threadedComment>
  <x18tc:threadedComment ref="M235" dT="2024-11-18T14:15:58.00" personId="{651ebe9d-f120-479c-8376-36973fff1cc1}" id="{4d1614df-c234-4ffa-b8fe-1925ca90fa83}" done="0">
    <x18tc:text xml:space="preserve">11/18 Sent the estimate to the carrier</x18tc:text>
  </x18tc:threadedComment>
  <x18tc:threadedComment ref="N269" dT="2024-11-18T16:32:47.00" personId="{651ebe9d-f120-479c-8376-36973fff1cc1}" id="{945d4934-3f59-42ad-ba5d-1ab1c27a34da}" done="0">
    <x18tc:text xml:space="preserve">11/18 Sent the estimate to David F. for review. The estimate has two rooms with the same name. NO picture file.</x18tc:text>
  </x18tc:threadedComment>
  <x18tc:threadedComment ref="N269" dT="2025-05-31T15:39:43.00" personId="{651ebe9d-f120-479c-8376-36973fff1cc1}" id="{45a9c358-3289-4ee7-84a8-84877be94f03}" parentId="{945d4934-3f59-42ad-ba5d-1ab1c27a34da}">
    <x18tc:text xml:space="preserve">5/30 sent an update to Peter</x18tc:text>
  </x18tc:threadedComment>
  <x18tc:threadedComment ref="N269" dT="2025-06-11T14:19:25.00" personId="{651ebe9d-f120-479c-8376-36973fff1cc1}" id="{4953a943-88a9-4082-9d3f-275522b79a48}" parentId="{945d4934-3f59-42ad-ba5d-1ab1c27a34da}">
    <x18tc:text xml:space="preserve">6/6 aprobado por peter</x18tc:text>
  </x18tc:threadedComment>
  <x18tc:threadedComment ref="V264" dT="2024-11-18T16:32:49.00" personId="{d5498dd3-4a64-46ce-9a8a-c831885a0249}" id="{84d189f4-1464-4775-b4bf-9e6e6089dd13}" done="1">
    <x18tc:text xml:space="preserve">11/18 received the IA report, sent to PAs and JP, asked him to send ours (CM)</x18tc:text>
  </x18tc:threadedComment>
  <x18tc:threadedComment ref="M264" dT="2024-11-18T16:42:22.00" personId="{651ebe9d-f120-479c-8376-36973fff1cc1}" id="{019ef35f-539c-40fd-a2df-0c1e5be19bd7}" done="0">
    <x18tc:text xml:space="preserve">11/18 Sent the estimate to DA</x18tc:text>
  </x18tc:threadedComment>
  <x18tc:threadedComment ref="V211" dT="2024-11-18T16:56:39.00" personId="{d5498dd3-4a64-46ce-9a8a-c831885a0249}" id="{24d84bb2-efa2-4d0b-8019-31176777689b}" done="1">
    <x18tc:text xml:space="preserve">11/18 received the IA report, and determination letter, below deductible, asked Jp to send our estimate (CM)</x18tc:text>
  </x18tc:threadedComment>
  <x18tc:threadedComment ref="V158" dT="2024-11-20T00:31:57.00" personId="{d5498dd3-4a64-46ce-9a8a-c831885a0249}" id="{e152e993-32cc-44fb-b9d1-79b6c0286102}" done="1">
    <x18tc:text xml:space="preserve">11/19 Jonathan send the singed release with his driver's license, sent to Sarah (CM)</x18tc:text>
  </x18tc:threadedComment>
  <x18tc:threadedComment ref="V154" dT="2024-11-20T02:32:28.00" personId="{d5498dd3-4a64-46ce-9a8a-c831885a0249}" id="{b50b3d28-3bcb-4b7a-9a2d-d6f94b06837a}" done="1">
    <x18tc:text xml:space="preserve">11/19 Peter has come to an agreement for 25k, he is asking the settlement release (CM)</x18tc:text>
  </x18tc:threadedComment>
  <x18tc:threadedComment ref="N226" dT="2024-11-19T14:22:44.00" personId="{651ebe9d-f120-479c-8376-36973fff1cc1}" id="{27202a02-9e03-468c-b64e-ed8a19d349f8}" done="0">
    <x18tc:text xml:space="preserve">1/19 juan envia el estimado vacio sin info</x18tc:text>
  </x18tc:threadedComment>
  <x18tc:threadedComment ref="N226" dT="2024-11-20T21:33:24.00" personId="{651ebe9d-f120-479c-8376-36973fff1cc1}" id="{6b26064e-e554-48d8-9c63-323f2c70f912}" parentId="{27202a02-9e03-468c-b64e-ed8a19d349f8}">
    <x18tc:text xml:space="preserve">11/20 Sent the estimate to Juan for review</x18tc:text>
  </x18tc:threadedComment>
  <x18tc:threadedComment ref="N226" dT="2024-12-04T13:38:58.00" personId="{651ebe9d-f120-479c-8376-36973fff1cc1}" id="{3d710042-9d14-4211-b92b-4749beca3e82}" parentId="{27202a02-9e03-468c-b64e-ed8a19d349f8}">
    <x18tc:text xml:space="preserve">11/25 Juan approved the estimate</x18tc:text>
  </x18tc:threadedComment>
  <x18tc:threadedComment ref="N226" dT="2025-02-26T23:16:16.00" personId="{651ebe9d-f120-479c-8376-36973fff1cc1}" id="{b8f57d31-749d-4f83-ad5a-d9470f5dd7f6}" parentId="{27202a02-9e03-468c-b64e-ed8a19d349f8}">
    <x18tc:text xml:space="preserve">2/26 peter pidio actualizar el estimado, enviado</x18tc:text>
  </x18tc:threadedComment>
  <x18tc:threadedComment ref="A235" dT="2024-11-19T18:15:13.00" personId="{d5498dd3-4a64-46ce-9a8a-c831885a0249}" id="{8039fa04-c797-43eb-82e6-6b7ce0695e75}" done="1">
    <x18tc:text xml:space="preserve">11/19 Wilber is asking if Iván accpet the flat fee for $1750, sent to PAs (CM)</x18tc:text>
  </x18tc:threadedComment>
  <x18tc:threadedComment ref="A204" dT="2024-11-19T19:12:26.00" personId="{d5498dd3-4a64-46ce-9a8a-c831885a0249}" id="{4a941d24-331f-45ef-a69d-a686ca6fc87d}" done="1">
    <x18tc:text xml:space="preserve">we were paid on this @admin@ipadjustinggroup.com
Assigned to admin@ipadjustinggroup.com</x18tc:text>
    <x18tc:mentions>
      <x18tc:mention mentionpersonId="{1ffc25a2-3f83-4ed1-a701-edf0aba99522}" mentionId="{e3b7d34b-0e2e-48ba-9b6a-f32df355d97a}" startIndex="21" length="27"/>
    </x18tc:mentions>
  </x18tc:threadedComment>
  <x18tc:threadedComment ref="N255" dT="2024-11-22T00:55:32.00" personId="{651ebe9d-f120-479c-8376-36973fff1cc1}" id="{617612e6-ef49-4181-b94e-15e5aa7da24d}" done="0">
    <x18tc:text xml:space="preserve">11/21 Sent to Ivan for review</x18tc:text>
  </x18tc:threadedComment>
  <x18tc:threadedComment ref="N255" dT="2024-12-12T13:39:55.00" personId="{651ebe9d-f120-479c-8376-36973fff1cc1}" id="{e07395f2-aae3-48c0-9bd3-d207a3eb98a5}" parentId="{617612e6-ef49-4181-b94e-15e5aa7da24d}">
    <x18tc:text xml:space="preserve">12/10 Ivan approved</x18tc:text>
  </x18tc:threadedComment>
  <x18tc:threadedComment ref="M256" dT="2024-11-22T01:24:00.00" personId="{651ebe9d-f120-479c-8376-36973fff1cc1}" id="{7a84dfae-f4e5-4b46-b866-36c404a761be}" done="0">
    <x18tc:text xml:space="preserve">11/21 Sent to DA</x18tc:text>
  </x18tc:threadedComment>
  <x18tc:threadedComment ref="M266" dT="2024-11-23T14:15:16.00" personId="{651ebe9d-f120-479c-8376-36973fff1cc1}" id="{902d37f1-b15d-410c-8bad-cb99d9e8bc47}" done="0">
    <x18tc:text xml:space="preserve">11/23 Sent to DA</x18tc:text>
  </x18tc:threadedComment>
  <x18tc:threadedComment ref="N257" dT="2024-11-23T16:09:08.00" personId="{651ebe9d-f120-479c-8376-36973fff1cc1}" id="{12b6cdb2-6b8d-4301-8f83-d08b4b51dc4a}" done="0">
    <x18tc:text xml:space="preserve">11/23 Sent to Ivan for review</x18tc:text>
  </x18tc:threadedComment>
  <x18tc:threadedComment ref="N257" dT="2024-12-11T17:25:03.00" personId="{651ebe9d-f120-479c-8376-36973fff1cc1}" id="{6672183f-c8f2-4df5-8e22-308a41a9e29d}" parentId="{12b6cdb2-6b8d-4301-8f83-d08b4b51dc4a}">
    <x18tc:text xml:space="preserve">12/10 Ivan approved the estimate</x18tc:text>
  </x18tc:threadedComment>
  <x18tc:threadedComment ref="M245" dT="2024-11-23T18:50:40.00" personId="{651ebe9d-f120-479c-8376-36973fff1cc1}" id="{4f800b06-ef8e-41e5-9f94-cab62e70744e}" done="0">
    <x18tc:text xml:space="preserve">11/23 sent to carrier</x18tc:text>
  </x18tc:threadedComment>
  <x18tc:threadedComment ref="P254" dT="2024-11-21T16:25:42.00" personId="{d5498dd3-4a64-46ce-9a8a-c831885a0249}" id="{cca1f52e-98da-4efa-b37a-883a2370cbc8}" done="1">
    <x18tc:text xml:space="preserve">11/20 insp</x18tc:text>
  </x18tc:threadedComment>
  <x18tc:threadedComment ref="V256" dT="2024-11-21T16:38:19.00" personId="{d5498dd3-4a64-46ce-9a8a-c831885a0249}" id="{f6cfc3db-f598-4aa8-b72b-67b0eadfd2f4}" done="1">
    <x18tc:text xml:space="preserve">11/20 received the determination letter, they are issuing a payment for 5k, sent to Pas and JP (SG)</x18tc:text>
  </x18tc:threadedComment>
  <x18tc:threadedComment ref="M253" dT="2024-11-21T18:31:29.00" personId="{651ebe9d-f120-479c-8376-36973fff1cc1}" id="{00d0469f-6195-4de8-b7fd-9c4442d5c2fa}" done="0">
    <x18tc:text xml:space="preserve">11/21 sent to DA</x18tc:text>
  </x18tc:threadedComment>
  <x18tc:threadedComment ref="V255" dT="2024-11-21T16:38:30.00" personId="{d5498dd3-4a64-46ce-9a8a-c831885a0249}" id="{60618df6-1130-4934-a946-bbcd91bea743}" done="1">
    <x18tc:text xml:space="preserve">11/21 received the IA report and determination letter, they are issuing a payment for 20k, asked JP to review the IA and send our estimate (CM)</x18tc:text>
  </x18tc:threadedComment>
  <x18tc:threadedComment ref="V253" dT="2024-11-21T16:38:59.00" personId="{d5498dd3-4a64-46ce-9a8a-c831885a0249}" id="{bc6f87e5-01e6-4d32-84fa-ce091ae74d30}" done="1">
    <x18tc:text xml:space="preserve">11/20 received the determination letter and IA report, this claim is underdeductible asked JP to send our estimate after reviewing it, PA's cc'd (CM)</x18tc:text>
  </x18tc:threadedComment>
  <x18tc:threadedComment ref="V270" dT="2024-11-21T16:50:01.00" personId="{d5498dd3-4a64-46ce-9a8a-c831885a0249}" id="{2986046e-bf75-4873-bbf4-96947e274b80}" done="1">
    <x18tc:text xml:space="preserve">11/21 recieved the determination letter, is below deductible, sent to PAs and JP, asked him to send our estimate after reviewing the IA (CM)</x18tc:text>
  </x18tc:threadedComment>
  <x18tc:threadedComment ref="V258" dT="2024-11-21T17:14:05.00" personId="{d5498dd3-4a64-46ce-9a8a-c831885a0249}" id="{9a3de050-b7f1-455a-ad0e-7ef061a6a751}" done="1">
    <x18tc:text xml:space="preserve">11/21 received the IA report, and determination letter, they are issuing a payment for 34k, asked JP to review it and send our estimate (CM)</x18tc:text>
  </x18tc:threadedComment>
  <x18tc:threadedComment ref="A1" dT="2024-11-21T17:14:16.00" personId="{d5498dd3-4a64-46ce-9a8a-c831885a0249}" id="{2fa642f3-185d-4e7f-b0db-7345857f3e4a}" done="1">
    <x18tc:text xml:space="preserve">11/21</x18tc:text>
  </x18tc:threadedComment>
  <x18tc:threadedComment ref="V200" dT="2024-11-21T17:36:10.00" personId="{d5498dd3-4a64-46ce-9a8a-c831885a0249}" id="{52e8b230-3d1a-4595-a865-b3e4c0981a17}" done="1">
    <x18tc:text xml:space="preserve">11/21 received the DA info, she asked our offer, Peter asked me to ask 50k (CM)</x18tc:text>
  </x18tc:threadedComment>
  <x18tc:threadedComment ref="V200" dT="2024-12-04T16:12:44.00" personId="{d5498dd3-4a64-46ce-9a8a-c831885a0249}" id="{618d9997-ba24-4b5b-b26e-8b7925cca7ee}" parentId="{52e8b230-3d1a-4595-a865-b3e4c0981a17}">
    <x18tc:text xml:space="preserve">12/04 Received an offer for 25k from the DA, asked I&amp;P to respond (AL)</x18tc:text>
  </x18tc:threadedComment>
  <x18tc:threadedComment ref="V200" dT="2024-12-10T03:15:35.00" personId="{d5498dd3-4a64-46ce-9a8a-c831885a0249}" id="{a3188391-5335-4ff0-a779-f02d8d063702}" parentId="{52e8b230-3d1a-4595-a865-b3e4c0981a17}">
    <x18tc:text xml:space="preserve">12/10 Peter is asking 43.5k (CM)</x18tc:text>
  </x18tc:threadedComment>
  <x18tc:threadedComment ref="V200" dT="2024-12-11T03:38:25.00" personId="{d5498dd3-4a64-46ce-9a8a-c831885a0249}" id="{40022d89-f2aa-4ddd-be8f-2403690e6a80}" parentId="{52e8b230-3d1a-4595-a865-b3e4c0981a17}">
    <x18tc:text xml:space="preserve">12/11 Peter is asking 40k, DA is offering 35.5k (CM)</x18tc:text>
  </x18tc:threadedComment>
  <x18tc:threadedComment ref="N275" dT="2024-11-21T18:15:42.00" personId="{651ebe9d-f120-479c-8376-36973fff1cc1}" id="{14bb4eb7-cc08-4520-89b7-edf754d638f5}" done="0">
    <x18tc:text xml:space="preserve">11/21 Sent the estimate to Angie for review</x18tc:text>
  </x18tc:threadedComment>
  <x18tc:threadedComment ref="N275" dT="2025-01-15T13:25:49.00" personId="{651ebe9d-f120-479c-8376-36973fff1cc1}" id="{fe854436-0a32-445c-a2ae-45f21295677d}" parentId="{14bb4eb7-cc08-4520-89b7-edf754d638f5}">
    <x18tc:text xml:space="preserve">1/13 angie approved</x18tc:text>
  </x18tc:threadedComment>
  <x18tc:threadedComment ref="N256" dT="2024-11-21T19:51:25.00" personId="{651ebe9d-f120-479c-8376-36973fff1cc1}" id="{fba9912a-56b5-4614-b039-c4b674d781d2}" done="0">
    <x18tc:text xml:space="preserve">11/21 Sent estimate to Ivan</x18tc:text>
  </x18tc:threadedComment>
  <x18tc:threadedComment ref="N256" dT="2024-11-22T01:20:17.00" personId="{651ebe9d-f120-479c-8376-36973fff1cc1}" id="{e148415a-a45d-4bdd-8e7a-243a2983f978}" parentId="{fba9912a-56b5-4614-b039-c4b674d781d2}">
    <x18tc:text xml:space="preserve">11/21 aprobado por Ivan</x18tc:text>
  </x18tc:threadedComment>
  <x18tc:threadedComment ref="M265" dT="2024-11-21T20:00:02.00" personId="{651ebe9d-f120-479c-8376-36973fff1cc1}" id="{02b9c69e-6925-45b5-ac50-7f6b3432ec03}" done="0">
    <x18tc:text xml:space="preserve">11/21 Sent estimate to DA</x18tc:text>
  </x18tc:threadedComment>
  <x18tc:threadedComment ref="M258" dT="2024-11-21T20:54:54.00" personId="{651ebe9d-f120-479c-8376-36973fff1cc1}" id="{5ce96ae2-48fa-4a89-9aa5-5fecc6150afa}" done="0">
    <x18tc:text xml:space="preserve">11/21 Sent the estimate and picture file to DA</x18tc:text>
  </x18tc:threadedComment>
  <x18tc:threadedComment ref="V252" dT="2024-11-21T21:01:09.00" personId="{d5498dd3-4a64-46ce-9a8a-c831885a0249}" id="{a9fa9b7f-39c4-490a-af47-f2420a8fbe7b}" done="1">
    <x18tc:text xml:space="preserve">11/21 received the IA report and determination letter, they are issuing a payment for 6.8k, asked JP to review the IA and send our estimate (CM)</x18tc:text>
  </x18tc:threadedComment>
  <x18tc:threadedComment ref="N274" dT="2024-11-21T14:58:05.00" personId="{651ebe9d-f120-479c-8376-36973fff1cc1}" id="{bd579ceb-22f3-497d-8eb9-5370b176c908}" done="0">
    <x18tc:text xml:space="preserve">11/21 Sent the estimate to Angie for review</x18tc:text>
  </x18tc:threadedComment>
  <x18tc:threadedComment ref="N274" dT="2024-12-04T15:31:17.00" personId="{651ebe9d-f120-479c-8376-36973fff1cc1}" id="{6ab318f9-df6f-45d4-8f02-3e8301575934}" parentId="{bd579ceb-22f3-497d-8eb9-5370b176c908}">
    <x18tc:text xml:space="preserve">12/04 Asked Angie to review the estimate</x18tc:text>
  </x18tc:threadedComment>
  <x18tc:threadedComment ref="V215" dT="2024-11-21T16:06:45.00" personId="{d5498dd3-4a64-46ce-9a8a-c831885a0249}" id="{d07ef4d2-a499-4380-9303-c9bd92a4c119}" done="1">
    <x18tc:text xml:space="preserve">11/21 recieved the determination letter, they are paying 13k, sent to PAs and asked JP to review the IA and send our estimate (CM)</x18tc:text>
  </x18tc:threadedComment>
  <x18tc:threadedComment ref="V214" dT="2024-11-26T01:23:09.00" personId="{d5498dd3-4a64-46ce-9a8a-c831885a0249}" id="{3173dbcc-db69-4320-b8bc-64232bbd7406}" done="1">
    <x18tc:text xml:space="preserve">11/26 recieved the IA report and determination letter, underdeductible, sent to PAs and JP, asked him to send our estimate (CM)</x18tc:text>
  </x18tc:threadedComment>
  <x18tc:threadedComment ref="V214" dT="2024-11-27T01:43:33.00" personId="{d5498dd3-4a64-46ce-9a8a-c831885a0249}" id="{b366b017-9ec6-4b13-9bc7-7e1e2431c5d4}" parentId="{3173dbcc-db69-4320-b8bc-64232bbd7406}">
    <x18tc:text xml:space="preserve">11/26 Peter asked me to request mediation, informed that we don't have our estimate, waiting his reconfirmation to submit this mediation (CM)</x18tc:text>
  </x18tc:threadedComment>
  <x18tc:threadedComment ref="P279" dT="2024-11-22T15:55:17.00" personId="{d5498dd3-4a64-46ce-9a8a-c831885a0249}" id="{5c7d61e9-85f7-4c47-a0c4-ed233ca47002}" done="1">
    <x18tc:text xml:space="preserve">insp. on 11/26</x18tc:text>
  </x18tc:threadedComment>
  <x18tc:threadedComment ref="P278" dT="2024-11-22T15:55:43.00" personId="{d5498dd3-4a64-46ce-9a8a-c831885a0249}" id="{216fcfb8-4ab4-42a6-90bb-2407553e073d}" done="1">
    <x18tc:text xml:space="preserve">insp. on 12/02</x18tc:text>
  </x18tc:threadedComment>
  <x18tc:threadedComment ref="P276" dT="2024-11-22T15:59:53.00" personId="{d5498dd3-4a64-46ce-9a8a-c831885a0249}" id="{126f51b8-569b-4283-8f98-430ef9f4f5c8}" done="1">
    <x18tc:text xml:space="preserve">insp. on 11/21</x18tc:text>
  </x18tc:threadedComment>
  <x18tc:threadedComment ref="M252" dT="2024-11-22T15:12:47.00" personId="{651ebe9d-f120-479c-8376-36973fff1cc1}" id="{814abd92-6000-4771-9e05-9938150e6d8e}" done="0">
    <x18tc:text xml:space="preserve">11/22 sent to carrier</x18tc:text>
  </x18tc:threadedComment>
  <x18tc:threadedComment ref="P273" dT="2024-11-22T16:01:23.00" personId="{d5498dd3-4a64-46ce-9a8a-c831885a0249}" id="{27ac8022-bbb5-44c6-a1af-cf5f245b302d}" done="1">
    <x18tc:text xml:space="preserve">insp. on 11/20</x18tc:text>
  </x18tc:threadedComment>
  <x18tc:threadedComment ref="P271" dT="2024-11-22T16:01:44.00" personId="{d5498dd3-4a64-46ce-9a8a-c831885a0249}" id="{40ea254d-b5d3-458d-b9c5-4dea29a12263}" done="0">
    <x18tc:text xml:space="preserve">insp. on 11/21</x18tc:text>
  </x18tc:threadedComment>
  <x18tc:threadedComment ref="P244" dT="2024-11-22T16:07:05.00" personId="{d5498dd3-4a64-46ce-9a8a-c831885a0249}" id="{b7d050bb-1de1-4fd7-8f71-6fe27e1ccfd6}" done="1">
    <x18tc:text xml:space="preserve">11/05 insp</x18tc:text>
  </x18tc:threadedComment>
  <x18tc:threadedComment ref="P230" dT="2024-11-22T16:10:04.00" personId="{d5498dd3-4a64-46ce-9a8a-c831885a0249}" id="{c26ee43c-5f4f-4f78-96f9-f779e8674f63}" done="1">
    <x18tc:text xml:space="preserve">insp. 11/20</x18tc:text>
  </x18tc:threadedComment>
  <x18tc:threadedComment ref="V235" dT="2024-11-22T16:28:38.00" personId="{d5498dd3-4a64-46ce-9a8a-c831885a0249}" id="{9b5a1a78-8000-4d92-aad3-f65e60a834b3}" done="1">
    <x18tc:text xml:space="preserve">11/19 Wilber is asking if Iván accpet the flat fee for $1750, sent to PAs (CM)</x18tc:text>
  </x18tc:threadedComment>
  <x18tc:threadedComment ref="P257" dT="2024-11-22T16:33:53.00" personId="{d5498dd3-4a64-46ce-9a8a-c831885a0249}" id="{96c97c58-6c9b-44d6-bb91-91928f4a2df6}" done="1">
    <x18tc:text xml:space="preserve">11/22</x18tc:text>
  </x18tc:threadedComment>
  <x18tc:threadedComment ref="A1" dT="2024-11-22T16:34:00.00" personId="{d5498dd3-4a64-46ce-9a8a-c831885a0249}" id="{62ba9102-8573-40b7-a2ed-3c7b95bdc771}" done="1">
    <x18tc:text xml:space="preserve">11/22</x18tc:text>
  </x18tc:threadedComment>
  <x18tc:threadedComment ref="V245" dT="2024-11-22T17:52:19.00" personId="{d5498dd3-4a64-46ce-9a8a-c831885a0249}" id="{ca40a1cf-e7b2-4ebc-a853-ba2df1c6b550}" done="1">
    <x18tc:text xml:space="preserve">11/22 sent the IA to JP, asked Joshua to approve JP's estimate (CM)</x18tc:text>
  </x18tc:threadedComment>
  <x18tc:threadedComment ref="V245" dT="2024-11-22T17:58:27.00" personId="{d5498dd3-4a64-46ce-9a8a-c831885a0249}" id="{e9e8e2a1-e4d0-45d3-a610-af731bdd0224}" done="1">
    <x18tc:text xml:space="preserve">11/22 sent the IA to JP, asked Joshua to approve JP's estimate eventhough the DA has informed they have pay the limits, they won't pay more, they don't need our estimate (CM)</x18tc:text>
  </x18tc:threadedComment>
  <x18tc:threadedComment ref="V275" dT="2024-11-22T18:50:27.00" personId="{d5498dd3-4a64-46ce-9a8a-c831885a0249}" id="{1ca0f777-c662-4a49-b45e-38764ff579c9}" done="1">
    <x18tc:text xml:space="preserve">11/19 spoke with DA he told me that they have done an inspection and they wanted to pay to the client, but they have the incorrect mortgage company, they were requesting to correct it, asked Angelica to contact the client (CM)</x18tc:text>
  </x18tc:threadedComment>
  <x18tc:threadedComment ref="V257" dT="2024-11-22T19:44:16.00" personId="{d5498dd3-4a64-46ce-9a8a-c831885a0249}" id="{f5205ad4-7dcd-49c1-9c98-157510cf4485}" done="1">
    <x18tc:text xml:space="preserve">11/22 they are asking for our estimate, received the IA sent to PAS underdeductible(CM)</x18tc:text>
  </x18tc:threadedComment>
  <x18tc:threadedComment ref="A1" dT="2024-11-25T02:55:38.00" personId="{d5498dd3-4a64-46ce-9a8a-c831885a0249}" id="{924a0355-56d2-48a4-87ec-e6b2de4e9ef0}" done="1">
    <x18tc:text xml:space="preserve">11/25</x18tc:text>
  </x18tc:threadedComment>
  <x18tc:threadedComment ref="V237" dT="2024-11-25T03:02:08.00" personId="{d5498dd3-4a64-46ce-9a8a-c831885a0249}" id="{4a5668e0-9758-4901-968b-f303c51ae43d}" done="1">
    <x18tc:text xml:space="preserve">11/25 sent to PAs the partial denial letter, they are issuing a payment for 29k, asked JP to review the IA and send our estimate (CM)</x18tc:text>
  </x18tc:threadedComment>
  <x18tc:threadedComment ref="P140" dT="2024-09-10T14:23:19.00" personId="{d5498dd3-4a64-46ce-9a8a-c831885a0249}" id="{4d3336b1-0769-46e6-9dbb-fa12b88db6be}" done="1">
    <x18tc:text xml:space="preserve">09/10</x18tc:text>
  </x18tc:threadedComment>
  <x18tc:threadedComment ref="A1" dT="2024-09-10T23:05:07.00" personId="{d5498dd3-4a64-46ce-9a8a-c831885a0249}" id="{3c264b12-4dd1-4ba7-85f9-f41fe3850081}" done="1">
    <x18tc:text xml:space="preserve">09/11</x18tc:text>
  </x18tc:threadedComment>
  <x18tc:threadedComment ref="A1" dT="2024-09-10T23:05:17.00" personId="{d5498dd3-4a64-46ce-9a8a-c831885a0249}" id="{f142c2c3-b132-4577-8dc9-3873c04505c4}" done="1">
    <x18tc:text xml:space="preserve">09/25</x18tc:text>
  </x18tc:threadedComment>
  <x18tc:threadedComment ref="A1" dT="2024-09-10T23:14:05.00" personId="{d5498dd3-4a64-46ce-9a8a-c831885a0249}" id="{97529423-591c-4b3d-83d2-a898436a76bd}" done="1">
    <x18tc:text xml:space="preserve">09/11</x18tc:text>
  </x18tc:threadedComment>
  <x18tc:threadedComment ref="P205" dT="2024-09-10T23:14:14.00" personId="{d5498dd3-4a64-46ce-9a8a-c831885a0249}" id="{da0980a9-06b4-4e66-b0b9-6b40bf6a999f}" done="1">
    <x18tc:text xml:space="preserve">09/11</x18tc:text>
  </x18tc:threadedComment>
  <x18tc:threadedComment ref="P206" dT="2024-09-10T23:17:07.00" personId="{d5498dd3-4a64-46ce-9a8a-c831885a0249}" id="{da6d1738-54ef-47ae-8873-7a35debcc0ae}" done="1">
    <x18tc:text xml:space="preserve">insp 09/17</x18tc:text>
  </x18tc:threadedComment>
  <x18tc:threadedComment ref="A1" dT="2024-09-10T23:23:47.00" personId="{d5498dd3-4a64-46ce-9a8a-c831885a0249}" id="{ba7e88fc-b3a5-4309-acd9-a9687661df79}" done="1">
    <x18tc:text xml:space="preserve">09/11</x18tc:text>
  </x18tc:threadedComment>
  <x18tc:threadedComment ref="P195" dT="2024-09-10T23:23:57.00" personId="{d5498dd3-4a64-46ce-9a8a-c831885a0249}" id="{675cbb53-4fc8-437e-8c61-20f78e5bfe7d}" done="1">
    <x18tc:text xml:space="preserve">09/27</x18tc:text>
  </x18tc:threadedComment>
  <x18tc:threadedComment ref="P189" dT="2024-09-10T16:51:40.00" personId="{d5498dd3-4a64-46ce-9a8a-c831885a0249}" id="{f4a739b6-0475-4ef7-a69c-b04af9967f8f}" done="1">
    <x18tc:text xml:space="preserve">09/10</x18tc:text>
  </x18tc:threadedComment>
  <x18tc:threadedComment ref="P192" dT="2024-09-10T16:54:56.00" personId="{d5498dd3-4a64-46ce-9a8a-c831885a0249}" id="{52658359-d0e9-4519-82b9-5e77f7f0b7b6}" done="1">
    <x18tc:text xml:space="preserve">reinsp 09/12</x18tc:text>
  </x18tc:threadedComment>
  <x18tc:threadedComment ref="P194" dT="2024-09-10T16:58:09.00" personId="{d5498dd3-4a64-46ce-9a8a-c831885a0249}" id="{aa7a50d8-2cdf-4424-987f-346dd62bb4c9}" done="1">
    <x18tc:text xml:space="preserve">09/03</x18tc:text>
  </x18tc:threadedComment>
  <x18tc:threadedComment ref="P196" dT="2024-09-10T17:05:04.00" personId="{d5498dd3-4a64-46ce-9a8a-c831885a0249}" id="{9c6f6384-02bb-4ede-8373-0c187f50189b}" done="1">
    <x18tc:text xml:space="preserve">09/10</x18tc:text>
  </x18tc:threadedComment>
  <x18tc:threadedComment ref="P197" dT="2024-09-10T17:07:17.00" personId="{d5498dd3-4a64-46ce-9a8a-c831885a0249}" id="{3a599431-e304-4c86-8488-e62b143bf43e}" done="1">
    <x18tc:text xml:space="preserve">insp 09/13</x18tc:text>
  </x18tc:threadedComment>
  <x18tc:threadedComment ref="P194" dT="2024-09-13T14:46:36.00" personId="{d5498dd3-4a64-46ce-9a8a-c831885a0249}" id="{a9426ce3-58af-492d-a741-df3ebfa77984}" done="1">
    <x18tc:text xml:space="preserve">09/13</x18tc:text>
  </x18tc:threadedComment>
  <x18tc:threadedComment ref="V202" dT="2024-09-12T21:12:12.00" personId="{d5498dd3-4a64-46ce-9a8a-c831885a0249}" id="{d33d36e6-3de3-4c9e-a533-d870601bfd2c}" done="1">
    <x18tc:text xml:space="preserve">09/12 DA says they disagree with the appraisal and asked us to confirm if she could send the settlement release with the 1.8k offer, sent to I&amp;P (CM)</x18tc:text>
  </x18tc:threadedComment>
  <x18tc:threadedComment ref="V202" dT="2024-09-20T19:50:46.00" personId="{d5498dd3-4a64-46ce-9a8a-c831885a0249}" id="{48747061-7124-4ec7-8a9f-78fd7f8200ac}" parentId="{d33d36e6-3de3-4c9e-a533-d870601bfd2c}">
    <x18tc:text xml:space="preserve">09/20 Iván says that there is no need to do the appraisal, asked him if he got an agreement (CM)</x18tc:text>
  </x18tc:threadedComment>
  <x18tc:threadedComment ref="P110" dT="2024-09-12T21:51:19.00" personId="{d5498dd3-4a64-46ce-9a8a-c831885a0249}" id="{30451e38-c51b-4a27-a7c9-ef9bbdec2fbf}" done="1">
    <x18tc:text xml:space="preserve">09/12</x18tc:text>
  </x18tc:threadedComment>
  <x18tc:threadedComment ref="A1" dT="2024-09-12T21:53:14.00" personId="{d5498dd3-4a64-46ce-9a8a-c831885a0249}" id="{3ac12e66-6361-42e6-bff8-f9f0dd5ce074}" done="1">
    <x18tc:text xml:space="preserve">10/16</x18tc:text>
  </x18tc:threadedComment>
  <x18tc:threadedComment ref="P90" dT="2024-09-12T22:00:28.00" personId="{d5498dd3-4a64-46ce-9a8a-c831885a0249}" id="{057bbd92-395d-47a5-b3d3-26c122d0e612}" done="1">
    <x18tc:text xml:space="preserve">09/23</x18tc:text>
  </x18tc:threadedComment>
  <x18tc:threadedComment ref="V196" dT="2024-09-15T16:16:19.00" personId="{d5498dd3-4a64-46ce-9a8a-c831885a0249}" id="{c9824e80-b802-42b1-8ceb-b7d56de6b0ee}" done="1">
    <x18tc:text xml:space="preserve">09/16 received an email requesting to do the EUO on 10/17 at 10am, sent to Day (CM)</x18tc:text>
  </x18tc:threadedComment>
  <x18tc:threadedComment ref="A1" dT="2024-09-15T16:46:21.00" personId="{d5498dd3-4a64-46ce-9a8a-c831885a0249}" id="{1b9ebc76-11aa-47e4-a9c0-e09bae20a78e}" done="1">
    <x18tc:text xml:space="preserve">09/10</x18tc:text>
  </x18tc:threadedComment>
  <x18tc:threadedComment ref="A1" dT="2024-09-15T16:42:21.00" personId="{d5498dd3-4a64-46ce-9a8a-c831885a0249}" id="{d46016a7-5cdb-4aed-9b7b-1505f9508243}" done="1">
    <x18tc:text xml:space="preserve">09/16</x18tc:text>
  </x18tc:threadedComment>
  <x18tc:threadedComment ref="S100" dT="2024-09-15T16:42:31.00" personId="{d5498dd3-4a64-46ce-9a8a-c831885a0249}" id="{605b62db-d310-465e-ab47-00ed5508c2e7}" done="1">
    <x18tc:text xml:space="preserve">09/16</x18tc:text>
  </x18tc:threadedComment>
  <x18tc:threadedComment ref="A1" dT="2024-09-15T16:44:05.00" personId="{d5498dd3-4a64-46ce-9a8a-c831885a0249}" id="{b0e14ff0-8739-44fe-befb-ddd28157d348}" done="0">
    <x18tc:text xml:space="preserve">09/16</x18tc:text>
  </x18tc:threadedComment>
  <x18tc:threadedComment ref="A1" dT="2024-09-15T16:44:19.00" personId="{d5498dd3-4a64-46ce-9a8a-c831885a0249}" id="{0aa15cb3-5cbc-41b7-9671-c3bae0dcf251}" done="0">
    <x18tc:text xml:space="preserve">09/16</x18tc:text>
  </x18tc:threadedComment>
  <x18tc:threadedComment ref="A1" dT="2024-09-15T16:44:48.00" personId="{d5498dd3-4a64-46ce-9a8a-c831885a0249}" id="{01241b19-de6c-487c-926c-ede892197b93}" done="1">
    <x18tc:text xml:space="preserve">09/16</x18tc:text>
  </x18tc:threadedComment>
  <x18tc:threadedComment ref="A1" dT="2024-09-15T17:39:31.00" personId="{d5498dd3-4a64-46ce-9a8a-c831885a0249}" id="{ab051ef8-968f-463f-909a-2c83658a6969}" done="1">
    <x18tc:text xml:space="preserve">09/16</x18tc:text>
  </x18tc:threadedComment>
  <x18tc:threadedComment ref="A1" dT="2024-09-15T17:40:56.00" personId="{d5498dd3-4a64-46ce-9a8a-c831885a0249}" id="{b895aaca-799a-40ec-9958-a95a8155c6ec}" done="0">
    <x18tc:text xml:space="preserve">09/16</x18tc:text>
  </x18tc:threadedComment>
  <x18tc:threadedComment ref="A1" dT="2024-09-15T16:47:19.00" personId="{d5498dd3-4a64-46ce-9a8a-c831885a0249}" id="{b76f2723-dc5f-46f1-83a7-276809797096}" done="1">
    <x18tc:text xml:space="preserve">10/21</x18tc:text>
  </x18tc:threadedComment>
  <x18tc:threadedComment ref="A1" dT="2024-09-15T16:47:32.00" personId="{d5498dd3-4a64-46ce-9a8a-c831885a0249}" id="{62adb8b0-b854-4930-b481-3d053c2ea651}" done="1">
    <x18tc:text xml:space="preserve">10/21</x18tc:text>
  </x18tc:threadedComment>
  <x18tc:threadedComment ref="A1" dT="2024-09-15T17:28:00.00" personId="{d5498dd3-4a64-46ce-9a8a-c831885a0249}" id="{7ee807d0-bb01-4083-8e44-4706b73e467a}" done="0">
    <x18tc:text xml:space="preserve">09/15</x18tc:text>
  </x18tc:threadedComment>
  <x18tc:threadedComment ref="A1" dT="2024-09-15T17:29:29.00" personId="{d5498dd3-4a64-46ce-9a8a-c831885a0249}" id="{d28236e2-6bb5-461a-974a-023b17f03605}" done="1">
    <x18tc:text xml:space="preserve">09/16</x18tc:text>
  </x18tc:threadedComment>
  <x18tc:threadedComment ref="A1" dT="2024-09-15T17:30:00.00" personId="{d5498dd3-4a64-46ce-9a8a-c831885a0249}" id="{178082f6-e907-4088-af06-d6aa3174ac99}" done="1">
    <x18tc:text xml:space="preserve">09/16</x18tc:text>
  </x18tc:threadedComment>
  <x18tc:threadedComment ref="A1" dT="2024-09-15T17:32:58.00" personId="{d5498dd3-4a64-46ce-9a8a-c831885a0249}" id="{f8b1542e-0c00-46a8-b8fc-c34336ff98d7}" done="1">
    <x18tc:text xml:space="preserve">09/16</x18tc:text>
  </x18tc:threadedComment>
  <x18tc:threadedComment ref="A1" dT="2024-09-15T17:37:15.00" personId="{d5498dd3-4a64-46ce-9a8a-c831885a0249}" id="{b661dd17-ea21-47db-9e03-6e65f661dbd6}" done="0">
    <x18tc:text xml:space="preserve">12/30</x18tc:text>
  </x18tc:threadedComment>
  <x18tc:threadedComment ref="A1" dT="2024-09-15T17:41:02.00" personId="{d5498dd3-4a64-46ce-9a8a-c831885a0249}" id="{090fea7f-da66-4cb8-a659-eeb81802ad65}" done="1">
    <x18tc:text xml:space="preserve">09/16</x18tc:text>
  </x18tc:threadedComment>
  <x18tc:threadedComment ref="A1" dT="2024-09-15T18:28:55.00" personId="{d5498dd3-4a64-46ce-9a8a-c831885a0249}" id="{7e276de0-14b7-4a96-953a-3c6ad23c97dc}" done="1">
    <x18tc:text xml:space="preserve">09/16</x18tc:text>
  </x18tc:threadedComment>
  <x18tc:threadedComment ref="A1" dT="2024-09-15T18:29:03.00" personId="{d5498dd3-4a64-46ce-9a8a-c831885a0249}" id="{e38e7ee5-ece6-430c-9742-166f3211c85b}" done="1">
    <x18tc:text xml:space="preserve">09/16</x18tc:text>
  </x18tc:threadedComment>
  <x18tc:threadedComment ref="A1" dT="2024-09-17T16:52:11.00" personId="{651ebe9d-f120-479c-8376-36973fff1cc1}" id="{197d33b5-e95f-4209-a693-f41eb849d78e}" done="0">
    <x18tc:text xml:space="preserve">9/17 sent to client</x18tc:text>
  </x18tc:threadedComment>
  <x18tc:threadedComment ref="A1" dT="2024-09-17T16:24:17.00" personId="{651ebe9d-f120-479c-8376-36973fff1cc1}" id="{f72f712e-1c6f-4b29-8ec2-66b48e80bbac}" done="1">
    <x18tc:text xml:space="preserve">9/17 sent to carrier</x18tc:text>
  </x18tc:threadedComment>
  <x18tc:threadedComment ref="A1" dT="2024-09-17T18:42:54.00" personId="{d5498dd3-4a64-46ce-9a8a-c831885a0249}" id="{343b29bf-8647-4697-8895-51a71f331c6f}" done="1">
    <x18tc:text xml:space="preserve">09/17</x18tc:text>
  </x18tc:threadedComment>
  <x18tc:threadedComment ref="A1" dT="2024-09-17T19:12:48.00" personId="{d5498dd3-4a64-46ce-9a8a-c831885a0249}" id="{9efa1eec-5afa-474f-ae63-b3b097797f48}" done="1">
    <x18tc:text xml:space="preserve">09/17</x18tc:text>
  </x18tc:threadedComment>
  <x18tc:threadedComment ref="A1" dT="2024-09-17T18:43:17.00" personId="{d5498dd3-4a64-46ce-9a8a-c831885a0249}" id="{e4e3459e-fa2c-487f-8574-72222dd730e7}" done="1">
    <x18tc:text xml:space="preserve">09/17</x18tc:text>
  </x18tc:threadedComment>
  <x18tc:threadedComment ref="A1" dT="2024-09-17T18:44:54.00" personId="{d5498dd3-4a64-46ce-9a8a-c831885a0249}" id="{d66b5d42-99fa-468f-9f69-7ef791f48eb5}" done="1">
    <x18tc:text xml:space="preserve">09/17</x18tc:text>
  </x18tc:threadedComment>
  <x18tc:threadedComment ref="A1" dT="2024-09-17T18:52:29.00" personId="{d5498dd3-4a64-46ce-9a8a-c831885a0249}" id="{ae6ca2ce-339e-4348-8584-7954607f66cf}" done="1">
    <x18tc:text xml:space="preserve">09/17</x18tc:text>
  </x18tc:threadedComment>
  <x18tc:threadedComment ref="A1" dT="2024-09-17T18:52:35.00" personId="{d5498dd3-4a64-46ce-9a8a-c831885a0249}" id="{0d0a3a29-d91d-44ab-9262-2bc7a6eba04d}" done="1">
    <x18tc:text xml:space="preserve">09/17</x18tc:text>
  </x18tc:threadedComment>
  <x18tc:threadedComment ref="A1" dT="2024-09-17T18:56:04.00" personId="{d5498dd3-4a64-46ce-9a8a-c831885a0249}" id="{892e685d-5c70-4cda-a4aa-24d477c42572}" done="1">
    <x18tc:text xml:space="preserve">11/04</x18tc:text>
  </x18tc:threadedComment>
  <x18tc:threadedComment ref="A1" dT="2024-09-17T19:04:53.00" personId="{d5498dd3-4a64-46ce-9a8a-c831885a0249}" id="{e07bb751-bfdb-4035-ac0c-44707d13bb04}" done="1">
    <x18tc:text xml:space="preserve">09/17</x18tc:text>
  </x18tc:threadedComment>
  <x18tc:threadedComment ref="A1" dT="2024-09-17T19:10:05.00" personId="{d5498dd3-4a64-46ce-9a8a-c831885a0249}" id="{d3e6e142-9557-438f-bf90-bf082628124e}" done="1">
    <x18tc:text xml:space="preserve">09/17</x18tc:text>
  </x18tc:threadedComment>
  <x18tc:threadedComment ref="A1" dT="2024-09-17T19:39:56.00" personId="{d5498dd3-4a64-46ce-9a8a-c831885a0249}" id="{35efbed6-2013-49bf-b31a-04ca0e815e35}" done="1">
    <x18tc:text xml:space="preserve">09/17</x18tc:text>
  </x18tc:threadedComment>
  <x18tc:threadedComment ref="A1" dT="2024-09-17T19:47:57.00" personId="{d5498dd3-4a64-46ce-9a8a-c831885a0249}" id="{01283df4-eb86-476b-8a4e-914a18476615}" done="0">
    <x18tc:text xml:space="preserve">01/23</x18tc:text>
  </x18tc:threadedComment>
  <x18tc:threadedComment ref="A1" dT="2024-09-17T19:56:32.00" personId="{d5498dd3-4a64-46ce-9a8a-c831885a0249}" id="{4da834ba-0545-475b-9d1d-8619e1eccb04}" done="0">
    <x18tc:text xml:space="preserve">09/17</x18tc:text>
  </x18tc:threadedComment>
  <x18tc:threadedComment ref="A1" dT="2024-09-18T14:56:56.00" personId="{d5498dd3-4a64-46ce-9a8a-c831885a0249}" id="{c21cea9c-f733-4e58-8c34-eb83c6879e42}" done="0">
    <x18tc:text xml:space="preserve">09/18</x18tc:text>
  </x18tc:threadedComment>
  <x18tc:threadedComment ref="A1" dT="2024-09-18T15:33:51.00" personId="{d5498dd3-4a64-46ce-9a8a-c831885a0249}" id="{720d016d-fe78-4ff9-b015-024d03f192f5}" done="1">
    <x18tc:text xml:space="preserve">09/18</x18tc:text>
  </x18tc:threadedComment>
  <x18tc:threadedComment ref="A1" dT="2024-09-18T15:46:30.00" personId="{d5498dd3-4a64-46ce-9a8a-c831885a0249}" id="{d47eab40-866c-474b-a7c4-90f48eacf655}" done="1">
    <x18tc:text xml:space="preserve">09/18</x18tc:text>
  </x18tc:threadedComment>
  <x18tc:threadedComment ref="A1" dT="2024-09-18T15:39:15.00" personId="{d5498dd3-4a64-46ce-9a8a-c831885a0249}" id="{84c67695-e180-41c7-826a-2697fd157fa5}" done="1">
    <x18tc:text xml:space="preserve">09/18</x18tc:text>
  </x18tc:threadedComment>
  <x18tc:threadedComment ref="A1" dT="2024-09-18T15:44:15.00" personId="{d5498dd3-4a64-46ce-9a8a-c831885a0249}" id="{915aede0-cd9f-4cf0-8e79-a217a30de764}" done="1">
    <x18tc:text xml:space="preserve">09/18</x18tc:text>
  </x18tc:threadedComment>
  <x18tc:threadedComment ref="A1" dT="2024-09-18T16:29:36.00" personId="{d5498dd3-4a64-46ce-9a8a-c831885a0249}" id="{d477bbdb-3806-4006-85e6-a00ee2800efd}" done="0">
    <x18tc:text xml:space="preserve">09/18</x18tc:text>
  </x18tc:threadedComment>
  <x18tc:threadedComment ref="A1" dT="2024-09-18T16:31:32.00" personId="{d5498dd3-4a64-46ce-9a8a-c831885a0249}" id="{faabb4cb-d2d9-41a3-b185-2a9fa4b916ce}" done="1">
    <x18tc:text xml:space="preserve">08/27 they won't assgin DA until they receive the estimate, informed Joshua (CM)</x18tc:text>
  </x18tc:threadedComment>
  <x18tc:threadedComment ref="A1" dT="2024-09-18T16:40:36.00" personId="{d5498dd3-4a64-46ce-9a8a-c831885a0249}" id="{bce9420a-83a1-4046-ab20-c0e7e77662a0}" done="1">
    <x18tc:text xml:space="preserve">09/18</x18tc:text>
  </x18tc:threadedComment>
  <x18tc:threadedComment ref="A1" dT="2024-09-18T16:48:37.00" personId="{d5498dd3-4a64-46ce-9a8a-c831885a0249}" id="{1c131c69-7bc9-408f-988f-0cfd20f30785}" done="1">
    <x18tc:text xml:space="preserve">09/16</x18tc:text>
  </x18tc:threadedComment>
  <x18tc:threadedComment ref="P158" dT="2024-09-19T18:52:33.00" personId="{d5498dd3-4a64-46ce-9a8a-c831885a0249}" id="{ee597796-e658-4a09-8103-d3b59cd7b20c}" done="1">
    <x18tc:text xml:space="preserve">09/19</x18tc:text>
  </x18tc:threadedComment>
  <x18tc:threadedComment ref="P201" dT="2024-09-19T19:12:57.00" personId="{d5498dd3-4a64-46ce-9a8a-c831885a0249}" id="{1a1063c7-42fc-44e7-95b3-944d2399abc3}" done="1">
    <x18tc:text xml:space="preserve">09/19
09/26 rs</x18tc:text>
  </x18tc:threadedComment>
  <x18tc:threadedComment ref="V114" dT="2024-09-20T23:20:16.00" personId="{d5498dd3-4a64-46ce-9a8a-c831885a0249}" id="{84ed731f-9db2-48d2-b614-c6e96e24bfd9}" done="1">
    <x18tc:text xml:space="preserve">09/20 Joshua is asking if IP's will make a counteroffer for the 10k that carrier is offering (CM)</x18tc:text>
  </x18tc:threadedComment>
  <x18tc:threadedComment ref="A1" dT="2024-09-25T15:40:48.00" personId="{d5498dd3-4a64-46ce-9a8a-c831885a0249}" id="{b29178af-1738-40e7-9f05-3d45550e03f1}" done="1">
    <x18tc:text xml:space="preserve">@scheduling@ipadjustinggroup.com requested mediation</x18tc:text>
    <x18tc:mentions>
      <x18tc:mention mentionpersonId="{2c8ec519-d5db-42bb-a5e2-52abe8ff6abf}" mentionId="{20457383-8b20-4836-884b-b36866f146e4}" startIndex="0" length="32"/>
    </x18tc:mentions>
  </x18tc:threadedComment>
  <x18tc:threadedComment ref="A1" dT="2024-09-26T13:34:56.00" personId="{610be7ce-9288-4df9-9aac-427cc105bbe1}" id="{a82984a1-5b82-4c43-be9b-3ae36e05e32c}" parentId="{b29178af-1738-40e7-9f05-3d45550e03f1}">
    <x18tc:text xml:space="preserve">Marked as resolved</x18tc:text>
  </x18tc:threadedComment>
  <x18tc:threadedComment ref="P189" dT="2024-09-24T10:02:15.00" personId="{d5498dd3-4a64-46ce-9a8a-c831885a0249}" id="{3e925448-fc51-4ebe-a0bf-c73be5b5327c}" done="1">
    <x18tc:text xml:space="preserve">09/24</x18tc:text>
  </x18tc:threadedComment>
  <x18tc:threadedComment ref="P190" dT="2024-09-24T10:09:00.00" personId="{d5498dd3-4a64-46ce-9a8a-c831885a0249}" id="{550d29b3-f79e-4060-a459-67b36f2726f0}" done="1">
    <x18tc:text xml:space="preserve">09/24</x18tc:text>
  </x18tc:threadedComment>
  <x18tc:threadedComment ref="V163" dT="2024-09-24T09:56:06.00" personId="{d5498dd3-4a64-46ce-9a8a-c831885a0249}" id="{7fd94109-878d-4694-a5be-16aee33786a3}" done="1">
    <x18tc:text xml:space="preserve">08/15 spoke with the DA, and he mentioned that during the 2022 inspection, no damages were found. He also said that a re-inspection is not covered by the policy, and we would need to file a new claim for the damages. asked PAs how to proceed (CM)</x18tc:text>
  </x18tc:threadedComment>
  <x18tc:threadedComment ref="V163" dT="2024-09-24T09:56:22.00" personId="{d5498dd3-4a64-46ce-9a8a-c831885a0249}" id="{5f57d445-5a4e-4285-a9ba-cf53029e71c8}" parentId="{7fd94109-878d-4694-a5be-16aee33786a3}">
    <x18tc:text xml:space="preserve">pending IA and policy</x18tc:text>
  </x18tc:threadedComment>
  <x18tc:threadedComment ref="P188" dT="2024-09-24T09:57:34.00" personId="{d5498dd3-4a64-46ce-9a8a-c831885a0249}" id="{9e23f70e-51a4-45da-9281-34da98156658}" done="1">
    <x18tc:text xml:space="preserve">09/24 insp</x18tc:text>
  </x18tc:threadedComment>
  <x18tc:threadedComment ref="A1" dT="2024-09-24T10:15:39.00" personId="{d5498dd3-4a64-46ce-9a8a-c831885a0249}" id="{81000dd4-44dc-4294-8d56-2d654a21a82d}" done="1">
    <x18tc:text xml:space="preserve">09/24</x18tc:text>
  </x18tc:threadedComment>
  <x18tc:threadedComment ref="V192" dT="2024-09-24T10:16:39.00" personId="{d5498dd3-4a64-46ce-9a8a-c831885a0249}" id="{ffe3a672-858b-4a50-97aa-baef43f65cbe}" done="1">
    <x18tc:text xml:space="preserve">09/18 received the denial letter, sent to PAs and asked if they want to continue with the appraisal (CM)</x18tc:text>
  </x18tc:threadedComment>
  <x18tc:threadedComment ref="P196" dT="2024-09-25T03:08:40.00" personId="{d5498dd3-4a64-46ce-9a8a-c831885a0249}" id="{afe9af80-2324-445a-b1e4-d2fa51d440ee}" done="1">
    <x18tc:text xml:space="preserve">09/25 DA says she can't send the IA report, for the coverage determination, she will sned after EUO is being completed (CM)</x18tc:text>
  </x18tc:threadedComment>
  <x18tc:threadedComment ref="A1" dT="2024-09-25T03:47:59.00" personId="{d5498dd3-4a64-46ce-9a8a-c831885a0249}" id="{6da6cd29-e1aa-49d5-8d9f-5da960788cf6}" done="1">
    <x18tc:text xml:space="preserve">09/25</x18tc:text>
  </x18tc:threadedComment>
  <x18tc:threadedComment ref="A99" dT="2024-09-09T15:17:18.00" personId="{d5498dd3-4a64-46ce-9a8a-c831885a0249}" id="{3356b534-5ff1-4bca-9f49-ec4b86197493}" done="0">
    <x18tc:text xml:space="preserve">Stephen</x18tc:text>
  </x18tc:threadedComment>
  <x18tc:threadedComment ref="A99" dT="2025-09-04T16:15:07.00" personId="{d5498dd3-4a64-46ce-9a8a-c831885a0249}" id="{ccc233b5-be5a-4578-8b42-0afce1ad4c16}" parentId="{3356b534-5ff1-4bca-9f49-ec4b86197493}">
    <x18tc:text xml:space="preserve">recoverable depreciation: $1722,67</x18tc:text>
  </x18tc:threadedComment>
  <x18tc:threadedComment ref="A100" dT="2024-09-09T15:18:13.00" personId="{d5498dd3-4a64-46ce-9a8a-c831885a0249}" id="{d22d886c-3e91-49f2-bfb0-cbbdc65b3e0f}" done="1">
    <x18tc:text xml:space="preserve">Peter</x18tc:text>
  </x18tc:threadedComment>
  <x18tc:threadedComment ref="A100" dT="2025-01-16T19:14:53.00" personId="{d5498dd3-4a64-46ce-9a8a-c831885a0249}" id="{210b4c38-4122-4775-abdd-d301e31b1a2e}" parentId="{d22d886c-3e91-49f2-bfb0-cbbdc65b3e0f}">
    <x18tc:text xml:space="preserve">we were paid @admin@ipadjustinggroup.com</x18tc:text>
    <x18tc:mentions>
      <x18tc:mention mentionpersonId="{1ffc25a2-3f83-4ed1-a701-edf0aba99522}" mentionId="{948e93c4-73b2-4e49-8e43-8e7f9147c05c}" startIndex="13" length="27"/>
    </x18tc:mentions>
  </x18tc:threadedComment>
  <x18tc:threadedComment ref="A156" dT="2024-09-09T15:52:13.00" personId="{d5498dd3-4a64-46ce-9a8a-c831885a0249}" id="{17d673a7-3a48-4c2c-88c9-a9a95769b819}" done="1">
    <x18tc:text xml:space="preserve">Stephen</x18tc:text>
  </x18tc:threadedComment>
  <x18tc:threadedComment ref="A129" dT="2024-09-09T15:04:19.00" personId="{d5498dd3-4a64-46ce-9a8a-c831885a0249}" id="{1cb3e70e-6395-4027-9d88-2bceafd1f44f}" done="1">
    <x18tc:text xml:space="preserve">Peter</x18tc:text>
  </x18tc:threadedComment>
  <x18tc:threadedComment ref="A121" dT="2024-09-09T15:04:30.00" personId="{d5498dd3-4a64-46ce-9a8a-c831885a0249}" id="{69521f3a-3649-49a9-9ef2-a52229e24ab3}" done="1">
    <x18tc:text xml:space="preserve">Stephen</x18tc:text>
  </x18tc:threadedComment>
  <x18tc:threadedComment ref="A134" dT="2024-09-09T15:16:42.00" personId="{d5498dd3-4a64-46ce-9a8a-c831885a0249}" id="{ca2cc07b-27dc-498e-b9e4-257bc5184a6f}" done="1">
    <x18tc:text xml:space="preserve">David</x18tc:text>
  </x18tc:threadedComment>
  <x18tc:threadedComment ref="A159" dT="2024-09-09T15:58:19.00" personId="{d5498dd3-4a64-46ce-9a8a-c831885a0249}" id="{2a01abdb-5625-4c0b-99d2-167e5ae5e556}" done="0">
    <x18tc:text xml:space="preserve">Stephen</x18tc:text>
  </x18tc:threadedComment>
  <x18tc:threadedComment ref="A159" dT="2025-08-09T00:02:44.00" personId="{d5498dd3-4a64-46ce-9a8a-c831885a0249}" id="{61c227b1-fd4d-43a6-ae9a-d2d0eb480516}" parentId="{2a01abdb-5625-4c0b-99d2-167e5ae5e556}">
    <x18tc:text xml:space="preserve">Recoverable Depreciation $ 2,158.99
Ordinance or Law Items $ 3,069.66"</x18tc:text>
  </x18tc:threadedComment>
  <x18tc:threadedComment ref="A161" dT="2024-09-09T16:06:57.00" personId="{d5498dd3-4a64-46ce-9a8a-c831885a0249}" id="{629fad2b-f286-4fcb-b836-e5ea9cb493ac}" done="0">
    <x18tc:text xml:space="preserve">Stephen</x18tc:text>
  </x18tc:threadedComment>
  <x18tc:threadedComment ref="A161" dT="2025-06-19T18:37:57.00" personId="{d5498dd3-4a64-46ce-9a8a-c831885a0249}" id="{0a8087b8-60fc-4e83-8ca9-3195b6ba19b5}" parentId="{629fad2b-f286-4fcb-b836-e5ea9cb493ac}">
    <x18tc:text xml:space="preserve">Recoverable depreciation:
Coverage A: $3,856.53</x18tc:text>
  </x18tc:threadedComment>
  <x18tc:threadedComment ref="A167" dT="2024-09-09T16:10:02.00" personId="{d5498dd3-4a64-46ce-9a8a-c831885a0249}" id="{005522d4-7fc2-4459-a7cb-fddd14c6be76}" done="1">
    <x18tc:text xml:space="preserve">Wilber</x18tc:text>
  </x18tc:threadedComment>
  <x18tc:threadedComment ref="V168" dT="2024-09-09T16:29:01.00" personId="{d5498dd3-4a64-46ce-9a8a-c831885a0249}" id="{69aefe4e-dd92-41a0-af0e-a79c7dd0c8de}" done="1">
    <x18tc:text xml:space="preserve">09/09 left a vm and emailed DA requesting for a copy of the policy, mediation will be on 09/11 (CM)</x18tc:text>
  </x18tc:threadedComment>
  <x18tc:threadedComment ref="A169" dT="2024-09-09T16:32:07.00" personId="{d5498dd3-4a64-46ce-9a8a-c831885a0249}" id="{18f797cc-3f0f-40ed-9ab4-1c15de90e687}" done="1">
    <x18tc:text xml:space="preserve">Peter</x18tc:text>
  </x18tc:threadedComment>
  <x18tc:threadedComment ref="V174" dT="2024-09-09T16:58:24.00" personId="{d5498dd3-4a64-46ce-9a8a-c831885a0249}" id="{b9a8a757-0097-4a1f-ab93-84b1013698c1}" done="1">
    <x18tc:text xml:space="preserve">09/04 Peter says he will contact the DA, because hey admitted coverage to the interior but not the roof (CM)</x18tc:text>
  </x18tc:threadedComment>
  <x18tc:threadedComment ref="P179" dT="2024-09-09T17:16:27.00" personId="{d5498dd3-4a64-46ce-9a8a-c831885a0249}" id="{11814deb-762e-4caf-98a3-bcd0471e26d4}" done="1">
    <x18tc:text xml:space="preserve">reinsp for 09/11</x18tc:text>
  </x18tc:threadedComment>
  <x18tc:threadedComment ref="V169" dT="2024-09-09T17:26:36.00" personId="{d5498dd3-4a64-46ce-9a8a-c831885a0249}" id="{a6231693-1838-4196-9c5f-446cd6cfe1f0}" done="1">
    <x18tc:text xml:space="preserve">09/09 received the appraisal award, sent to Peter to be signed if he agrees (CM)</x18tc:text>
  </x18tc:threadedComment>
  <x18tc:threadedComment ref="A189" dT="2024-10-07T20:10:42.00" personId="{d5498dd3-4a64-46ce-9a8a-c831885a0249}" id="{d4e392a8-67af-4b95-ab11-50d5cddd4e72}" done="1">
    <x18tc:text xml:space="preserve">10/07 asked Wilber if he wants to take this appraisal (CM)</x18tc:text>
  </x18tc:threadedComment>
  <x18tc:threadedComment ref="A192" dT="2024-10-07T20:28:37.00" personId="{d5498dd3-4a64-46ce-9a8a-c831885a0249}" id="{ace9559b-0f69-4da8-b323-f0951389e980}" done="1">
    <x18tc:text xml:space="preserve">Stephen</x18tc:text>
  </x18tc:threadedComment>
  <x18tc:threadedComment ref="A192" dT="2024-12-02T01:47:52.00" personId="{d5498dd3-4a64-46ce-9a8a-c831885a0249}" id="{66293e77-8ccf-4ef3-a23d-cd2a6a4a49f4}" parentId="{ace9559b-0f69-4da8-b323-f0951389e980}">
    <x18tc:text xml:space="preserve">11/15 Day informs that she has the OA info (CM)</x18tc:text>
  </x18tc:threadedComment>
  <x18tc:threadedComment ref="A198" dT="2024-10-07T20:56:46.00" personId="{d5498dd3-4a64-46ce-9a8a-c831885a0249}" id="{69de662b-3abf-4899-9343-e382c11afd8f}" done="1">
    <x18tc:text xml:space="preserve">Peter</x18tc:text>
  </x18tc:threadedComment>
  <x18tc:threadedComment ref="M207" dT="2024-10-08T13:20:56.00" personId="{651ebe9d-f120-479c-8376-36973fff1cc1}" id="{03046f5b-3844-4e10-a2a7-95a9ab4e9bde}" done="0">
    <x18tc:text xml:space="preserve">esperar IA report</x18tc:text>
  </x18tc:threadedComment>
  <x18tc:threadedComment ref="M207" dT="2024-11-08T19:04:40.00" personId="{d5498dd3-4a64-46ce-9a8a-c831885a0249}" id="{269e2dd4-59a7-4386-98ac-8ad8bcacffd7}" parentId="{03046f5b-3844-4e10-a2a7-95a9ab4e9bde}">
    <x18tc:text xml:space="preserve">11/08 received the determination letter and IA report, asked JP to review and send our estimate (CM)</x18tc:text>
  </x18tc:threadedComment>
  <x18tc:threadedComment ref="M207" dT="2024-11-13T20:16:01.00" personId="{651ebe9d-f120-479c-8376-36973fff1cc1}" id="{a2137d78-fe84-4ffc-8b56-d29957d7bfe5}" parentId="{03046f5b-3844-4e10-a2a7-95a9ab4e9bde}">
    <x18tc:text xml:space="preserve">10/13 Sent the estimate to the carrier</x18tc:text>
  </x18tc:threadedComment>
  <x18tc:threadedComment ref="V154" dT="2024-10-08T14:20:06.00" personId="{d5498dd3-4a64-46ce-9a8a-c831885a0249}" id="{a76b784d-9c38-46ff-a41b-4769f3938205}" done="1">
    <x18tc:text xml:space="preserve">10/07 called Henry Whimp to confirm that he has received the letter from Juan Baltazar, he said that he has requested to the underwritters to remove Juan, we should have a confirmation at the end of the week (CM)</x18tc:text>
  </x18tc:threadedComment>
  <x18tc:threadedComment ref="P208" dT="2024-10-08T14:31:47.00" personId="{d5498dd3-4a64-46ce-9a8a-c831885a0249}" id="{90f5d8d6-98e7-41ff-8850-5eadccab1099}" done="1">
    <x18tc:text xml:space="preserve">insp was 10/04</x18tc:text>
  </x18tc:threadedComment>
  <x18tc:threadedComment ref="P209" dT="2024-10-08T14:32:03.00" personId="{d5498dd3-4a64-46ce-9a8a-c831885a0249}" id="{ec06d902-c7c5-48a0-82d5-62c13f1431d8}" done="1">
    <x18tc:text xml:space="preserve">insp was 10/07</x18tc:text>
  </x18tc:threadedComment>
  <x18tc:threadedComment ref="A179" dT="2024-10-08T19:12:15.00" personId="{d5498dd3-4a64-46ce-9a8a-c831885a0249}" id="{a4a32c23-36dd-4cd1-a393-ab5e59024ff5}" done="1">
    <x18tc:text xml:space="preserve">10/09 Stephen informs that the appraiser should be Shane Brown if accepted</x18tc:text>
  </x18tc:threadedComment>
  <x18tc:threadedComment ref="A179" dT="2024-12-02T01:48:49.00" personId="{d5498dd3-4a64-46ce-9a8a-c831885a0249}" id="{ec1b43d8-d1f5-4f0d-a545-5231718a39f7}" parentId="{a4a32c23-36dd-4cd1-a393-ab5e59024ff5}">
    <x18tc:text xml:space="preserve">11/08 asked Juan if the client has signed the appraisal agreement (CM)</x18tc:text>
  </x18tc:threadedComment>
  <x18tc:threadedComment ref="O210" dT="2024-10-09T00:10:22.00" personId="{d5498dd3-4a64-46ce-9a8a-c831885a0249}" id="{90ff7ca6-28ab-4209-8d2d-112680cc83cb}" done="0">
    <x18tc:text xml:space="preserve">sent you the blank spol client 177</x18tc:text>
  </x18tc:threadedComment>
  <x18tc:threadedComment ref="V110" dT="2024-10-10T13:58:50.00" personId="{d5498dd3-4a64-46ce-9a8a-c831885a0249}" id="{67948640-6da1-4718-91d2-b67b913826b6}" done="1">
    <x18tc:text xml:space="preserve">10/10 DA is sending an undisputted for $11,446.02, sent the partial denial, engineer reports to PAs (CM)</x18tc:text>
  </x18tc:threadedComment>
  <x18tc:threadedComment ref="V198" dT="2024-10-10T15:02:16.00" personId="{d5498dd3-4a64-46ce-9a8a-c831885a0249}" id="{3c708485-85ad-4e15-8d61-93f2d9f7b455}" done="1">
    <x18tc:text xml:space="preserve">10/10 received an email from carrier, saying they do not accept the appraisal demand as per the policy, asked us to send the spol, sent it to JP, also informed Peter and sent email to PA's (CM)</x18tc:text>
  </x18tc:threadedComment>
  <x18tc:threadedComment ref="O198" dT="2024-10-10T15:02:43.00" personId="{d5498dd3-4a64-46ce-9a8a-c831885a0249}" id="{fc6febcb-1119-4b33-b83a-130f0452aeec}" done="1">
    <x18tc:text xml:space="preserve">Paulillo tenemos que enviar el spol cliente 163 te mande mail</x18tc:text>
  </x18tc:threadedComment>
  <x18tc:threadedComment ref="V191" dT="2024-09-20T15:03:05.00" personId="{d5498dd3-4a64-46ce-9a8a-c831885a0249}" id="{704ecb3a-e314-486f-997c-d8b20fbb486a}" done="1">
    <x18tc:text xml:space="preserve">09/20 receieved the engineer report and determination letter, sent to PA's and JP for their review, asked JP to send our estimate (CM)</x18tc:text>
  </x18tc:threadedComment>
  <x18tc:threadedComment ref="A1" dT="2024-09-20T15:03:26.00" personId="{d5498dd3-4a64-46ce-9a8a-c831885a0249}" id="{10c9d741-a12d-41af-a4a9-2af53921826d}" done="1">
    <x18tc:text xml:space="preserve">09/18</x18tc:text>
  </x18tc:threadedComment>
  <x18tc:threadedComment ref="A1" dT="2024-09-20T15:03:39.00" personId="{d5498dd3-4a64-46ce-9a8a-c831885a0249}" id="{66a5b7fd-9d1f-4c9a-a8b7-eda1fae3b46a}" done="1">
    <x18tc:text xml:space="preserve">09/18</x18tc:text>
  </x18tc:threadedComment>
  <x18tc:threadedComment ref="A205" dT="2024-09-30T15:47:17.00" personId="{d5498dd3-4a64-46ce-9a8a-c831885a0249}" id="{59bb8531-eb59-4728-804d-b3cf90eed424}" done="0">
    <x18tc:text xml:space="preserve">Wilber</x18tc:text>
  </x18tc:threadedComment>
  <x18tc:threadedComment ref="A205" dT="2025-08-09T00:21:34.00" personId="{d5498dd3-4a64-46ce-9a8a-c831885a0249}" id="{7d5022e3-e1f2-4351-afbd-6b97e0d35dcc}" parentId="{59bb8531-eb59-4728-804d-b3cf90eed424}">
    <x18tc:text xml:space="preserve">recoverable depreciation $3,503.10</x18tc:text>
  </x18tc:threadedComment>
  <x18tc:threadedComment ref="V158" dT="2024-09-30T19:01:02.00" personId="{d5498dd3-4a64-46ce-9a8a-c831885a0249}" id="{4cad76b8-d66d-483a-991d-db79b2088bdd}" done="1">
    <x18tc:text xml:space="preserve">09/30 the FA is requiring some information before scheduling the insp., sent to PA's (CM)</x18tc:text>
  </x18tc:threadedComment>
  <x18tc:threadedComment ref="P158" dT="2024-09-30T19:01:36.00" personId="{d5498dd3-4a64-46ce-9a8a-c831885a0249}" id="{5ce2bceb-c90d-4852-b718-9bd5545a5208}" done="1">
    <x18tc:text xml:space="preserve">09/30 the FA is requiring some information before scheduling the insp., sent to PA's (CM)</x18tc:text>
  </x18tc:threadedComment>
  <x18tc:threadedComment ref="N209" dT="2024-10-01T15:54:06.00" personId="{651ebe9d-f120-479c-8376-36973fff1cc1}" id="{5fba7cd1-2c37-47a5-bde3-20dfbcf5e874}" done="0">
    <x18tc:text xml:space="preserve">10/1 enviado a juan</x18tc:text>
  </x18tc:threadedComment>
  <x18tc:threadedComment ref="N209" dT="2024-10-30T15:43:26.00" personId="{651ebe9d-f120-479c-8376-36973fff1cc1}" id="{c1c625e6-9176-411e-9a8a-64051ee6b94f}" parentId="{5fba7cd1-2c37-47a5-bde3-20dfbcf5e874}">
    <x18tc:text xml:space="preserve">10/30 Juan approved the estimate</x18tc:text>
  </x18tc:threadedComment>
  <x18tc:threadedComment ref="M209" dT="2024-10-01T17:24:33.00" personId="{651ebe9d-f120-479c-8376-36973fff1cc1}" id="{e4a54803-16cd-43ca-b381-dc1ecf4d3a53}" done="0">
    <x18tc:text xml:space="preserve">esperar IA report</x18tc:text>
  </x18tc:threadedComment>
  <x18tc:threadedComment ref="M209" dT="2024-10-30T15:53:17.00" personId="{651ebe9d-f120-479c-8376-36973fff1cc1}" id="{6c4e37dd-870f-4770-a6cf-995ae15c8583}" parentId="{e4a54803-16cd-43ca-b381-dc1ecf4d3a53}">
    <x18tc:text xml:space="preserve">10/30 sent to DA</x18tc:text>
  </x18tc:threadedComment>
  <x18tc:threadedComment ref="P179" dT="2024-10-01T16:49:59.00" personId="{d5498dd3-4a64-46ce-9a8a-c831885a0249}" id="{59fab77b-4c69-452b-b664-bfb0fdab4414}" done="1">
    <x18tc:text xml:space="preserve">10/01</x18tc:text>
  </x18tc:threadedComment>
  <x18tc:threadedComment ref="N208" dT="2024-10-01T17:23:39.00" personId="{651ebe9d-f120-479c-8376-36973fff1cc1}" id="{0be1523d-41cc-4221-a5d9-0e8d27c67c9a}" done="0">
    <x18tc:text xml:space="preserve">10/1 enviado a juan</x18tc:text>
  </x18tc:threadedComment>
  <x18tc:threadedComment ref="N208" dT="2024-10-30T17:44:38.00" personId="{d5498dd3-4a64-46ce-9a8a-c831885a0249}" id="{20a7ad21-b9a0-433d-9777-d7ace36ff96d}" parentId="{0be1523d-41cc-4221-a5d9-0e8d27c67c9a}">
    <x18tc:text xml:space="preserve">Paul follow up with Juan 175</x18tc:text>
  </x18tc:threadedComment>
  <x18tc:threadedComment ref="N208" dT="2024-11-05T14:40:15.00" personId="{651ebe9d-f120-479c-8376-36973fff1cc1}" id="{a934dcfd-fd52-4ae3-8f77-a5b5575f9ddb}" parentId="{0be1523d-41cc-4221-a5d9-0e8d27c67c9a}">
    <x18tc:text xml:space="preserve">11/05 Ask Juan to review the estimate</x18tc:text>
  </x18tc:threadedComment>
  <x18tc:threadedComment ref="N208" dT="2024-11-07T17:58:07.00" personId="{651ebe9d-f120-479c-8376-36973fff1cc1}" id="{e3b24cd8-745a-4a54-92a6-a3076a0543dc}" parentId="{0be1523d-41cc-4221-a5d9-0e8d27c67c9a}">
    <x18tc:text xml:space="preserve">10/30 Juan approved the estimate</x18tc:text>
  </x18tc:threadedComment>
  <x18tc:threadedComment ref="M208" dT="2024-10-01T17:24:28.00" personId="{651ebe9d-f120-479c-8376-36973fff1cc1}" id="{d800fc91-7289-455b-bfc1-f80634cf47b8}" done="0">
    <x18tc:text xml:space="preserve">esperar IA report</x18tc:text>
  </x18tc:threadedComment>
  <x18tc:threadedComment ref="M208" dT="2024-10-25T14:34:14.00" personId="{d5498dd3-4a64-46ce-9a8a-c831885a0249}" id="{ab9a4b41-c164-4785-be13-961a3f347d6a}" parentId="{d800fc91-7289-455b-bfc1-f80634cf47b8}">
    <x18tc:text xml:space="preserve">Ya tenemos denial 175</x18tc:text>
  </x18tc:threadedComment>
  <x18tc:threadedComment ref="A1" dT="2024-10-01T21:10:31.00" personId="{d5498dd3-4a64-46ce-9a8a-c831885a0249}" id="{555d25a2-f893-4344-a8a6-9e0a8b51b028}" done="1">
    <x18tc:text xml:space="preserve">10/01</x18tc:text>
  </x18tc:threadedComment>
  <x18tc:threadedComment ref="P194" dT="2024-10-01T21:12:14.00" personId="{d5498dd3-4a64-46ce-9a8a-c831885a0249}" id="{47ab0e47-88c4-4c31-b148-94a259c2026d}" done="1">
    <x18tc:text xml:space="preserve">10/01</x18tc:text>
  </x18tc:threadedComment>
  <x18tc:threadedComment ref="A1" dT="2024-10-01T20:30:17.00" personId="{d5498dd3-4a64-46ce-9a8a-c831885a0249}" id="{c748fd61-d21b-4c56-a994-f50c765d26f7}" done="1">
    <x18tc:text xml:space="preserve">10/01</x18tc:text>
  </x18tc:threadedComment>
  <x18tc:threadedComment ref="A1" dT="2024-10-01T20:30:25.00" personId="{d5498dd3-4a64-46ce-9a8a-c831885a0249}" id="{68b95d25-54cd-42cf-bc0e-15c1f8446a81}" done="1">
    <x18tc:text xml:space="preserve">10/01</x18tc:text>
  </x18tc:threadedComment>
  <x18tc:threadedComment ref="P110" dT="2024-10-01T20:44:31.00" personId="{d5498dd3-4a64-46ce-9a8a-c831885a0249}" id="{36564bb3-151e-4780-b663-37f6a45e6c38}" done="1">
    <x18tc:text xml:space="preserve">10/01</x18tc:text>
  </x18tc:threadedComment>
  <x18tc:threadedComment ref="A1" dT="2024-10-01T21:14:36.00" personId="{d5498dd3-4a64-46ce-9a8a-c831885a0249}" id="{fe119f34-f759-4eba-a4d5-6d3bce19e76d}" done="1">
    <x18tc:text xml:space="preserve">09/24</x18tc:text>
  </x18tc:threadedComment>
  <x18tc:threadedComment ref="O178" dT="2024-09-24T15:24:14.00" personId="{651ebe9d-f120-479c-8376-36973fff1cc1}" id="{4726cfc0-7df5-48e6-9e7f-cc2255b45b19}" done="1">
    <x18tc:text xml:space="preserve">9/24 enviado al cliente</x18tc:text>
  </x18tc:threadedComment>
  <x18tc:threadedComment ref="P199" dT="2024-09-24T15:29:00.00" personId="{d5498dd3-4a64-46ce-9a8a-c831885a0249}" id="{d5627899-e0b2-4bf4-81e7-d5c2c81722b5}" done="0">
    <x18tc:text xml:space="preserve">Coverage and IA report from 2022
nothing scheduled til 09/24</x18tc:text>
  </x18tc:threadedComment>
  <x18tc:threadedComment ref="M191" dT="2024-09-24T14:48:54.00" personId="{651ebe9d-f120-479c-8376-36973fff1cc1}" id="{78471c77-f8eb-4186-aeb0-1636b922c754}" done="1">
    <x18tc:text xml:space="preserve">9/24 sent to DA</x18tc:text>
  </x18tc:threadedComment>
  <x18tc:threadedComment ref="O191" dT="2024-09-24T15:14:38.00" personId="{651ebe9d-f120-479c-8376-36973fff1cc1}" id="{4ce51016-27d8-4db1-b385-f8b9c87c2fe9}" done="0">
    <x18tc:text xml:space="preserve">9/24 enviado al cliente</x18tc:text>
  </x18tc:threadedComment>
  <x18tc:threadedComment ref="A1" dT="2024-09-24T15:31:41.00" personId="{d5498dd3-4a64-46ce-9a8a-c831885a0249}" id="{70bc9fef-19f2-4326-a870-c1b5c37f55e0}" done="1">
    <x18tc:text xml:space="preserve">09/24</x18tc:text>
  </x18tc:threadedComment>
  <x18tc:threadedComment ref="O140" dT="2024-09-24T15:46:27.00" personId="{651ebe9d-f120-479c-8376-36973fff1cc1}" id="{02da285f-ff4a-4f55-b274-75097ef210a6}" done="0">
    <x18tc:text xml:space="preserve">9/24 envie a Joshua para que haga firmar al cliente</x18tc:text>
  </x18tc:threadedComment>
  <x18tc:threadedComment ref="O140" dT="2024-09-30T16:50:11.00" personId="{651ebe9d-f120-479c-8376-36973fff1cc1}" id="{409750f5-816c-408a-a204-2e599481bcb4}" parentId="{02da285f-ff4a-4f55-b274-75097ef210a6}">
    <x18tc:text xml:space="preserve">9/30 enviado al cliente</x18tc:text>
  </x18tc:threadedComment>
  <x18tc:threadedComment ref="V166" dT="2024-09-24T18:33:14.00" personId="{d5498dd3-4a64-46ce-9a8a-c831885a0249}" id="{e9bcf603-98d0-47f5-964f-b893b7b103fa}" done="1">
    <x18tc:text xml:space="preserve">09/24 DA is requesting for a response for her inquiries PA's are cc'd (CM)</x18tc:text>
  </x18tc:threadedComment>
  <x18tc:threadedComment ref="V189" dT="2024-10-02T19:16:14.00" personId="{d5498dd3-4a64-46ce-9a8a-c831885a0249}" id="{ce5b51c8-349d-4147-9bdc-dd2299e1f150}" done="1">
    <x18tc:text xml:space="preserve">10/02 received an undisputted payment for $10.027.80 and the IA report, asked I&amp;P if they want to request mediaiton (CM)</x18tc:text>
  </x18tc:threadedComment>
  <x18tc:threadedComment ref="A73" dT="2024-10-02T19:40:19.00" personId="{d5498dd3-4a64-46ce-9a8a-c831885a0249}" id="{a387246e-bc97-4f7b-b46e-a7cfd000f7fd}" done="1">
    <x18tc:text xml:space="preserve">we were paid on this @admin@ipadjustinggroup.com
Assigned to admin@ipadjustinggroup.com</x18tc:text>
    <x18tc:mentions>
      <x18tc:mention mentionpersonId="{1ffc25a2-3f83-4ed1-a701-edf0aba99522}" mentionId="{351f9583-aab9-4c6f-a4f2-3372b9697ffd}" startIndex="21" length="27"/>
    </x18tc:mentions>
  </x18tc:threadedComment>
  <x18tc:threadedComment ref="V179" dT="2024-10-02T20:06:19.00" personId="{d5498dd3-4a64-46ce-9a8a-c831885a0249}" id="{27adeda2-2637-4d52-acf3-6cdd3e060157}" done="1">
    <x18tc:text xml:space="preserve">10/02 received the IA report and undisputted payment for $12,820.92, sent the SPOL notarized(CM)</x18tc:text>
  </x18tc:threadedComment>
  <x18tc:threadedComment ref="V195" dT="2024-10-03T18:39:57.00" personId="{d5498dd3-4a64-46ce-9a8a-c831885a0249}" id="{b31b9767-3109-4acc-9a33-784dc63ebd52}" done="1">
    <x18tc:text xml:space="preserve">10/03 DA stands on the $ 701.17 offer, he is asking for our estimate, asked I&amp;P to confirm if they want me to send the estimate (CM)</x18tc:text>
  </x18tc:threadedComment>
  <x18tc:threadedComment ref="P90" dT="2024-10-07T15:25:22.00" personId="{d5498dd3-4a64-46ce-9a8a-c831885a0249}" id="{d680cdef-674a-44df-a455-2172867724b0}" done="0">
    <x18tc:text xml:space="preserve">10/31</x18tc:text>
  </x18tc:threadedComment>
  <x18tc:threadedComment ref="A1" dT="2024-10-07T16:41:12.00" personId="{d5498dd3-4a64-46ce-9a8a-c831885a0249}" id="{77e3b1af-c946-4b1c-813c-214e7729b48c}" done="1">
    <x18tc:text xml:space="preserve">Penny Johsnon / 7274763096 / pjohnson@agfgroup.org for 01/16/2022 claim (it's open)</x18tc:text>
  </x18tc:threadedComment>
  <x18tc:threadedComment ref="P190" dT="2024-10-07T15:50:38.00" personId="{d5498dd3-4a64-46ce-9a8a-c831885a0249}" id="{71469344-840a-4a5c-b531-65bb2c458d1c}" done="1">
    <x18tc:text xml:space="preserve">10/07</x18tc:text>
  </x18tc:threadedComment>
  <x18tc:threadedComment ref="P201" dT="2024-10-07T16:10:04.00" personId="{d5498dd3-4a64-46ce-9a8a-c831885a0249}" id="{9997ac9f-5135-42bc-b0b6-ab17341f85f9}" done="1">
    <x18tc:text xml:space="preserve">10/07</x18tc:text>
  </x18tc:threadedComment>
  <x18tc:threadedComment ref="A1" dT="2024-10-07T16:41:57.00" personId="{d5498dd3-4a64-46ce-9a8a-c831885a0249}" id="{e2b30795-8003-4140-9ff1-dc33323a198e}" done="1">
    <x18tc:text xml:space="preserve">10/07 called FIGA to ask the claim#, they didn't have a claim for 09/28/2022, they only had for 01/16/2022, asked Jakey to confirm with the client (CM)</x18tc:text>
  </x18tc:threadedComment>
  <x18tc:threadedComment ref="A1" dT="2024-10-08T14:30:58.00" personId="{d5498dd3-4a64-46ce-9a8a-c831885a0249}" id="{0a2af4c8-32fe-42bb-93b7-38f159fa7f36}" parentId="{e2b30795-8003-4140-9ff1-dc33323a198e}">
    <x18tc:text xml:space="preserve">10/07 Peter left a vm to the client to confirm the date of loss (CM)</x18tc:text>
  </x18tc:threadedComment>
  <x18tc:threadedComment ref="A150" dT="2024-10-07T18:55:51.00" personId="{d5498dd3-4a64-46ce-9a8a-c831885a0249}" id="{2ecd9246-e1d1-43b5-9a97-446c98cf224b}" done="1">
    <x18tc:text xml:space="preserve">10/07 asked wilber</x18tc:text>
  </x18tc:threadedComment>
  <x18tc:threadedComment ref="A179" dT="2024-10-07T19:34:37.00" personId="{d5498dd3-4a64-46ce-9a8a-c831885a0249}" id="{d405038c-4205-4df5-840d-6047ead4eebf}" done="1">
    <x18tc:text xml:space="preserve">10/07 asked wilber</x18tc:text>
  </x18tc:threadedComment>
  <x18tc:threadedComment ref="A1" dT="2024-10-28T20:51:30.00" personId="{d5498dd3-4a64-46ce-9a8a-c831885a0249}" id="{54224e1d-b0bf-46e6-b9c4-c368e1fbd5df}" done="1">
    <x18tc:text xml:space="preserve">tenemos policy @iandres.assistant@gmail.com
Assigned to iandres.assistant@gmail.com</x18tc:text>
    <x18tc:mentions>
      <x18tc:mention mentionpersonId="{8530a93b-c25c-4f0c-9adb-d8ddaa7bd49f}" mentionId="{7f5a96ee-f1d1-41b6-b0c4-d7b1e778ce47}" startIndex="15" length="28"/>
    </x18tc:mentions>
  </x18tc:threadedComment>
  <x18tc:threadedComment ref="V222" dT="2024-10-28T20:58:04.00" personId="{d5498dd3-4a64-46ce-9a8a-c831885a0249}" id="{0dbe8d6c-54aa-44fa-91ce-8a148f4de33c}" done="1">
    <x18tc:text xml:space="preserve">10/28 Received the IA report and determination letter is underdeductible, sent to PAs (CM)</x18tc:text>
  </x18tc:threadedComment>
  <x18tc:threadedComment ref="V222" dT="2024-11-08T18:07:26.00" personId="{d5498dd3-4a64-46ce-9a8a-c831885a0249}" id="{5028689d-87f0-4554-9d91-c592d0794cd8}" parentId="{0dbe8d6c-54aa-44fa-91ce-8a148f4de33c}">
    <x18tc:text xml:space="preserve">engineer will be on 11/06 (CM)</x18tc:text>
  </x18tc:threadedComment>
  <x18tc:threadedComment ref="V140" dT="2024-10-28T21:19:44.00" personId="{d5498dd3-4a64-46ce-9a8a-c831885a0249}" id="{b3a5007c-d1fc-46b6-a2db-32eae8413a86}" done="1">
    <x18tc:text xml:space="preserve">10/18 the client didn't attend to the mediation (CM)</x18tc:text>
  </x18tc:threadedComment>
  <x18tc:threadedComment ref="A1" dT="2024-10-28T21:22:43.00" personId="{d5498dd3-4a64-46ce-9a8a-c831885a0249}" id="{5348e0f8-4e8b-41b0-b292-8168524e6cb7}" done="0">
    <x18tc:text xml:space="preserve">10/18 Wilber is asking Ivan about this claim, informed Ivan to call him via WS (CM)</x18tc:text>
  </x18tc:threadedComment>
  <x18tc:threadedComment ref="V150" dT="2024-10-28T21:23:01.00" personId="{d5498dd3-4a64-46ce-9a8a-c831885a0249}" id="{0b033763-b7dc-43cd-820b-cada1008b811}" done="1">
    <x18tc:text xml:space="preserve">10/18 Wilber is asking Ivan about this claim, informed Ivan to call him via WS (CM)</x18tc:text>
  </x18tc:threadedComment>
  <x18tc:threadedComment ref="V150" dT="2024-10-28T21:29:02.00" personId="{d5498dd3-4a64-46ce-9a8a-c831885a0249}" id="{b004fb94-f0ff-457b-86ca-b15449d7a250}" parentId="{0b033763-b7dc-43cd-820b-cada1008b811}">
    <x18tc:text xml:space="preserve">10/28 Asked Iván if he talked with Wilber about this claim (CM)</x18tc:text>
  </x18tc:threadedComment>
  <x18tc:threadedComment ref="V154" dT="2024-10-28T21:32:55.00" personId="{d5498dd3-4a64-46ce-9a8a-c831885a0249}" id="{21135158-6fcb-45ea-b7e2-45577fc41431}" done="1">
    <x18tc:text xml:space="preserve">10/28 called Henry Wimp asked if he has a response from the underwritters, he didn't, he asked me to call asain tomorrow morning, informed that Juan Baltazar is now legal, if it better to continue with the policy as it is right now, he didn't know either (CM)</x18tc:text>
  </x18tc:threadedComment>
  <x18tc:threadedComment ref="V185" dT="2024-10-28T22:09:45.00" personId="{d5498dd3-4a64-46ce-9a8a-c831885a0249}" id="{880c7d59-ff6d-4339-9c19-5015217df129}" done="1">
    <x18tc:text xml:space="preserve">Mediation was on 10/15 (CM)</x18tc:text>
  </x18tc:threadedComment>
  <x18tc:threadedComment ref="V187" dT="2024-10-28T22:10:08.00" personId="{d5498dd3-4a64-46ce-9a8a-c831885a0249}" id="{170eda9a-cacd-4d66-bbd9-a3e39962c570}" done="1">
    <x18tc:text xml:space="preserve">10/28 Iván asked Sarah to reschedule the mediation (CM)</x18tc:text>
  </x18tc:threadedComment>
  <x18tc:threadedComment ref="A1" dT="2024-10-28T22:47:07.00" personId="{d5498dd3-4a64-46ce-9a8a-c831885a0249}" id="{46ea758b-9bee-4084-b485-c68d29a7974e}" done="0">
    <x18tc:text xml:space="preserve">10/28</x18tc:text>
  </x18tc:threadedComment>
  <x18tc:threadedComment ref="A1" dT="2024-10-28T22:47:15.00" personId="{d5498dd3-4a64-46ce-9a8a-c831885a0249}" id="{dba6212e-18fa-4bf0-ad52-c29454f094c3}" done="0">
    <x18tc:text xml:space="preserve">10/28</x18tc:text>
  </x18tc:threadedComment>
  <x18tc:threadedComment ref="P207" dT="2024-10-28T22:48:13.00" personId="{d5498dd3-4a64-46ce-9a8a-c831885a0249}" id="{1544d7a1-d0c4-4ee6-a169-8c34521e07e1}" done="1">
    <x18tc:text xml:space="preserve">Inspection will be on 11/01 (CM)</x18tc:text>
  </x18tc:threadedComment>
  <x18tc:threadedComment ref="A1" dT="2024-10-28T22:51:07.00" personId="{d5498dd3-4a64-46ce-9a8a-c831885a0249}" id="{0c0b52fb-4c58-4a4d-8eb5-be7cdda9dda3}" done="1">
    <x18tc:text xml:space="preserve">10/28</x18tc:text>
  </x18tc:threadedComment>
  <x18tc:threadedComment ref="P211" dT="2024-10-28T23:01:09.00" personId="{d5498dd3-4a64-46ce-9a8a-c831885a0249}" id="{64557e36-917d-4858-9799-e9c670274a26}" done="1">
    <x18tc:text xml:space="preserve">Inspection will be on 10/29 (CM)</x18tc:text>
  </x18tc:threadedComment>
  <x18tc:threadedComment ref="A1" dT="2024-10-28T23:04:39.00" personId="{d5498dd3-4a64-46ce-9a8a-c831885a0249}" id="{efe5c594-9cfe-46c8-8184-dd9aa69cbfef}" done="0">
    <x18tc:text xml:space="preserve">12/30</x18tc:text>
  </x18tc:threadedComment>
  <x18tc:threadedComment ref="P216" dT="2024-10-28T23:09:42.00" personId="{d5498dd3-4a64-46ce-9a8a-c831885a0249}" id="{d5d08049-1bf4-4500-a37f-60b26f806a15}" done="1">
    <x18tc:text xml:space="preserve">Inspection been scheduled for 11/07 (CM)</x18tc:text>
  </x18tc:threadedComment>
  <x18tc:threadedComment ref="A1" dT="2024-10-28T23:11:06.00" personId="{d5498dd3-4a64-46ce-9a8a-c831885a0249}" id="{e84ac9d3-05d7-4d2b-bc81-9257d37efd9e}" done="1">
    <x18tc:text xml:space="preserve">inspection done on 10/23 (CM)</x18tc:text>
  </x18tc:threadedComment>
  <x18tc:threadedComment ref="V231" dT="2024-10-30T13:20:34.00" personId="{d5498dd3-4a64-46ce-9a8a-c831885a0249}" id="{353135ab-824c-4992-96a5-ad4d9e29761d}" done="1">
    <x18tc:text xml:space="preserve">10/30 received the iA report sent to JP and PAS, for his review asked him to send our estimate when ready (CM)</x18tc:text>
  </x18tc:threadedComment>
  <x18tc:threadedComment ref="N240" dT="2024-10-30T13:28:52.00" personId="{651ebe9d-f120-479c-8376-36973fff1cc1}" id="{27cafcd7-51d5-4414-a9e5-d3ec4905d844}" done="0">
    <x18tc:text xml:space="preserve">10/30 Sent estimate to Myers for approval.</x18tc:text>
  </x18tc:threadedComment>
  <x18tc:threadedComment ref="N240" dT="2024-11-07T17:43:38.00" personId="{651ebe9d-f120-479c-8376-36973fff1cc1}" id="{1076da86-477f-4d60-aef2-16c987c7b354}" parentId="{27cafcd7-51d5-4414-a9e5-d3ec4905d844}">
    <x18tc:text xml:space="preserve">10/30 Myers approved the estimate</x18tc:text>
  </x18tc:threadedComment>
  <x18tc:threadedComment ref="N246" dT="2024-10-30T13:59:55.00" personId="{651ebe9d-f120-479c-8376-36973fff1cc1}" id="{624d1742-0fcd-47b2-a36f-8b9c0c840f42}" done="0">
    <x18tc:text xml:space="preserve">10/30 Sent the estimate to Jakey for approval.</x18tc:text>
  </x18tc:threadedComment>
  <x18tc:threadedComment ref="N246" dT="2024-11-07T17:37:30.00" personId="{651ebe9d-f120-479c-8376-36973fff1cc1}" id="{71c687af-8b1f-4bae-b106-4f71e69c6f57}" parentId="{624d1742-0fcd-47b2-a36f-8b9c0c840f42}">
    <x18tc:text xml:space="preserve">11/07 sent an updated estimate to Jakey for review.</x18tc:text>
  </x18tc:threadedComment>
  <x18tc:threadedComment ref="N246" dT="2024-12-06T17:33:43.00" personId="{651ebe9d-f120-479c-8376-36973fff1cc1}" id="{1a9fa94b-1361-4420-aefa-7b5081bbdfa8}" parentId="{624d1742-0fcd-47b2-a36f-8b9c0c840f42}">
    <x18tc:text xml:space="preserve">11/07 Jakey approved the estimate.</x18tc:text>
  </x18tc:threadedComment>
  <x18tc:threadedComment ref="A1" dT="2024-10-30T14:03:09.00" personId="{d5498dd3-4a64-46ce-9a8a-c831885a0249}" id="{e19036be-a8b8-4cac-bf1a-1f2391fc8259}" done="1">
    <x18tc:text xml:space="preserve">@iandres.assistant@gmail.com get the policy
Assigned to iandres.assistant@gmail.com</x18tc:text>
    <x18tc:mentions>
      <x18tc:mention mentionpersonId="{8530a93b-c25c-4f0c-9adb-d8ddaa7bd49f}" mentionId="{1f415e87-ce8f-4b84-aa64-c2aff8ed0c91}" startIndex="0" length="28"/>
    </x18tc:mentions>
  </x18tc:threadedComment>
  <x18tc:threadedComment ref="R255" dT="2024-10-29T18:46:53.00" personId="{610be7ce-9288-4df9-9aac-427cc105bbe1}" id="{95ceef75-f37b-42e5-b4d2-dbad0ca507a6}" done="1">
    <x18tc:text xml:space="preserve">10/29 @admin@ipadjustinggroup.com subir a cw
Assigned to admin@ipadjustinggroup.com</x18tc:text>
    <x18tc:mentions>
      <x18tc:mention mentionpersonId="{1ffc25a2-3f83-4ed1-a701-edf0aba99522}" mentionId="{ae31a3c6-0d44-43cf-96cd-b4be312a92a6}" startIndex="6" length="27"/>
    </x18tc:mentions>
  </x18tc:threadedComment>
  <x18tc:threadedComment ref="A1" dT="2024-10-29T17:46:18.00" personId="{d5498dd3-4a64-46ce-9a8a-c831885a0249}" id="{18dc02be-0516-4f88-ab17-5bfdf57131c1}" done="0">
    <x18tc:text xml:space="preserve">10/29</x18tc:text>
  </x18tc:threadedComment>
  <x18tc:threadedComment ref="A1" dT="2024-10-29T20:32:20.00" personId="{d5498dd3-4a64-46ce-9a8a-c831885a0249}" id="{8d518edb-9a92-4128-85e5-77240910404d}" done="0">
    <x18tc:text xml:space="preserve">01/23</x18tc:text>
  </x18tc:threadedComment>
  <x18tc:threadedComment ref="A1" dT="2024-10-29T20:33:11.00" personId="{d5498dd3-4a64-46ce-9a8a-c831885a0249}" id="{38479c5f-90b4-4ebd-b5d8-2afc9bbe05fb}" done="0">
    <x18tc:text xml:space="preserve">12/11</x18tc:text>
  </x18tc:threadedComment>
  <x18tc:threadedComment ref="V201" dT="2024-10-29T20:30:35.00" personId="{d5498dd3-4a64-46ce-9a8a-c831885a0249}" id="{269cecc7-12f9-4055-9ac4-a1ba48560ff5}" done="1">
    <x18tc:text xml:space="preserve">10/29 Wilber is asking for the estimate. Asked Peter to send it ASAP (AL)</x18tc:text>
  </x18tc:threadedComment>
  <x18tc:threadedComment ref="V150" dT="2024-10-29T20:31:51.00" personId="{d5498dd3-4a64-46ce-9a8a-c831885a0249}" id="{762c7d54-5f45-41fe-a839-9a2d71f161b8}" done="1">
    <x18tc:text xml:space="preserve">10/29 Wiber denied claim, asked Ivan how to proceed (AL)</x18tc:text>
  </x18tc:threadedComment>
  <x18tc:threadedComment ref="V230" dT="2024-10-29T20:46:44.00" personId="{d5498dd3-4a64-46ce-9a8a-c831885a0249}" id="{f529b916-8bbf-48bb-9789-49276ca98b4e}" done="1">
    <x18tc:text xml:space="preserve">ask Iván to call DA as per her request</x18tc:text>
  </x18tc:threadedComment>
  <x18tc:threadedComment ref="V230" dT="2024-10-30T14:02:22.00" personId="{d5498dd3-4a64-46ce-9a8a-c831885a0249}" id="{a4f78f1a-38d0-4329-8f42-ffbf2a6b75d6}" parentId="{f529b916-8bbf-48bb-9789-49276ca98b4e}">
    <x18tc:text xml:space="preserve">10/30 DA is requesting to call her (CM)</x18tc:text>
  </x18tc:threadedComment>
  <x18tc:threadedComment ref="A1" dT="2024-10-29T20:50:35.00" personId="{d5498dd3-4a64-46ce-9a8a-c831885a0249}" id="{40bb8191-2fbf-4f27-8dd7-a681690b093e}" done="1">
    <x18tc:text xml:space="preserve">10/29</x18tc:text>
  </x18tc:threadedComment>
  <x18tc:threadedComment ref="R224" dT="2024-10-29T20:50:52.00" personId="{610be7ce-9288-4df9-9aac-427cc105bbe1}" id="{3fc1b1bd-bf5c-4352-a0e2-792c0e0f7366}" done="1">
    <x18tc:text xml:space="preserve">@admin@ipadjustinggroup.com NEW DA INFO
Assigned to admin@ipadjustinggroup.com</x18tc:text>
    <x18tc:mentions>
      <x18tc:mention mentionpersonId="{1ffc25a2-3f83-4ed1-a701-edf0aba99522}" mentionId="{75a9e85b-19e5-476c-8877-fedbebfe2c39}" startIndex="0" length="27"/>
    </x18tc:mentions>
  </x18tc:threadedComment>
  <x18tc:threadedComment ref="A1" dT="2024-10-29T20:57:01.00" personId="{d5498dd3-4a64-46ce-9a8a-c831885a0249}" id="{8ca6c012-fd8e-4dcc-84e6-40cb4b5450db}" done="1">
    <x18tc:text xml:space="preserve">@iandres.assistant@gmail.com policy
Assigned to iandres.assistant@gmail.com</x18tc:text>
    <x18tc:mentions>
      <x18tc:mention mentionpersonId="{8530a93b-c25c-4f0c-9adb-d8ddaa7bd49f}" mentionId="{7eb8b131-4cbc-4c93-994b-1f61d5bd94c4}" startIndex="0" length="28"/>
    </x18tc:mentions>
  </x18tc:threadedComment>
  <x18tc:threadedComment ref="A1" dT="2024-10-30T16:51:16.00" personId="{d5498dd3-4a64-46ce-9a8a-c831885a0249}" id="{9d404bf0-9382-4f4e-91c2-ff1851a2a76f}" done="0">
    <x18tc:text xml:space="preserve">10/30 informed that ia was done</x18tc:text>
  </x18tc:threadedComment>
  <x18tc:threadedComment ref="N254" dT="2024-10-30T17:24:06.00" personId="{651ebe9d-f120-479c-8376-36973fff1cc1}" id="{eb7f935b-9b50-4038-893b-6b89b6abad18}" done="0">
    <x18tc:text xml:space="preserve">10/30 Sent the estimate to Jose for approval.</x18tc:text>
  </x18tc:threadedComment>
  <x18tc:threadedComment ref="N254" dT="2024-11-21T20:46:08.00" personId="{651ebe9d-f120-479c-8376-36973fff1cc1}" id="{a7bc3f52-c0ac-4fb5-b6bd-46bb272bff5b}" parentId="{eb7f935b-9b50-4038-893b-6b89b6abad18}">
    <x18tc:text xml:space="preserve">11/13 Jose approved the estimate</x18tc:text>
  </x18tc:threadedComment>
  <x18tc:threadedComment ref="V182" dT="2024-10-30T18:36:40.00" personId="{d5498dd3-4a64-46ce-9a8a-c831885a0249}" id="{aba7ecaa-a0b4-4fb0-85f6-457e7aa47a66}" done="1">
    <x18tc:text xml:space="preserve">10/28 Wilber talked to Ivan, says Ivan will call the insured in order to take a decision about the appraisal (AL)</x18tc:text>
  </x18tc:threadedComment>
  <x18tc:threadedComment ref="N233" dT="2024-10-30T14:59:02.00" personId="{651ebe9d-f120-479c-8376-36973fff1cc1}" id="{1fa1224a-0502-477a-bd09-65d9517591b1}" done="0">
    <x18tc:text xml:space="preserve">10/30 Sent the estimate to Joshua for approval.</x18tc:text>
  </x18tc:threadedComment>
  <x18tc:threadedComment ref="N233" dT="2024-10-30T15:21:10.00" personId="{651ebe9d-f120-479c-8376-36973fff1cc1}" id="{52cb5ef6-61fd-4824-b1dc-2bb81c504ec5}" parentId="{1fa1224a-0502-477a-bd09-65d9517591b1}">
    <x18tc:text xml:space="preserve">10/30 Joshua approved the estimate</x18tc:text>
  </x18tc:threadedComment>
  <x18tc:threadedComment ref="V150" dT="2024-10-30T15:45:42.00" personId="{d5498dd3-4a64-46ce-9a8a-c831885a0249}" id="{c9264381-90ce-40c0-89c7-8f4804185f4b}" done="1">
    <x18tc:text xml:space="preserve">10/30 sent to Stephen this claim (CM)</x18tc:text>
  </x18tc:threadedComment>
  <x18tc:threadedComment ref="M222" dT="2024-10-30T15:14:26.00" personId="{651ebe9d-f120-479c-8376-36973fff1cc1}" id="{56487ac1-c776-448c-977c-3ea05b054556}" done="0">
    <x18tc:text xml:space="preserve">10/30 Sent estimate and picture file to DA (William Paul)</x18tc:text>
  </x18tc:threadedComment>
  <x18tc:threadedComment ref="M233" dT="2024-10-30T15:22:02.00" personId="{651ebe9d-f120-479c-8376-36973fff1cc1}" id="{e0e8b518-a5f1-4c52-ba8a-2e092442bc52}" done="0">
    <x18tc:text xml:space="preserve">esperar IA report</x18tc:text>
  </x18tc:threadedComment>
  <x18tc:threadedComment ref="M233" dT="2025-04-02T16:40:21.00" personId="{651ebe9d-f120-479c-8376-36973fff1cc1}" id="{7520cc1d-8710-497f-8d73-ca02cd507861}" parentId="{e0e8b518-a5f1-4c52-ba8a-2e092442bc52}">
    <x18tc:text xml:space="preserve">4/2 sent to carrier and client</x18tc:text>
  </x18tc:threadedComment>
  <x18tc:threadedComment ref="M232" dT="2024-10-30T15:22:15.00" personId="{651ebe9d-f120-479c-8376-36973fff1cc1}" id="{77664ccb-d8af-4ae9-9af0-c3a2e3a92384}" done="0">
    <x18tc:text xml:space="preserve">esperar IA report</x18tc:text>
  </x18tc:threadedComment>
  <x18tc:threadedComment ref="M232" dT="2024-11-18T14:28:04.00" personId="{651ebe9d-f120-479c-8376-36973fff1cc1}" id="{35ba1ab3-bcbf-4644-94c0-13b7b4b0ba6d}" parentId="{77664ccb-d8af-4ae9-9af0-c3a2e3a92384}">
    <x18tc:text xml:space="preserve">11/18 Sent the estimate to DA</x18tc:text>
  </x18tc:threadedComment>
  <x18tc:threadedComment ref="A150" dT="2024-10-30T15:36:01.00" personId="{d5498dd3-4a64-46ce-9a8a-c831885a0249}" id="{d5b91945-3072-48c0-8064-a519a7acbbc5}" done="1">
    <x18tc:text xml:space="preserve">Stephen</x18tc:text>
  </x18tc:threadedComment>
  <x18tc:threadedComment ref="A150" dT="2024-12-02T01:48:36.00" personId="{d5498dd3-4a64-46ce-9a8a-c831885a0249}" id="{27254524-4509-45a9-b3b2-08c7683b4392}" parentId="{d5b91945-3072-48c0-8064-a519a7acbbc5}">
    <x18tc:text xml:space="preserve">11/08 asked Juan if the client has signed the appraisal agreement (CM)</x18tc:text>
  </x18tc:threadedComment>
  <x18tc:threadedComment ref="V125" dT="2024-10-30T14:51:29.00" personId="{d5498dd3-4a64-46ce-9a8a-c831885a0249}" id="{47c4c961-44f4-4732-aeeb-dbcafac939a7}" done="1">
    <x18tc:text xml:space="preserve">10/24 asked DA to reissue the check now that the client has fixed the problem with the bank, she asked me to follow up in 10 bussiness days(CM)</x18tc:text>
  </x18tc:threadedComment>
  <x18tc:threadedComment ref="N234" dT="2024-10-30T14:35:36.00" personId="{651ebe9d-f120-479c-8376-36973fff1cc1}" id="{04125466-4c0d-414f-b97d-8c3e04c43477}" done="0">
    <x18tc:text xml:space="preserve">10/30 Sent the estimate to Joshua for approval.</x18tc:text>
  </x18tc:threadedComment>
  <x18tc:threadedComment ref="N234" dT="2024-11-07T17:41:41.00" personId="{651ebe9d-f120-479c-8376-36973fff1cc1}" id="{1f9d36f7-426e-4e29-aaa9-a2744e6bb0ff}" parentId="{04125466-4c0d-414f-b97d-8c3e04c43477}">
    <x18tc:text xml:space="preserve">10/30 Joshua approved the estimate</x18tc:text>
  </x18tc:threadedComment>
  <x18tc:threadedComment ref="V129" dT="2024-10-30T14:51:52.00" personId="{d5498dd3-4a64-46ce-9a8a-c831885a0249}" id="{1fac6b1b-7269-48d5-a41d-0dec9900cb4f}" done="1">
    <x18tc:text xml:space="preserve">10/02 asked DA to reissue the check #60535774 for $928.87, he is going to request (CM)</x18tc:text>
  </x18tc:threadedComment>
  <x18tc:threadedComment ref="A1" dT="2024-10-30T21:27:13.00" personId="{d5498dd3-4a64-46ce-9a8a-c831885a0249}" id="{64831377-4c59-4d98-9715-74485d98ab11}" done="1">
    <x18tc:text xml:space="preserve">@iandres.assistant@gmail.com policy tenemos</x18tc:text>
    <x18tc:mentions>
      <x18tc:mention mentionpersonId="{8530a93b-c25c-4f0c-9adb-d8ddaa7bd49f}" mentionId="{34f74677-46be-4f15-8fbf-80b17e49bf57}" startIndex="0" length="28"/>
    </x18tc:mentions>
  </x18tc:threadedComment>
  <x18tc:threadedComment ref="A1" dT="2024-10-30T22:09:16.00" personId="{d5498dd3-4a64-46ce-9a8a-c831885a0249}" id="{8731016c-19d4-4e6c-8b27-6f59b45b01c8}" done="1">
    <x18tc:text xml:space="preserve">10/30 received a determination and a IA, sent to PAs (CM)</x18tc:text>
  </x18tc:threadedComment>
  <x18tc:threadedComment ref="A1" dT="2024-10-31T01:01:53.00" personId="{d5498dd3-4a64-46ce-9a8a-c831885a0249}" id="{3c4d5e76-63c8-453a-9dee-a2b9720268be}" done="1">
    <x18tc:text xml:space="preserve">@scheduling@ipadjustinggroup.com @sarah@ipadjustinggroup.com closed claim</x18tc:text>
    <x18tc:mentions>
      <x18tc:mention mentionpersonId="{2c8ec519-d5db-42bb-a5e2-52abe8ff6abf}" mentionId="{e67d0e82-5955-4574-a67f-1674db7e9948}" startIndex="0" length="32"/>
      <x18tc:mention mentionpersonId="{96de1e6f-5074-4371-82e1-7da1ab62b8e3}" mentionId="{9abad52d-9d91-4cd2-9f98-19204413827a}" startIndex="33" length="27"/>
    </x18tc:mentions>
  </x18tc:threadedComment>
  <x18tc:threadedComment ref="A1" dT="2024-10-31T01:01:54.00" personId="{d5498dd3-4a64-46ce-9a8a-c831885a0249}" id="{3c816c07-f727-4a08-ae75-6865901d8452}" done="1">
    <x18tc:text xml:space="preserve">@scheduling@ipadjustinggroup.com @sarah@ipadjustinggroup.com closed claim</x18tc:text>
    <x18tc:mentions>
      <x18tc:mention mentionpersonId="{2c8ec519-d5db-42bb-a5e2-52abe8ff6abf}" mentionId="{0cf99ae6-335d-4466-9cba-e76574ddcfd3}" startIndex="0" length="32"/>
      <x18tc:mention mentionpersonId="{96de1e6f-5074-4371-82e1-7da1ab62b8e3}" mentionId="{bcac1a32-442f-4540-8ff7-36723016364a}" startIndex="33" length="27"/>
    </x18tc:mentions>
  </x18tc:threadedComment>
  <x18tc:threadedComment ref="A1" dT="2024-10-31T13:09:22.00" personId="{610be7ce-9288-4df9-9aac-427cc105bbe1}" id="{544b1042-04cd-48b6-9efd-23fa6d5957e2}" parentId="{3c816c07-f727-4a08-ae75-6865901d8452}">
    <x18tc:text xml:space="preserve">Marked as resolved</x18tc:text>
  </x18tc:threadedComment>
  <x18tc:threadedComment ref="A1" dT="2024-10-31T01:01:55.00" personId="{d5498dd3-4a64-46ce-9a8a-c831885a0249}" id="{7cc561c5-16fc-4201-afc0-628707694f46}" done="1">
    <x18tc:text xml:space="preserve">@scheduling@ipadjustinggroup.com @sarah@ipadjustinggroup.com @jp.ipestimates@gmail.com closed claim</x18tc:text>
    <x18tc:mentions>
      <x18tc:mention mentionpersonId="{2c8ec519-d5db-42bb-a5e2-52abe8ff6abf}" mentionId="{2acdbcce-acb4-43cd-95ba-ff6b9191cd03}" startIndex="0" length="32"/>
      <x18tc:mention mentionpersonId="{96de1e6f-5074-4371-82e1-7da1ab62b8e3}" mentionId="{605750ac-914f-450d-96db-617de2cdb91e}" startIndex="33" length="27"/>
      <x18tc:mention mentionpersonId="{f5ec41ac-eb21-45bf-aaa5-f7dfbc04c8e9}" mentionId="{ce561c22-c06d-4e53-985b-b8625419edcb}" startIndex="61" length="25"/>
    </x18tc:mentions>
  </x18tc:threadedComment>
  <x18tc:threadedComment ref="A90" dT="2024-10-31T01:25:01.00" personId="{d5498dd3-4a64-46ce-9a8a-c831885a0249}" id="{3299e4dd-d22e-4053-a9b7-2e18243ec2d0}" done="1">
    <x18tc:text xml:space="preserve">requested mediation @scheduling@ipadjustinggroup.com</x18tc:text>
    <x18tc:mentions>
      <x18tc:mention mentionpersonId="{2c8ec519-d5db-42bb-a5e2-52abe8ff6abf}" mentionId="{0708a6cd-be73-4875-b25d-8def34e7c42c}" startIndex="20" length="32"/>
    </x18tc:mentions>
  </x18tc:threadedComment>
  <x18tc:threadedComment ref="A90" dT="2024-10-31T13:12:58.00" personId="{610be7ce-9288-4df9-9aac-427cc105bbe1}" id="{a49e65dd-703e-4af4-b083-da7e7b82bd2e}" parentId="{3299e4dd-d22e-4053-a9b7-2e18243ec2d0}">
    <x18tc:text xml:space="preserve">Marked as resolved</x18tc:text>
  </x18tc:threadedComment>
  <x18tc:threadedComment ref="A141" dT="2024-10-31T01:38:48.00" personId="{d5498dd3-4a64-46ce-9a8a-c831885a0249}" id="{401009f5-6146-4079-98b0-3d64046a2fa0}" done="1">
    <x18tc:text xml:space="preserve">requested mediation @scheduling@ipadjustinggroup.com</x18tc:text>
    <x18tc:mentions>
      <x18tc:mention mentionpersonId="{2c8ec519-d5db-42bb-a5e2-52abe8ff6abf}" mentionId="{eec5e2a7-6702-4835-84c0-f1e0b0c5023e}" startIndex="20" length="32"/>
    </x18tc:mentions>
  </x18tc:threadedComment>
  <x18tc:threadedComment ref="A141" dT="2024-10-31T13:13:14.00" personId="{610be7ce-9288-4df9-9aac-427cc105bbe1}" id="{33431c94-e0ab-440a-ac45-b685b604b6bb}" parentId="{401009f5-6146-4079-98b0-3d64046a2fa0}">
    <x18tc:text xml:space="preserve">Marked as resolved</x18tc:text>
  </x18tc:threadedComment>
  <x18tc:threadedComment ref="V182" dT="2024-10-31T01:45:39.00" personId="{d5498dd3-4a64-46ce-9a8a-c831885a0249}" id="{98a404d4-8f27-4d28-9425-0e7a587fcf47}" done="1">
    <x18tc:text xml:space="preserve">10/30 Iván asked Jakey to call the client, waiting for clients confirmation for the appraisal (CM)</x18tc:text>
  </x18tc:threadedComment>
  <x18tc:threadedComment ref="V179" dT="2024-10-31T01:46:06.00" personId="{d5498dd3-4a64-46ce-9a8a-c831885a0249}" id="{e4bf202f-e7ec-4f42-8ca6-e61eaf19041f}" done="1">
    <x18tc:text xml:space="preserve">10/30 Iván informs that Juan is returning the next week, ask again next week, informed Sarah waht the client said about the check (CM)</x18tc:text>
  </x18tc:threadedComment>
  <x18tc:threadedComment ref="V204" dT="2024-11-01T17:10:10.00" personId="{d5498dd3-4a64-46ce-9a8a-c831885a0249}" id="{6821c3b2-8dc0-45f6-8649-b72d1f00f2cf}" done="1">
    <x18tc:text xml:space="preserve">11/01 recieved the engineer report, the payment letter, DA is offering 1.9k in exchange of a settlement release, sent to PAs asked to call DA, we have requested mediation (CM)</x18tc:text>
  </x18tc:threadedComment>
  <x18tc:threadedComment ref="A110" dT="2024-10-10T20:03:35.00" personId="{d5498dd3-4a64-46ce-9a8a-c831885a0249}" id="{7e153ac6-592c-4201-a683-8e5e38e3669d}" done="1">
    <x18tc:text xml:space="preserve">10/10 requested mediation (CM) @scheduling@ipadjustinggroup.com
Assigned to scheduling@ipadjustinggroup.com</x18tc:text>
    <x18tc:mentions>
      <x18tc:mention mentionpersonId="{2c8ec519-d5db-42bb-a5e2-52abe8ff6abf}" mentionId="{e549b1a3-7aa2-404a-8784-902f30154c4d}" startIndex="31" length="32"/>
    </x18tc:mentions>
  </x18tc:threadedComment>
  <x18tc:threadedComment ref="O198" dT="2024-10-10T21:40:35.00" personId="{651ebe9d-f120-479c-8376-36973fff1cc1}" id="{98d9d190-d583-4ba5-91eb-dccdb345ec98}" done="0">
    <x18tc:text xml:space="preserve">10/10 enviado al cliente @admin@ipadjustinggroup.com</x18tc:text>
    <x18tc:mentions>
      <x18tc:mention mentionpersonId="{1ffc25a2-3f83-4ed1-a701-edf0aba99522}" mentionId="{c9cb5349-280f-4023-9aa3-61c78220a668}" startIndex="25" length="27"/>
    </x18tc:mentions>
  </x18tc:threadedComment>
  <x18tc:threadedComment ref="A117" dT="2024-10-11T17:10:22.00" personId="{d5498dd3-4a64-46ce-9a8a-c831885a0249}" id="{b9c7bca8-9955-4f5a-91fc-23fb94c47782}" done="1">
    <x18tc:text xml:space="preserve">@peter review this file</x18tc:text>
  </x18tc:threadedComment>
  <x18tc:threadedComment ref="A117" dT="2024-10-11T17:10:48.00" personId="{d5498dd3-4a64-46ce-9a8a-c831885a0249}" id="{a11e7dc3-1ea5-4aee-8684-9bb739fe4a43}" parentId="{b9c7bca8-9955-4f5a-91fc-23fb94c47782}">
    <x18tc:text xml:space="preserve">@peter@ipadjustinggroup.com review</x18tc:text>
    <x18tc:mentions>
      <x18tc:mention mentionpersonId="{a90e7136-7222-4115-902b-b36ed88b071a}" mentionId="{f2f6d835-b1b2-4d3a-83fd-db3a080223e6}" startIndex="0" length="27"/>
    </x18tc:mentions>
  </x18tc:threadedComment>
  <x18tc:threadedComment ref="A118" dT="2024-10-11T17:11:19.00" personId="{d5498dd3-4a64-46ce-9a8a-c831885a0249}" id="{cb4a3626-8473-4f5b-8853-30107751bfcb}" done="1">
    <x18tc:text xml:space="preserve">@peter@ipadjustinggroup.com this file
Assigned to peter@ipadjustinggroup.com</x18tc:text>
    <x18tc:mentions>
      <x18tc:mention mentionpersonId="{a90e7136-7222-4115-902b-b36ed88b071a}" mentionId="{67c5a068-5c9a-4173-b5cb-b23c7e50108d}" startIndex="0" length="27"/>
    </x18tc:mentions>
  </x18tc:threadedComment>
  <x18tc:threadedComment ref="A189" dT="2024-10-19T23:46:48.00" personId="{d5498dd3-4a64-46ce-9a8a-c831885a0249}" id="{f05c09ab-fa71-4082-b581-e160c031026c}" done="1">
    <x18tc:text xml:space="preserve">Wilber</x18tc:text>
  </x18tc:threadedComment>
  <x18tc:threadedComment ref="A189" dT="2024-10-19T23:47:09.00" personId="{d5498dd3-4a64-46ce-9a8a-c831885a0249}" id="{36ec9908-28b1-49d8-a01a-238af53ed528}" parentId="{f05c09ab-fa71-4082-b581-e160c031026c}">
    <x18tc:text xml:space="preserve">10/19 invoked appraisal woth Wilber's info @scheduling@ipadjustinggroup.com</x18tc:text>
    <x18tc:mentions>
      <x18tc:mention mentionpersonId="{2c8ec519-d5db-42bb-a5e2-52abe8ff6abf}" mentionId="{cc0b702d-e67f-4a67-843d-101f24001ab1}" startIndex="43" length="32"/>
    </x18tc:mentions>
  </x18tc:threadedComment>
  <x18tc:threadedComment ref="A189" dT="2024-10-21T16:38:08.00" personId="{610be7ce-9288-4df9-9aac-427cc105bbe1}" id="{8e2c830f-9f22-4407-b297-a0a9eee4590c}" parentId="{f05c09ab-fa71-4082-b581-e160c031026c}">
    <x18tc:text xml:space="preserve">Marked as resolved</x18tc:text>
  </x18tc:threadedComment>
  <x18tc:threadedComment ref="V208" dT="2024-10-20T00:32:45.00" personId="{d5498dd3-4a64-46ce-9a8a-c831885a0249}" id="{833a3b69-088e-4bec-805e-1eefe8ee4d27}" done="1">
    <x18tc:text xml:space="preserve">10/18 Received the IA report and denial (CM)</x18tc:text>
  </x18tc:threadedComment>
  <x18tc:threadedComment ref="V208" dT="2024-11-15T16:43:28.00" personId="{d5498dd3-4a64-46ce-9a8a-c831885a0249}" id="{6e59a0fe-9372-4b45-bf8c-c7536ba012c6}" parentId="{833a3b69-088e-4bec-805e-1eefe8ee4d27}">
    <x18tc:text xml:space="preserve">11/14 DA called and informed that the roof replacement with premium grade laminate shingles is not warranted. Based on inspection, roof repair is feasible with 3 tab shingles. (CM)</x18tc:text>
  </x18tc:threadedComment>
  <x18tc:threadedComment ref="A1" dT="2024-10-21T18:56:15.00" personId="{d5498dd3-4a64-46ce-9a8a-c831885a0249}" id="{b016833f-18d5-4653-bae0-0d9c8c8a2ea6}" done="0">
    <x18tc:text xml:space="preserve">12/30</x18tc:text>
  </x18tc:threadedComment>
  <x18tc:threadedComment ref="A1" dT="2024-10-21T18:58:51.00" personId="{d5498dd3-4a64-46ce-9a8a-c831885a0249}" id="{3cd12830-5bb9-4950-b13e-5c4c9ed99946}" done="1">
    <x18tc:text xml:space="preserve">10/21</x18tc:text>
  </x18tc:threadedComment>
  <x18tc:threadedComment ref="N223" dT="2024-10-21T18:39:05.00" personId="{651ebe9d-f120-479c-8376-36973fff1cc1}" id="{ed4fc505-b2b4-4d03-b067-d817748bf1c2}" done="0">
    <x18tc:text xml:space="preserve">10/21 aprobado</x18tc:text>
  </x18tc:threadedComment>
  <x18tc:threadedComment ref="M223" dT="2024-10-21T18:39:25.00" personId="{651ebe9d-f120-479c-8376-36973fff1cc1}" id="{df2c0b4a-e888-4769-88c3-41695032c455}" done="0">
    <x18tc:text xml:space="preserve">esperar IA report</x18tc:text>
  </x18tc:threadedComment>
  <x18tc:threadedComment ref="M223" dT="2024-11-12T15:56:30.00" personId="{d5498dd3-4a64-46ce-9a8a-c831885a0249}" id="{84ec95fa-aaf9-4234-ab99-9613fddb5233}" parentId="{df2c0b4a-e888-4769-88c3-41695032c455}">
    <x18tc:text xml:space="preserve">revisa el IA manda nuestro estimado</x18tc:text>
  </x18tc:threadedComment>
  <x18tc:threadedComment ref="M223" dT="2024-11-18T14:11:23.00" personId="{651ebe9d-f120-479c-8376-36973fff1cc1}" id="{a8f09721-357d-4f3f-b730-f09e763a20fa}" parentId="{df2c0b4a-e888-4769-88c3-41695032c455}">
    <x18tc:text xml:space="preserve">11/18 Sent the estimate to DA and client</x18tc:text>
  </x18tc:threadedComment>
  <x18tc:threadedComment ref="N220" dT="2024-10-21T18:28:30.00" personId="{651ebe9d-f120-479c-8376-36973fff1cc1}" id="{5698915d-b7f0-4f2c-94a2-ddb211952eb5}" done="0">
    <x18tc:text xml:space="preserve">10/21 Sent estimate to David for approval.</x18tc:text>
  </x18tc:threadedComment>
  <x18tc:threadedComment ref="N220" dT="2024-10-21T21:10:59.00" personId="{651ebe9d-f120-479c-8376-36973fff1cc1}" id="{e853421a-559e-4005-ab8b-f6ed2b90d5a3}" parentId="{5698915d-b7f0-4f2c-94a2-ddb211952eb5}">
    <x18tc:text xml:space="preserve">10/21 aprobado</x18tc:text>
  </x18tc:threadedComment>
  <x18tc:threadedComment ref="N220" dT="2024-12-06T15:09:52.00" personId="{651ebe9d-f120-479c-8376-36973fff1cc1}" id="{db1a4668-60bb-49ef-93f1-a2c94acc469b}" parentId="{5698915d-b7f0-4f2c-94a2-ddb211952eb5}">
    <x18tc:text xml:space="preserve">12/05 David pidio modificar el esimado, esperando nueva info</x18tc:text>
  </x18tc:threadedComment>
  <x18tc:threadedComment ref="N220" dT="2024-12-06T20:51:46.00" personId="{651ebe9d-f120-479c-8376-36973fff1cc1}" id="{2672d8b9-faf0-4ef4-bcae-221263fb3428}" parentId="{5698915d-b7f0-4f2c-94a2-ddb211952eb5}">
    <x18tc:text xml:space="preserve">12/06 sent an update to David</x18tc:text>
  </x18tc:threadedComment>
  <x18tc:threadedComment ref="N220" dT="2024-12-10T18:00:51.00" personId="{651ebe9d-f120-479c-8376-36973fff1cc1}" id="{52991c65-5a24-408e-bd50-60f6e5cfb628}" parentId="{5698915d-b7f0-4f2c-94a2-ddb211952eb5}">
    <x18tc:text xml:space="preserve">12/06 Josh approved the estimate</x18tc:text>
  </x18tc:threadedComment>
  <x18tc:threadedComment ref="M220" dT="2024-10-21T18:28:46.00" personId="{651ebe9d-f120-479c-8376-36973fff1cc1}" id="{434d7469-fadb-4088-8d7e-d7dc50311529}" done="0">
    <x18tc:text xml:space="preserve">esperar IA report</x18tc:text>
  </x18tc:threadedComment>
  <x18tc:threadedComment ref="M220" dT="2024-12-10T18:05:37.00" personId="{651ebe9d-f120-479c-8376-36973fff1cc1}" id="{ace8b387-583f-4dc6-9ca6-413e70609ca8}" parentId="{434d7469-fadb-4088-8d7e-d7dc50311529}">
    <x18tc:text xml:space="preserve">12/10 sent to DA</x18tc:text>
  </x18tc:threadedComment>
  <x18tc:threadedComment ref="N239" dT="2024-10-24T22:25:55.00" personId="{651ebe9d-f120-479c-8376-36973fff1cc1}" id="{7d1755ff-85e6-4a15-9fe8-e13aad499077}" done="0">
    <x18tc:text xml:space="preserve">10/24 Sent the estimate to Juan for approval.</x18tc:text>
  </x18tc:threadedComment>
  <x18tc:threadedComment ref="N239" dT="2024-11-05T23:40:40.00" personId="{651ebe9d-f120-479c-8376-36973fff1cc1}" id="{29b5aaf6-3b2d-49fb-918e-692b6942b36a}" parentId="{7d1755ff-85e6-4a15-9fe8-e13aad499077}">
    <x18tc:text xml:space="preserve">11/05 Sent an updated estimate to Juan for review.</x18tc:text>
  </x18tc:threadedComment>
  <x18tc:threadedComment ref="N239" dT="2024-11-20T12:52:32.00" personId="{651ebe9d-f120-479c-8376-36973fff1cc1}" id="{b9eecd16-3336-4ae3-8f76-62c3375825f0}" parentId="{7d1755ff-85e6-4a15-9fe8-e13aad499077}">
    <x18tc:text xml:space="preserve">11/20 sent a new update to juan</x18tc:text>
  </x18tc:threadedComment>
  <x18tc:threadedComment ref="N239" dT="2024-11-27T15:23:14.00" personId="{651ebe9d-f120-479c-8376-36973fff1cc1}" id="{ae22a9c2-3357-4fc7-be4a-3b6f31945290}" parentId="{7d1755ff-85e6-4a15-9fe8-e13aad499077}">
    <x18tc:text xml:space="preserve">11/25 Juan approved</x18tc:text>
  </x18tc:threadedComment>
  <x18tc:threadedComment ref="N217" dT="2024-10-25T19:54:39.00" personId="{651ebe9d-f120-479c-8376-36973fff1cc1}" id="{6c2b325f-5117-49c8-b2d0-698507bd702a}" done="0">
    <x18tc:text xml:space="preserve">10/25 Sent the estimate to Myers for approval.</x18tc:text>
  </x18tc:threadedComment>
  <x18tc:threadedComment ref="N217" dT="2024-11-05T23:48:40.00" personId="{651ebe9d-f120-479c-8376-36973fff1cc1}" id="{fe388566-1065-4910-882a-c0c4b3e7465d}" parentId="{6c2b325f-5117-49c8-b2d0-698507bd702a}">
    <x18tc:text xml:space="preserve">10/25 Myers approved the estimate.</x18tc:text>
  </x18tc:threadedComment>
  <x18tc:threadedComment ref="M217" dT="2024-10-25T19:54:52.00" personId="{651ebe9d-f120-479c-8376-36973fff1cc1}" id="{68c9d1a0-6e02-4a4e-b617-01a9fb592384}" done="0">
    <x18tc:text xml:space="preserve">esperar IA report</x18tc:text>
  </x18tc:threadedComment>
  <x18tc:threadedComment ref="M217" dT="2024-12-06T20:28:04.00" personId="{651ebe9d-f120-479c-8376-36973fff1cc1}" id="{b2d0ed7b-23c6-4759-8bfa-ebd1cf901cfd}" parentId="{68c9d1a0-6e02-4a4e-b617-01a9fb592384}">
    <x18tc:text xml:space="preserve">12/06 sent to carrier</x18tc:text>
  </x18tc:threadedComment>
  <x18tc:threadedComment ref="N227" dT="2024-11-20T15:46:33.00" personId="{651ebe9d-f120-479c-8376-36973fff1cc1}" id="{9a991c24-23ff-4294-bd37-c2410988f10f}" done="0">
    <x18tc:text xml:space="preserve">11/20 Sent estimate to Juan, No picture file</x18tc:text>
  </x18tc:threadedComment>
  <x18tc:threadedComment ref="N227" dT="2024-12-03T14:17:46.00" personId="{651ebe9d-f120-479c-8376-36973fff1cc1}" id="{d0cc7cc3-637e-42bd-b310-bae400d7db80}" parentId="{9a991c24-23ff-4294-bd37-c2410988f10f}">
    <x18tc:text xml:space="preserve">11/25 aprobado por Juan</x18tc:text>
  </x18tc:threadedComment>
  <x18tc:threadedComment ref="V198" dT="2024-11-20T15:56:55.00" personId="{d5498dd3-4a64-46ce-9a8a-c831885a0249}" id="{918650e3-7ddf-49c0-82f3-ea6d742e716b}" done="1">
    <x18tc:text xml:space="preserve">11/20 Jakey sent a copy of the check proving that the invoice was paid, asked Peter if he want me to send them as he told me yesterday to wait, she is waiting a call from DA (CM)</x18tc:text>
  </x18tc:threadedComment>
  <x18tc:threadedComment ref="V240" dT="2024-11-20T16:29:08.00" personId="{d5498dd3-4a64-46ce-9a8a-c831885a0249}" id="{ed307294-1d9f-43fa-b9de-d0412d428e26}" done="1">
    <x18tc:text xml:space="preserve">11/20 sent the letter recieved about the policy to PAs, asked them to follow up with the client (CM)</x18tc:text>
  </x18tc:threadedComment>
  <x18tc:threadedComment ref="V240" dT="2025-01-28T01:56:05.00" personId="{d5498dd3-4a64-46ce-9a8a-c831885a0249}" id="{eab81344-ec11-44a8-846c-f6e64aee8a6e}" parentId="{ed307294-1d9f-43fa-b9de-d0412d428e26}">
    <x18tc:text xml:space="preserve">01/14 Myers says he has tried to reach several times to the client, informed that he repied an email of us (CM)</x18tc:text>
  </x18tc:threadedComment>
  <x18tc:threadedComment ref="V253" dT="2024-11-20T16:35:11.00" personId="{d5498dd3-4a64-46ce-9a8a-c831885a0249}" id="{a6b8d0d2-ba56-4e4c-a7d9-9a702cc1e3b0}" done="1">
    <x18tc:text xml:space="preserve">11/20 received the determination letter and IA report, this claim is underdeductible asked JP to send our estimate after reviewing it, PA's cc'd (CM)</x18tc:text>
  </x18tc:threadedComment>
  <x18tc:threadedComment ref="V277" dT="2024-11-20T22:05:01.00" personId="{d5498dd3-4a64-46ce-9a8a-c831885a0249}" id="{e007a8b1-1859-4aeb-870c-13caa125a1d0}" done="1">
    <x18tc:text xml:space="preserve">11/20 received the IA report and determination letter, claim is under deductible, sent to PAs and JP, asked him to send our estimate (CM)</x18tc:text>
  </x18tc:threadedComment>
  <x18tc:threadedComment ref="N277" dT="2024-11-20T21:55:32.00" personId="{651ebe9d-f120-479c-8376-36973fff1cc1}" id="{196f55a6-9c50-4462-8fcc-cc05beeadf47}" done="0">
    <x18tc:text xml:space="preserve">11/20 Sent the estimate to Juan for review</x18tc:text>
  </x18tc:threadedComment>
  <x18tc:threadedComment ref="N277" dT="2024-12-03T14:34:57.00" personId="{651ebe9d-f120-479c-8376-36973fff1cc1}" id="{bf43eb94-a39e-4a55-8c84-b82c93f7fc07}" parentId="{196f55a6-9c50-4462-8fcc-cc05beeadf47}">
    <x18tc:text xml:space="preserve">11/25 Juan approved the estimate</x18tc:text>
  </x18tc:threadedComment>
  <x18tc:threadedComment ref="N277" dT="2025-02-09T13:39:29.00" personId="{651ebe9d-f120-479c-8376-36973fff1cc1}" id="{da1d3f8e-1d81-4478-b948-d4e5457caba1}" parentId="{196f55a6-9c50-4462-8fcc-cc05beeadf47}">
    <x18tc:text xml:space="preserve">2/9/25 se envio a juan un update</x18tc:text>
  </x18tc:threadedComment>
  <x18tc:threadedComment ref="V266" dT="2024-11-20T22:05:22.00" personId="{d5498dd3-4a64-46ce-9a8a-c831885a0249}" id="{00691b5f-0c53-4715-9b9a-c2253fb833ac}" done="1">
    <x18tc:text xml:space="preserve">11/20 received the IA report and determination letter, claim under deductible, sent to PAs (SG)</x18tc:text>
  </x18tc:threadedComment>
  <x18tc:threadedComment ref="M210" dT="2024-11-05T14:11:16.00" personId="{651ebe9d-f120-479c-8376-36973fff1cc1}" id="{bcc599f9-d1e2-4cf4-9f3d-be5f29f9d661}" done="0">
    <x18tc:text xml:space="preserve">11/05 Sent the estimate and picture file to DA and client</x18tc:text>
  </x18tc:threadedComment>
  <x18tc:threadedComment ref="N250" dT="2024-11-05T13:26:46.00" personId="{651ebe9d-f120-479c-8376-36973fff1cc1}" id="{49640162-952f-4f19-8d98-c29b96797b93}" done="0">
    <x18tc:text xml:space="preserve">11/05 Sent to Ivan/Angie</x18tc:text>
  </x18tc:threadedComment>
  <x18tc:threadedComment ref="N250" dT="2024-12-04T18:26:17.00" personId="{651ebe9d-f120-479c-8376-36973fff1cc1}" id="{c905ec52-d79c-4663-9af3-a1a35aa43370}" parentId="{49640162-952f-4f19-8d98-c29b96797b93}">
    <x18tc:text xml:space="preserve">11/28 aprobado por Angie</x18tc:text>
  </x18tc:threadedComment>
  <x18tc:threadedComment ref="A1" dT="2024-11-05T13:59:14.00" personId="{d5498dd3-4a64-46ce-9a8a-c831885a0249}" id="{67e46d5b-1f77-489a-a5e3-6b0e957f2009}" done="1">
    <x18tc:text xml:space="preserve">11/05</x18tc:text>
  </x18tc:threadedComment>
  <x18tc:threadedComment ref="N221" dT="2024-11-05T12:42:15.00" personId="{651ebe9d-f120-479c-8376-36973fff1cc1}" id="{3c215d90-18f3-4d6b-96fe-ce42464a9939}" done="0">
    <x18tc:text xml:space="preserve">11/05 pregunte a Josh si se agrega algo mas al roof. via wasap</x18tc:text>
  </x18tc:threadedComment>
  <x18tc:threadedComment ref="N221" dT="2024-12-04T22:41:32.00" personId="{651ebe9d-f120-479c-8376-36973fff1cc1}" id="{7b07f80e-14b5-4729-8273-95dfe8bc9fa9}" parentId="{3c215d90-18f3-4d6b-96fe-ce42464a9939}">
    <x18tc:text xml:space="preserve">12/04 sent to Joshua</x18tc:text>
  </x18tc:threadedComment>
  <x18tc:threadedComment ref="N221" dT="2024-12-10T14:24:44.00" personId="{651ebe9d-f120-479c-8376-36973fff1cc1}" id="{07f856ef-ee35-442d-94ca-5008ba45f703}" parentId="{3c215d90-18f3-4d6b-96fe-ce42464a9939}">
    <x18tc:text xml:space="preserve">12/06 Josh approved the estimate</x18tc:text>
  </x18tc:threadedComment>
  <x18tc:threadedComment ref="N231" dT="2024-11-05T15:59:59.00" personId="{651ebe9d-f120-479c-8376-36973fff1cc1}" id="{965ab28c-4bfc-454e-aacc-ae4748ceabef}" done="0">
    <x18tc:text xml:space="preserve">11/05 Sent the estimate to Joshua for approval. No picture file</x18tc:text>
  </x18tc:threadedComment>
  <x18tc:threadedComment ref="N231" dT="2024-11-05T16:07:08.00" personId="{651ebe9d-f120-479c-8376-36973fff1cc1}" id="{605662e5-589b-4b46-8648-9c9bf1d4d1c5}" parentId="{965ab28c-4bfc-454e-aacc-ae4748ceabef}">
    <x18tc:text xml:space="preserve">11/05 Joshua approved the estimate</x18tc:text>
  </x18tc:threadedComment>
  <x18tc:threadedComment ref="V238" dT="2024-11-04T14:28:24.00" personId="{d5498dd3-4a64-46ce-9a8a-c831885a0249}" id="{fc0dfe4a-e966-47fa-8de6-c46d085154b0}" done="1">
    <x18tc:text xml:space="preserve">11/04 received the IA report and the determination letter, below deductible, sent to PAs and JP asked him to review it and send our estimate (CM)</x18tc:text>
  </x18tc:threadedComment>
  <x18tc:threadedComment ref="V238" dT="2024-12-11T21:34:12.00" personId="{d5498dd3-4a64-46ce-9a8a-c831885a0249}" id="{dd136841-ea46-4df1-a8aa-f7feae96e14c}" parentId="{fc0dfe4a-e966-47fa-8de6-c46d085154b0}">
    <x18tc:text xml:space="preserve">12/11 Peter is negotiating this claim (CM)</x18tc:text>
  </x18tc:threadedComment>
  <x18tc:threadedComment ref="P227" dT="2024-11-04T15:28:31.00" personId="{d5498dd3-4a64-46ce-9a8a-c831885a0249}" id="{626da0a6-8d5a-4ef3-a109-5992fbd2392d}" done="1">
    <x18tc:text xml:space="preserve">10/30</x18tc:text>
  </x18tc:threadedComment>
  <x18tc:threadedComment ref="N245" dT="2024-11-04T15:36:02.00" personId="{651ebe9d-f120-479c-8376-36973fff1cc1}" id="{b78665a1-d9d9-4a26-a174-414aac13e55a}" done="0">
    <x18tc:text xml:space="preserve">11/04 Sent to Joshua</x18tc:text>
  </x18tc:threadedComment>
  <x18tc:threadedComment ref="N245" dT="2024-11-23T16:27:21.00" personId="{651ebe9d-f120-479c-8376-36973fff1cc1}" id="{931f5d9b-366a-4dbd-90ab-f97f91ec9f5e}" parentId="{b78665a1-d9d9-4a26-a174-414aac13e55a}">
    <x18tc:text xml:space="preserve">11/23 sent an update to josh for review</x18tc:text>
  </x18tc:threadedComment>
  <x18tc:threadedComment ref="N245" dT="2024-11-23T18:42:54.00" personId="{651ebe9d-f120-479c-8376-36973fff1cc1}" id="{1ea307dd-da9d-45c0-8644-1fb6f63985cf}" parentId="{b78665a1-d9d9-4a26-a174-414aac13e55a}">
    <x18tc:text xml:space="preserve">11/23 Josh approved</x18tc:text>
  </x18tc:threadedComment>
  <x18tc:threadedComment ref="A1" dT="2024-11-04T15:41:19.00" personId="{651ebe9d-f120-479c-8376-36973fff1cc1}" id="{9510ad84-3079-48ac-8fdc-d6305c92f251}" done="0">
    <x18tc:text xml:space="preserve">11/04 se envio un update a Ivan, subido a CW</x18tc:text>
  </x18tc:threadedComment>
  <x18tc:threadedComment ref="V100" dT="2024-11-04T17:33:59.00" personId="{d5498dd3-4a64-46ce-9a8a-c831885a0249}" id="{af3433ae-959b-4a9e-aa1e-8a885a47c0a0}" done="1">
    <x18tc:text xml:space="preserve">11/04 DA is offering 24k, she wants a reponse before 11/07 sent to PA's (CM)</x18tc:text>
  </x18tc:threadedComment>
  <x18tc:threadedComment ref="V100" dT="2024-11-13T15:03:38.00" personId="{d5498dd3-4a64-46ce-9a8a-c831885a0249}" id="{ed797916-19e3-4f89-a2d5-8c4abe5723d1}" parentId="{af3433ae-959b-4a9e-aa1e-8a885a47c0a0}">
    <x18tc:text xml:space="preserve">11/13 Peter is asking $27.5, DA said no more than 27k (CM)</x18tc:text>
  </x18tc:threadedComment>
  <x18tc:threadedComment ref="V100" dT="2024-11-14T21:43:24.00" personId="{d5498dd3-4a64-46ce-9a8a-c831885a0249}" id="{49627c8b-1b28-4475-92cf-0fb4e2e03e41}" parentId="{af3433ae-959b-4a9e-aa1e-8a885a47c0a0}">
    <x18tc:text xml:space="preserve">11/14 Peter accepted the 27k (CM)</x18tc:text>
  </x18tc:threadedComment>
  <x18tc:threadedComment ref="V30" dT="2024-11-05T00:33:34.00" personId="{d5498dd3-4a64-46ce-9a8a-c831885a0249}" id="{84626a8d-4a25-4ee6-b741-8c2931e5080e}" done="1">
    <x18tc:text xml:space="preserve">11/04 recieved an email from the client saying she wants to cancel the claim, sent to PAs (CM)</x18tc:text>
  </x18tc:threadedComment>
  <x18tc:threadedComment ref="V163" dT="2024-11-04T17:41:37.00" personId="{d5498dd3-4a64-46ce-9a8a-c831885a0249}" id="{fb3d57bf-5fe6-49c4-bd2f-e9d5b291b16c}" done="1">
    <x18tc:text xml:space="preserve">11/04 Iván couldn't get to an agreement on the mediation, we are going to continue negotiation, claim closed as per carrier info (CM)</x18tc:text>
  </x18tc:threadedComment>
  <x18tc:threadedComment ref="P212" dT="2024-11-04T18:03:40.00" personId="{d5498dd3-4a64-46ce-9a8a-c831885a0249}" id="{ea77fd74-ad56-46d9-bfc6-e9031067fb42}" done="1">
    <x18tc:text xml:space="preserve">10/22</x18tc:text>
  </x18tc:threadedComment>
  <x18tc:threadedComment ref="N258" dT="2024-11-06T01:32:53.00" personId="{651ebe9d-f120-479c-8376-36973fff1cc1}" id="{97dd5198-a430-4fa9-8670-88bba56dacf7}" done="0">
    <x18tc:text xml:space="preserve">11/05 Sent the estimate to Jose/Ivan for approval.</x18tc:text>
  </x18tc:threadedComment>
  <x18tc:threadedComment ref="N258" dT="2024-11-21T20:49:44.00" personId="{651ebe9d-f120-479c-8376-36973fff1cc1}" id="{e96518e4-1b46-4282-8cf8-1651c7458a75}" parentId="{97dd5198-a430-4fa9-8670-88bba56dacf7}">
    <x18tc:text xml:space="preserve">11/13 Jose approved the estimate</x18tc:text>
  </x18tc:threadedComment>
  <x18tc:threadedComment ref="P226" dT="2024-11-06T01:46:26.00" personId="{d5498dd3-4a64-46ce-9a8a-c831885a0249}" id="{9a226e09-759d-4fd5-8488-3d7b5f3814d9}" done="1">
    <x18tc:text xml:space="preserve">10/26 insp done</x18tc:text>
  </x18tc:threadedComment>
  <x18tc:threadedComment ref="V158" dT="2024-11-06T02:00:41.00" personId="{d5498dd3-4a64-46ce-9a8a-c831885a0249}" id="{ce748508-e787-4d04-8f12-485b7313fde1}" done="1">
    <x18tc:text xml:space="preserve">10/28 The panel is requesting two weeks from the inspection scheduled for 10/29 to schedule the mediation (CM)</x18tc:text>
  </x18tc:threadedComment>
  <x18tc:threadedComment ref="P158" dT="2024-11-06T02:00:52.00" personId="{d5498dd3-4a64-46ce-9a8a-c831885a0249}" id="{3f36fac2-be6f-4876-b090-a3518c41a211}" done="0">
    <x18tc:text xml:space="preserve">11/06</x18tc:text>
  </x18tc:threadedComment>
  <x18tc:threadedComment ref="M231" dT="2024-11-05T16:15:08.00" personId="{651ebe9d-f120-479c-8376-36973fff1cc1}" id="{01f5ca3b-e148-44c3-b60d-85a27355609f}" done="0">
    <x18tc:text xml:space="preserve">11/05 Sent estimate to DA and client. No picture file</x18tc:text>
  </x18tc:threadedComment>
  <x18tc:threadedComment ref="M238" dT="2024-11-05T16:21:57.00" personId="{651ebe9d-f120-479c-8376-36973fff1cc1}" id="{2c703b1d-fa74-40e5-b74e-e46f19a0c517}" done="0">
    <x18tc:text xml:space="preserve">11/05 Sent the estimate and picture file to the DA and client</x18tc:text>
  </x18tc:threadedComment>
  <x18tc:threadedComment ref="N251" dT="2024-11-05T17:29:42.00" personId="{651ebe9d-f120-479c-8376-36973fff1cc1}" id="{6a1a274f-2a75-4e5e-9cdd-f2173e004578}" done="0">
    <x18tc:text xml:space="preserve">11/05 Sent the estimate to Angie for approval.</x18tc:text>
  </x18tc:threadedComment>
  <x18tc:threadedComment ref="N251" dT="2024-11-21T20:03:25.00" personId="{651ebe9d-f120-479c-8376-36973fff1cc1}" id="{c8313f10-9600-4aa0-817b-fc9e4fc54d4c}" parentId="{6a1a274f-2a75-4e5e-9cdd-f2173e004578}">
    <x18tc:text xml:space="preserve">11/19 aprobado por angie</x18tc:text>
  </x18tc:threadedComment>
  <x18tc:threadedComment ref="N201" dT="2024-11-06T17:26:31.00" personId="{651ebe9d-f120-479c-8376-36973fff1cc1}" id="{c4b091dd-fd1f-42cc-b417-86fb61101dc1}" done="0">
    <x18tc:text xml:space="preserve">11/06 Sent the estimate to Peter for approval</x18tc:text>
  </x18tc:threadedComment>
  <x18tc:threadedComment ref="N201" dT="2024-11-07T18:22:15.00" personId="{651ebe9d-f120-479c-8376-36973fff1cc1}" id="{c159feee-7732-4cb5-abe9-90f025679b21}" parentId="{c4b091dd-fd1f-42cc-b417-86fb61101dc1}">
    <x18tc:text xml:space="preserve">11/07 Peter approved</x18tc:text>
  </x18tc:threadedComment>
  <x18tc:threadedComment ref="O184" dT="2024-11-06T17:36:16.00" personId="{651ebe9d-f120-479c-8376-36973fff1cc1}" id="{6c13a310-0db3-42fd-8903-aa325787e255}" done="1">
    <x18tc:text xml:space="preserve">11/06 pedi a Juan enviar estimado.</x18tc:text>
  </x18tc:threadedComment>
  <x18tc:threadedComment ref="P249" dT="2024-11-06T20:10:29.00" personId="{d5498dd3-4a64-46ce-9a8a-c831885a0249}" id="{a4782d46-a115-4bfe-8815-3337c9721c86}" done="1">
    <x18tc:text xml:space="preserve">11/05</x18tc:text>
  </x18tc:threadedComment>
  <x18tc:threadedComment ref="V150" dT="2024-11-07T14:44:01.00" personId="{d5498dd3-4a64-46ce-9a8a-c831885a0249}" id="{a27fc542-7125-4f35-aea6-576c4da96189}" done="1">
    <x18tc:text xml:space="preserve">11/04 Sent to Juan, Stephen's contract to get it signed by the insured (CM)</x18tc:text>
  </x18tc:threadedComment>
  <x18tc:threadedComment ref="V150" dT="2024-11-08T16:08:05.00" personId="{d5498dd3-4a64-46ce-9a8a-c831885a0249}" id="{17adffb2-c375-4625-accb-c3f74e15ba74}" parentId="{a27fc542-7125-4f35-aea6-576c4da96189}">
    <x18tc:text xml:space="preserve">11/08 asked Juan if the client has signed the appraisal agreement (CM)</x18tc:text>
  </x18tc:threadedComment>
  <x18tc:threadedComment ref="V230" dT="2024-11-07T14:47:23.00" personId="{d5498dd3-4a64-46ce-9a8a-c831885a0249}" id="{143e3f88-5910-4024-b7d4-faeb2883b666}" done="1">
    <x18tc:text xml:space="preserve">11/06 DA sent an autorization form and spol to be filled out, asked PAs if they want me to complete the authorization form for the bank (CM)</x18tc:text>
  </x18tc:threadedComment>
  <x18tc:threadedComment ref="V230" dT="2024-11-27T20:15:33.00" personId="{d5498dd3-4a64-46ce-9a8a-c831885a0249}" id="{fe271e01-158e-44f1-9ffe-1891949c27e4}" parentId="{143e3f88-5910-4024-b7d4-faeb2883b666}">
    <x18tc:text xml:space="preserve">11/26 Received the denial letter, sent to PAs and asked JP to send our estimate (CM)</x18tc:text>
  </x18tc:threadedComment>
  <x18tc:threadedComment ref="V236" dT="2024-11-07T15:01:26.00" personId="{d5498dd3-4a64-46ce-9a8a-c831885a0249}" id="{cb220d4b-fcb8-40ad-bd9e-0a4f45995dfa}" done="1">
    <x18tc:text xml:space="preserve">11/07 called DA asked for the payment letter and a copy of the IA report, he informed that the deductible is 8.8k, depreceitation 7.9 total check will be for 29.8k, informed PAs (CM)</x18tc:text>
  </x18tc:threadedComment>
  <x18tc:threadedComment ref="P228" dT="2024-11-08T02:21:46.00" personId="{d5498dd3-4a64-46ce-9a8a-c831885a0249}" id="{379044df-0b5f-4602-b79c-0222b86d046e}" done="1">
    <x18tc:text xml:space="preserve">insp on 10/15</x18tc:text>
  </x18tc:threadedComment>
  <x18tc:threadedComment ref="A194" dT="2024-11-07T16:18:27.00" personId="{d5498dd3-4a64-46ce-9a8a-c831885a0249}" id="{756c4af1-689d-4cca-915e-07e893486f9d}" done="1">
    <x18tc:text xml:space="preserve">11/07 requested mediation (CM)</x18tc:text>
  </x18tc:threadedComment>
  <x18tc:threadedComment ref="A1" dT="2024-11-07T16:24:55.00" personId="{d5498dd3-4a64-46ce-9a8a-c831885a0249}" id="{fd427bb0-499c-4dee-ada2-9630cb0b3d07}" done="1">
    <x18tc:text xml:space="preserve">11/05 Iván informs they didn't get to an agreement on the mediation, waiting for futher intructions (CM)</x18tc:text>
  </x18tc:threadedComment>
  <x18tc:threadedComment ref="V210" dT="2024-11-07T16:48:12.00" personId="{d5498dd3-4a64-46ce-9a8a-c831885a0249}" id="{c4b8e247-0ec1-4b75-8c38-c5b02629cb56}" done="1">
    <x18tc:text xml:space="preserve">11/07 DA says he reiterates his coverage decision, sent to PA's asked how to proceed (CM)</x18tc:text>
  </x18tc:threadedComment>
  <x18tc:threadedComment ref="N252" dT="2024-11-07T17:18:06.00" personId="{651ebe9d-f120-479c-8376-36973fff1cc1}" id="{0a6a9958-7011-4b5d-80d7-f4c5edfdc64a}" done="0">
    <x18tc:text xml:space="preserve">11/07 Sent the estimate to Joshua for review.</x18tc:text>
  </x18tc:threadedComment>
  <x18tc:threadedComment ref="N252" dT="2024-11-08T17:23:44.00" personId="{651ebe9d-f120-479c-8376-36973fff1cc1}" id="{3e3a3058-3c76-48fc-9237-b0eca357e310}" parentId="{0a6a9958-7011-4b5d-80d7-f4c5edfdc64a}">
    <x18tc:text xml:space="preserve">11/07 Joshua approved the estimate.</x18tc:text>
  </x18tc:threadedComment>
  <x18tc:threadedComment ref="V172" dT="2024-11-07T17:33:58.00" personId="{d5498dd3-4a64-46ce-9a8a-c831885a0249}" id="{a7ad0f80-58c8-4626-9876-4f65265eec2f}" done="1">
    <x18tc:text xml:space="preserve">11/04 carrier rejected the mediation with mediator, and is asking to do a EUO (CM)</x18tc:text>
  </x18tc:threadedComment>
  <x18tc:threadedComment ref="A1" dT="2024-11-07T18:05:57.00" personId="{d5498dd3-4a64-46ce-9a8a-c831885a0249}" id="{5ddc0a52-9d44-4534-908f-7e6d893cf2b2}" done="0">
    <x18tc:text xml:space="preserve">11/06 DA informed that this claim is closed, they have settled with lawyers, PAs are cc'd, all the documentation is uploaded (CM)</x18tc:text>
  </x18tc:threadedComment>
  <x18tc:threadedComment ref="M201" dT="2024-11-07T18:26:25.00" personId="{651ebe9d-f120-479c-8376-36973fff1cc1}" id="{67738738-3c8f-4b10-928a-1d883e7dc36f}" done="0">
    <x18tc:text xml:space="preserve">11/07 Sent estimate and picture file to the carrier.</x18tc:text>
  </x18tc:threadedComment>
  <x18tc:threadedComment ref="A1" dT="2024-11-07T19:19:56.00" personId="{d5498dd3-4a64-46ce-9a8a-c831885a0249}" id="{8f13fb7f-ea24-4882-a352-ccb2751a3b4c}" done="0">
    <x18tc:text xml:space="preserve">12/30</x18tc:text>
  </x18tc:threadedComment>
  <x18tc:threadedComment ref="P217" dT="2024-11-08T17:54:32.00" personId="{d5498dd3-4a64-46ce-9a8a-c831885a0249}" id="{b7101222-7a55-42f7-a4d2-209efa6795a3}" done="1">
    <x18tc:text xml:space="preserve">Inspection will be on 11/11 (CM)</x18tc:text>
  </x18tc:threadedComment>
  <x18tc:threadedComment ref="P219" dT="2024-11-08T17:58:05.00" personId="{d5498dd3-4a64-46ce-9a8a-c831885a0249}" id="{f493d419-92d2-41b0-9b93-9f4696d0bca0}" done="1">
    <x18tc:text xml:space="preserve">12/02</x18tc:text>
  </x18tc:threadedComment>
  <x18tc:threadedComment ref="V212" dT="2024-11-08T17:46:22.00" personId="{d5498dd3-4a64-46ce-9a8a-c831885a0249}" id="{2a841f66-105f-466f-b360-7a0841f2419c}" done="1">
    <x18tc:text xml:space="preserve">11/08 Received a call from DA saying they are going to send a denial (CM)</x18tc:text>
  </x18tc:threadedComment>
  <x18tc:threadedComment ref="P214" dT="2024-11-08T17:47:28.00" personId="{d5498dd3-4a64-46ce-9a8a-c831885a0249}" id="{0e003c9e-f998-4b01-82ec-6f542938f416}" done="1">
    <x18tc:text xml:space="preserve">Inspection will be on 11/13 (CM)</x18tc:text>
  </x18tc:threadedComment>
  <x18tc:threadedComment ref="P215" dT="2024-11-08T17:50:12.00" personId="{d5498dd3-4a64-46ce-9a8a-c831885a0249}" id="{dec9df73-f092-4fe1-84b1-4cde39014c22}" done="1">
    <x18tc:text xml:space="preserve">Inspection will be on 11/12 (CM)</x18tc:text>
  </x18tc:threadedComment>
  <x18tc:threadedComment ref="P216" dT="2024-11-08T17:51:53.00" personId="{d5498dd3-4a64-46ce-9a8a-c831885a0249}" id="{b1efb86a-24c7-4bc1-948d-90fddbd9b64c}" done="1">
    <x18tc:text xml:space="preserve">insp 11/08</x18tc:text>
  </x18tc:threadedComment>
  <x18tc:threadedComment ref="P229" dT="2024-11-08T18:32:39.00" personId="{d5498dd3-4a64-46ce-9a8a-c831885a0249}" id="{8b8bbe5e-d2da-442b-97c9-2723c0766f5f}" done="1">
    <x18tc:text xml:space="preserve">insp 11/06</x18tc:text>
  </x18tc:threadedComment>
  <x18tc:threadedComment ref="P232" dT="2024-11-08T18:38:53.00" personId="{d5498dd3-4a64-46ce-9a8a-c831885a0249}" id="{b08c5b96-9fd6-4e20-8a57-8d5a403660db}" done="1">
    <x18tc:text xml:space="preserve">inspection 11/07 (CM)</x18tc:text>
  </x18tc:threadedComment>
  <x18tc:threadedComment ref="P233" dT="2024-11-08T18:39:39.00" personId="{d5498dd3-4a64-46ce-9a8a-c831885a0249}" id="{aba7cd76-2be7-43ed-98a6-f8bb97016fd6}" done="0">
    <x18tc:text xml:space="preserve">01/27</x18tc:text>
  </x18tc:threadedComment>
  <x18tc:threadedComment ref="P220" dT="2024-11-08T18:05:20.00" personId="{d5498dd3-4a64-46ce-9a8a-c831885a0249}" id="{3b4e2850-c8c1-4314-97fa-ece728a4a1d4}" done="1">
    <x18tc:text xml:space="preserve">Inspection been scheduled for 11/07 (CM)</x18tc:text>
  </x18tc:threadedComment>
  <x18tc:threadedComment ref="P221" dT="2024-11-08T18:05:54.00" personId="{d5498dd3-4a64-46ce-9a8a-c831885a0249}" id="{442f2488-8599-40ec-8bcf-956c8b024780}" done="1">
    <x18tc:text xml:space="preserve">11/26</x18tc:text>
  </x18tc:threadedComment>
  <x18tc:threadedComment ref="P223" dT="2024-11-08T18:08:49.00" personId="{d5498dd3-4a64-46ce-9a8a-c831885a0249}" id="{a6992199-bbaa-4dd0-9c1c-928abda64cc9}" done="0">
    <x18tc:text xml:space="preserve">11/08 DA informs that he has received the estimate, that is under review (CM)</x18tc:text>
  </x18tc:threadedComment>
  <x18tc:threadedComment ref="P224" dT="2024-11-08T18:20:28.00" personId="{d5498dd3-4a64-46ce-9a8a-c831885a0249}" id="{18e4ab3b-7d2d-4c9b-ab5f-661aa3906838}" done="1">
    <x18tc:text xml:space="preserve">Inspection will be on 11/07 (CM)</x18tc:text>
  </x18tc:threadedComment>
  <x18tc:threadedComment ref="P234" dT="2024-11-08T18:39:43.00" personId="{d5498dd3-4a64-46ce-9a8a-c831885a0249}" id="{59321c6b-eed0-4fd1-a689-a67b9a94d754}" done="1">
    <x18tc:text xml:space="preserve">11/04 insp</x18tc:text>
  </x18tc:threadedComment>
  <x18tc:threadedComment ref="V207" dT="2024-11-08T19:04:27.00" personId="{d5498dd3-4a64-46ce-9a8a-c831885a0249}" id="{66ee59dd-94da-4686-bb93-751da2c777ad}" done="1">
    <x18tc:text xml:space="preserve">11/08 received the determination letter and IA report, asked JP to review and send our estimate (CM)</x18tc:text>
  </x18tc:threadedComment>
  <x18tc:threadedComment ref="V212" dT="2024-11-08T19:11:54.00" personId="{d5498dd3-4a64-46ce-9a8a-c831885a0249}" id="{68d2dbde-817c-4efa-9ef2-ad9821f49392}" done="1">
    <x18tc:text xml:space="preserve">11/08 received the denial letter, the IA report, sent to Pas asked how to proceed, asked JP to send our estimate (CM)</x18tc:text>
  </x18tc:threadedComment>
  <x18tc:threadedComment ref="V212" dT="2024-11-15T15:04:39.00" personId="{d5498dd3-4a64-46ce-9a8a-c831885a0249}" id="{5878ca38-03d3-4deb-ba5a-e45254b4567d}" parentId="{68d2dbde-817c-4efa-9ef2-ad9821f49392}">
    <x18tc:text xml:space="preserve">11/15 Iván will correct the estimate with JP then he will request mediation (CM)</x18tc:text>
  </x18tc:threadedComment>
  <x18tc:threadedComment ref="V179" dT="2024-11-08T16:04:50.00" personId="{d5498dd3-4a64-46ce-9a8a-c831885a0249}" id="{4835792c-c2bb-402b-afbb-ef97113103ae}" done="1">
    <x18tc:text xml:space="preserve">11/08 Citizens informs that they have received the funds back so they are no reissuing the check, informed Rachel, asked Juan if she has sign the appraisal agreement (CM)</x18tc:text>
  </x18tc:threadedComment>
  <x18tc:threadedComment ref="A1" dT="2024-11-08T17:11:58.00" personId="{d5498dd3-4a64-46ce-9a8a-c831885a0249}" id="{c8dd9f0e-def5-4535-9832-4d8443c3b8e0}" done="0">
    <x18tc:text xml:space="preserve">01/23</x18tc:text>
  </x18tc:threadedComment>
  <x18tc:threadedComment ref="V90" dT="2024-11-08T16:54:03.00" personId="{d5498dd3-4a64-46ce-9a8a-c831885a0249}" id="{d4b8e2d5-89ef-4639-bd15-89f6f549cd14}" done="1">
    <x18tc:text xml:space="preserve">10/31 left a VM to the SPV asking for a determination, SPV called he said that as per his review everything is ok, he has message the DA asking to contact us, he mentioned that our estimate was kind of crazy because the floor was damaged but we want to change the wall and the ceiling (CM)</x18tc:text>
  </x18tc:threadedComment>
  <x18tc:threadedComment ref="A1" dT="2024-11-08T16:56:41.00" personId="{d5498dd3-4a64-46ce-9a8a-c831885a0249}" id="{b891e736-41b6-438f-9ae7-812271679934}" done="0">
    <x18tc:text xml:space="preserve">11/14</x18tc:text>
  </x18tc:threadedComment>
  <x18tc:threadedComment ref="V140" dT="2024-11-08T16:59:17.00" personId="{d5498dd3-4a64-46ce-9a8a-c831885a0249}" id="{c8b2166a-608c-4f4b-bd76-d9d6e661b8eb}" done="1">
    <x18tc:text xml:space="preserve">11/06 they are sending a 2.4k payment informed PAs (CM)</x18tc:text>
  </x18tc:threadedComment>
  <x18tc:threadedComment ref="V140" dT="2024-11-15T17:17:53.00" personId="{d5498dd3-4a64-46ce-9a8a-c831885a0249}" id="{7c73a75f-6e34-4ffc-8f85-96453834bead}" parentId="{c8b2166a-608c-4f4b-bd76-d9d6e661b8eb}">
    <x18tc:text xml:space="preserve">11/15 Peter is trying to negotiate with the DA (CM)</x18tc:text>
  </x18tc:threadedComment>
  <x18tc:threadedComment ref="V146" dT="2024-11-08T17:03:25.00" personId="{d5498dd3-4a64-46ce-9a8a-c831885a0249}" id="{d15338bc-edf4-4251-9088-f1a36f202755}" done="1">
    <x18tc:text xml:space="preserve">11/19 Peter is negotiating this claim for 10k (CM)</x18tc:text>
  </x18tc:threadedComment>
  <x18tc:threadedComment ref="V182" dT="2024-11-08T17:20:58.00" personId="{d5498dd3-4a64-46ce-9a8a-c831885a0249}" id="{af60a781-c0ab-4e94-99e1-e4509f0dc7da}" done="1">
    <x18tc:text xml:space="preserve">11/08 Sent to Jakey the appraisal agreement to be signed by the client (CM)</x18tc:text>
  </x18tc:threadedComment>
  <x18tc:threadedComment ref="V242" dT="2024-11-11T22:36:06.00" personId="{d5498dd3-4a64-46ce-9a8a-c831885a0249}" id="{0324061d-389e-4767-85a1-146c128f4113}" done="1">
    <x18tc:text xml:space="preserve">11/11 received an email saying that this is under deductible, asked for a copy of the IA report and the policy (CM)</x18tc:text>
  </x18tc:threadedComment>
  <x18tc:threadedComment ref="V242" dT="2024-11-13T01:39:17.00" personId="{d5498dd3-4a64-46ce-9a8a-c831885a0249}" id="{c5b2d241-3942-4ce3-be79-d5ac006c5a58}" parentId="{0324061d-389e-4767-85a1-146c128f4113}">
    <x18tc:text xml:space="preserve">11/12 DA says is the IA is work privilage (CM)</x18tc:text>
  </x18tc:threadedComment>
  <x18tc:threadedComment ref="A1" dT="2024-11-11T22:47:52.00" personId="{d5498dd3-4a64-46ce-9a8a-c831885a0249}" id="{c26712a5-22ec-47bb-9bef-25cf7ceff098}" done="0">
    <x18tc:text xml:space="preserve">01/02</x18tc:text>
  </x18tc:threadedComment>
  <x18tc:threadedComment ref="P242" dT="2024-11-11T22:48:12.00" personId="{d5498dd3-4a64-46ce-9a8a-c831885a0249}" id="{4a80ced4-7a1e-49a8-baa0-c907cf72edf6}" done="1">
    <x18tc:text xml:space="preserve">11/11 under deductible asked for IA</x18tc:text>
  </x18tc:threadedComment>
  <x18tc:threadedComment ref="P266" dT="2024-11-11T01:21:21.00" personId="{d5498dd3-4a64-46ce-9a8a-c831885a0249}" id="{c2113ee9-d71f-4e70-afdc-86cd37bd838e}" done="1">
    <x18tc:text xml:space="preserve">11/11 DA informs that an inspection was already done, he will send the estimate once ready (CM)</x18tc:text>
  </x18tc:threadedComment>
  <x18tc:threadedComment ref="N244" dT="2024-11-09T12:20:15.00" personId="{651ebe9d-f120-479c-8376-36973fff1cc1}" id="{1462f5d4-9866-43f9-80a1-c6f98460441b}" done="0">
    <x18tc:text xml:space="preserve">11/09 Sent estimate to Johua for review.</x18tc:text>
  </x18tc:threadedComment>
  <x18tc:threadedComment ref="N244" dT="2024-11-21T13:56:36.00" personId="{651ebe9d-f120-479c-8376-36973fff1cc1}" id="{6c3bbc40-725b-4c4b-976f-eb46f1aea1aa}" parentId="{1462f5d4-9866-43f9-80a1-c6f98460441b}">
    <x18tc:text xml:space="preserve">11/11 Joshua approved the estimate</x18tc:text>
  </x18tc:threadedComment>
  <x18tc:threadedComment ref="P249" dT="2024-11-11T02:38:28.00" personId="{d5498dd3-4a64-46ce-9a8a-c831885a0249}" id="{b0fd2422-fe6a-4860-8afb-3dd7bb552f2f}" done="1">
    <x18tc:text xml:space="preserve">insp will be 11/13</x18tc:text>
  </x18tc:threadedComment>
  <x18tc:threadedComment ref="V227" dT="2024-11-11T02:48:39.00" personId="{d5498dd3-4a64-46ce-9a8a-c831885a0249}" id="{9c3b3981-6bae-4251-b167-7ea6251e5634}" done="1">
    <x18tc:text xml:space="preserve">11/11 received a unidsputted payment for 15k, the IA report, asked Juan to send our estimate and JP to review the IA report before sending it (CM)</x18tc:text>
  </x18tc:threadedComment>
  <x18tc:threadedComment ref="N262" dT="2024-11-10T14:19:39.00" personId="{651ebe9d-f120-479c-8376-36973fff1cc1}" id="{c29baf42-732d-4094-b707-7dab1c637bf0}" done="0">
    <x18tc:text xml:space="preserve">11/10 Sent estimate to Joshua for review</x18tc:text>
  </x18tc:threadedComment>
  <x18tc:threadedComment ref="N262" dT="2024-11-20T21:57:02.00" personId="{651ebe9d-f120-479c-8376-36973fff1cc1}" id="{a4e8d5ac-a850-4d28-b48e-51f262dc440a}" parentId="{c29baf42-732d-4094-b707-7dab1c637bf0}">
    <x18tc:text xml:space="preserve">11/11 Juan approved the estimate</x18tc:text>
  </x18tc:threadedComment>
  <x18tc:threadedComment ref="V178" dT="2024-11-12T15:29:05.00" personId="{d5498dd3-4a64-46ce-9a8a-c831885a0249}" id="{f5f113f1-f5ef-493c-b5a1-d981bc253cf9}" done="1">
    <x18tc:text xml:space="preserve">ask if they got to an agreement on mediation</x18tc:text>
  </x18tc:threadedComment>
  <x18tc:threadedComment ref="V223" dT="2024-11-12T15:53:59.00" personId="{d5498dd3-4a64-46ce-9a8a-c831885a0249}" id="{1de548d9-b414-4d47-9fef-2bcc4281c1b0}" done="1">
    <x18tc:text xml:space="preserve">11/12 recieved a determination letter, they are issuimg 2 checks, and the IA report, asked JP to send our estimate (CM)</x18tc:text>
  </x18tc:threadedComment>
  <x18tc:threadedComment ref="M236" dT="2024-11-13T01:32:02.00" personId="{d5498dd3-4a64-46ce-9a8a-c831885a0249}" id="{764bf579-8f1d-497c-9d7a-a8d5b1dd687b}" done="0">
    <x18tc:text xml:space="preserve">revisar IA y mandar nuestro estimado</x18tc:text>
  </x18tc:threadedComment>
  <x18tc:threadedComment ref="M236" dT="2024-12-05T16:27:41.00" personId="{651ebe9d-f120-479c-8376-36973fff1cc1}" id="{11edfb31-8218-4932-add2-4af71acc4810}" parentId="{764bf579-8f1d-497c-9d7a-a8d5b1dd687b}">
    <x18tc:text xml:space="preserve">12/05 sent to the carrier</x18tc:text>
  </x18tc:threadedComment>
  <x18tc:threadedComment ref="M236" dT="2024-12-06T17:31:59.00" personId="{651ebe9d-f120-479c-8376-36973fff1cc1}" id="{571144ee-9f8d-4d8c-8d0f-30c6bbfb1d7b}" parentId="{764bf579-8f1d-497c-9d7a-a8d5b1dd687b}">
    <x18tc:text xml:space="preserve">12/06 Sent the correct estimate to carrier, it was a mistake with date of loss and claim number.</x18tc:text>
  </x18tc:threadedComment>
  <x18tc:threadedComment ref="P246" dT="2024-11-13T01:59:30.00" personId="{d5498dd3-4a64-46ce-9a8a-c831885a0249}" id="{d3fd7ae5-4bfe-485f-9ea6-50e8ebf3b4fa}" done="1">
    <x18tc:text xml:space="preserve">11/07 was the insp and RS</x18tc:text>
  </x18tc:threadedComment>
  <x18tc:threadedComment ref="P248" dT="2024-11-13T02:00:30.00" personId="{d5498dd3-4a64-46ce-9a8a-c831885a0249}" id="{22955888-8d88-4c70-9c7d-ba26919a1ad2}" done="1">
    <x18tc:text xml:space="preserve">Inspection been scheduled for 11/08 (CM)</x18tc:text>
  </x18tc:threadedComment>
  <x18tc:threadedComment ref="P250" dT="2024-11-13T02:02:38.00" personId="{d5498dd3-4a64-46ce-9a8a-c831885a0249}" id="{445422b3-7c5d-481a-8291-b2f599da0c57}" done="1">
    <x18tc:text xml:space="preserve">Inspection been scheduled for 11/08 (CM)</x18tc:text>
  </x18tc:threadedComment>
  <x18tc:threadedComment ref="P237" dT="2024-11-13T01:33:54.00" personId="{d5498dd3-4a64-46ce-9a8a-c831885a0249}" id="{bd437fb3-9e58-4ad6-86e2-60def2448359}" done="1">
    <x18tc:text xml:space="preserve">inspection will be 11/13 (CM)</x18tc:text>
  </x18tc:threadedComment>
  <x18tc:threadedComment ref="P241" dT="2024-11-13T01:37:01.00" personId="{d5498dd3-4a64-46ce-9a8a-c831885a0249}" id="{4d1bac26-20a7-4099-98e4-f6b15f410ee6}" done="1">
    <x18tc:text xml:space="preserve">inspection will be 11/18 (CM)</x18tc:text>
  </x18tc:threadedComment>
  <x18tc:threadedComment ref="V246" dT="2024-11-13T01:50:29.00" personId="{d5498dd3-4a64-46ce-9a8a-c831885a0249}" id="{092484b0-1609-4bbe-9983-46403a9ed3e8}" done="1">
    <x18tc:text xml:space="preserve">11/12 asked Jaky to send the plumber invoince as per DA request (CM)</x18tc:text>
  </x18tc:threadedComment>
  <x18tc:threadedComment ref="V182" dT="2024-11-13T01:51:43.00" personId="{d5498dd3-4a64-46ce-9a8a-c831885a0249}" id="{2be967ae-b142-4921-bc44-f96d4e001601}" done="1">
    <x18tc:text xml:space="preserve">11/11 we have the appraisal agreement sign by the client (CM)</x18tc:text>
  </x18tc:threadedComment>
  <x18tc:threadedComment ref="P250" dT="2024-11-13T02:04:18.00" personId="{d5498dd3-4a64-46ce-9a8a-c831885a0249}" id="{760989c3-1347-4342-80f1-ea3e30740647}" done="1">
    <x18tc:text xml:space="preserve">Inspection been scheduled for 11/08 (CM)</x18tc:text>
  </x18tc:threadedComment>
  <x18tc:threadedComment ref="P251" dT="2024-11-13T02:04:28.00" personId="{d5498dd3-4a64-46ce-9a8a-c831885a0249}" id="{f3de9402-4290-428c-ad59-88b4876823c7}" done="1">
    <x18tc:text xml:space="preserve">Inspection been scheduled for 11/03 (CM)</x18tc:text>
  </x18tc:threadedComment>
  <x18tc:threadedComment ref="P256" dT="2024-11-13T02:13:16.00" personId="{d5498dd3-4a64-46ce-9a8a-c831885a0249}" id="{e5a543f9-3c68-41c6-b1d0-54241043c211}" done="1">
    <x18tc:text xml:space="preserve">insp done on 11/08 (CM)</x18tc:text>
  </x18tc:threadedComment>
  <x18tc:threadedComment ref="P259" dT="2024-11-13T02:16:55.00" personId="{d5498dd3-4a64-46ce-9a8a-c831885a0249}" id="{947048b2-9785-449a-a3fb-4671c5263aba}" done="1">
    <x18tc:text xml:space="preserve">12/19</x18tc:text>
  </x18tc:threadedComment>
  <x18tc:threadedComment ref="P260" dT="2024-11-13T02:16:59.00" personId="{d5498dd3-4a64-46ce-9a8a-c831885a0249}" id="{4ac102e2-6f45-4c5d-9c76-30cd20244721}" done="1">
    <x18tc:text xml:space="preserve">12/19</x18tc:text>
  </x18tc:threadedComment>
  <x18tc:threadedComment ref="P261" dT="2024-11-13T02:17:03.00" personId="{d5498dd3-4a64-46ce-9a8a-c831885a0249}" id="{f6c77bbb-e234-4082-8542-c15f07b424cb}" done="1">
    <x18tc:text xml:space="preserve">12/19</x18tc:text>
  </x18tc:threadedComment>
  <x18tc:threadedComment ref="P267" dT="2024-11-13T02:17:46.00" personId="{d5498dd3-4a64-46ce-9a8a-c831885a0249}" id="{6925eee7-168e-4f86-bee6-c52beac9b1f1}" done="1">
    <x18tc:text xml:space="preserve">insp will be 11/15 (CM)</x18tc:text>
  </x18tc:threadedComment>
  <x18tc:threadedComment ref="P268" dT="2024-11-13T02:17:50.00" personId="{d5498dd3-4a64-46ce-9a8a-c831885a0249}" id="{77fc585d-ef0d-4641-970c-be5e7759dccb}" done="1">
    <x18tc:text xml:space="preserve">insp will be 11/15 (CM)</x18tc:text>
  </x18tc:threadedComment>
  <x18tc:threadedComment ref="P269" dT="2024-11-13T02:17:54.00" personId="{d5498dd3-4a64-46ce-9a8a-c831885a0249}" id="{5659a4a5-6b18-42f5-a3bc-66df2af1a092}" done="1">
    <x18tc:text xml:space="preserve">insp will be 11/15 (CM)</x18tc:text>
  </x18tc:threadedComment>
  <x18tc:threadedComment ref="N264" dT="2024-11-13T12:46:28.00" personId="{651ebe9d-f120-479c-8376-36973fff1cc1}" id="{1ac5c1bc-786f-43d7-856d-b2d71bb0d1e4}" done="0">
    <x18tc:text xml:space="preserve">11/13 Sent the estimate to Joshua for review.</x18tc:text>
  </x18tc:threadedComment>
  <x18tc:threadedComment ref="V194" dT="2024-11-13T15:06:33.00" personId="{d5498dd3-4a64-46ce-9a8a-c831885a0249}" id="{9902ada4-5f52-4ae8-8ff7-4aef5182bb7f}" done="1">
    <x18tc:text xml:space="preserve">11/05 DA has declined the 19k offer she made on 10/30, asked I&amp;P how to proceed now as she says the claim is closed (CM)
11/13 Peter did a counteroffer for 45k (CM)</x18tc:text>
  </x18tc:threadedComment>
  <x18tc:threadedComment ref="V158" dT="2024-11-13T15:21:09.00" personId="{d5498dd3-4a64-46ce-9a8a-c831885a0249}" id="{be8b83be-4356-4ae8-86f7-e7b990a74870}" done="1">
    <x18tc:text xml:space="preserve">11/13 recieved a settlement release after the mediation for 18k, asked Iván if it is ok to send to the client (CM)</x18tc:text>
  </x18tc:threadedComment>
  <x18tc:threadedComment ref="N215" dT="2024-11-13T14:44:41.00" personId="{651ebe9d-f120-479c-8376-36973fff1cc1}" id="{95b1d843-f1d2-41ef-833c-390348022293}" done="0">
    <x18tc:text xml:space="preserve">11/13 Sent the estimate to David F. for review.</x18tc:text>
  </x18tc:threadedComment>
  <x18tc:threadedComment ref="N215" dT="2025-01-07T22:03:43.00" personId="{651ebe9d-f120-479c-8376-36973fff1cc1}" id="{4c9a4d05-6450-4536-87fc-e2c1c2f13d95}" parentId="{95b1d843-f1d2-41ef-833c-390348022293}">
    <x18tc:text xml:space="preserve">1/6/25 approved</x18tc:text>
  </x18tc:threadedComment>
  <x18tc:threadedComment ref="V158" dT="2024-11-13T15:50:31.00" personId="{d5498dd3-4a64-46ce-9a8a-c831885a0249}" id="{9563d407-a1f1-487e-a4cd-4ddba6d0f8c8}" done="1">
    <x18tc:text xml:space="preserve">11/13 recieved a settlement release after the mediation for 18k, asked Iván if it is ok to send to the client, he confirmed send it to the client (CM)</x18tc:text>
  </x18tc:threadedComment>
  <x18tc:threadedComment ref="A1" dT="2024-11-13T15:55:47.00" personId="{d5498dd3-4a64-46ce-9a8a-c831885a0249}" id="{b0e750b6-1dd8-4a6c-ab86-02820796bdd1}" done="1">
    <x18tc:text xml:space="preserve">11/13</x18tc:text>
  </x18tc:threadedComment>
  <x18tc:threadedComment ref="P255" dT="2024-11-13T15:55:53.00" personId="{d5498dd3-4a64-46ce-9a8a-c831885a0249}" id="{010e726f-dd36-4bfd-ad7b-b340f7a3b75d}" done="1">
    <x18tc:text xml:space="preserve">11/13</x18tc:text>
  </x18tc:threadedComment>
  <x18tc:threadedComment ref="A210" dT="2024-11-13T21:53:22.00" personId="{d5498dd3-4a64-46ce-9a8a-c831885a0249}" id="{417f38d7-ce41-4514-a23e-d369a612463d}" done="1">
    <x18tc:text xml:space="preserve">11/13 requested mediation via email and submitted online (CM) @scheduling@ipadjustinggroup.com @iandres.assistant@gmail.com</x18tc:text>
    <x18tc:mentions>
      <x18tc:mention mentionpersonId="{2c8ec519-d5db-42bb-a5e2-52abe8ff6abf}" mentionId="{5bd365d0-e118-44f3-84e7-dcc98d697a23}" startIndex="62" length="32"/>
      <x18tc:mention mentionpersonId="{8530a93b-c25c-4f0c-9adb-d8ddaa7bd49f}" mentionId="{9ef187da-ad58-40c6-93ea-002deb93705c}" startIndex="95" length="28"/>
    </x18tc:mentions>
  </x18tc:threadedComment>
  <x18tc:threadedComment ref="V213" dT="2024-11-13T22:02:15.00" personId="{d5498dd3-4a64-46ce-9a8a-c831885a0249}" id="{c4a8aed6-4eaa-42ce-8870-9fb7c2168a9e}" done="1">
    <x18tc:text xml:space="preserve">11/13 Peter is asking 75k for this claim (CM)</x18tc:text>
  </x18tc:threadedComment>
  <x18tc:threadedComment ref="V213" dT="2024-11-20T17:00:25.00" personId="{d5498dd3-4a64-46ce-9a8a-c831885a0249}" id="{edb54035-7844-4f2c-82aa-320722fe64f7}" parentId="{c4a8aed6-4eaa-42ce-8870-9fb7c2168a9e}">
    <x18tc:text xml:space="preserve">11/20 DA is offering 37k new money, she sent a correction for our estimate, sent to PAs, informed Peter via ws (CM)</x18tc:text>
  </x18tc:threadedComment>
  <x18tc:threadedComment ref="V213" dT="2024-12-09T03:38:09.00" personId="{d5498dd3-4a64-46ce-9a8a-c831885a0249}" id="{3ee907f7-be86-4c79-a6ac-ab1a8b6fe49a}" parentId="{c4a8aed6-4eaa-42ce-8870-9fb7c2168a9e}">
    <x18tc:text xml:space="preserve">12/09 DA is following up on 37k offer (CM)</x18tc:text>
  </x18tc:threadedComment>
  <x18tc:threadedComment ref="V213" dT="2024-12-17T16:55:53.00" personId="{d5498dd3-4a64-46ce-9a8a-c831885a0249}" id="{e5f453ac-0f61-49ef-93be-1a92d260a0fb}" parentId="{c4a8aed6-4eaa-42ce-8870-9fb7c2168a9e}">
    <x18tc:text xml:space="preserve">12/17 Peter did a counteroffer for 50k (CM)</x18tc:text>
  </x18tc:threadedComment>
  <x18tc:threadedComment ref="V213" dT="2025-01-15T14:53:55.00" personId="{d5498dd3-4a64-46ce-9a8a-c831885a0249}" id="{c8d1f552-e1d5-4d6f-8cf8-a37ccbc2c3fc}" parentId="{c4a8aed6-4eaa-42ce-8870-9fb7c2168a9e}">
    <x18tc:text xml:space="preserve">01/15 Peter did a counteroffer for 43.5 k (CM)</x18tc:text>
  </x18tc:threadedComment>
  <x18tc:threadedComment ref="A1" dT="2024-11-13T22:08:56.00" personId="{d5498dd3-4a64-46ce-9a8a-c831885a0249}" id="{a443e57d-f3be-4ec2-89bc-d4b953d78d80}" done="0">
    <x18tc:text xml:space="preserve">01/23</x18tc:text>
  </x18tc:threadedComment>
  <x18tc:threadedComment ref="V198" dT="2025-01-08T16:41:12.00" personId="{d5498dd3-4a64-46ce-9a8a-c831885a0249}" id="{70b6fdda-aef1-46d3-8d7c-80dcffa4978d}" done="1">
    <x18tc:text xml:space="preserve">01/08 received an email from DA saying that this claim was settled back in 2022, sent to PAs (CM)</x18tc:text>
  </x18tc:threadedComment>
  <x18tc:threadedComment ref="V301" dT="2025-01-08T16:45:35.00" personId="{d5498dd3-4a64-46ce-9a8a-c831885a0249}" id="{c2f06764-03a9-4db3-ba81-3148c007b111}" done="1">
    <x18tc:text xml:space="preserve">01/08 new DA called, and asked for the plumbing invice, asked I&amp;P via emai (CM)</x18tc:text>
  </x18tc:threadedComment>
  <x18tc:threadedComment ref="V301" dT="2025-01-23T14:30:13.00" personId="{d5498dd3-4a64-46ce-9a8a-c831885a0249}" id="{0092eb7c-2b4a-489a-835e-47ef7dbcefd0}" parentId="{c2f06764-03a9-4db3-ba81-3148c007b111}">
    <x18tc:text xml:space="preserve">01/22 DA is asking for the plumber's invoice again and is informing that there will be a engineer insp. informed Day and PAs (CM)</x18tc:text>
  </x18tc:threadedComment>
  <x18tc:threadedComment ref="A191" dT="2025-01-08T17:04:26.00" personId="{d5498dd3-4a64-46ce-9a8a-c831885a0249}" id="{897f33f4-c08f-44bd-80f7-22c992108c94}" done="1">
    <x18tc:text xml:space="preserve">01/08 carrier canceled the mediation said via email that they got to an agreement asked I&amp;P (CM)</x18tc:text>
  </x18tc:threadedComment>
  <x18tc:threadedComment ref="A1" dT="2025-01-08T19:46:19.00" personId="{d5498dd3-4a64-46ce-9a8a-c831885a0249}" id="{b67e6ebc-876c-43bc-b841-528807868d0e}" done="0">
    <x18tc:text xml:space="preserve">01/08</x18tc:text>
  </x18tc:threadedComment>
  <x18tc:threadedComment ref="O274" dT="2025-01-07T06:33:41.00" personId="{610be7ce-9288-4df9-9aac-427cc105bbe1}" id="{ffa82f37-b8b5-4ef6-aa8e-020830850234}" done="0">
    <x18tc:text xml:space="preserve">01/07 Ready just missing the est approved.</x18tc:text>
  </x18tc:threadedComment>
  <x18tc:threadedComment ref="O278" dT="2025-01-07T06:34:03.00" personId="{610be7ce-9288-4df9-9aac-427cc105bbe1}" id="{1e11ec60-b8b3-478d-beb4-a5b98e447e30}" done="0">
    <x18tc:text xml:space="preserve">01/07 Ready just missing to have the estimate amount.</x18tc:text>
  </x18tc:threadedComment>
  <x18tc:threadedComment ref="M215" dT="2025-01-07T22:11:20.00" personId="{651ebe9d-f120-479c-8376-36973fff1cc1}" id="{d6aca98a-0a1b-43da-8c04-e605329b0d9d}" done="0">
    <x18tc:text xml:space="preserve">1/7/25 sent to carrier</x18tc:text>
  </x18tc:threadedComment>
  <x18tc:threadedComment ref="M239" dT="2025-01-07T16:17:36.00" personId="{651ebe9d-f120-479c-8376-36973fff1cc1}" id="{a4acdbf9-88c2-4ec2-bf62-04070faa1610}" done="0">
    <x18tc:text xml:space="preserve">1/7/25 sent to carrier</x18tc:text>
  </x18tc:threadedComment>
  <x18tc:threadedComment ref="V254" dT="2025-01-07T15:33:24.00" personId="{d5498dd3-4a64-46ce-9a8a-c831885a0249}" id="{b63a9489-1217-4f8e-bbbb-57e6cb6ed72e}" done="1">
    <x18tc:text xml:space="preserve">01/07 asked PAs about their decision on this claim, to move forward they admited 18k(CM)</x18tc:text>
  </x18tc:threadedComment>
  <x18tc:threadedComment ref="V278" dT="2025-01-07T15:40:10.00" personId="{d5498dd3-4a64-46ce-9a8a-c831885a0249}" id="{9b5039ac-a072-46c8-b245-dbaac4f826b3}" done="1">
    <x18tc:text xml:space="preserve">01/07 sent the denial letter to PAs, asked them how to proceed (CM)</x18tc:text>
  </x18tc:threadedComment>
  <x18tc:threadedComment ref="M272" dT="2025-01-07T15:51:00.00" personId="{651ebe9d-f120-479c-8376-36973fff1cc1}" id="{ed1e0444-ac42-4e0a-aa03-edf7aa6a992f}" done="0">
    <x18tc:text xml:space="preserve">1/7/25 sent to DA</x18tc:text>
  </x18tc:threadedComment>
  <x18tc:threadedComment ref="M226" dT="2025-01-07T16:06:01.00" personId="{651ebe9d-f120-479c-8376-36973fff1cc1}" id="{6bc3a782-881e-4fe2-8447-b8dea3b0d7cb}" done="0">
    <x18tc:text xml:space="preserve">1/7/25 sent to DA</x18tc:text>
  </x18tc:threadedComment>
  <x18tc:threadedComment ref="M226" dT="2025-02-26T23:28:54.00" personId="{651ebe9d-f120-479c-8376-36973fff1cc1}" id="{a0aa132c-968b-44e6-9026-66b30f18f4bc}" parentId="{6bc3a782-881e-4fe2-8447-b8dea3b0d7cb}">
    <x18tc:text xml:space="preserve">2/26 sent an update to DA</x18tc:text>
  </x18tc:threadedComment>
  <x18tc:threadedComment ref="M226" dT="2025-05-30T14:16:20.00" personId="{651ebe9d-f120-479c-8376-36973fff1cc1}" id="{3661da1b-130a-4b3c-8c1e-65da75eaea58}" parentId="{6bc3a782-881e-4fe2-8447-b8dea3b0d7cb}">
    <x18tc:text xml:space="preserve">5/30 Juan pide hacer un update, bajando medidas del techo, sent.</x18tc:text>
  </x18tc:threadedComment>
  <x18tc:threadedComment ref="A1" dT="2025-01-07T16:59:10.00" personId="{d5498dd3-4a64-46ce-9a8a-c831885a0249}" id="{977df2e9-d48c-4820-9122-c9cc405f6d51}" done="0">
    <x18tc:text xml:space="preserve">01/23</x18tc:text>
  </x18tc:threadedComment>
  <x18tc:threadedComment ref="M214" dT="2025-01-07T17:42:11.00" personId="{651ebe9d-f120-479c-8376-36973fff1cc1}" id="{881f0f00-59ea-4086-a1bc-f3746db81c24}" done="0">
    <x18tc:text xml:space="preserve">1/7/25 uploaded</x18tc:text>
  </x18tc:threadedComment>
  <x18tc:threadedComment ref="M251" dT="2024-12-06T16:28:36.00" personId="{651ebe9d-f120-479c-8376-36973fff1cc1}" id="{31e0f388-87d3-45fd-a66f-707267aa7400}" done="0">
    <x18tc:text xml:space="preserve">12/06 sent to carrier</x18tc:text>
  </x18tc:threadedComment>
  <x18tc:threadedComment ref="M246" dT="2024-12-06T17:39:49.00" personId="{651ebe9d-f120-479c-8376-36973fff1cc1}" id="{cc44b7ba-8525-4e55-9809-6c6f8462d467}" done="1">
    <x18tc:text xml:space="preserve">12/06 sent to carrier</x18tc:text>
  </x18tc:threadedComment>
  <x18tc:threadedComment ref="D286" dT="2024-12-06T17:02:49.00" personId="{d5498dd3-4a64-46ce-9a8a-c831885a0249}" id="{41aadf19-7bb5-4331-b3d7-71954bcb62a1}" done="1">
    <x18tc:text xml:space="preserve">NEED TO UPLOAD DOCS TO CLAIMPATH</x18tc:text>
  </x18tc:threadedComment>
  <x18tc:threadedComment ref="M249" dT="2024-12-06T20:20:54.00" personId="{651ebe9d-f120-479c-8376-36973fff1cc1}" id="{7538b006-68d4-4f25-85c7-a68e7ed2c1e4}" done="0">
    <x18tc:text xml:space="preserve">12/06 sent to carrier</x18tc:text>
  </x18tc:threadedComment>
  <x18tc:threadedComment ref="M277" dT="2024-12-03T14:42:01.00" personId="{651ebe9d-f120-479c-8376-36973fff1cc1}" id="{3674d97f-0548-4a98-92ae-6902904d3605}" done="0">
    <x18tc:text xml:space="preserve">12/3 Sent the estimate to carrier and client</x18tc:text>
  </x18tc:threadedComment>
  <x18tc:threadedComment ref="M277" dT="2025-02-28T19:43:50.00" personId="{651ebe9d-f120-479c-8376-36973fff1cc1}" id="{5bf86f0c-b365-424c-a841-97df4255e5a3}" parentId="{3674d97f-0548-4a98-92ae-6902904d3605}">
    <x18tc:text xml:space="preserve">2/28/25 sent an update to carrrier</x18tc:text>
  </x18tc:threadedComment>
  <x18tc:threadedComment ref="N236" dT="2024-12-03T14:13:17.00" personId="{651ebe9d-f120-479c-8376-36973fff1cc1}" id="{2b7a82d5-a04c-4714-8f14-dd0db4c96165}" done="0">
    <x18tc:text xml:space="preserve">12/3 Joshua pidio agregar garage door y cambiar policy number del estimado anterior, enviado para revision</x18tc:text>
  </x18tc:threadedComment>
  <x18tc:threadedComment ref="N236" dT="2024-12-05T16:19:21.00" personId="{651ebe9d-f120-479c-8376-36973fff1cc1}" id="{13a1b4d2-3e8c-413e-88c5-377326d64a81}" parentId="{2b7a82d5-a04c-4714-8f14-dd0db4c96165}">
    <x18tc:text xml:space="preserve">12/05 Joshua approved the estimate</x18tc:text>
  </x18tc:threadedComment>
  <x18tc:threadedComment ref="M227" dT="2024-12-03T14:29:12.00" personId="{651ebe9d-f120-479c-8376-36973fff1cc1}" id="{58c2236d-2dc9-48dc-b29d-06a02ef6607e}" done="0">
    <x18tc:text xml:space="preserve">12/3 Sent to carrier</x18tc:text>
  </x18tc:threadedComment>
  <x18tc:threadedComment ref="N272" dT="2024-11-20T12:37:49.00" personId="{651ebe9d-f120-479c-8376-36973fff1cc1}" id="{607bde54-c96e-4d7b-b7b9-be05c50ee4e9}" done="0">
    <x18tc:text xml:space="preserve">11/20 Sent to Juan for review</x18tc:text>
  </x18tc:threadedComment>
  <x18tc:threadedComment ref="N272" dT="2024-12-04T13:47:59.00" personId="{651ebe9d-f120-479c-8376-36973fff1cc1}" id="{6917d49b-816b-41f6-8799-ae58264f87b0}" parentId="{607bde54-c96e-4d7b-b7b9-be05c50ee4e9}">
    <x18tc:text xml:space="preserve">11/25 Juan approved the estimate</x18tc:text>
  </x18tc:threadedComment>
  <x18tc:threadedComment ref="N273" dT="2024-11-20T15:17:43.00" personId="{651ebe9d-f120-479c-8376-36973fff1cc1}" id="{24434d38-66ab-4968-916e-d7cec7410820}" done="0">
    <x18tc:text xml:space="preserve">1/20 Sent the estimate to Juan</x18tc:text>
  </x18tc:threadedComment>
  <x18tc:threadedComment ref="N273" dT="2024-12-04T13:48:45.00" personId="{651ebe9d-f120-479c-8376-36973fff1cc1}" id="{568319b5-2604-4db2-ae30-d5d144b7e75f}" parentId="{24434d38-66ab-4968-916e-d7cec7410820}">
    <x18tc:text xml:space="preserve">12/4 sent to Juan an update</x18tc:text>
  </x18tc:threadedComment>
  <x18tc:threadedComment ref="N273" dT="2025-01-20T17:34:15.00" personId="{651ebe9d-f120-479c-8376-36973fff1cc1}" id="{01b4df91-77ae-4623-8234-8facced02ca8}" parentId="{24434d38-66ab-4968-916e-d7cec7410820}">
    <x18tc:text xml:space="preserve">1/17 juan approved</x18tc:text>
  </x18tc:threadedComment>
  <x18tc:threadedComment ref="N243" dT="2024-11-23T17:13:41.00" personId="{651ebe9d-f120-479c-8376-36973fff1cc1}" id="{763c4bda-5a17-4218-8f84-0e24d916cb62}" done="0">
    <x18tc:text xml:space="preserve">11/23 Sent to Jakey</x18tc:text>
  </x18tc:threadedComment>
  <x18tc:threadedComment ref="N243" dT="2024-11-25T14:56:03.00" personId="{651ebe9d-f120-479c-8376-36973fff1cc1}" id="{6262bcc4-0101-4efe-bbf0-01eb51c38db8}" parentId="{763c4bda-5a17-4218-8f84-0e24d916cb62}">
    <x18tc:text xml:space="preserve">11/23 Jakey approved</x18tc:text>
  </x18tc:threadedComment>
  <x18tc:threadedComment ref="M242" dT="2024-11-25T14:52:25.00" personId="{651ebe9d-f120-479c-8376-36973fff1cc1}" id="{5ce73669-17b2-46fd-9813-64e3c31e5686}" done="0">
    <x18tc:text xml:space="preserve">11/25 sent to DA</x18tc:text>
  </x18tc:threadedComment>
  <x18tc:threadedComment ref="A1" dT="2024-11-25T16:12:57.00" personId="{d5498dd3-4a64-46ce-9a8a-c831885a0249}" id="{6c1f4525-5714-4e4f-bd5e-696a7624188a}" done="0">
    <x18tc:text xml:space="preserve">01/17</x18tc:text>
  </x18tc:threadedComment>
  <x18tc:threadedComment ref="V218" dT="2024-11-25T16:28:27.00" personId="{d5498dd3-4a64-46ce-9a8a-c831885a0249}" id="{70654c14-76c5-4a3e-b7b9-d3aadff284e6}" done="1">
    <x18tc:text xml:space="preserve">11/25 Sent to JP the IA, asked him to send our estimate (CM)</x18tc:text>
  </x18tc:threadedComment>
  <x18tc:threadedComment ref="A1" dT="2024-11-25T15:04:23.00" personId="{651ebe9d-f120-479c-8376-36973fff1cc1}" id="{1daf8d58-060b-4db2-93c8-5373617c4c22}" done="0">
    <x18tc:text xml:space="preserve">11/25 sent to DA - 212 @admin@ipadjustinggroup.com</x18tc:text>
    <x18tc:mentions>
      <x18tc:mention mentionpersonId="{1ffc25a2-3f83-4ed1-a701-edf0aba99522}" mentionId="{a20efaee-fa36-472b-a115-b4609dba5000}" startIndex="23" length="27"/>
    </x18tc:mentions>
  </x18tc:threadedComment>
  <x18tc:threadedComment ref="A1" dT="2024-11-25T18:36:33.00" personId="{651ebe9d-f120-479c-8376-36973fff1cc1}" id="{5cbdad5e-da5a-4bde-b163-ba94e721a1cb}" done="0">
    <x18tc:text xml:space="preserve">11/25 Sent to Ivan</x18tc:text>
  </x18tc:threadedComment>
  <x18tc:threadedComment ref="M218" dT="2024-11-25T16:33:09.00" personId="{651ebe9d-f120-479c-8376-36973fff1cc1}" id="{9af0bbd1-c648-405a-8e15-c65bcc0893cd}" done="0">
    <x18tc:text xml:space="preserve">11/25 sent to carrier</x18tc:text>
  </x18tc:threadedComment>
  <x18tc:threadedComment ref="V224" dT="2024-11-25T17:20:54.00" personId="{d5498dd3-4a64-46ce-9a8a-c831885a0249}" id="{08d6a491-01f4-4593-b2a6-862a524d922d}" done="1">
    <x18tc:text xml:space="preserve">11/25 called DA asked for the IA report, she said the claim is under deductible, received the IA report, sent to PAs and asked JP to send our estimate (CM)</x18tc:text>
  </x18tc:threadedComment>
  <x18tc:threadedComment ref="A1" dT="2024-11-25T18:12:02.00" personId="{651ebe9d-f120-479c-8376-36973fff1cc1}" id="{5f738f3c-96d7-4312-b59e-b620d3ad600e}" done="0">
    <x18tc:text xml:space="preserve">11/25 Sent to Ivan</x18tc:text>
  </x18tc:threadedComment>
  <x18tc:threadedComment ref="N248" dT="2024-11-25T22:16:41.00" personId="{651ebe9d-f120-479c-8376-36973fff1cc1}" id="{87036704-4e4e-4e63-94a8-89a4de6022ac}" done="0">
    <x18tc:text xml:space="preserve">11/25 sent to Jose</x18tc:text>
  </x18tc:threadedComment>
  <x18tc:threadedComment ref="N248" dT="2024-12-04T15:02:49.00" personId="{651ebe9d-f120-479c-8376-36973fff1cc1}" id="{ff93b417-20d8-4d3a-a845-e845a603908b}" parentId="{87036704-4e4e-4e63-94a8-89a4de6022ac}">
    <x18tc:text xml:space="preserve">11/26 Jose approved the estimate</x18tc:text>
  </x18tc:threadedComment>
  <x18tc:threadedComment ref="A1" dT="2024-11-26T15:52:25.00" personId="{d5498dd3-4a64-46ce-9a8a-c831885a0249}" id="{686dd47b-6acc-47bc-b69c-85d9ab4e203b}" done="0">
    <x18tc:text xml:space="preserve">11/26</x18tc:text>
  </x18tc:threadedComment>
  <x18tc:threadedComment ref="V274" dT="2024-11-27T18:09:50.00" personId="{d5498dd3-4a64-46ce-9a8a-c831885a0249}" id="{ea6a4323-4e61-4f2a-9b47-26c058944f34}" done="1">
    <x18tc:text xml:space="preserve">11/27 recieved the determination letter and IA report, sent to PAs and Jp asked him to send our estimate (CM)</x18tc:text>
  </x18tc:threadedComment>
  <x18tc:threadedComment ref="V252" dT="2024-11-27T18:17:57.00" personId="{d5498dd3-4a64-46ce-9a8a-c831885a0249}" id="{e16f047a-a249-4da6-a029-edb1d25435b8}" done="1">
    <x18tc:text xml:space="preserve">11/27 recieved a letter in which they say they stand on their determination received on 11/22, asked PAs if they want to request mediaiton (CM)</x18tc:text>
  </x18tc:threadedComment>
  <x18tc:threadedComment ref="V262" dT="2024-11-27T18:43:08.00" personId="{d5498dd3-4a64-46ce-9a8a-c831885a0249}" id="{530104fb-c9d6-46b4-8580-71823296c0ca}" done="1">
    <x18tc:text xml:space="preserve">11/27 received the denial letter, sent to PAs, asked Jp to send our estimate (CM)</x18tc:text>
  </x18tc:threadedComment>
  <x18tc:threadedComment ref="V276" dT="2024-11-27T20:25:52.00" personId="{d5498dd3-4a64-46ce-9a8a-c831885a0249}" id="{867c050d-a255-49ef-9e10-c02563aa90ef}" done="1">
    <x18tc:text xml:space="preserve">11/26 received a determination letter, they are issuing a payment for 4.7k, asked JP to send our estimate (CM)</x18tc:text>
  </x18tc:threadedComment>
  <x18tc:threadedComment ref="V217" dT="2024-12-02T22:17:17.00" personId="{d5498dd3-4a64-46ce-9a8a-c831885a0249}" id="{2786cdbc-d86a-49ef-b863-fd86393032bd}" done="1">
    <x18tc:text xml:space="preserve">12/02 Carrier sent IA Report , Partial Determination Letter and a RECAP, sent to JP (AL)</x18tc:text>
  </x18tc:threadedComment>
  <x18tc:threadedComment ref="N230" dT="2024-12-04T16:22:46.00" personId="{651ebe9d-f120-479c-8376-36973fff1cc1}" id="{2ed798d5-efb5-4b71-8ce2-0079604f3854}" done="0">
    <x18tc:text xml:space="preserve">12/04 pedi info a david de estimado</x18tc:text>
  </x18tc:threadedComment>
  <x18tc:threadedComment ref="N230" dT="2025-04-17T16:49:28.00" personId="{651ebe9d-f120-479c-8376-36973fff1cc1}" id="{cc2acb68-88fd-4eb1-a978-098b1d56af23}" parentId="{2ed798d5-efb5-4b71-8ce2-0079604f3854}">
    <x18tc:text xml:space="preserve">4/17 sent to Ivan</x18tc:text>
  </x18tc:threadedComment>
  <x18tc:threadedComment ref="N230" dT="2025-04-18T15:58:24.00" personId="{651ebe9d-f120-479c-8376-36973fff1cc1}" id="{936128f1-2b56-4191-b481-7aacb588a9bf}" parentId="{2ed798d5-efb5-4b71-8ce2-0079604f3854}">
    <x18tc:text xml:space="preserve">4/18 aprobado el update</x18tc:text>
  </x18tc:threadedComment>
  <x18tc:threadedComment ref="M262" dT="2024-12-04T15:57:19.00" personId="{651ebe9d-f120-479c-8376-36973fff1cc1}" id="{2e585728-4f53-4494-8b1a-cf1baffff465}" done="1">
    <x18tc:text xml:space="preserve">subir a clampath</x18tc:text>
  </x18tc:threadedComment>
  <x18tc:threadedComment ref="N214" dT="2024-12-04T16:22:17.00" personId="{651ebe9d-f120-479c-8376-36973fff1cc1}" id="{557c8718-8abb-4a61-b421-8a50f4564432}" done="0">
    <x18tc:text xml:space="preserve">12/04 pedi info a david de estimado</x18tc:text>
  </x18tc:threadedComment>
  <x18tc:threadedComment ref="N214" dT="2024-12-11T13:18:14.00" personId="{651ebe9d-f120-479c-8376-36973fff1cc1}" id="{764a3ac8-56af-48cd-bbf0-79e8b7a56496}" parentId="{557c8718-8abb-4a61-b421-8a50f4564432}">
    <x18tc:text xml:space="preserve">12/11 sent to David F</x18tc:text>
  </x18tc:threadedComment>
  <x18tc:threadedComment ref="N214" dT="2025-01-07T17:16:22.00" personId="{651ebe9d-f120-479c-8376-36973fff1cc1}" id="{8e106610-3b4f-437e-af02-5db4264fc41b}" parentId="{557c8718-8abb-4a61-b421-8a50f4564432}">
    <x18tc:text xml:space="preserve">1/6/25 ivan approved</x18tc:text>
  </x18tc:threadedComment>
  <x18tc:threadedComment ref="N214" dT="2025-03-04T23:13:29.00" personId="{651ebe9d-f120-479c-8376-36973fff1cc1}" id="{b6621100-e649-46e8-94ee-9fd865d80f9c}" parentId="{557c8718-8abb-4a61-b421-8a50f4564432}">
    <x18tc:text xml:space="preserve">3/4/25 ivan pidio actualizar el estimado, subido a CW</x18tc:text>
  </x18tc:threadedComment>
  <x18tc:threadedComment ref="M250" dT="2024-12-04T18:31:25.00" personId="{651ebe9d-f120-479c-8376-36973fff1cc1}" id="{5fb640e9-f00b-46c6-bd6a-ded8b82f6683}" done="0">
    <x18tc:text xml:space="preserve">12/04 sent to carrier</x18tc:text>
  </x18tc:threadedComment>
  <x18tc:threadedComment ref="V191" dT="2024-12-04T23:41:19.00" personId="{dce94d92-92ea-454e-be01-6696a4edd87f}" id="{2ee32e68-5567-49eb-a0e9-1dc53504096f}" done="1">
    <x18tc:text xml:space="preserve">carrier rep is requesting to settle before mediation. Ivan &amp; Peter cc'd</x18tc:text>
  </x18tc:threadedComment>
  <x18tc:threadedComment ref="N276" dT="2024-12-04T23:51:15.00" personId="{dce94d92-92ea-454e-be01-6696a4edd87f}" id="{532167e2-da60-44f3-97b7-65b7b4199a91}" done="0">
    <x18tc:text xml:space="preserve">I asked Juan to submit estimate @jp.ipestimates@gmail.com</x18tc:text>
    <x18tc:mentions>
      <x18tc:mention mentionpersonId="{f5ec41ac-eb21-45bf-aaa5-f7dfbc04c8e9}" mentionId="{dc4486db-bbe3-415a-89ae-aeaa82e8cebe}" startIndex="32" length="25"/>
    </x18tc:mentions>
  </x18tc:threadedComment>
  <x18tc:threadedComment ref="N276" dT="2025-01-27T14:21:10.00" personId="{651ebe9d-f120-479c-8376-36973fff1cc1}" id="{edb05869-2a8f-44bb-a27b-99780b414c42}" parentId="{532167e2-da60-44f3-97b7-65b7b4199a91}">
    <x18tc:text xml:space="preserve">1/27/25 sent to Juan for review</x18tc:text>
  </x18tc:threadedComment>
  <x18tc:threadedComment ref="N276" dT="2025-03-31T18:49:55.00" personId="{651ebe9d-f120-479c-8376-36973fff1cc1}" id="{85b7ab83-aa89-4e1d-8286-9f8eb4ce112a}" parentId="{532167e2-da60-44f3-97b7-65b7b4199a91}">
    <x18tc:text xml:space="preserve">3/31 sent an update to juan</x18tc:text>
  </x18tc:threadedComment>
  <x18tc:threadedComment ref="N276" dT="2025-04-12T14:42:11.00" personId="{651ebe9d-f120-479c-8376-36973fff1cc1}" id="{b54a29e8-4439-40ae-978d-d4835919c97e}" parentId="{532167e2-da60-44f3-97b7-65b7b4199a91}">
    <x18tc:text xml:space="preserve">4/12 envie un update a juan</x18tc:text>
  </x18tc:threadedComment>
  <x18tc:threadedComment ref="N276" dT="2025-04-12T15:07:15.00" personId="{651ebe9d-f120-479c-8376-36973fff1cc1}" id="{b6f2b7f0-2881-49ae-94d3-d6a66c31f930}" parentId="{532167e2-da60-44f3-97b7-65b7b4199a91}">
    <x18tc:text xml:space="preserve">4/12 aprobado</x18tc:text>
  </x18tc:threadedComment>
  <x18tc:threadedComment ref="A218" dT="2024-12-09T21:27:33.00" personId="{d5498dd3-4a64-46ce-9a8a-c831885a0249}" id="{43be8ee0-640b-4b2b-8d81-fef48c51c733}" done="0">
    <x18tc:text xml:space="preserve">Peter</x18tc:text>
  </x18tc:threadedComment>
  <x18tc:threadedComment ref="A218" dT="2025-08-09T00:27:30.00" personId="{d5498dd3-4a64-46ce-9a8a-c831885a0249}" id="{a2bc5c0c-06f2-4b0e-8f04-e54781738183}" parentId="{43be8ee0-640b-4b2b-8d81-fef48c51c733}">
    <x18tc:text xml:space="preserve">Ordinance or Law: $3,152.45</x18tc:text>
  </x18tc:threadedComment>
  <x18tc:threadedComment ref="N247" dT="2024-12-09T20:53:12.00" personId="{651ebe9d-f120-479c-8376-36973fff1cc1}" id="{ed145ccb-eee2-47f2-acef-335ab01ea368}" done="0">
    <x18tc:text xml:space="preserve">12/09 sent to David</x18tc:text>
  </x18tc:threadedComment>
  <x18tc:threadedComment ref="N247" dT="2024-12-11T18:42:18.00" personId="{651ebe9d-f120-479c-8376-36973fff1cc1}" id="{d7d90654-2729-43ba-92be-1d0f3323dbf2}" parentId="{ed145ccb-eee2-47f2-acef-335ab01ea368}">
    <x18tc:text xml:space="preserve">12/10 David approved the estimate</x18tc:text>
  </x18tc:threadedComment>
  <x18tc:threadedComment ref="A207" dT="2024-12-09T20:54:16.00" personId="{d5498dd3-4a64-46ce-9a8a-c831885a0249}" id="{152430d2-286e-4a2d-82ad-0ba1c1a82dc4}" done="0">
    <x18tc:text xml:space="preserve">David M.</x18tc:text>
  </x18tc:threadedComment>
  <x18tc:threadedComment ref="A207" dT="2025-08-09T00:23:20.00" personId="{d5498dd3-4a64-46ce-9a8a-c831885a0249}" id="{921895eb-bb29-4acc-80fa-d89e0001c101}" parentId="{152430d2-286e-4a2d-82ad-0ba1c1a82dc4}">
    <x18tc:text xml:space="preserve">(O&amp;L) $4,281.16</x18tc:text>
  </x18tc:threadedComment>
  <x18tc:threadedComment ref="A223" dT="2024-12-09T21:17:06.00" personId="{d5498dd3-4a64-46ce-9a8a-c831885a0249}" id="{4f41f16d-2261-4c27-8d85-dfcbaf6970eb}" done="0">
    <x18tc:text xml:space="preserve">Juan</x18tc:text>
  </x18tc:threadedComment>
  <x18tc:threadedComment ref="A223" dT="2025-08-09T00:28:54.00" personId="{d5498dd3-4a64-46ce-9a8a-c831885a0249}" id="{e1c7a568-2b32-41e6-8c43-289f00f4d365}" parentId="{4f41f16d-2261-4c27-8d85-dfcbaf6970eb}">
    <x18tc:text xml:space="preserve">(O&amp;L) $3,233.10,</x18tc:text>
  </x18tc:threadedComment>
  <x18tc:threadedComment ref="A235" dT="2024-12-09T21:40:27.00" personId="{d5498dd3-4a64-46ce-9a8a-c831885a0249}" id="{c58837a7-0c57-4a70-9cff-529fb8a992d0}" done="0">
    <x18tc:text xml:space="preserve">Juan</x18tc:text>
  </x18tc:threadedComment>
  <x18tc:threadedComment ref="A235" dT="2025-08-09T00:36:19.00" personId="{d5498dd3-4a64-46ce-9a8a-c831885a0249}" id="{bb5e34d3-1630-4fbb-8417-9b460e9f3603}" parentId="{c58837a7-0c57-4a70-9cff-529fb8a992d0}">
    <x18tc:text xml:space="preserve">Ordinance or Law $3,250.78</x18tc:text>
  </x18tc:threadedComment>
  <x18tc:threadedComment ref="A277" dT="2024-12-09T21:43:28.00" personId="{d5498dd3-4a64-46ce-9a8a-c831885a0249}" id="{25bf2f0a-6c0f-4132-a168-bdf82183118f}" done="1">
    <x18tc:text xml:space="preserve">Joshua</x18tc:text>
  </x18tc:threadedComment>
  <x18tc:threadedComment ref="A271" dT="2024-12-09T22:00:45.00" personId="{d5498dd3-4a64-46ce-9a8a-c831885a0249}" id="{d1a557db-c265-4112-8c35-2f083688e498}" done="0">
    <x18tc:text xml:space="preserve">Joshua</x18tc:text>
  </x18tc:threadedComment>
  <x18tc:threadedComment ref="A271" dT="2025-08-18T14:59:00.00" personId="{d5498dd3-4a64-46ce-9a8a-c831885a0249}" id="{26efae31-7384-4d86-a243-f588975863c0}" parentId="{d1a557db-c265-4112-8c35-2f083688e498}">
    <x18tc:text xml:space="preserve">No additional payments on this claim</x18tc:text>
  </x18tc:threadedComment>
  <x18tc:threadedComment ref="A248" dT="2024-12-09T20:29:27.00" personId="{d5498dd3-4a64-46ce-9a8a-c831885a0249}" id="{cfde5336-b0e7-4011-b56f-5a6ec642dba3}" done="0">
    <x18tc:text xml:space="preserve">Peter</x18tc:text>
  </x18tc:threadedComment>
  <x18tc:threadedComment ref="A248" dT="2025-08-09T00:43:05.00" personId="{d5498dd3-4a64-46ce-9a8a-c831885a0249}" id="{ccb1533e-7200-4b08-870d-f72979afbdf4}" parentId="{cfde5336-b0e7-4011-b56f-5a6ec642dba3}">
    <x18tc:text xml:space="preserve">O&amp;L  $2,862.59</x18tc:text>
  </x18tc:threadedComment>
  <x18tc:threadedComment ref="A201" dT="2024-12-09T20:34:33.00" personId="{d5498dd3-4a64-46ce-9a8a-c831885a0249}" id="{ee0a585d-6d73-4158-ae79-819da2e30219}" done="0">
    <x18tc:text xml:space="preserve">Peter</x18tc:text>
  </x18tc:threadedComment>
  <x18tc:threadedComment ref="A201" dT="2025-08-09T00:18:12.00" personId="{d5498dd3-4a64-46ce-9a8a-c831885a0249}" id="{538e1bd9-546c-42b1-9879-9702e4924274}" parentId="{ee0a585d-6d73-4158-ae79-819da2e30219}">
    <x18tc:text xml:space="preserve">Ordinance and Law $3645.09</x18tc:text>
  </x18tc:threadedComment>
  <x18tc:threadedComment ref="A1" dT="2024-12-09T13:11:16.00" personId="{651ebe9d-f120-479c-8376-36973fff1cc1}" id="{2c15f487-0098-4fd0-a455-869e14b1e518}" done="0">
    <x18tc:text xml:space="preserve">12/09 Sent to Juan</x18tc:text>
  </x18tc:threadedComment>
  <x18tc:threadedComment ref="A223" dT="2024-12-09T02:52:24.00" personId="{d5498dd3-4a64-46ce-9a8a-c831885a0249}" id="{5a73343e-4691-410a-a204-3a53ec2b0a39}" done="1">
    <x18tc:text xml:space="preserve">12/09 Stephen accepted with Matt Sampson info</x18tc:text>
  </x18tc:threadedComment>
  <x18tc:threadedComment ref="A1" dT="2024-12-09T03:24:10.00" personId="{d5498dd3-4a64-46ce-9a8a-c831885a0249}" id="{748345b4-2bdf-4883-9736-b52b271894ce}" done="0">
    <x18tc:text xml:space="preserve">01/23</x18tc:text>
  </x18tc:threadedComment>
  <x18tc:threadedComment ref="V220" dT="2024-12-09T03:30:52.00" personId="{d5498dd3-4a64-46ce-9a8a-c831885a0249}" id="{9cf8ce34-5a86-442e-bec7-de51b4e5a9ba}" done="1">
    <x18tc:text xml:space="preserve">12/09 received the IA and determination they are issuing a payment for 6,9k, asked jp to send our estimate (CM)</x18tc:text>
  </x18tc:threadedComment>
  <x18tc:threadedComment ref="V220" dT="2024-12-11T02:54:38.00" personId="{d5498dd3-4a64-46ce-9a8a-c831885a0249}" id="{2439c327-ddc9-415b-85b7-110ffd473752}" parentId="{9cf8ce34-5a86-442e-bec7-de51b4e5a9ba}">
    <x18tc:text xml:space="preserve">12/11 DA is offering $21,136.72 to settle this claim, sent to PAs (CM)</x18tc:text>
  </x18tc:threadedComment>
  <x18tc:threadedComment ref="A250" dT="2024-12-09T19:42:41.00" personId="{d5498dd3-4a64-46ce-9a8a-c831885a0249}" id="{5f1d2857-6ac0-4635-a01b-a5f73473c36f}" done="0">
    <x18tc:text xml:space="preserve">Wilber</x18tc:text>
  </x18tc:threadedComment>
  <x18tc:threadedComment ref="A250" dT="2025-08-09T00:44:45.00" personId="{d5498dd3-4a64-46ce-9a8a-c831885a0249}" id="{b1c9a8e0-be9f-4f6f-9b1d-d5d485b83189}" parentId="{5f1d2857-6ac0-4635-a01b-a5f73473c36f}">
    <x18tc:text xml:space="preserve">Recoverable Dep $5,007.89
Ordinance or Law: $3,744.14</x18tc:text>
  </x18tc:threadedComment>
  <x18tc:threadedComment ref="A250" dT="2025-08-28T22:32:23.00" personId="{d5498dd3-4a64-46ce-9a8a-c831885a0249}" id="{f7d90f59-7a7d-4b84-be07-f2c6da7b80fb}" parentId="{5f1d2857-6ac0-4635-a01b-a5f73473c36f}">
    <x18tc:text xml:space="preserve">recived a payment letter for the O&amp;L</x18tc:text>
  </x18tc:threadedComment>
  <x18tc:threadedComment ref="A250" dT="2026-05-19T15:23:44.00" personId="{d5498dd3-4a64-46ce-9a8a-c831885a0249}" id="{c54ba522-cf44-4640-89c4-da2bb0316c80}" parentId="{5f1d2857-6ac0-4635-a01b-a5f73473c36f}">
    <x18tc:text xml:space="preserve">$554.43 in recoverable depreciation
$5,007.89 in recoverable depreciation</x18tc:text>
  </x18tc:threadedComment>
  <x18tc:threadedComment ref="A211" dT="2024-12-09T19:50:30.00" personId="{d5498dd3-4a64-46ce-9a8a-c831885a0249}" id="{23c6d023-0b9c-47ea-a504-d2b6bd49923e}" done="0">
    <x18tc:text xml:space="preserve">Peter</x18tc:text>
  </x18tc:threadedComment>
  <x18tc:threadedComment ref="A211" dT="2025-08-09T00:24:41.00" personId="{d5498dd3-4a64-46ce-9a8a-c831885a0249}" id="{50a51f84-60a8-4944-a488-9624a413d585}" parentId="{23c6d023-0b9c-47ea-a504-d2b6bd49923e}">
    <x18tc:text xml:space="preserve">nothing to be recovered</x18tc:text>
  </x18tc:threadedComment>
  <x18tc:threadedComment ref="V191" dT="2024-12-11T03:14:46.00" personId="{d5498dd3-4a64-46ce-9a8a-c831885a0249}" id="{25bb7934-9944-42cd-81a1-d18e248de3fe}" done="1">
    <x18tc:text xml:space="preserve">12/10 Peter is asking 80k to settle this claim (CM)</x18tc:text>
  </x18tc:threadedComment>
  <x18tc:threadedComment ref="V191" dT="2024-12-17T14:18:31.00" personId="{d5498dd3-4a64-46ce-9a8a-c831885a0249}" id="{4f923874-7860-46e9-8579-805437a7354c}" parentId="{25bb7934-9944-42cd-81a1-d18e248de3fe}">
    <x18tc:text xml:space="preserve">12/17 DA is offering 11k, IPs is cc'd (CM)</x18tc:text>
  </x18tc:threadedComment>
  <x18tc:threadedComment ref="N242" dT="2024-11-24T19:06:59.00" personId="{651ebe9d-f120-479c-8376-36973fff1cc1}" id="{71fc5dd9-fe88-42c2-afe6-095e93ec1bb5}" done="0">
    <x18tc:text xml:space="preserve">11/24 Ivan approved the estimate.</x18tc:text>
  </x18tc:threadedComment>
  <x18tc:threadedComment ref="V280" dT="2024-11-26T15:39:54.00" personId="{d5498dd3-4a64-46ce-9a8a-c831885a0249}" id="{a25ce7c4-3ce4-41a0-a7db-4a2fb1141dbb}" done="1">
    <x18tc:text xml:space="preserve">11/26 recieved the IA report and the determination letter, asked JP to send our estimate, sent to PAs (CM)</x18tc:text>
  </x18tc:threadedComment>
  <x18tc:threadedComment ref="V280" dT="2024-12-18T13:04:05.00" personId="{d5498dd3-4a64-46ce-9a8a-c831885a0249}" id="{f822021d-0536-4ed2-a206-7bb500420992}" parentId="{a25ce7c4-3ce4-41a0-a7db-4a2fb1141dbb}">
    <x18tc:text xml:space="preserve">12/18 DA is requesting the completion of work for the Huricane Ian claim (CM)</x18tc:text>
  </x18tc:threadedComment>
  <x18tc:threadedComment ref="V280" dT="2025-01-10T00:28:35.00" personId="{d5498dd3-4a64-46ce-9a8a-c831885a0249}" id="{5e1e0310-6e5d-40f4-ac80-59ae1a3b447c}" parentId="{a25ce7c4-3ce4-41a0-a7db-4a2fb1141dbb}">
    <x18tc:text xml:space="preserve">01/10 Joshua did a couterfoffer for 75k (CM)</x18tc:text>
  </x18tc:threadedComment>
  <x18tc:threadedComment ref="P234" dT="2024-11-26T15:24:02.00" personId="{d5498dd3-4a64-46ce-9a8a-c831885a0249}" id="{0432fa59-4d06-47e8-bf4c-25830f49b631}" done="1">
    <x18tc:text xml:space="preserve">11/26</x18tc:text>
  </x18tc:threadedComment>
  <x18tc:threadedComment ref="A132" dT="2024-11-28T01:17:08.00" personId="{dce94d92-92ea-454e-be01-6696a4edd87f}" id="{6fd052bf-9176-4eac-9017-d7e177264315}" done="1">
    <x18tc:text xml:space="preserve">we were paid on this @admin@ipadjustinggroup.com
Assigned to admin@ipadjustinggroup.com</x18tc:text>
    <x18tc:mentions>
      <x18tc:mention mentionpersonId="{1ffc25a2-3f83-4ed1-a701-edf0aba99522}" mentionId="{dd64194e-1a14-4527-9319-f455011ba867}" startIndex="21" length="27"/>
    </x18tc:mentions>
  </x18tc:threadedComment>
  <x18tc:threadedComment ref="V243" dT="2024-11-27T01:26:16.00" personId="{d5498dd3-4a64-46ce-9a8a-c831885a0249}" id="{497b4fff-0c91-45df-b13b-7a59837ffd69}" done="1">
    <x18tc:text xml:space="preserve">11/26 DA stands on her denial decision, sent to PAs (CM)</x18tc:text>
  </x18tc:threadedComment>
  <x18tc:threadedComment ref="A214" dT="2024-11-27T01:43:25.00" personId="{d5498dd3-4a64-46ce-9a8a-c831885a0249}" id="{dd4ebfba-a3a2-43fc-9914-c82640662259}" done="1">
    <x18tc:text xml:space="preserve">11/26 Peter asked me to request mediation, informed that we don't have our estimate, waiting his reconfirmation to submit this mediation (CM)</x18tc:text>
  </x18tc:threadedComment>
  <x18tc:threadedComment ref="A190" dT="2024-11-27T02:01:05.00" personId="{d5498dd3-4a64-46ce-9a8a-c831885a0249}" id="{1ef95265-4598-4f11-a42b-99af49a397f2}" done="1">
    <x18tc:text xml:space="preserve">11/26 submitted the mediation request (CM) @scheduling@ipadjustinggroup.com
Assigned to scheduling@ipadjustinggroup.com</x18tc:text>
    <x18tc:mentions>
      <x18tc:mention mentionpersonId="{2c8ec519-d5db-42bb-a5e2-52abe8ff6abf}" mentionId="{f8592452-918d-4c2f-9a4a-b9a9c3bccddc}" startIndex="43" length="32"/>
    </x18tc:mentions>
  </x18tc:threadedComment>
  <x18tc:threadedComment ref="A190" dT="2024-11-27T18:50:59.00" personId="{610be7ce-9288-4df9-9aac-427cc105bbe1}" id="{2f41ec66-e393-49a1-a9bd-95e3028a12de}" parentId="{1ef95265-4598-4f11-a42b-99af49a397f2}">
    <x18tc:text xml:space="preserve">Marked as done</x18tc:text>
  </x18tc:threadedComment>
  <x18tc:threadedComment ref="A201" dT="2024-12-02T01:49:48.00" personId="{d5498dd3-4a64-46ce-9a8a-c831885a0249}" id="{480d6fc0-5495-470d-a541-504e2b1f5a45}" done="1">
    <x18tc:text xml:space="preserve">11/13 Wilber asked to speak with Iván, informed him via whatsapp (CM)</x18tc:text>
  </x18tc:threadedComment>
  <x18tc:threadedComment ref="N283" dT="2025-01-03T17:23:52.00" personId="{651ebe9d-f120-479c-8376-36973fff1cc1}" id="{957c7da8-47f0-4ce2-8619-98e6f16ed1f7}" done="0">
    <x18tc:text xml:space="preserve">1/3/25 sent to ivan</x18tc:text>
  </x18tc:threadedComment>
  <x18tc:threadedComment ref="N283" dT="2025-01-06T22:19:51.00" personId="{651ebe9d-f120-479c-8376-36973fff1cc1}" id="{9f89c14d-60eb-40bd-bded-3df17c9aa2d6}" parentId="{957c7da8-47f0-4ce2-8619-98e6f16ed1f7}">
    <x18tc:text xml:space="preserve">1/6/25 aprobado por ivan</x18tc:text>
  </x18tc:threadedComment>
  <x18tc:threadedComment ref="A1" dT="2025-01-03T20:57:31.00" personId="{d5498dd3-4a64-46ce-9a8a-c831885a0249}" id="{5b94b1f0-0af1-48a1-af10-d2400407b3a5}" done="0">
    <x18tc:text xml:space="preserve">01/03</x18tc:text>
  </x18tc:threadedComment>
  <x18tc:threadedComment ref="A1" dT="2025-01-03T21:10:37.00" personId="{d5498dd3-4a64-46ce-9a8a-c831885a0249}" id="{55cf2b6c-8d2a-4dda-a40e-ca2fd3d99297}" done="0">
    <x18tc:text xml:space="preserve">01/03</x18tc:text>
  </x18tc:threadedComment>
  <x18tc:threadedComment ref="A1" dT="2025-01-03T21:12:01.00" personId="{d5498dd3-4a64-46ce-9a8a-c831885a0249}" id="{ba333e4e-fb5d-464a-8d5f-40d6821e349c}" done="0">
    <x18tc:text xml:space="preserve">01/03</x18tc:text>
  </x18tc:threadedComment>
  <x18tc:threadedComment ref="P283" dT="2025-01-03T21:21:14.00" personId="{d5498dd3-4a64-46ce-9a8a-c831885a0249}" id="{83c76c8d-eb94-46a0-87cf-d27c9cfabc39}" done="1">
    <x18tc:text xml:space="preserve">01/03</x18tc:text>
  </x18tc:threadedComment>
  <x18tc:threadedComment ref="A1" dT="2025-01-03T21:21:27.00" personId="{d5498dd3-4a64-46ce-9a8a-c831885a0249}" id="{c3d9caff-5441-4054-887a-cbeb420f33d8}" done="0">
    <x18tc:text xml:space="preserve">01/15</x18tc:text>
  </x18tc:threadedComment>
  <x18tc:threadedComment ref="V218" dT="2024-12-23T14:26:23.00" personId="{d5498dd3-4a64-46ce-9a8a-c831885a0249}" id="{70ee78ec-abf8-430e-8e24-dc0b4fea7087}" done="1">
    <x18tc:text xml:space="preserve">12/23 received the appraisal package, asked Peter to sign the appraisal agreement, sent Day the OA info (CM)</x18tc:text>
  </x18tc:threadedComment>
  <x18tc:threadedComment ref="V207" dT="2024-12-23T14:26:35.00" personId="{d5498dd3-4a64-46ce-9a8a-c831885a0249}" id="{026f798f-2c0d-4272-a892-46ef5dec096f}" done="1">
    <x18tc:text xml:space="preserve">12/23 received the appraisal package, asked David to sign the appraisal agreement, sent Day the OA info (CM)</x18tc:text>
  </x18tc:threadedComment>
  <x18tc:threadedComment ref="V247" dT="2024-12-23T17:16:05.00" personId="{d5498dd3-4a64-46ce-9a8a-c831885a0249}" id="{e33f0dc2-df31-4947-966e-d7fd82d62235}" done="1">
    <x18tc:text xml:space="preserve">12/23 received a determiantion letter, DA says that JD is fully denied, sent to PAs and Ivancho (CM)</x18tc:text>
  </x18tc:threadedComment>
  <x18tc:threadedComment ref="V253" dT="2024-12-26T14:02:16.00" personId="{d5498dd3-4a64-46ce-9a8a-c831885a0249}" id="{46136e2c-822b-4b62-88d4-9048e771e12a}" done="1">
    <x18tc:text xml:space="preserve">12/26 the policy doesn't include DFS services,a sked PAs how to proceed (CM)</x18tc:text>
  </x18tc:threadedComment>
  <x18tc:threadedComment ref="V295" dT="2024-12-27T18:38:03.00" personId="{d5498dd3-4a64-46ce-9a8a-c831885a0249}" id="{1f947f52-b5a4-4e46-888e-7fb0b4b1d464}" done="1">
    <x18tc:text xml:space="preserve">12/27 recieved a denial letter, sent to PAs, asked JP to send our estimate once ready (CM)</x18tc:text>
  </x18tc:threadedComment>
  <x18tc:threadedComment ref="V297" dT="2024-12-27T19:43:10.00" personId="{d5498dd3-4a64-46ce-9a8a-c831885a0249}" id="{dd3e715f-633e-4a47-b846-2805a6ca5f4d}" done="1">
    <x18tc:text xml:space="preserve">12/27 DA is requesting some info about the damages on the freezer, asked Angie (CM)</x18tc:text>
  </x18tc:threadedComment>
  <x18tc:threadedComment ref="V219" dT="2024-12-31T19:33:54.00" personId="{d5498dd3-4a64-46ce-9a8a-c831885a0249}" id="{5cc401f6-d683-405d-a834-98b2769418b1}" done="1">
    <x18tc:text xml:space="preserve">12/16 DA is offering 3.5k, cc'd PA's (CM
12/20 Joshua is asking $42,481.47 (CM)
01/02 DA sent an offer for 5k, PAs are cc'd (CM)</x18tc:text>
  </x18tc:threadedComment>
  <x18tc:threadedComment ref="M282" dT="2025-01-01T15:44:42.00" personId="{651ebe9d-f120-479c-8376-36973fff1cc1}" id="{5a480d29-526d-4e2c-a3e0-f01b5ee77496}" done="0">
    <x18tc:text xml:space="preserve">enviar cuando este el IA report</x18tc:text>
  </x18tc:threadedComment>
  <x18tc:threadedComment ref="M282" dT="2025-01-07T15:41:00.00" personId="{651ebe9d-f120-479c-8376-36973fff1cc1}" id="{291c09ba-cb8d-47af-8cfd-b908873fdbb6}" parentId="{5a480d29-526d-4e2c-a3e0-f01b5ee77496}">
    <x18tc:text xml:space="preserve">1/7/25 sent to DA</x18tc:text>
  </x18tc:threadedComment>
  <x18tc:threadedComment ref="M285" dT="2025-01-01T15:44:48.00" personId="{651ebe9d-f120-479c-8376-36973fff1cc1}" id="{b5619f61-4e61-4ead-9e90-b6df6c27f665}" done="0">
    <x18tc:text xml:space="preserve">enviar cuando este el IA report</x18tc:text>
  </x18tc:threadedComment>
  <x18tc:threadedComment ref="M285" dT="2025-01-02T22:30:41.00" personId="{651ebe9d-f120-479c-8376-36973fff1cc1}" id="{56ba7f6a-30e8-48be-bc94-658a33258e3a}" parentId="{b5619f61-4e61-4ead-9e90-b6df6c27f665}">
    <x18tc:text xml:space="preserve">1/2/25 sent to DA</x18tc:text>
  </x18tc:threadedComment>
  <x18tc:threadedComment ref="A1" dT="2025-01-01T12:26:00.00" personId="{d5498dd3-4a64-46ce-9a8a-c831885a0249}" id="{6f9e2913-d081-41b7-b83b-c53115ea72e3}" done="0">
    <x18tc:text xml:space="preserve">01/23</x18tc:text>
  </x18tc:threadedComment>
  <x18tc:threadedComment ref="A1" dT="2025-01-01T12:26:08.00" personId="{d5498dd3-4a64-46ce-9a8a-c831885a0249}" id="{a2818c29-e2bf-45c3-aadd-beb14ce086fd}" done="0">
    <x18tc:text xml:space="preserve">01/23</x18tc:text>
  </x18tc:threadedComment>
  <x18tc:threadedComment ref="A1" dT="2025-01-02T17:51:22.00" personId="{d5498dd3-4a64-46ce-9a8a-c831885a0249}" id="{ec5eb9c8-4bd2-4266-a669-9153d55051f3}" done="0">
    <x18tc:text xml:space="preserve">01/02</x18tc:text>
  </x18tc:threadedComment>
  <x18tc:threadedComment ref="V237" dT="2025-01-02T16:42:43.00" personId="{d5498dd3-4a64-46ce-9a8a-c831885a0249}" id="{72a2298f-edfd-4b9a-a5d9-ba9284a8a98a}" done="1">
    <x18tc:text xml:space="preserve">01/02 received the appraisal award, sent to Peter to sign it and Day the OA info (CM)</x18tc:text>
  </x18tc:threadedComment>
  <x18tc:threadedComment ref="A1" dT="2025-01-02T17:25:49.00" personId="{d5498dd3-4a64-46ce-9a8a-c831885a0249}" id="{ff938606-0318-485e-b93f-993fca64b84c}" done="0">
    <x18tc:text xml:space="preserve">01/02</x18tc:text>
  </x18tc:threadedComment>
  <x18tc:threadedComment ref="A1" dT="2025-01-02T17:25:53.00" personId="{d5498dd3-4a64-46ce-9a8a-c831885a0249}" id="{c7fbe95e-6ad6-493a-b8e4-c2081d3509a2}" done="0">
    <x18tc:text xml:space="preserve">01/02</x18tc:text>
  </x18tc:threadedComment>
  <x18tc:threadedComment ref="A1" dT="2025-01-02T17:42:38.00" personId="{d5498dd3-4a64-46ce-9a8a-c831885a0249}" id="{cd8f6098-dd3d-42c9-8eea-d9854b296a39}" done="0">
    <x18tc:text xml:space="preserve">12/30</x18tc:text>
  </x18tc:threadedComment>
  <x18tc:threadedComment ref="N281" dT="2024-12-09T15:15:33.00" personId="{651ebe9d-f120-479c-8376-36973fff1cc1}" id="{466ad594-99db-45b6-8a64-f8a171af0f97}" done="0">
    <x18tc:text xml:space="preserve">12/09 Sent to Joshua</x18tc:text>
  </x18tc:threadedComment>
  <x18tc:threadedComment ref="N281" dT="2024-12-10T21:41:39.00" personId="{651ebe9d-f120-479c-8376-36973fff1cc1}" id="{37f47276-07d5-4c99-8ac1-fd0c83e0eb23}" parentId="{466ad594-99db-45b6-8a64-f8a171af0f97}">
    <x18tc:text xml:space="preserve">12/09 Joshua approved</x18tc:text>
  </x18tc:threadedComment>
  <x18tc:threadedComment ref="V166" dT="2024-12-10T11:10:50.00" personId="{d5498dd3-4a64-46ce-9a8a-c831885a0249}" id="{b90113c3-ab35-4aa7-bc82-8c02dd751156}" done="1">
    <x18tc:text xml:space="preserve">12/10 received a detemrination and IA report, PAs are cc'd, they are sending the check to the client (CM)</x18tc:text>
  </x18tc:threadedComment>
  <x18tc:threadedComment ref="P254" dT="2024-12-10T01:55:12.00" personId="{d5498dd3-4a64-46ce-9a8a-c831885a0249}" id="{1ea361f9-9205-4b75-9c0e-29162f0b3d44}" done="1">
    <x18tc:text xml:space="preserve">12/10</x18tc:text>
  </x18tc:threadedComment>
  <x18tc:threadedComment ref="A1" dT="2024-12-10T02:01:14.00" personId="{d5498dd3-4a64-46ce-9a8a-c831885a0249}" id="{3e14e62a-4113-4464-96ec-64526ff9102b}" done="1">
    <x18tc:text xml:space="preserve">12/10</x18tc:text>
  </x18tc:threadedComment>
  <x18tc:threadedComment ref="A252" dT="2024-12-10T02:01:53.00" personId="{d5498dd3-4a64-46ce-9a8a-c831885a0249}" id="{34e103d9-a8d8-4f53-a778-d8a1fdc07f32}" done="0">
    <x18tc:text xml:space="preserve">Peter</x18tc:text>
  </x18tc:threadedComment>
  <x18tc:threadedComment ref="A252" dT="2025-08-09T00:47:43.00" personId="{d5498dd3-4a64-46ce-9a8a-c831885a0249}" id="{ed434b9a-7eb2-4dd7-967f-638bd9eeac1f}" parentId="{34e103d9-a8d8-4f53-a778-d8a1fdc07f32}">
    <x18tc:text xml:space="preserve">nothing to be recovered i think</x18tc:text>
  </x18tc:threadedComment>
  <x18tc:threadedComment ref="A270" dT="2024-12-10T02:25:55.00" personId="{d5498dd3-4a64-46ce-9a8a-c831885a0249}" id="{5665a9d5-ea55-4f62-bbed-5747b17d0c47}" done="1">
    <x18tc:text xml:space="preserve">12/10 Peter wants to request appraisal, waiting the estimate (CM)</x18tc:text>
  </x18tc:threadedComment>
  <x18tc:threadedComment ref="V270" dT="2024-12-10T02:26:17.00" personId="{d5498dd3-4a64-46ce-9a8a-c831885a0249}" id="{ecd23204-83d4-4312-90c5-6aa32b6a3332}" done="1">
    <x18tc:text xml:space="preserve">12/10 Peter wants to request appraisal, waiting the estimate (CM)</x18tc:text>
  </x18tc:threadedComment>
  <x18tc:threadedComment ref="A251" dT="2024-12-10T02:31:39.00" personId="{d5498dd3-4a64-46ce-9a8a-c831885a0249}" id="{300f78b8-cc84-4ae3-8cfc-6dad7446d71a}" done="0">
    <x18tc:text xml:space="preserve">Peter</x18tc:text>
  </x18tc:threadedComment>
  <x18tc:threadedComment ref="A251" dT="2025-08-09T00:45:48.00" personId="{d5498dd3-4a64-46ce-9a8a-c831885a0249}" id="{8393a84a-dc6c-4a60-8b1e-951e7adb449b}" parentId="{300f78b8-cc84-4ae3-8cfc-6dad7446d71a}">
    <x18tc:text xml:space="preserve">nothing to be recovered i think</x18tc:text>
  </x18tc:threadedComment>
  <x18tc:threadedComment ref="A237" dT="2024-12-10T02:38:35.00" personId="{d5498dd3-4a64-46ce-9a8a-c831885a0249}" id="{abf37974-5812-4bd6-ace1-540b3724095a}" done="1">
    <x18tc:text xml:space="preserve">12/10 Peter wants to invoke appraisal, asked him to review the estimate that JP sent (CM)</x18tc:text>
  </x18tc:threadedComment>
  <x18tc:threadedComment ref="A249" dT="2024-12-10T02:40:07.00" personId="{d5498dd3-4a64-46ce-9a8a-c831885a0249}" id="{fea4abf2-09be-41ba-b0f2-fe744b8ce21b}" done="0">
    <x18tc:text xml:space="preserve">Peter</x18tc:text>
  </x18tc:threadedComment>
  <x18tc:threadedComment ref="A249" dT="2025-08-09T00:43:53.00" personId="{d5498dd3-4a64-46ce-9a8a-c831885a0249}" id="{e415a7b9-3de7-4e9f-86ba-7615dbae9de0}" parentId="{fea4abf2-09be-41ba-b0f2-fe744b8ce21b}">
    <x18tc:text xml:space="preserve">Recoverable Depreciation: $7,277.26</x18tc:text>
  </x18tc:threadedComment>
  <x18tc:threadedComment ref="A217" dT="2024-12-10T02:47:22.00" personId="{d5498dd3-4a64-46ce-9a8a-c831885a0249}" id="{9938ab9b-4369-4781-995f-0617960f51e9}" done="0">
    <x18tc:text xml:space="preserve">pETER</x18tc:text>
  </x18tc:threadedComment>
  <x18tc:threadedComment ref="A217" dT="2025-08-09T00:26:47.00" personId="{d5498dd3-4a64-46ce-9a8a-c831885a0249}" id="{be4b769d-d9d2-4595-b212-7afc017b4861}" parentId="{9938ab9b-4369-4781-995f-0617960f51e9}">
    <x18tc:text xml:space="preserve">Ordinance or Law $4,517.15
Recoverable Dep $3,202.65</x18tc:text>
  </x18tc:threadedComment>
  <x18tc:threadedComment ref="V246" dT="2024-12-10T03:05:30.00" personId="{d5498dd3-4a64-46ce-9a8a-c831885a0249}" id="{44a83986-d15e-4399-a36e-b294edc92524}" done="1">
    <x18tc:text xml:space="preserve">12/10 DA says she maintains her coverage decision after reviewing our estimate (CM)</x18tc:text>
  </x18tc:threadedComment>
  <x18tc:threadedComment ref="A1" dT="2024-12-10T03:05:44.00" personId="{d5498dd3-4a64-46ce-9a8a-c831885a0249}" id="{556f6707-959b-4b7a-af8b-12e5c37b3707}" done="1">
    <x18tc:text xml:space="preserve">12/10</x18tc:text>
  </x18tc:threadedComment>
  <x18tc:threadedComment ref="M221" dT="2024-12-10T14:29:15.00" personId="{651ebe9d-f120-479c-8376-36973fff1cc1}" id="{2b03319f-2fc9-44cf-a26e-1ca8d02bf805}" done="0">
    <x18tc:text xml:space="preserve">12/10 sent to carrier</x18tc:text>
  </x18tc:threadedComment>
  <x18tc:threadedComment ref="N280" dT="2024-12-10T14:52:37.00" personId="{651ebe9d-f120-479c-8376-36973fff1cc1}" id="{083cb64d-cabf-4be8-80e1-3af6115c6d2d}" done="0">
    <x18tc:text xml:space="preserve">12/10 sent to josh</x18tc:text>
  </x18tc:threadedComment>
  <x18tc:threadedComment ref="N280" dT="2024-12-10T18:39:30.00" personId="{651ebe9d-f120-479c-8376-36973fff1cc1}" id="{1b48041b-1a8c-4e9b-829e-887c86ab54c9}" parentId="{083cb64d-cabf-4be8-80e1-3af6115c6d2d}">
    <x18tc:text xml:space="preserve">12/10 approved</x18tc:text>
  </x18tc:threadedComment>
  <x18tc:threadedComment ref="N290" dT="2024-12-10T17:56:29.00" personId="{651ebe9d-f120-479c-8376-36973fff1cc1}" id="{bfb714db-15ed-4311-9e52-1e54b9085c90}" done="0">
    <x18tc:text xml:space="preserve">12/10 sent to josh</x18tc:text>
  </x18tc:threadedComment>
  <x18tc:threadedComment ref="N290" dT="2024-12-12T13:46:58.00" personId="{651ebe9d-f120-479c-8376-36973fff1cc1}" id="{bbdecaa3-67fe-461c-9674-5fa6a679640e}" parentId="{bfb714db-15ed-4311-9e52-1e54b9085c90}">
    <x18tc:text xml:space="preserve">12/12 Josh approved</x18tc:text>
  </x18tc:threadedComment>
  <x18tc:threadedComment ref="M280" dT="2024-12-10T18:43:56.00" personId="{651ebe9d-f120-479c-8376-36973fff1cc1}" id="{807911b4-ceea-4f35-89ee-d2712d1c67aa}" done="0">
    <x18tc:text xml:space="preserve">12/10 sent to DA</x18tc:text>
  </x18tc:threadedComment>
  <x18tc:threadedComment ref="N289" dT="2024-12-10T20:55:37.00" personId="{651ebe9d-f120-479c-8376-36973fff1cc1}" id="{23cd3833-ab22-4f7c-b29d-b0c2e12d78ac}" done="0">
    <x18tc:text xml:space="preserve">12/10 waiting for Juans info (rescreen porch)</x18tc:text>
  </x18tc:threadedComment>
  <x18tc:threadedComment ref="N289" dT="2024-12-13T13:35:23.00" personId="{651ebe9d-f120-479c-8376-36973fff1cc1}" id="{c68fba38-00d0-4237-b34a-423bfa505df0}" parentId="{23cd3833-ab22-4f7c-b29d-b0c2e12d78ac}">
    <x18tc:text xml:space="preserve">12/13 sent to JUan</x18tc:text>
  </x18tc:threadedComment>
  <x18tc:threadedComment ref="N289" dT="2025-01-06T22:17:15.00" personId="{651ebe9d-f120-479c-8376-36973fff1cc1}" id="{41786195-ed0c-4a62-a76f-e5123eb7de12}" parentId="{23cd3833-ab22-4f7c-b29d-b0c2e12d78ac}">
    <x18tc:text xml:space="preserve">1/3/25 juan approved</x18tc:text>
  </x18tc:threadedComment>
  <x18tc:threadedComment ref="N271" dT="2024-12-10T21:35:51.00" personId="{651ebe9d-f120-479c-8376-36973fff1cc1}" id="{a738a15b-4639-45c9-a191-6adc154af058}" done="0">
    <x18tc:text xml:space="preserve">12/10 sent to juan</x18tc:text>
  </x18tc:threadedComment>
  <x18tc:threadedComment ref="N271" dT="2024-12-11T16:56:59.00" personId="{651ebe9d-f120-479c-8376-36973fff1cc1}" id="{ddfe056a-8dca-4049-b6ff-27bc70ea180d}" parentId="{a738a15b-4639-45c9-a191-6adc154af058}">
    <x18tc:text xml:space="preserve">12/10 Juan approved</x18tc:text>
  </x18tc:threadedComment>
  <x18tc:threadedComment ref="V282" dT="2024-12-11T14:14:04.00" personId="{d5498dd3-4a64-46ce-9a8a-c831885a0249}" id="{6741398d-9883-482a-b0c6-07f1e9c73ae9}" done="1">
    <x18tc:text xml:space="preserve">12/11 asked Iván to send the awd receipt (CM)</x18tc:text>
  </x18tc:threadedComment>
  <x18tc:threadedComment ref="O219" dT="2024-12-11T15:27:01.00" personId="{651ebe9d-f120-479c-8376-36973fff1cc1}" id="{fe1e5286-498e-47d5-b09b-0473f4ea0722}" done="0">
    <x18tc:text xml:space="preserve">12/11 sent to client to sign</x18tc:text>
  </x18tc:threadedComment>
  <x18tc:threadedComment ref="M237" dT="2024-12-11T16:08:20.00" personId="{651ebe9d-f120-479c-8376-36973fff1cc1}" id="{547aee98-3ae6-447c-973f-c46b5bad0d1c}" done="0">
    <x18tc:text xml:space="preserve">12/11 sent to carrier</x18tc:text>
  </x18tc:threadedComment>
  <x18tc:threadedComment ref="N291" dT="2024-12-11T16:17:45.00" personId="{651ebe9d-f120-479c-8376-36973fff1cc1}" id="{2b6eb08d-2ecf-4915-bcc6-dc46532716c6}" done="0">
    <x18tc:text xml:space="preserve">12/11 pedi a angie info de los sketchs</x18tc:text>
  </x18tc:threadedComment>
  <x18tc:threadedComment ref="N291" dT="2025-01-03T15:14:42.00" personId="{651ebe9d-f120-479c-8376-36973fff1cc1}" id="{6d69e272-1ea2-4bae-9249-0e57177a9723}" parentId="{2b6eb08d-2ecf-4915-bcc6-dc46532716c6}">
    <x18tc:text xml:space="preserve">1/3/25 sent to angie for review</x18tc:text>
  </x18tc:threadedComment>
  <x18tc:threadedComment ref="N291" dT="2025-01-13T13:44:02.00" personId="{651ebe9d-f120-479c-8376-36973fff1cc1}" id="{3ad450f6-3b07-409c-a29f-e35b16e9b990}" parentId="{2b6eb08d-2ecf-4915-bcc6-dc46532716c6}">
    <x18tc:text xml:space="preserve">1/6/25 Angie approved</x18tc:text>
  </x18tc:threadedComment>
  <x18tc:threadedComment ref="M287" dT="2024-12-11T16:20:30.00" personId="{651ebe9d-f120-479c-8376-36973fff1cc1}" id="{28535cb0-1ffc-404c-b944-af14bb2e4235}" done="0">
    <x18tc:text xml:space="preserve">enviar con estimado aprobado, revisar IA</x18tc:text>
  </x18tc:threadedComment>
  <x18tc:threadedComment ref="M287" dT="2025-01-13T16:38:40.00" personId="{651ebe9d-f120-479c-8376-36973fff1cc1}" id="{8636947d-62b9-47fe-846e-8a020d6b2638}" parentId="{28535cb0-1ffc-404c-b944-af14bb2e4235}">
    <x18tc:text xml:space="preserve">1/13/25 sent to carrier</x18tc:text>
  </x18tc:threadedComment>
  <x18tc:threadedComment ref="M271" dT="2024-12-11T17:01:34.00" personId="{651ebe9d-f120-479c-8376-36973fff1cc1}" id="{271dcd87-67c3-453b-9ea6-f4159724cc61}" done="0">
    <x18tc:text xml:space="preserve">12/11 sent to carrier. No picture file</x18tc:text>
  </x18tc:threadedComment>
  <x18tc:threadedComment ref="A1" dT="2024-12-11T17:15:38.00" personId="{d5498dd3-4a64-46ce-9a8a-c831885a0249}" id="{0d018a23-6167-4f0c-bb2d-07af97c8c5b3}" done="0">
    <x18tc:text xml:space="preserve">we were paid on this @admin@ipadjustinggroup.com
Assigned to admin@ipadjustinggroup.com</x18tc:text>
    <x18tc:mentions>
      <x18tc:mention mentionpersonId="{1ffc25a2-3f83-4ed1-a701-edf0aba99522}" mentionId="{5e2c3040-be99-4184-9a84-20d2f6c17603}" startIndex="21" length="27"/>
    </x18tc:mentions>
  </x18tc:threadedComment>
  <x18tc:threadedComment ref="A97" dT="2024-12-11T17:15:55.00" personId="{d5498dd3-4a64-46ce-9a8a-c831885a0249}" id="{dea8c4ee-731c-4795-b1a9-f573894b73ee}" done="1">
    <x18tc:text xml:space="preserve">we were paid on this @admin@ipadjustinggroup.com
Assigned to admin@ipadjustinggroup.com</x18tc:text>
    <x18tc:mentions>
      <x18tc:mention mentionpersonId="{1ffc25a2-3f83-4ed1-a701-edf0aba99522}" mentionId="{faf4148d-959c-410c-b814-31e2773165eb}" startIndex="21" length="27"/>
    </x18tc:mentions>
  </x18tc:threadedComment>
  <x18tc:threadedComment ref="A229" dT="2024-12-11T22:28:54.00" personId="{d5498dd3-4a64-46ce-9a8a-c831885a0249}" id="{80d4a39a-10f3-4696-90bb-a61738b78d9f}" done="0">
    <x18tc:text xml:space="preserve">Juan</x18tc:text>
  </x18tc:threadedComment>
  <x18tc:threadedComment ref="A236" dT="2024-12-11T22:34:40.00" personId="{d5498dd3-4a64-46ce-9a8a-c831885a0249}" id="{6a19ec44-4229-4f63-87d0-35f15699b568}" done="1">
    <x18tc:text xml:space="preserve">Juan</x18tc:text>
  </x18tc:threadedComment>
  <x18tc:threadedComment ref="A236" dT="2025-08-09T00:36:57.00" personId="{d5498dd3-4a64-46ce-9a8a-c831885a0249}" id="{01d9335e-0f1f-40dc-b644-1bd54850a1ce}" parentId="{6a19ec44-4229-4f63-87d0-35f15699b568}">
    <x18tc:text xml:space="preserve">recoverable depreciation: $7,646.56</x18tc:text>
  </x18tc:threadedComment>
  <x18tc:threadedComment ref="M257" dT="2024-12-11T17:29:03.00" personId="{651ebe9d-f120-479c-8376-36973fff1cc1}" id="{f95b9f61-88f3-48c8-b1c5-a31e205fec76}" done="0">
    <x18tc:text xml:space="preserve">12/11 sent to carrier</x18tc:text>
  </x18tc:threadedComment>
  <x18tc:threadedComment ref="A237" dT="2024-12-11T17:40:51.00" personId="{d5498dd3-4a64-46ce-9a8a-c831885a0249}" id="{4b1c8cad-50cd-4282-b1d2-de1f8a55e0e9}" done="0">
    <x18tc:text xml:space="preserve">Peter</x18tc:text>
  </x18tc:threadedComment>
  <x18tc:threadedComment ref="A237" dT="2025-08-09T00:38:33.00" personId="{d5498dd3-4a64-46ce-9a8a-c831885a0249}" id="{b9c03fe3-58eb-487d-9c94-cf34354b0a50}" parentId="{4b1c8cad-50cd-4282-b1d2-de1f8a55e0e9}">
    <x18tc:text xml:space="preserve">Ordinance or Law: $2,651.75</x18tc:text>
  </x18tc:threadedComment>
  <x18tc:threadedComment ref="V229" dT="2024-12-11T21:55:57.00" personId="{d5498dd3-4a64-46ce-9a8a-c831885a0249}" id="{1a8b3337-6ed7-4625-9bbc-af2e26336efd}" done="1">
    <x18tc:text xml:space="preserve">12/11 they are issuing a payment for 14k and they are closing the claim, sen to PAs (CM)</x18tc:text>
  </x18tc:threadedComment>
  <x18tc:threadedComment ref="V252" dT="2024-12-13T20:44:52.00" personId="{d5498dd3-4a64-46ce-9a8a-c831885a0249}" id="{4d819f49-5e7d-46c4-b004-8217f2093083}" done="1">
    <x18tc:text xml:space="preserve">12/13 asked Peter to signed the appraisal agreement, asked JP to do the SPOL (CM)</x18tc:text>
  </x18tc:threadedComment>
  <x18tc:threadedComment ref="V246" dT="2024-12-13T20:48:17.00" personId="{d5498dd3-4a64-46ce-9a8a-c831885a0249}" id="{a15dfa76-a04f-41ea-b66c-1eaa69a738ef}" done="1">
    <x18tc:text xml:space="preserve">12/13 DA say that the can consider additional damage, asked PAs to respond to DA (CM)</x18tc:text>
  </x18tc:threadedComment>
  <x18tc:threadedComment ref="V217" dT="2024-12-16T15:32:58.00" personId="{d5498dd3-4a64-46ce-9a8a-c831885a0249}" id="{a079f978-d7ff-48d2-bf4d-cfe10d704282}" done="1">
    <x18tc:text xml:space="preserve">12/16 received the OA info, sent to Day, asked Peter to sign the appraisal agreement (CM)</x18tc:text>
  </x18tc:threadedComment>
  <x18tc:threadedComment ref="A1" dT="2024-12-16T15:21:23.00" personId="{d5498dd3-4a64-46ce-9a8a-c831885a0249}" id="{53eb28ed-875c-4d53-a454-cd8f6cb203fe}" done="0">
    <x18tc:text xml:space="preserve">12/16</x18tc:text>
  </x18tc:threadedComment>
  <x18tc:threadedComment ref="O206" dT="2024-12-16T15:52:16.00" personId="{d5498dd3-4a64-46ce-9a8a-c831885a0249}" id="{eb4c3ade-68f2-487e-8903-b03b2478122e}" done="1">
    <x18tc:text xml:space="preserve">12/16 sent to client (CM)</x18tc:text>
  </x18tc:threadedComment>
  <x18tc:threadedComment ref="V206" dT="2024-12-16T15:52:57.00" personId="{d5498dd3-4a64-46ce-9a8a-c831885a0249}" id="{889cf164-3b93-4c48-a8d6-42f54b4baf67}" done="1">
    <x18tc:text xml:space="preserve">12/16 DA is requesting the SPOL, sent it to client (CM)</x18tc:text>
  </x18tc:threadedComment>
  <x18tc:threadedComment ref="P272" dT="2024-12-16T18:45:20.00" personId="{d5498dd3-4a64-46ce-9a8a-c831885a0249}" id="{fbcb9f87-89f6-4246-9dd2-486987978c79}" done="1">
    <x18tc:text xml:space="preserve">insp 12/04</x18tc:text>
  </x18tc:threadedComment>
  <x18tc:threadedComment ref="V251" dT="2024-12-16T17:42:32.00" personId="{d5498dd3-4a64-46ce-9a8a-c831885a0249}" id="{119d4170-47c3-48ed-9362-da9dcdbda01b}" done="1">
    <x18tc:text xml:space="preserve">12/16 recieved the appraisal agreement asked peter to sign it, sent the OA info to Day (CM)</x18tc:text>
  </x18tc:threadedComment>
  <x18tc:threadedComment ref="P234" dT="2024-12-16T17:57:26.00" personId="{d5498dd3-4a64-46ce-9a8a-c831885a0249}" id="{0ac1ec16-55f2-4b07-9d1b-0a9d894f9ae4}" done="1">
    <x18tc:text xml:space="preserve">01/08</x18tc:text>
  </x18tc:threadedComment>
  <x18tc:threadedComment ref="P239" dT="2024-12-16T18:17:49.00" personId="{d5498dd3-4a64-46ce-9a8a-c831885a0249}" id="{9b204298-bd92-4e85-85d2-a84771c59a68}" done="1">
    <x18tc:text xml:space="preserve">01/03</x18tc:text>
  </x18tc:threadedComment>
  <x18tc:threadedComment ref="P284" dT="2024-12-16T18:49:00.00" personId="{d5498dd3-4a64-46ce-9a8a-c831885a0249}" id="{5e2d2246-5446-493e-b216-ab3a93c82060}" done="1">
    <x18tc:text xml:space="preserve">12/16</x18tc:text>
  </x18tc:threadedComment>
  <x18tc:threadedComment ref="V241" dT="2024-12-16T19:10:37.00" personId="{d5498dd3-4a64-46ce-9a8a-c831885a0249}" id="{a6eada46-4058-4cad-878b-552c74751a26}" done="1">
    <x18tc:text xml:space="preserve">12/16 they are issuing a payment for 12.8k asked JP to send our estimate (CM)</x18tc:text>
  </x18tc:threadedComment>
  <x18tc:threadedComment ref="V284" dT="2024-12-16T19:14:59.00" personId="{d5498dd3-4a64-46ce-9a8a-c831885a0249}" id="{7da7c183-ef42-4106-868a-1dc2c31c16cf}" done="1">
    <x18tc:text xml:space="preserve">12/16 received payment letter as this was already paid, informed PAs and JP (CM)</x18tc:text>
  </x18tc:threadedComment>
  <x18tc:threadedComment ref="O236" dT="2024-12-18T14:04:20.00" personId="{651ebe9d-f120-479c-8376-36973fff1cc1}" id="{bf5284c4-ff01-4bfa-9d67-cb073f61dfec}" done="0">
    <x18tc:text xml:space="preserve">12/18 sent to client. JP</x18tc:text>
  </x18tc:threadedComment>
  <x18tc:threadedComment ref="O237" dT="2024-12-18T14:10:42.00" personId="{651ebe9d-f120-479c-8376-36973fff1cc1}" id="{bb36d3b6-e392-4078-a2cf-4e3b9b09b017}" done="0">
    <x18tc:text xml:space="preserve">12/18 sent to client. JP</x18tc:text>
  </x18tc:threadedComment>
  <x18tc:threadedComment ref="O239" dT="2024-12-18T16:31:46.00" personId="{651ebe9d-f120-479c-8376-36973fff1cc1}" id="{6e2994b7-c34a-40fe-afea-b8ac164968bd}" done="1">
    <x18tc:text xml:space="preserve">no policy on CW</x18tc:text>
  </x18tc:threadedComment>
  <x18tc:threadedComment ref="O233" dT="2024-12-18T16:57:42.00" personId="{651ebe9d-f120-479c-8376-36973fff1cc1}" id="{c9b50966-c152-4d34-b226-d9451c01170b}" done="0">
    <x18tc:text xml:space="preserve">12/18 sent to josh</x18tc:text>
  </x18tc:threadedComment>
  <x18tc:threadedComment ref="O220" dT="2024-12-18T22:41:32.00" personId="{d5498dd3-4a64-46ce-9a8a-c831885a0249}" id="{eb4f6183-fc68-4d46-9c11-a4f40af91b8b}" done="0">
    <x18tc:text xml:space="preserve">12/18 sent SPOL to client SG</x18tc:text>
  </x18tc:threadedComment>
  <x18tc:threadedComment ref="O221" dT="2024-12-18T22:47:28.00" personId="{d5498dd3-4a64-46ce-9a8a-c831885a0249}" id="{36840326-47b7-40fb-8f88-308fb04d3f35}" done="0">
    <x18tc:text xml:space="preserve">12/18 sent SPOL to client SG</x18tc:text>
  </x18tc:threadedComment>
  <x18tc:threadedComment ref="O228" dT="2024-12-18T22:53:12.00" personId="{d5498dd3-4a64-46ce-9a8a-c831885a0249}" id="{f7c9c37c-3687-44d9-b117-3f630c6b9f8e}" done="0">
    <x18tc:text xml:space="preserve">12/18 sent SPOL to client SG</x18tc:text>
  </x18tc:threadedComment>
  <x18tc:threadedComment ref="V235" dT="2024-12-18T18:37:18.00" personId="{d5498dd3-4a64-46ce-9a8a-c831885a0249}" id="{19ff0378-07dc-4352-b722-eb5c54ee9f71}" done="1">
    <x18tc:text xml:space="preserve">12/18 recieved the appraisal agreement asked peter to sign it, sent the OA info to Day (CM)</x18tc:text>
  </x18tc:threadedComment>
  <x18tc:threadedComment ref="O192" dT="2024-12-18T19:11:13.00" personId="{d5498dd3-4a64-46ce-9a8a-c831885a0249}" id="{9b6ff849-b358-4620-947e-dc0a04d70b0a}" done="1">
    <x18tc:text xml:space="preserve">12/18 sent to client SG</x18tc:text>
  </x18tc:threadedComment>
  <x18tc:threadedComment ref="O205" dT="2024-12-18T19:42:35.00" personId="{d5498dd3-4a64-46ce-9a8a-c831885a0249}" id="{0db94bcf-6884-4da7-83ab-6554cb1cecfb}" done="0">
    <x18tc:text xml:space="preserve">12/18 sent to client SG</x18tc:text>
  </x18tc:threadedComment>
  <x18tc:threadedComment ref="O208" dT="2024-12-18T21:13:20.00" personId="{d5498dd3-4a64-46ce-9a8a-c831885a0249}" id="{4e55a7ec-55e2-42c2-9ec6-68ba4a0d677d}" done="1">
    <x18tc:text xml:space="preserve">12/18 sent to client SG</x18tc:text>
  </x18tc:threadedComment>
  <x18tc:threadedComment ref="O209" dT="2024-12-18T21:24:02.00" personId="{d5498dd3-4a64-46ce-9a8a-c831885a0249}" id="{7713a335-0fe2-4614-9793-706bf49218a1}" done="0">
    <x18tc:text xml:space="preserve">12/18 sent SPOL to client SG</x18tc:text>
  </x18tc:threadedComment>
  <x18tc:threadedComment ref="O216" dT="2024-12-18T21:40:46.00" personId="{d5498dd3-4a64-46ce-9a8a-c831885a0249}" id="{a5cfe6b1-abcd-407b-8d0e-2fad6ab8e63a}" done="1">
    <x18tc:text xml:space="preserve">12/18 sent SPOL to client</x18tc:text>
  </x18tc:threadedComment>
  <x18tc:threadedComment ref="P289" dT="2024-12-18T23:11:30.00" personId="{d5498dd3-4a64-46ce-9a8a-c831885a0249}" id="{24719d80-faba-4d98-8290-3b791853f28d}" done="1">
    <x18tc:text xml:space="preserve">01/03</x18tc:text>
  </x18tc:threadedComment>
  <x18tc:threadedComment ref="N216" dT="2024-12-17T13:30:02.00" personId="{651ebe9d-f120-479c-8376-36973fff1cc1}" id="{849321f4-5bc7-4e10-a4dd-bafb0aa850d9}" done="0">
    <x18tc:text xml:space="preserve">12/17 sent to jakey</x18tc:text>
  </x18tc:threadedComment>
  <x18tc:threadedComment ref="N216" dT="2024-12-17T14:55:12.00" personId="{651ebe9d-f120-479c-8376-36973fff1cc1}" id="{72818f27-64a1-4d8f-ad24-f45318b96f27}" parentId="{849321f4-5bc7-4e10-a4dd-bafb0aa850d9}">
    <x18tc:text xml:space="preserve">12/17 aprobado por jakey</x18tc:text>
  </x18tc:threadedComment>
  <x18tc:threadedComment ref="M216" dT="2024-12-17T15:02:34.00" personId="{651ebe9d-f120-479c-8376-36973fff1cc1}" id="{ffb5a8cd-3c0d-44f4-a704-51d1bf43353a}" done="0">
    <x18tc:text xml:space="preserve">12/17 sent to carrier</x18tc:text>
  </x18tc:threadedComment>
  <x18tc:threadedComment ref="O201" dT="2024-12-17T14:32:05.00" personId="{651ebe9d-f120-479c-8376-36973fff1cc1}" id="{8cd633ab-68af-4e56-90c4-38e5a137033f}" done="0">
    <x18tc:text xml:space="preserve">12/17 sent. JP</x18tc:text>
  </x18tc:threadedComment>
  <x18tc:threadedComment ref="O207" dT="2024-12-17T14:50:47.00" personId="{651ebe9d-f120-479c-8376-36973fff1cc1}" id="{6ccbc4fe-0c43-4f39-855c-70f8c4befa12}" done="0">
    <x18tc:text xml:space="preserve">12/17 sent. JP</x18tc:text>
  </x18tc:threadedComment>
  <x18tc:threadedComment ref="V236" dT="2024-12-17T15:33:26.00" personId="{d5498dd3-4a64-46ce-9a8a-c831885a0249}" id="{016c541d-8835-41a6-a66a-c5ede1cc2a42}" done="1">
    <x18tc:text xml:space="preserve">12/16  DA is asking some info (CM)</x18tc:text>
  </x18tc:threadedComment>
  <x18tc:threadedComment ref="O217" dT="2024-12-17T15:41:19.00" personId="{651ebe9d-f120-479c-8376-36973fff1cc1}" id="{725aa427-16f0-4c42-b3d4-5c93761c1b83}" done="0">
    <x18tc:text xml:space="preserve">12/17 sent to client. JP</x18tc:text>
  </x18tc:threadedComment>
  <x18tc:threadedComment ref="V201" dT="2024-12-17T15:41:27.00" personId="{d5498dd3-4a64-46ce-9a8a-c831885a0249}" id="{a4bfe073-aaa1-4f02-8a21-faff996cd292}" done="1">
    <x18tc:text xml:space="preserve">12/17 received the OA info, sent to Day, asked Peter to sign the appraisal agreement (CM)</x18tc:text>
  </x18tc:threadedComment>
  <x18tc:threadedComment ref="O218" dT="2024-12-17T15:53:40.00" personId="{651ebe9d-f120-479c-8376-36973fff1cc1}" id="{6d7b8302-e111-45bd-ad9a-9ba9b853c31d}" done="0">
    <x18tc:text xml:space="preserve">12/17 sent to client. JP</x18tc:text>
  </x18tc:threadedComment>
  <x18tc:threadedComment ref="O223" dT="2024-12-17T16:01:30.00" personId="{651ebe9d-f120-479c-8376-36973fff1cc1}" id="{7a8dbf47-7263-419c-a6b4-c52c32884e6e}" done="0">
    <x18tc:text xml:space="preserve">12/17 sent to client</x18tc:text>
  </x18tc:threadedComment>
  <x18tc:threadedComment ref="V249" dT="2024-12-17T17:05:29.00" personId="{d5498dd3-4a64-46ce-9a8a-c831885a0249}" id="{1bcf7167-ed88-477c-b418-00dfd8f7f111}" done="1">
    <x18tc:text xml:space="preserve">12/17 DA sent an offer for 15k says that the client hasn't replace the roof before evethough he was paid (CM)</x18tc:text>
  </x18tc:threadedComment>
  <x18tc:threadedComment ref="V249" dT="2025-01-21T16:33:31.00" personId="{d5498dd3-4a64-46ce-9a8a-c831885a0249}" id="{2d90851d-7b5f-4d55-9dc4-06511945c061}" parentId="{1bcf7167-ed88-477c-b418-00dfd8f7f111}">
    <x18tc:text xml:space="preserve">01/21 DA is following up on her offer (CM)</x18tc:text>
  </x18tc:threadedComment>
  <x18tc:threadedComment ref="O211" dT="2024-12-17T18:16:31.00" personId="{651ebe9d-f120-479c-8376-36973fff1cc1}" id="{866c51ef-18b2-4d9f-a957-141e98840c91}" done="1">
    <x18tc:text xml:space="preserve">12/17 sent to client</x18tc:text>
  </x18tc:threadedComment>
  <x18tc:threadedComment ref="O212" dT="2024-12-17T18:23:51.00" personId="{651ebe9d-f120-479c-8376-36973fff1cc1}" id="{96c121f5-e319-46a7-b1a4-c06fe81dc7c3}" done="1">
    <x18tc:text xml:space="preserve">12/17 sent to client. JP</x18tc:text>
  </x18tc:threadedComment>
  <x18tc:threadedComment ref="O227" dT="2024-12-17T20:25:42.00" personId="{651ebe9d-f120-479c-8376-36973fff1cc1}" id="{213f7f65-499b-4cc1-81af-ae77fcc8b9c3}" done="0">
    <x18tc:text xml:space="preserve">12/17 sent to client. JP</x18tc:text>
  </x18tc:threadedComment>
  <x18tc:threadedComment ref="O235" dT="2024-12-17T21:08:37.00" personId="{651ebe9d-f120-479c-8376-36973fff1cc1}" id="{8c3dc36c-4a29-4c69-93b4-c9def74d38b2}" done="1">
    <x18tc:text xml:space="preserve">12/17 sent to client. JP</x18tc:text>
  </x18tc:threadedComment>
  <x18tc:threadedComment ref="A1" dT="2024-12-20T16:58:07.00" personId="{d5498dd3-4a64-46ce-9a8a-c831885a0249}" id="{9b482d6a-5102-4bfc-8c30-24b4e7d2a8f6}" done="0">
    <x18tc:text xml:space="preserve">12/20</x18tc:text>
  </x18tc:threadedComment>
  <x18tc:threadedComment ref="V212" dT="2024-12-20T16:22:09.00" personId="{d5498dd3-4a64-46ce-9a8a-c831885a0249}" id="{7af53901-6b30-4ea9-879b-268f56f541a1}" done="1">
    <x18tc:text xml:space="preserve">12/20 need to respond to the DA some questions (CM)</x18tc:text>
  </x18tc:threadedComment>
  <x18tc:threadedComment ref="A88" dT="2024-12-20T16:51:51.00" personId="{d5498dd3-4a64-46ce-9a8a-c831885a0249}" id="{2dd0eba5-68b3-4b80-b2ea-cfcd9ece17e2}" done="1">
    <x18tc:text xml:space="preserve">submitted mediation @scheduling@ipadjustinggroup.com</x18tc:text>
    <x18tc:mentions>
      <x18tc:mention mentionpersonId="{2c8ec519-d5db-42bb-a5e2-52abe8ff6abf}" mentionId="{94fbcd0e-05a3-4f50-84b3-1be8ada95732}" startIndex="20" length="32"/>
    </x18tc:mentions>
  </x18tc:threadedComment>
  <x18tc:threadedComment ref="V149" dT="2024-12-23T20:17:47.00" personId="{d5498dd3-4a64-46ce-9a8a-c831885a0249}" id="{831fefcc-1a57-49cb-b32d-20f349cf120b}" done="1">
    <x18tc:text xml:space="preserve">12/23 Peter says we have a settlement release, need to confim with the lawyers (CM)</x18tc:text>
  </x18tc:threadedComment>
  <x18tc:threadedComment ref="V140" dT="2024-12-23T20:11:12.00" personId="{d5498dd3-4a64-46ce-9a8a-c831885a0249}" id="{9d21a534-3afa-481f-b27e-9d52dc723506}" done="1">
    <x18tc:text xml:space="preserve">12/23 Peter followed up on this claim, he did a counteroffer for 25k (CM)</x18tc:text>
  </x18tc:threadedComment>
  <x18tc:threadedComment ref="A192" dT="2024-12-23T20:26:35.00" personId="{d5498dd3-4a64-46ce-9a8a-c831885a0249}" id="{5f07b258-ce4e-444c-aaa5-942af8e85806}" done="0">
    <x18tc:text xml:space="preserve">12/23 Peter / Stephen</x18tc:text>
  </x18tc:threadedComment>
  <x18tc:threadedComment ref="A192" dT="2025-08-09T00:16:45.00" personId="{d5498dd3-4a64-46ce-9a8a-c831885a0249}" id="{3eb3b377-66d1-4f61-a729-49f3b719cbb9}" parentId="{5f07b258-ce4e-444c-aaa5-942af8e85806}">
    <x18tc:text xml:space="preserve">Recoverable Depreciation: $6,624.14</x18tc:text>
  </x18tc:threadedComment>
  <x18tc:threadedComment ref="A150" dT="2024-12-23T22:46:36.00" personId="{d5498dd3-4a64-46ce-9a8a-c831885a0249}" id="{a7f09aef-65a9-4062-818c-0f346e168e75}" done="1">
    <x18tc:text xml:space="preserve">Joshua</x18tc:text>
  </x18tc:threadedComment>
  <x18tc:threadedComment ref="A150" dT="2025-01-21T16:44:52.00" personId="{d5498dd3-4a64-46ce-9a8a-c831885a0249}" id="{1cbb6ca8-b16c-4728-896d-d2a35744fd55}" parentId="{a7f09aef-65a9-4062-818c-0f346e168e75}">
    <x18tc:text xml:space="preserve">01/21 Day informs that the DA doesn't accept the appraisal (CM)</x18tc:text>
  </x18tc:threadedComment>
  <x18tc:threadedComment ref="V292" dT="2024-12-23T23:00:55.00" personId="{d5498dd3-4a64-46ce-9a8a-c831885a0249}" id="{151698ec-6ea1-4c96-9eb2-94757f1b666b}" done="1">
    <x18tc:text xml:space="preserve">12/23 received the determination letter, below deductible, asked JP to review the IA report and send our estimate (CM)</x18tc:text>
  </x18tc:threadedComment>
  <x18tc:threadedComment ref="A1" dT="2024-12-23T23:12:43.00" personId="{d5498dd3-4a64-46ce-9a8a-c831885a0249}" id="{a7e6bdfa-4baa-488d-ac74-70f0b6bbcbc8}" done="0">
    <x18tc:text xml:space="preserve">12/23</x18tc:text>
  </x18tc:threadedComment>
  <x18tc:threadedComment ref="A1" dT="2024-12-12T02:46:49.00" personId="{d5498dd3-4a64-46ce-9a8a-c831885a0249}" id="{3156ad51-5963-4d81-8bd8-e765fe588963}" done="0">
    <x18tc:text xml:space="preserve">01/02</x18tc:text>
  </x18tc:threadedComment>
  <x18tc:threadedComment ref="V210" dT="2024-12-12T02:56:55.00" personId="{d5498dd3-4a64-46ce-9a8a-c831885a0249}" id="{ef5b6280-0375-4f55-9122-be74b3936b50}" done="1">
    <x18tc:text xml:space="preserve">12/12 asked PAs about the cancelation of this mediation, asked if they wnat me to send the withdraw letter (CM)</x18tc:text>
  </x18tc:threadedComment>
  <x18tc:threadedComment ref="M255" dT="2024-12-12T13:45:17.00" personId="{651ebe9d-f120-479c-8376-36973fff1cc1}" id="{fa0b5b59-b277-4135-8864-fe697a177b9a}" done="0">
    <x18tc:text xml:space="preserve">12/12 sent to DA</x18tc:text>
  </x18tc:threadedComment>
  <x18tc:threadedComment ref="M290" dT="2024-12-12T13:47:40.00" personId="{651ebe9d-f120-479c-8376-36973fff1cc1}" id="{0f0ceb39-fce9-4d5e-84a6-03f978085ccc}" done="0">
    <x18tc:text xml:space="preserve">when sending it to the carrier please CC the client pateldk71@yahoo.com</x18tc:text>
  </x18tc:threadedComment>
  <x18tc:threadedComment ref="N292" dT="2024-12-12T15:05:42.00" personId="{651ebe9d-f120-479c-8376-36973fff1cc1}" id="{a4c9d85c-ddd2-416c-b3ac-404306f7b9b0}" done="0">
    <x18tc:text xml:space="preserve">12/12 sent to josh for review</x18tc:text>
  </x18tc:threadedComment>
  <x18tc:threadedComment ref="N292" dT="2024-12-12T21:35:08.00" personId="{651ebe9d-f120-479c-8376-36973fff1cc1}" id="{33827915-7173-41c4-a945-1f3435eead19}" parentId="{a4c9d85c-ddd2-416c-b3ac-404306f7b9b0}">
    <x18tc:text xml:space="preserve">12/12 approved</x18tc:text>
  </x18tc:threadedComment>
  <x18tc:threadedComment ref="N241" dT="2024-12-12T15:51:43.00" personId="{651ebe9d-f120-479c-8376-36973fff1cc1}" id="{e085fb37-91d0-4ae4-aa5b-78ad1aa6be68}" done="0">
    <x18tc:text xml:space="preserve">12/12 sent to David F for review.</x18tc:text>
  </x18tc:threadedComment>
  <x18tc:threadedComment ref="N241" dT="2025-01-09T12:58:13.00" personId="{651ebe9d-f120-479c-8376-36973fff1cc1}" id="{9bb9bab5-c774-43f7-b0cd-698943ab281e}" parentId="{e085fb37-91d0-4ae4-aa5b-78ad1aa6be68}">
    <x18tc:text xml:space="preserve">1/9/25 ivan approved</x18tc:text>
  </x18tc:threadedComment>
  <x18tc:threadedComment ref="P216" dT="2024-12-12T03:46:35.00" personId="{d5498dd3-4a64-46ce-9a8a-c831885a0249}" id="{d6b01d23-d233-4986-a147-45c02ea54688}" done="1">
    <x18tc:text xml:space="preserve">12/12</x18tc:text>
  </x18tc:threadedComment>
  <x18tc:threadedComment ref="P226" dT="2024-12-12T03:53:12.00" personId="{d5498dd3-4a64-46ce-9a8a-c831885a0249}" id="{5ca230cb-4b0f-4b59-8c61-145669c4ee51}" done="1">
    <x18tc:text xml:space="preserve">01/03</x18tc:text>
  </x18tc:threadedComment>
  <x18tc:threadedComment ref="A253" dT="2025-01-06T15:36:22.00" personId="{d5498dd3-4a64-46ce-9a8a-c831885a0249}" id="{ee7c6ef9-6a53-4017-bef5-43737c4d05ac}" done="1">
    <x18tc:text xml:space="preserve">didn't accept mediation</x18tc:text>
  </x18tc:threadedComment>
  <x18tc:threadedComment ref="A241" dT="2025-01-06T15:36:41.00" personId="{d5498dd3-4a64-46ce-9a8a-c831885a0249}" id="{0e392fe5-a554-4113-bfef-eb00b4865b5f}" done="1">
    <x18tc:text xml:space="preserve">haven't sent yet, David hasn't approve the estimate</x18tc:text>
  </x18tc:threadedComment>
  <x18tc:threadedComment ref="A284" dT="2025-01-06T15:39:01.00" personId="{d5498dd3-4a64-46ce-9a8a-c831885a0249}" id="{44b75e94-7956-4acc-ae72-4d01eada2289}" done="1">
    <x18tc:text xml:space="preserve">we don't have estimate, once ready request mediation</x18tc:text>
  </x18tc:threadedComment>
  <x18tc:threadedComment ref="A230" dT="2025-01-06T15:48:38.00" personId="{d5498dd3-4a64-46ce-9a8a-c831885a0249}" id="{90566287-111a-465e-af17-1bef97a687ff}" done="1">
    <x18tc:text xml:space="preserve">haven't sent yet, David hasn't approve the estimate</x18tc:text>
  </x18tc:threadedComment>
  <x18tc:threadedComment ref="M289" dT="2025-01-06T22:17:29.00" personId="{651ebe9d-f120-479c-8376-36973fff1cc1}" id="{a0950308-5c92-4433-a215-3aa0a61b9f40}" done="0">
    <x18tc:text xml:space="preserve">1/6/25 sent to DA</x18tc:text>
  </x18tc:threadedComment>
  <x18tc:threadedComment ref="M283" dT="2025-01-06T22:20:11.00" personId="{651ebe9d-f120-479c-8376-36973fff1cc1}" id="{486d1ecc-0d81-41d1-8e47-c8eb744aafcd}" done="0">
    <x18tc:text xml:space="preserve">ESPERAR IA REPORT</x18tc:text>
  </x18tc:threadedComment>
  <x18tc:threadedComment ref="M283" dT="2025-01-08T23:29:21.00" personId="{651ebe9d-f120-479c-8376-36973fff1cc1}" id="{b6b5997f-527d-4a59-bba9-d58791531428}" parentId="{486d1ecc-0d81-41d1-8e47-c8eb744aafcd}">
    <x18tc:text xml:space="preserve">1/8/25 sent to DA</x18tc:text>
  </x18tc:threadedComment>
  <x18tc:threadedComment ref="V242" dT="2025-01-06T23:45:16.00" personId="{d5498dd3-4a64-46ce-9a8a-c831885a0249}" id="{c3260ec6-04b3-4439-811c-492f9810d399}" done="1">
    <x18tc:text xml:space="preserve">01/06 DA wants to settled prior mediation on 25k, Day sent to PAs the offer (CM)</x18tc:text>
  </x18tc:threadedComment>
  <x18tc:threadedComment ref="V242" dT="2025-01-21T18:47:15.00" personId="{d5498dd3-4a64-46ce-9a8a-c831885a0249}" id="{765aef8f-dd4e-455d-a075-c6c9dec697e4}" parentId="{c3260ec6-04b3-4439-811c-492f9810d399}">
    <x18tc:text xml:space="preserve">01/21 Need to follow up with MSPG to close both claims together (CM)</x18tc:text>
  </x18tc:threadedComment>
  <x18tc:threadedComment ref="V211" dT="2024-12-19T15:54:54.00" personId="{d5498dd3-4a64-46ce-9a8a-c831885a0249}" id="{3fd5d091-2f19-41a8-81da-2ae34682afc2}" done="1">
    <x18tc:text xml:space="preserve">12/19 received the appraisal agreement, asked Peter to sign it, sent to Day the OA info (CM)</x18tc:text>
  </x18tc:threadedComment>
  <x18tc:threadedComment ref="V193" dT="2024-12-19T15:48:58.00" personId="{d5498dd3-4a64-46ce-9a8a-c831885a0249}" id="{e51b925c-4383-4e35-a36a-7dbe056820fd}" done="0">
    <x18tc:text xml:space="preserve">12/19 received all docs from 2022 in which they say they settled, sent to PAs and asked how to proceed, claim closed as per the carrier (CM)</x18tc:text>
  </x18tc:threadedComment>
  <x18tc:threadedComment ref="A228" dT="2024-12-20T01:16:01.00" personId="{d5498dd3-4a64-46ce-9a8a-c831885a0249}" id="{5f6a09b5-80c2-4ba4-8e70-e64891ecd21c}" done="0">
    <x18tc:text xml:space="preserve">Juan</x18tc:text>
  </x18tc:threadedComment>
  <x18tc:threadedComment ref="V223" dT="2024-12-20T01:45:54.00" personId="{d5498dd3-4a64-46ce-9a8a-c831885a0249}" id="{77d1cdea-90c5-4ed3-8aab-165b037fb04a}" done="1">
    <x18tc:text xml:space="preserve">12/19 asked Juan to sign the appraisal agreement, sent to Day the OA info (CM)</x18tc:text>
  </x18tc:threadedComment>
  <x18tc:threadedComment ref="P279" dT="2024-12-20T03:24:49.00" personId="{d5498dd3-4a64-46ce-9a8a-c831885a0249}" id="{e0a5afa3-9b25-4ccd-8412-e4836f2bec3a}" done="1">
    <x18tc:text xml:space="preserve">12/19</x18tc:text>
  </x18tc:threadedComment>
  <x18tc:threadedComment ref="P278" dT="2024-12-20T03:24:55.00" personId="{d5498dd3-4a64-46ce-9a8a-c831885a0249}" id="{c00657f4-8676-4396-8f52-d3bc1f6aca3e}" done="1">
    <x18tc:text xml:space="preserve">12/19</x18tc:text>
  </x18tc:threadedComment>
  <x18tc:threadedComment ref="A1" dT="2024-12-20T03:27:44.00" personId="{d5498dd3-4a64-46ce-9a8a-c831885a0249}" id="{91874ea5-797b-426a-88f0-4bf29e8c3e26}" done="0">
    <x18tc:text xml:space="preserve">11/27 DA informs he will close the claim as per the policy restrictions (CM)</x18tc:text>
  </x18tc:threadedComment>
  <x18tc:threadedComment ref="P244" dT="2024-12-20T02:13:00.00" personId="{d5498dd3-4a64-46ce-9a8a-c831885a0249}" id="{578d965e-4f96-42a5-ac3c-80b20b1f89df}" done="1">
    <x18tc:text xml:space="preserve">01/03</x18tc:text>
  </x18tc:threadedComment>
  <x18tc:threadedComment ref="A1" dT="2024-12-20T02:13:07.00" personId="{d5498dd3-4a64-46ce-9a8a-c831885a0249}" id="{69bbd229-81e6-4dd0-9bce-7e67a27ab008}" done="1">
    <x18tc:text xml:space="preserve">01/03</x18tc:text>
  </x18tc:threadedComment>
  <x18tc:threadedComment ref="P272" dT="2024-12-20T03:10:12.00" personId="{d5498dd3-4a64-46ce-9a8a-c831885a0249}" id="{78430f4a-5550-42da-9e0a-636e479294fa}" done="1">
    <x18tc:text xml:space="preserve">12/19</x18tc:text>
  </x18tc:threadedComment>
  <x18tc:threadedComment ref="P286" dT="2024-12-20T03:41:15.00" personId="{d5498dd3-4a64-46ce-9a8a-c831885a0249}" id="{64c2519c-e94b-417f-91e8-2d03d9b36d9b}" done="1">
    <x18tc:text xml:space="preserve">01/03</x18tc:text>
  </x18tc:threadedComment>
  <x18tc:threadedComment ref="O250" dT="2024-12-19T19:33:05.00" personId="{d5498dd3-4a64-46ce-9a8a-c831885a0249}" id="{adb20f10-7ef6-49c7-83b6-643c2c635912}" done="0">
    <x18tc:text xml:space="preserve">12/19 sent SPOL to client SG</x18tc:text>
  </x18tc:threadedComment>
  <x18tc:threadedComment ref="A1" dT="2024-12-19T20:39:09.00" personId="{d5498dd3-4a64-46ce-9a8a-c831885a0249}" id="{f6c25650-92dc-47df-a5de-2223a69521c4}" done="0">
    <x18tc:text xml:space="preserve">01/23</x18tc:text>
  </x18tc:threadedComment>
  <x18tc:threadedComment ref="P281" dT="2024-12-19T21:02:14.00" personId="{d5498dd3-4a64-46ce-9a8a-c831885a0249}" id="{a10483f7-b3dc-4804-868b-af36ebb01fcb}" done="1">
    <x18tc:text xml:space="preserve">12/19</x18tc:text>
  </x18tc:threadedComment>
  <x18tc:threadedComment ref="V281" dT="2024-12-19T21:02:28.00" personId="{d5498dd3-4a64-46ce-9a8a-c831885a0249}" id="{38651765-7a8c-42fe-be31-947437c6d6ae}" done="1">
    <x18tc:text xml:space="preserve">12/19 received the determination letter, claim is under deductible (CM)</x18tc:text>
  </x18tc:threadedComment>
  <x18tc:threadedComment ref="O231" dT="2024-12-19T18:18:54.00" personId="{d5498dd3-4a64-46ce-9a8a-c831885a0249}" id="{7eb2476e-3b21-4818-87ff-7541f1090771}" done="0">
    <x18tc:text xml:space="preserve">12/19/24 sent SPOL to client SG</x18tc:text>
  </x18tc:threadedComment>
  <x18tc:threadedComment ref="O246" dT="2024-12-19T18:27:58.00" personId="{d5498dd3-4a64-46ce-9a8a-c831885a0249}" id="{bd23c948-0f71-411a-bd49-dffbdfac7f72}" done="0">
    <x18tc:text xml:space="preserve">12/19 sent SPOL to client SG</x18tc:text>
  </x18tc:threadedComment>
  <x18tc:threadedComment ref="O249" dT="2024-12-19T18:34:53.00" personId="{d5498dd3-4a64-46ce-9a8a-c831885a0249}" id="{0961c6c4-346d-4c2f-a0bb-1653ef3b45e7}" done="0">
    <x18tc:text xml:space="preserve">12/19 sent SPOL to client SG</x18tc:text>
  </x18tc:threadedComment>
  <x18tc:threadedComment ref="A272" dT="2025-01-17T17:42:40.00" personId="{d5498dd3-4a64-46ce-9a8a-c831885a0249}" id="{7046faeb-639c-4096-bd69-be95824aa25e}" done="1">
    <x18tc:text xml:space="preserve">@scheduling@ipadjustinggroup.com
Assigned to scheduling@ipadjustinggroup.com</x18tc:text>
    <x18tc:mentions>
      <x18tc:mention mentionpersonId="{2c8ec519-d5db-42bb-a5e2-52abe8ff6abf}" mentionId="{1084e163-08aa-4d3d-979b-37c6e61be3bc}" startIndex="0" length="32"/>
    </x18tc:mentions>
  </x18tc:threadedComment>
  <x18tc:threadedComment ref="M274" dT="2025-01-20T13:19:28.00" personId="{651ebe9d-f120-479c-8376-36973fff1cc1}" id="{5be8d34a-b40f-4180-9bcd-954e27f06ceb}" done="0">
    <x18tc:text xml:space="preserve">1/7/ approved</x18tc:text>
  </x18tc:threadedComment>
  <x18tc:threadedComment ref="M274" dT="2025-01-20T13:26:49.00" personId="{651ebe9d-f120-479c-8376-36973fff1cc1}" id="{2f399d7e-e815-4ee9-8849-ef0ce48ea5fe}" parentId="{5be8d34a-b40f-4180-9bcd-954e27f06ceb}">
    <x18tc:text xml:space="preserve">1/20 sent to DA</x18tc:text>
  </x18tc:threadedComment>
  <x18tc:threadedComment ref="N293" dT="2025-01-20T14:28:19.00" personId="{651ebe9d-f120-479c-8376-36973fff1cc1}" id="{bfcd1d5f-2848-48d8-adfd-c00f24bf53f4}" done="0">
    <x18tc:text xml:space="preserve">1/20 sent to JOse</x18tc:text>
  </x18tc:threadedComment>
  <x18tc:threadedComment ref="N293" dT="2025-02-11T18:28:21.00" personId="{651ebe9d-f120-479c-8376-36973fff1cc1}" id="{c3034b93-b522-498c-bce5-7a1064f2ba86}" parentId="{bfcd1d5f-2848-48d8-adfd-c00f24bf53f4}">
    <x18tc:text xml:space="preserve">2/10 aprobado</x18tc:text>
  </x18tc:threadedComment>
  <x18tc:threadedComment ref="N286" dT="2025-01-20T15:41:06.00" personId="{651ebe9d-f120-479c-8376-36973fff1cc1}" id="{2db96d3b-c87e-49c8-8cee-6c37771e64ef}" done="0">
    <x18tc:text xml:space="preserve">1/20 sent to myers</x18tc:text>
  </x18tc:threadedComment>
  <x18tc:threadedComment ref="N286" dT="2025-01-20T17:05:47.00" personId="{651ebe9d-f120-479c-8376-36973fff1cc1}" id="{3a175960-6374-473d-8f21-c142c2e1ec59}" parentId="{2db96d3b-c87e-49c8-8cee-6c37771e64ef}">
    <x18tc:text xml:space="preserve">1/20 approved</x18tc:text>
  </x18tc:threadedComment>
  <x18tc:threadedComment ref="M286" dT="2025-01-20T15:41:56.00" personId="{651ebe9d-f120-479c-8376-36973fff1cc1}" id="{16cc5493-21d3-4546-81d8-fa5cb8cde699}" done="0">
    <x18tc:text xml:space="preserve">ENVIAR CON ESTIMADO APROBADO</x18tc:text>
  </x18tc:threadedComment>
  <x18tc:threadedComment ref="M286" dT="2025-01-20T17:10:17.00" personId="{651ebe9d-f120-479c-8376-36973fff1cc1}" id="{daa06014-45f7-4afd-86fe-c8665825ae79}" parentId="{16cc5493-21d3-4546-81d8-fa5cb8cde699}">
    <x18tc:text xml:space="preserve">1/20 subido a CP</x18tc:text>
  </x18tc:threadedComment>
  <x18tc:threadedComment ref="N108" dT="2025-01-20T17:01:26.00" personId="{651ebe9d-f120-479c-8376-36973fff1cc1}" id="{b8b258e5-5783-4291-b2d3-ce3f2ebce0eb}" done="0">
    <x18tc:text xml:space="preserve">1/20/25 sent to juan for review</x18tc:text>
  </x18tc:threadedComment>
  <x18tc:threadedComment ref="N108" dT="2025-01-24T21:49:07.00" personId="{651ebe9d-f120-479c-8376-36973fff1cc1}" id="{8e617ae3-2ab4-41eb-a4b3-cbc25f89b623}" parentId="{b8b258e5-5783-4291-b2d3-ce3f2ebce0eb}">
    <x18tc:text xml:space="preserve">1/21/25 aprobado por juan</x18tc:text>
  </x18tc:threadedComment>
  <x18tc:threadedComment ref="M273" dT="2025-01-20T17:46:05.00" personId="{651ebe9d-f120-479c-8376-36973fff1cc1}" id="{0de53bab-02ac-4b4e-aca2-5ecba4766344}" done="0">
    <x18tc:text xml:space="preserve">1/20 sent to DA. No picture file</x18tc:text>
  </x18tc:threadedComment>
  <x18tc:threadedComment ref="A296" dT="2025-01-21T16:12:20.00" personId="{d5498dd3-4a64-46ce-9a8a-c831885a0249}" id="{4133a7ae-1a9c-4c62-ae9f-f01f0e15ea01}" done="1">
    <x18tc:text xml:space="preserve">Peter</x18tc:text>
  </x18tc:threadedComment>
  <x18tc:threadedComment ref="O291" dT="2025-01-21T16:12:33.00" personId="{651ebe9d-f120-479c-8376-36973fff1cc1}" id="{e280be20-c539-41f2-aaf6-e77ea68e792b}" done="0">
    <x18tc:text xml:space="preserve">1/21 sent to client</x18tc:text>
  </x18tc:threadedComment>
  <x18tc:threadedComment ref="P302" dT="2025-01-21T16:25:14.00" personId="{d5498dd3-4a64-46ce-9a8a-c831885a0249}" id="{4e6bf119-9a94-44f0-9117-a965da71d680}" done="0">
    <x18tc:text xml:space="preserve">02/03</x18tc:text>
  </x18tc:threadedComment>
  <x18tc:threadedComment ref="N308" dT="2025-01-21T13:50:59.00" personId="{651ebe9d-f120-479c-8376-36973fff1cc1}" id="{2056b5b4-16b6-4ecd-8e7f-30fc7c947567}" done="0">
    <x18tc:text xml:space="preserve">1/21 sent to ivan</x18tc:text>
  </x18tc:threadedComment>
  <x18tc:threadedComment ref="N308" dT="2025-02-04T20:31:05.00" personId="{651ebe9d-f120-479c-8376-36973fff1cc1}" id="{0c660e26-3396-4124-8621-75eac33276d9}" parentId="{2056b5b4-16b6-4ecd-8e7f-30fc7c947567}">
    <x18tc:text xml:space="preserve">2/4/25 sent an update</x18tc:text>
  </x18tc:threadedComment>
  <x18tc:threadedComment ref="N308" dT="2025-02-14T14:04:33.00" personId="{651ebe9d-f120-479c-8376-36973fff1cc1}" id="{1b6fc09a-8647-41aa-b4e8-919b0b390473}" parentId="{2056b5b4-16b6-4ecd-8e7f-30fc7c947567}">
    <x18tc:text xml:space="preserve">2/14 aprobado</x18tc:text>
  </x18tc:threadedComment>
  <x18tc:threadedComment ref="N307" dT="2025-01-21T14:18:14.00" personId="{651ebe9d-f120-479c-8376-36973fff1cc1}" id="{84668ffe-f59e-49a4-91dc-c499466b8721}" done="0">
    <x18tc:text xml:space="preserve">1/21/25 sent to ivan</x18tc:text>
  </x18tc:threadedComment>
  <x18tc:threadedComment ref="N307" dT="2025-01-24T13:22:54.00" personId="{651ebe9d-f120-479c-8376-36973fff1cc1}" id="{36ba4407-499a-45e3-9fd1-97674be6d167}" parentId="{84668ffe-f59e-49a4-91dc-c499466b8721}">
    <x18tc:text xml:space="preserve">1/21/25 aprobado por ivan</x18tc:text>
  </x18tc:threadedComment>
  <x18tc:threadedComment ref="N307" dT="2025-05-12T17:22:28.00" personId="{651ebe9d-f120-479c-8376-36973fff1cc1}" id="{157e579c-32ac-45fd-8424-bbb5e9f8c87f}" parentId="{84668ffe-f59e-49a4-91dc-c499466b8721}">
    <x18tc:text xml:space="preserve">5/12 sent an update to IVan</x18tc:text>
  </x18tc:threadedComment>
  <x18tc:threadedComment ref="V265" dT="2025-01-21T14:23:13.00" personId="{d5498dd3-4a64-46ce-9a8a-c831885a0249}" id="{ff80cae5-997b-4d21-95d6-c9453a71ccee}" done="1">
    <x18tc:text xml:space="preserve">11/14 Peter sent our estimate and photos, he is asking 35k on this claim, DA says she need to review and that the fence is not covered by the policy (CM)
12/10 DA is offering 5k, he doesn't agree on our estimate (CM)
01/21 Peter is offering 27.5k (CM)</x18tc:text>
  </x18tc:threadedComment>
  <x18tc:threadedComment ref="N25" dT="2025-01-21T14:28:17.00" personId="{651ebe9d-f120-479c-8376-36973fff1cc1}" id="{9176a5f7-89a7-47d3-861f-f18825e893a0}" done="0">
    <x18tc:text xml:space="preserve">juan no contesta la info para este estimado</x18tc:text>
  </x18tc:threadedComment>
  <x18tc:threadedComment ref="A291" dT="2025-01-21T14:31:20.00" personId="{d5498dd3-4a64-46ce-9a8a-c831885a0249}" id="{73d21061-7977-4f84-aa2b-a99b158e97e8}" done="0">
    <x18tc:text xml:space="preserve">Peter</x18tc:text>
  </x18tc:threadedComment>
  <x18tc:threadedComment ref="A291" dT="2025-07-22T14:00:50.00" personId="{d5498dd3-4a64-46ce-9a8a-c831885a0249}" id="{8a13437e-15da-4355-b807-a0a83a85ac83}" parentId="{73d21061-7977-4f84-aa2b-a99b158e97e8}">
    <x18tc:text xml:space="preserve">recoverable depreciation $5,934.53
ordinance or law $1,169.76</x18tc:text>
  </x18tc:threadedComment>
  <x18tc:threadedComment ref="A140" dT="2025-01-21T15:06:20.00" personId="{d5498dd3-4a64-46ce-9a8a-c831885a0249}" id="{0983661b-0beb-49cc-a44c-b59639bdd7bc}" done="0">
    <x18tc:text xml:space="preserve">Juan</x18tc:text>
  </x18tc:threadedComment>
  <x18tc:threadedComment ref="O215" dT="2025-01-21T15:12:20.00" personId="{651ebe9d-f120-479c-8376-36973fff1cc1}" id="{c2336789-4f04-4d4c-812e-4f412709d261}" done="0">
    <x18tc:text xml:space="preserve">1/21/25 sent to client</x18tc:text>
  </x18tc:threadedComment>
  <x18tc:threadedComment ref="O234" dT="2025-01-21T15:24:15.00" personId="{651ebe9d-f120-479c-8376-36973fff1cc1}" id="{a5b69665-f152-4358-977f-a7184045479c}" done="0">
    <x18tc:text xml:space="preserve">1/21 envie a josh q haga firmar al cliente, no tenemos email</x18tc:text>
  </x18tc:threadedComment>
  <x18tc:threadedComment ref="O239" dT="2025-01-21T15:35:11.00" personId="{651ebe9d-f120-479c-8376-36973fff1cc1}" id="{d08d61de-987a-4082-99c9-8c696596b9a6}" done="0">
    <x18tc:text xml:space="preserve">1/21 sent to client. no policy</x18tc:text>
  </x18tc:threadedComment>
  <x18tc:threadedComment ref="O275" dT="2025-01-21T15:41:43.00" personId="{651ebe9d-f120-479c-8376-36973fff1cc1}" id="{bceee833-b535-4c8a-bb01-80f9c178f920}" done="1">
    <x18tc:text xml:space="preserve">1/21/25 sent to client</x18tc:text>
  </x18tc:threadedComment>
  <x18tc:threadedComment ref="A1" dT="2025-01-22T20:37:24.00" personId="{d5498dd3-4a64-46ce-9a8a-c831885a0249}" id="{d8ae2c7e-2b5a-4e2e-abf7-70c30d9e77f4}" done="0">
    <x18tc:text xml:space="preserve">01/22</x18tc:text>
  </x18tc:threadedComment>
  <x18tc:threadedComment ref="A120" dT="2025-01-22T22:41:53.00" personId="{d5498dd3-4a64-46ce-9a8a-c831885a0249}" id="{18ab81ab-e042-4347-9492-6d0a3d7eeb6c}" done="1">
    <x18tc:text xml:space="preserve">we were paid @admin@ipadjustinggroup.com
Assigned to admin@ipadjustinggroup.com</x18tc:text>
    <x18tc:mentions>
      <x18tc:mention mentionpersonId="{1ffc25a2-3f83-4ed1-a701-edf0aba99522}" mentionId="{b51628d1-fccb-4f69-a03f-a519ab4d6663}" startIndex="13" length="27"/>
    </x18tc:mentions>
  </x18tc:threadedComment>
  <x18tc:threadedComment ref="A120" dT="2025-01-23T15:02:37.00" personId="{d5498dd3-4a64-46ce-9a8a-c831885a0249}" id="{44aaa85e-20c8-4a43-8e64-7852c6c06abd}" parentId="{18ab81ab-e042-4347-9492-6d0a3d7eeb6c}">
    <x18tc:text xml:space="preserve">Marked as done</x18tc:text>
  </x18tc:threadedComment>
  <x18tc:threadedComment ref="V221" dT="2025-01-22T15:16:36.00" personId="{d5498dd3-4a64-46ce-9a8a-c831885a0249}" id="{927802c7-0880-49c5-87ea-85d7ef4f6d1d}" done="0">
    <x18tc:text xml:space="preserve">01/22 DA did an offer for 6k, sent to PAs (CM)</x18tc:text>
  </x18tc:threadedComment>
  <x18tc:threadedComment ref="V221" dT="2025-02-04T01:59:34.00" personId="{d5498dd3-4a64-46ce-9a8a-c831885a0249}" id="{97003737-03e6-4aa7-bbdb-6d2cd74c50ca}" parentId="{927802c7-0880-49c5-87ea-85d7ef4f6d1d}">
    <x18tc:text xml:space="preserve">02/04 Peter asked 30k to the DA (CM)</x18tc:text>
  </x18tc:threadedComment>
  <x18tc:threadedComment ref="V107" dT="2025-01-22T16:34:16.00" personId="{d5498dd3-4a64-46ce-9a8a-c831885a0249}" id="{17967e6c-48c4-46f3-91da-791a3fc1ddbf}" done="0">
    <x18tc:text xml:space="preserve">01/22 DA is questioning our estimate, and client requires a call, askes Juan via WS, sent to I&amp;P as well (CM)</x18tc:text>
  </x18tc:threadedComment>
  <x18tc:threadedComment ref="M303" dT="2025-01-22T17:20:51.00" personId="{651ebe9d-f120-479c-8376-36973fff1cc1}" id="{993f7531-ca1b-40b4-b345-711a75e4c022}" done="0">
    <x18tc:text xml:space="preserve">1/22/25 sent to carrier</x18tc:text>
  </x18tc:threadedComment>
  <x18tc:threadedComment ref="N294" dT="2025-01-09T20:34:02.00" personId="{651ebe9d-f120-479c-8376-36973fff1cc1}" id="{7095db40-9d98-4f94-96bf-098ba8dcbace}" done="0">
    <x18tc:text xml:space="preserve">1/9/25 sent to ivan</x18tc:text>
  </x18tc:threadedComment>
  <x18tc:threadedComment ref="N294" dT="2025-01-13T13:40:21.00" personId="{651ebe9d-f120-479c-8376-36973fff1cc1}" id="{919712e6-af60-4100-b5d8-9fa0713203de}" parentId="{7095db40-9d98-4f94-96bf-098ba8dcbace}">
    <x18tc:text xml:space="preserve">1/13/25 ivan approved</x18tc:text>
  </x18tc:threadedComment>
  <x18tc:threadedComment ref="M259" dT="2025-01-09T21:34:07.00" personId="{651ebe9d-f120-479c-8376-36973fff1cc1}" id="{cd21f3f2-01a3-4980-b120-4b39f6fa473e}" done="0">
    <x18tc:text xml:space="preserve">1/9/25 sent to DA</x18tc:text>
  </x18tc:threadedComment>
  <x18tc:threadedComment ref="O241" dT="2025-01-10T00:18:15.00" personId="{651ebe9d-f120-479c-8376-36973fff1cc1}" id="{b06a2c4a-18b3-497a-9c38-705c42d26645}" done="0">
    <x18tc:text xml:space="preserve">1/9/25 sent to client</x18tc:text>
  </x18tc:threadedComment>
  <x18tc:threadedComment ref="A1" dT="2025-01-08T20:41:16.00" personId="{d5498dd3-4a64-46ce-9a8a-c831885a0249}" id="{ded6b701-9535-45cf-854f-1aa818fd6ec3}" done="1">
    <x18tc:text xml:space="preserve">Prefered method email</x18tc:text>
  </x18tc:threadedComment>
  <x18tc:threadedComment ref="V290" dT="2025-01-10T14:56:26.00" personId="{d5498dd3-4a64-46ce-9a8a-c831885a0249}" id="{be082c35-06b2-47cc-8e3a-68757359d43f}" done="1">
    <x18tc:text xml:space="preserve">01/10 DA is offering 5k to settle, Joshua is asking 31k (CM)</x18tc:text>
  </x18tc:threadedComment>
  <x18tc:threadedComment ref="V290" dT="2025-01-10T20:28:05.00" personId="{d5498dd3-4a64-46ce-9a8a-c831885a0249}" id="{2fc7dce8-7773-4f3c-be0d-a92fe381c808}" parentId="{be082c35-06b2-47cc-8e3a-68757359d43f}">
    <x18tc:text xml:space="preserve">01/10 DA is offering 10k to settle, Joshua is asking 26k (CM)</x18tc:text>
  </x18tc:threadedComment>
  <x18tc:threadedComment ref="V290" dT="2025-01-13T13:31:27.00" personId="{d5498dd3-4a64-46ce-9a8a-c831885a0249}" id="{90cf4ecf-0ed8-41a2-b453-179a501f0d59}" parentId="{be082c35-06b2-47cc-8e3a-68757359d43f}">
    <x18tc:text xml:space="preserve">01/13 DA is offering 15k to settle, Joshua asked 21k (CM)</x18tc:text>
  </x18tc:threadedComment>
  <x18tc:threadedComment ref="V150" dT="2025-01-10T14:51:47.00" personId="{d5498dd3-4a64-46ce-9a8a-c831885a0249}" id="{dad2866c-a120-4a0e-a451-834c47b8104e}" done="1">
    <x18tc:text xml:space="preserve">01/10 DA is offering 5k new money, cc'd PAs (CM)</x18tc:text>
  </x18tc:threadedComment>
  <x18tc:threadedComment ref="P263" dT="2025-01-10T16:15:40.00" personId="{d5498dd3-4a64-46ce-9a8a-c831885a0249}" id="{4ea25421-ead2-409f-9e64-5f57fb3f991c}" done="1">
    <x18tc:text xml:space="preserve">01/10</x18tc:text>
  </x18tc:threadedComment>
  <x18tc:threadedComment ref="P289" dT="2025-01-10T16:26:28.00" personId="{d5498dd3-4a64-46ce-9a8a-c831885a0249}" id="{ae3e5eaa-1830-49b1-87d0-cc19bc7115ac}" done="1">
    <x18tc:text xml:space="preserve">reinsp will be 03/05</x18tc:text>
  </x18tc:threadedComment>
  <x18tc:threadedComment ref="A1" dT="2025-01-10T17:09:23.00" personId="{d5498dd3-4a64-46ce-9a8a-c831885a0249}" id="{c50e1ce6-826d-46b8-8b28-f93c441ae4c1}" done="0">
    <x18tc:text xml:space="preserve">01/10</x18tc:text>
  </x18tc:threadedComment>
  <x18tc:threadedComment ref="V296" dT="2025-01-10T20:23:01.00" personId="{d5498dd3-4a64-46ce-9a8a-c831885a0249}" id="{e737c827-18a1-45a7-b673-dafa85c94d15}" done="1">
    <x18tc:text xml:space="preserve">01/10 DA is closing the claim as he hasn't received our estimate or any other doc, sent to PAs and JP (CM)</x18tc:text>
  </x18tc:threadedComment>
  <x18tc:threadedComment ref="M244" dT="2025-01-10T22:13:04.00" personId="{651ebe9d-f120-479c-8376-36973fff1cc1}" id="{08437a0f-4514-426b-9068-ad0c72da36f3}" done="0">
    <x18tc:text xml:space="preserve">1/10/25 sent to DA</x18tc:text>
  </x18tc:threadedComment>
  <x18tc:threadedComment ref="V140" dT="2025-01-12T14:15:23.00" personId="{d5498dd3-4a64-46ce-9a8a-c831885a0249}" id="{5c0b8d21-06a9-458b-b8f9-7c98e81163bf}" done="1">
    <x18tc:text xml:space="preserve">01/10 DA says they don't accept the 25k counter offer that Peter did (CM)</x18tc:text>
  </x18tc:threadedComment>
  <x18tc:threadedComment ref="V150" dT="2025-01-12T14:17:25.00" personId="{d5498dd3-4a64-46ce-9a8a-c831885a0249}" id="{d2f53a51-3727-4826-9961-49840767c7ae}" done="1">
    <x18tc:text xml:space="preserve">01/10 DA is offering 5k new money, cc'd PAs (CM)</x18tc:text>
  </x18tc:threadedComment>
  <x18tc:threadedComment ref="V150" dT="2025-01-20T21:45:41.00" personId="{d5498dd3-4a64-46ce-9a8a-c831885a0249}" id="{cf507164-c5e4-4a67-9801-dedd7309bbe1}" parentId="{d2f53a51-3727-4826-9961-49840767c7ae}">
    <x18tc:text xml:space="preserve">01/20 Peter did a counter offer for 35k (CM)</x18tc:text>
  </x18tc:threadedComment>
  <x18tc:threadedComment ref="V150" dT="2025-01-21T16:44:43.00" personId="{d5498dd3-4a64-46ce-9a8a-c831885a0249}" id="{68ea68ce-8c92-485c-a5b7-2c1f3665fda2}" parentId="{d2f53a51-3727-4826-9961-49840767c7ae}">
    <x18tc:text xml:space="preserve">01/21 Day informs that the DA doesn't accept the appraisal (CM)</x18tc:text>
  </x18tc:threadedComment>
  <x18tc:threadedComment ref="S187" dT="2025-01-12T14:15:12.00" personId="{d5498dd3-4a64-46ce-9a8a-c831885a0249}" id="{b7238e91-9504-461e-a3c7-121331b5ecaa}" done="1">
    <x18tc:text xml:space="preserve">01/10 DA says they don't accept the 25k counter offer that Peter did (CM)</x18tc:text>
  </x18tc:threadedComment>
  <x18tc:threadedComment ref="V226" dT="2025-01-12T16:42:30.00" personId="{d5498dd3-4a64-46ce-9a8a-c831885a0249}" id="{a3427b1c-c93d-424c-aa40-c5ebad13331b}" done="1">
    <x18tc:text xml:space="preserve">01/03 spoke with the DA assistant asked for the IA report and determination on this claim, received the IA asked JP to send our estimate(CM)</x18tc:text>
  </x18tc:threadedComment>
  <x18tc:threadedComment ref="A1" dT="2025-01-12T16:44:51.00" personId="{d5498dd3-4a64-46ce-9a8a-c831885a0249}" id="{ed49e8f3-c9fa-4b25-a420-091ac6538cc7}" done="0">
    <x18tc:text xml:space="preserve">01/13</x18tc:text>
  </x18tc:threadedComment>
  <x18tc:threadedComment ref="A1" dT="2025-01-12T16:47:23.00" personId="{d5498dd3-4a64-46ce-9a8a-c831885a0249}" id="{beaa93d5-e70c-4ef7-b6a9-ee76b18409cc}" done="0">
    <x18tc:text xml:space="preserve">01/23</x18tc:text>
  </x18tc:threadedComment>
  <x18tc:threadedComment ref="N304" dT="2025-01-13T21:55:44.00" personId="{651ebe9d-f120-479c-8376-36973fff1cc1}" id="{6a7c1149-2b1f-4ad3-ad72-6cec2d23ec88}" done="0">
    <x18tc:text xml:space="preserve">1/13/25 sent to josh</x18tc:text>
  </x18tc:threadedComment>
  <x18tc:threadedComment ref="N304" dT="2025-01-15T14:02:05.00" personId="{651ebe9d-f120-479c-8376-36973fff1cc1}" id="{5fa3a1d2-aaec-444a-9aa6-98808d81b759}" parentId="{6a7c1149-2b1f-4ad3-ad72-6cec2d23ec88}">
    <x18tc:text xml:space="preserve">1/13/25 aprobado</x18tc:text>
  </x18tc:threadedComment>
  <x18tc:threadedComment ref="M299" dT="2025-01-13T21:58:29.00" personId="{651ebe9d-f120-479c-8376-36973fff1cc1}" id="{8de70139-ccf4-4ed7-bf66-9ecc232b7ae8}" done="0">
    <x18tc:text xml:space="preserve">ESPERAR IA REPORT</x18tc:text>
  </x18tc:threadedComment>
  <x18tc:threadedComment ref="M299" dT="2025-01-14T15:48:45.00" personId="{651ebe9d-f120-479c-8376-36973fff1cc1}" id="{6603314e-7946-4110-ab83-012ff9166fc8}" parentId="{8de70139-ccf4-4ed7-bf66-9ecc232b7ae8}">
    <x18tc:text xml:space="preserve">1/14 sent to DA</x18tc:text>
  </x18tc:threadedComment>
  <x18tc:threadedComment ref="M299" dT="2025-01-20T15:53:50.00" personId="{651ebe9d-f120-479c-8376-36973fff1cc1}" id="{875795d5-873d-42d5-a1ed-149c70ed04e8}" parentId="{8de70139-ccf4-4ed7-bf66-9ecc232b7ae8}">
    <x18tc:text xml:space="preserve">1/20 enviado con C# corregido</x18tc:text>
  </x18tc:threadedComment>
  <x18tc:threadedComment ref="M267" dT="2025-01-14T23:50:36.00" personId="{651ebe9d-f120-479c-8376-36973fff1cc1}" id="{76526311-04d7-446c-babc-56a7ca76c642}" done="0">
    <x18tc:text xml:space="preserve">1/14/25 sent to carrier</x18tc:text>
  </x18tc:threadedComment>
  <x18tc:threadedComment ref="M267" dT="2025-04-17T23:48:37.00" personId="{651ebe9d-f120-479c-8376-36973fff1cc1}" id="{d2eb5117-47fc-4a39-b786-bc11206b6406}" parentId="{76526311-04d7-446c-babc-56a7ca76c642}">
    <x18tc:text xml:space="preserve">4/17 Carito de este reclamo vamos a enviar un update, estoy haciendo el estimado @admin@ipadjustinggroup.com</x18tc:text>
    <x18tc:mentions>
      <x18tc:mention mentionpersonId="{1ffc25a2-3f83-4ed1-a701-edf0aba99522}" mentionId="{09d98742-71ea-4ae7-9bc5-cf785421a14f}" startIndex="81" length="27"/>
    </x18tc:mentions>
  </x18tc:threadedComment>
  <x18tc:threadedComment ref="M267" dT="2025-04-18T09:14:07.00" personId="{d5498dd3-4a64-46ce-9a8a-c831885a0249}" id="{eb420d21-3756-40e8-95cc-8ec123bb5afd}" parentId="{76526311-04d7-446c-babc-56a7ca76c642}">
    <x18tc:text xml:space="preserve">chevere gracias paulillo estare atenta</x18tc:text>
  </x18tc:threadedComment>
  <x18tc:threadedComment ref="M267" dT="2025-04-30T13:48:02.00" personId="{651ebe9d-f120-479c-8376-36973fff1cc1}" id="{04bfb6ff-c8c6-4a80-834f-166aa737d26c}" parentId="{76526311-04d7-446c-babc-56a7ca76c642}">
    <x18tc:text xml:space="preserve">4/30 sent to DA</x18tc:text>
  </x18tc:threadedComment>
  <x18tc:threadedComment ref="M268" dT="2025-01-14T23:50:46.00" personId="{651ebe9d-f120-479c-8376-36973fff1cc1}" id="{6fff67ce-c5ac-49a8-aff9-110b80400b25}" done="0">
    <x18tc:text xml:space="preserve">1/14/25 sent to carrier</x18tc:text>
  </x18tc:threadedComment>
  <x18tc:threadedComment ref="M268" dT="2025-06-11T14:59:42.00" personId="{651ebe9d-f120-479c-8376-36973fff1cc1}" id="{193d415b-8105-4d70-ad8d-387a7ca07b61}" parentId="{6fff67ce-c5ac-49a8-aff9-110b80400b25}">
    <x18tc:text xml:space="preserve">6/11 Sent to DA</x18tc:text>
  </x18tc:threadedComment>
  <x18tc:threadedComment ref="M269" dT="2025-01-14T23:50:51.00" personId="{651ebe9d-f120-479c-8376-36973fff1cc1}" id="{96c1ee3a-3127-4596-bd12-8152ac431a9f}" done="0">
    <x18tc:text xml:space="preserve">1/14/25 sent to carrier</x18tc:text>
  </x18tc:threadedComment>
  <x18tc:threadedComment ref="M269" dT="2025-06-11T14:59:56.00" personId="{651ebe9d-f120-479c-8376-36973fff1cc1}" id="{e97ed134-bd43-4e7b-9d63-0019912c357d}" parentId="{96c1ee3a-3127-4596-bd12-8152ac431a9f}">
    <x18tc:text xml:space="preserve">6/11 sent to DA</x18tc:text>
  </x18tc:threadedComment>
  <x18tc:threadedComment ref="A295" dT="2025-01-14T19:21:00.00" personId="{d5498dd3-4a64-46ce-9a8a-c831885a0249}" id="{04780dd9-a098-452f-a4a0-b5c5a32e06b6}" done="1">
    <x18tc:text xml:space="preserve">@scheduling@ipadjustinggroup.com
Assigned to scheduling@ipadjustinggroup.com</x18tc:text>
    <x18tc:mentions>
      <x18tc:mention mentionpersonId="{2c8ec519-d5db-42bb-a5e2-52abe8ff6abf}" mentionId="{e476c998-eb7b-4f0a-a9a6-0360d7591e5d}" startIndex="0" length="32"/>
    </x18tc:mentions>
  </x18tc:threadedComment>
  <x18tc:threadedComment ref="A227" dT="2025-01-14T19:30:09.00" personId="{d5498dd3-4a64-46ce-9a8a-c831885a0249}" id="{f09611dc-04fc-4f55-9693-b2ab77de5749}" done="0">
    <x18tc:text xml:space="preserve">Joshua</x18tc:text>
  </x18tc:threadedComment>
  <x18tc:threadedComment ref="A296" dT="2025-01-14T18:45:22.00" personId="{d5498dd3-4a64-46ce-9a8a-c831885a0249}" id="{4272c220-92ed-4112-ac2e-3114723e4dcf}" done="1">
    <x18tc:text xml:space="preserve">Peter</x18tc:text>
  </x18tc:threadedComment>
  <x18tc:threadedComment ref="A296" dT="2025-01-14T19:10:08.00" personId="{d5498dd3-4a64-46ce-9a8a-c831885a0249}" id="{55caa365-a1d9-49a5-991b-5d26d713c333}" parentId="{4272c220-92ed-4112-ac2e-3114723e4dcf}">
    <x18tc:text xml:space="preserve">@scheduling@ipadjustinggroup.com</x18tc:text>
    <x18tc:mentions>
      <x18tc:mention mentionpersonId="{2c8ec519-d5db-42bb-a5e2-52abe8ff6abf}" mentionId="{23f5c304-baf5-4e35-bfd2-449a995db71e}" startIndex="0" length="32"/>
    </x18tc:mentions>
  </x18tc:threadedComment>
  <x18tc:threadedComment ref="A247" dT="2025-01-14T19:10:00.00" personId="{d5498dd3-4a64-46ce-9a8a-c831885a0249}" id="{63bc878f-eff5-4c47-807e-b81d76503e73}" done="1">
    <x18tc:text xml:space="preserve">mediation @scheduling@ipadjustinggroup.com
Assigned to scheduling@ipadjustinggroup.com</x18tc:text>
    <x18tc:mentions>
      <x18tc:mention mentionpersonId="{2c8ec519-d5db-42bb-a5e2-52abe8ff6abf}" mentionId="{b33080b1-cf42-48b6-807c-cafc790c38d7}" startIndex="10" length="32"/>
    </x18tc:mentions>
  </x18tc:threadedComment>
  <x18tc:threadedComment ref="A247" dT="2025-01-14T21:53:44.00" personId="{610be7ce-9288-4df9-9aac-427cc105bbe1}" id="{a5b4185c-1e5e-4ee3-b586-a7b2196e924c}" parentId="{63bc878f-eff5-4c47-807e-b81d76503e73}">
    <x18tc:text xml:space="preserve">Marked as done</x18tc:text>
  </x18tc:threadedComment>
  <x18tc:threadedComment ref="A292" dT="2025-01-14T19:10:24.00" personId="{d5498dd3-4a64-46ce-9a8a-c831885a0249}" id="{e9a000eb-9c3f-410a-8e4c-1b298e1ccb08}" done="1">
    <x18tc:text xml:space="preserve">@scheduling@ipadjustinggroup.com
Assigned to scheduling@ipadjustinggroup.com</x18tc:text>
    <x18tc:mentions>
      <x18tc:mention mentionpersonId="{2c8ec519-d5db-42bb-a5e2-52abe8ff6abf}" mentionId="{aa6cee86-50c7-4157-879e-e3da223b6f47}" startIndex="0" length="32"/>
    </x18tc:mentions>
  </x18tc:threadedComment>
  <x18tc:threadedComment ref="A292" dT="2025-01-14T21:54:11.00" personId="{610be7ce-9288-4df9-9aac-427cc105bbe1}" id="{a11b000d-a066-4737-ad9e-cca127a15be8}" parentId="{e9a000eb-9c3f-410a-8e4c-1b298e1ccb08}">
    <x18tc:text xml:space="preserve">Marked as done</x18tc:text>
  </x18tc:threadedComment>
  <x18tc:threadedComment ref="A254" dT="2025-01-14T19:35:49.00" personId="{d5498dd3-4a64-46ce-9a8a-c831885a0249}" id="{a56428bf-147a-4cf0-b6e8-4e251792e6d2}" done="1">
    <x18tc:text xml:space="preserve">@scheduling@ipadjustinggroup.com
Assigned to scheduling@ipadjustinggroup.com</x18tc:text>
    <x18tc:mentions>
      <x18tc:mention mentionpersonId="{2c8ec519-d5db-42bb-a5e2-52abe8ff6abf}" mentionId="{21851a58-a06b-4c69-88fe-695bad385118}" startIndex="0" length="32"/>
    </x18tc:mentions>
  </x18tc:threadedComment>
  <x18tc:threadedComment ref="A1" dT="2025-01-14T23:28:10.00" personId="{d5498dd3-4a64-46ce-9a8a-c831885a0249}" id="{a6c6b191-f814-4a5a-9ccf-6845e43753c6}" done="0">
    <x18tc:text xml:space="preserve">01/14</x18tc:text>
  </x18tc:threadedComment>
  <x18tc:threadedComment ref="A1" dT="2025-01-14T23:28:11.00" personId="{d5498dd3-4a64-46ce-9a8a-c831885a0249}" id="{ee7bd4c7-3a14-4e36-b736-adcd828923cb}" done="0">
    <x18tc:text xml:space="preserve">01/14</x18tc:text>
  </x18tc:threadedComment>
  <x18tc:threadedComment ref="A266" dT="2025-01-14T22:51:40.00" personId="{d5498dd3-4a64-46ce-9a8a-c831885a0249}" id="{184d007a-d471-4de0-bd74-101ee1d94f80}" done="1">
    <x18tc:text xml:space="preserve">@scheduling@ipadjustinggroup.com
Assigned to scheduling@ipadjustinggroup.com</x18tc:text>
    <x18tc:mentions>
      <x18tc:mention mentionpersonId="{2c8ec519-d5db-42bb-a5e2-52abe8ff6abf}" mentionId="{566eccb0-f490-40ef-bdce-1228aafd23c8}" startIndex="0" length="32"/>
    </x18tc:mentions>
  </x18tc:threadedComment>
  <x18tc:threadedComment ref="A266" dT="2025-01-15T15:34:55.00" personId="{610be7ce-9288-4df9-9aac-427cc105bbe1}" id="{fb145db9-bd92-4c78-a34b-b178bd57b95c}" parentId="{184d007a-d471-4de0-bd74-101ee1d94f80}">
    <x18tc:text xml:space="preserve">Noted
Marked as done</x18tc:text>
  </x18tc:threadedComment>
  <x18tc:threadedComment ref="A1" dT="2025-01-14T22:58:36.00" personId="{d5498dd3-4a64-46ce-9a8a-c831885a0249}" id="{da874a21-633f-4e7a-ab39-68836b513c84}" done="1">
    <x18tc:text xml:space="preserve">@scheduling@ipadjustinggroup.com
Assigned to scheduling@ipadjustinggroup.com</x18tc:text>
    <x18tc:mentions>
      <x18tc:mention mentionpersonId="{2c8ec519-d5db-42bb-a5e2-52abe8ff6abf}" mentionId="{97445b81-bfa8-4961-8ae7-f90f7b399267}" startIndex="0" length="32"/>
    </x18tc:mentions>
  </x18tc:threadedComment>
  <x18tc:threadedComment ref="A1" dT="2025-01-15T15:43:51.00" personId="{610be7ce-9288-4df9-9aac-427cc105bbe1}" id="{d4546683-94fe-4ff5-a8fd-b5cbc64b99d7}" parentId="{da874a21-633f-4e7a-ab39-68836b513c84}">
    <x18tc:text xml:space="preserve">Marked as done</x18tc:text>
  </x18tc:threadedComment>
  <x18tc:threadedComment ref="A1" dT="2025-01-15T15:43:56.00" personId="{610be7ce-9288-4df9-9aac-427cc105bbe1}" id="{8645da97-2037-4ae3-bb20-9b9d4c283d56}" parentId="{da874a21-633f-4e7a-ab39-68836b513c84}">
    <x18tc:text xml:space="preserve">Done
Marked as done</x18tc:text>
  </x18tc:threadedComment>
  <x18tc:threadedComment ref="P288" dT="2024-12-27T13:27:15.00" personId="{d5498dd3-4a64-46ce-9a8a-c831885a0249}" id="{5c8a9193-89a9-4a8a-ae40-5a2b13278baf}" done="1">
    <x18tc:text xml:space="preserve">12/27</x18tc:text>
  </x18tc:threadedComment>
  <x18tc:threadedComment ref="N282" dT="2024-12-28T01:36:04.00" personId="{651ebe9d-f120-479c-8376-36973fff1cc1}" id="{8c630b16-0a6e-43bf-8480-b843086be8f1}" done="0">
    <x18tc:text xml:space="preserve">12/27 sent to Ivan</x18tc:text>
  </x18tc:threadedComment>
  <x18tc:threadedComment ref="N282" dT="2025-01-01T15:44:01.00" personId="{651ebe9d-f120-479c-8376-36973fff1cc1}" id="{edcc34a0-8bcc-4f89-8a84-d10b013d7250}" parentId="{8c630b16-0a6e-43bf-8480-b843086be8f1}">
    <x18tc:text xml:space="preserve">12/31 aprobado por ivan</x18tc:text>
  </x18tc:threadedComment>
  <x18tc:threadedComment ref="P291" dT="2024-12-27T22:54:38.00" personId="{d5498dd3-4a64-46ce-9a8a-c831885a0249}" id="{a3650349-e85c-4b58-9063-08ad9a049fd6}" done="1">
    <x18tc:text xml:space="preserve">01/10</x18tc:text>
  </x18tc:threadedComment>
  <x18tc:threadedComment ref="A1" dT="2024-12-28T22:04:27.00" personId="{d5498dd3-4a64-46ce-9a8a-c831885a0249}" id="{f48d2b16-cec0-45f0-abc4-e4d8f11179bf}" done="0">
    <x18tc:text xml:space="preserve">01/20</x18tc:text>
  </x18tc:threadedComment>
  <x18tc:threadedComment ref="A1" dT="2024-12-28T23:23:28.00" personId="{d5498dd3-4a64-46ce-9a8a-c831885a0249}" id="{0281941e-31e5-463b-a187-1139ce1e798a}" done="0">
    <x18tc:text xml:space="preserve">01/30</x18tc:text>
  </x18tc:threadedComment>
  <x18tc:threadedComment ref="A1" dT="2024-12-28T23:26:12.00" personId="{d5498dd3-4a64-46ce-9a8a-c831885a0249}" id="{b423c62c-0d5e-4da5-a639-38ecb3664681}" done="0">
    <x18tc:text xml:space="preserve">12/30</x18tc:text>
  </x18tc:threadedComment>
  <x18tc:threadedComment ref="A1" dT="2024-12-28T23:30:23.00" personId="{d5498dd3-4a64-46ce-9a8a-c831885a0249}" id="{523d3731-038d-46b8-85c7-b8908a9073e5}" done="0">
    <x18tc:text xml:space="preserve">01/24</x18tc:text>
  </x18tc:threadedComment>
  <x18tc:threadedComment ref="A1" dT="2024-12-28T22:07:45.00" personId="{d5498dd3-4a64-46ce-9a8a-c831885a0249}" id="{ddd99a32-02f8-4491-89b6-08c805ad0a3e}" done="0">
    <x18tc:text xml:space="preserve">11/08</x18tc:text>
  </x18tc:threadedComment>
  <x18tc:threadedComment ref="A1" dT="2024-12-28T22:12:43.00" personId="{d5498dd3-4a64-46ce-9a8a-c831885a0249}" id="{1bcdcbb6-fa1d-4394-b553-31d14778b91f}" done="0">
    <x18tc:text xml:space="preserve">01/23</x18tc:text>
  </x18tc:threadedComment>
  <x18tc:threadedComment ref="A1" dT="2024-12-28T22:19:25.00" personId="{d5498dd3-4a64-46ce-9a8a-c831885a0249}" id="{2702d418-8742-4785-b8be-dfca5e83eaf3}" done="0">
    <x18tc:text xml:space="preserve">12/30</x18tc:text>
  </x18tc:threadedComment>
  <x18tc:threadedComment ref="A1" dT="2024-12-28T22:56:09.00" personId="{d5498dd3-4a64-46ce-9a8a-c831885a0249}" id="{4c13bcea-8642-4e07-b95e-464abaf28496}" done="0">
    <x18tc:text xml:space="preserve">12/30</x18tc:text>
  </x18tc:threadedComment>
  <x18tc:threadedComment ref="A1" dT="2024-12-28T23:00:54.00" personId="{d5498dd3-4a64-46ce-9a8a-c831885a0249}" id="{46c9998f-0285-4848-a06c-f3c4a08a91a7}" done="1">
    <x18tc:text xml:space="preserve">12/26</x18tc:text>
  </x18tc:threadedComment>
  <x18tc:threadedComment ref="A1" dT="2024-12-28T23:03:35.00" personId="{d5498dd3-4a64-46ce-9a8a-c831885a0249}" id="{3100c7d4-adb7-4b51-9ded-a3a167043086}" done="0">
    <x18tc:text xml:space="preserve">01/23</x18tc:text>
  </x18tc:threadedComment>
  <x18tc:threadedComment ref="A1" dT="2024-12-28T23:06:28.00" personId="{d5498dd3-4a64-46ce-9a8a-c831885a0249}" id="{ccc2424c-3319-4f2f-8a3b-3db2cbde0088}" done="1">
    <x18tc:text xml:space="preserve">01/23</x18tc:text>
  </x18tc:threadedComment>
  <x18tc:threadedComment ref="A1" dT="2024-12-28T23:18:26.00" personId="{d5498dd3-4a64-46ce-9a8a-c831885a0249}" id="{518a12c0-c2a0-46f1-891b-21c11a271e5f}" done="1">
    <x18tc:text xml:space="preserve">12/18</x18tc:text>
  </x18tc:threadedComment>
  <x18tc:threadedComment ref="A1" dT="2024-12-28T23:37:56.00" personId="{d5498dd3-4a64-46ce-9a8a-c831885a0249}" id="{9a92d4ab-eb7f-456f-96ea-1db4c57d01d2}" done="0">
    <x18tc:text xml:space="preserve">01/10</x18tc:text>
  </x18tc:threadedComment>
  <x18tc:threadedComment ref="A1" dT="2024-12-28T23:43:40.00" personId="{d5498dd3-4a64-46ce-9a8a-c831885a0249}" id="{300cbc9d-0812-42a2-89e6-c68068b0a83f}" done="0">
    <x18tc:text xml:space="preserve">01/23</x18tc:text>
  </x18tc:threadedComment>
  <x18tc:threadedComment ref="N285" dT="2024-12-28T11:34:57.00" personId="{651ebe9d-f120-479c-8376-36973fff1cc1}" id="{b9489be3-f6f1-4aea-a102-888f962aa4e6}" done="0">
    <x18tc:text xml:space="preserve">12/28 sent to Ivan</x18tc:text>
  </x18tc:threadedComment>
  <x18tc:threadedComment ref="N285" dT="2025-01-01T15:44:21.00" personId="{651ebe9d-f120-479c-8376-36973fff1cc1}" id="{6dd0563c-f018-43f8-95b3-d5d2d88fec97}" parentId="{b9489be3-f6f1-4aea-a102-888f962aa4e6}">
    <x18tc:text xml:space="preserve">12/31 aprobado por ivan</x18tc:text>
  </x18tc:threadedComment>
  <x18tc:threadedComment ref="A1" dT="2024-12-30T02:05:57.00" personId="{d5498dd3-4a64-46ce-9a8a-c831885a0249}" id="{e08ea4d0-dbfa-4385-9ea1-01a1732de5e7}" done="0">
    <x18tc:text xml:space="preserve">01/24</x18tc:text>
  </x18tc:threadedComment>
  <x18tc:threadedComment ref="A1" dT="2024-12-30T02:23:46.00" personId="{d5498dd3-4a64-46ce-9a8a-c831885a0249}" id="{d52b97ce-8f46-4cf9-bb11-01c0c4f726cf}" done="1">
    <x18tc:text xml:space="preserve">12/30</x18tc:text>
  </x18tc:threadedComment>
  <x18tc:threadedComment ref="A1" dT="2024-12-30T02:38:57.00" personId="{d5498dd3-4a64-46ce-9a8a-c831885a0249}" id="{90ee2428-73b8-4557-87b6-4bb2831581df}" done="0">
    <x18tc:text xml:space="preserve">01/08</x18tc:text>
  </x18tc:threadedComment>
  <x18tc:threadedComment ref="A1" dT="2024-12-30T02:54:16.00" personId="{d5498dd3-4a64-46ce-9a8a-c831885a0249}" id="{69021ded-300d-4d9b-bd35-6bed1f73191d}" done="0">
    <x18tc:text xml:space="preserve">12/30</x18tc:text>
  </x18tc:threadedComment>
  <x18tc:threadedComment ref="A1" dT="2024-12-30T02:54:27.00" personId="{d5498dd3-4a64-46ce-9a8a-c831885a0249}" id="{9ae11e92-2589-4af1-8607-f18174a14437}" done="1">
    <x18tc:text xml:space="preserve">12/30</x18tc:text>
  </x18tc:threadedComment>
  <x18tc:threadedComment ref="A1" dT="2024-12-30T02:54:32.00" personId="{d5498dd3-4a64-46ce-9a8a-c831885a0249}" id="{ac070e02-1d3c-4dcd-8c8e-d5a77be13cef}" done="0">
    <x18tc:text xml:space="preserve">01/14</x18tc:text>
  </x18tc:threadedComment>
  <x18tc:threadedComment ref="A1" dT="2024-12-30T02:54:38.00" personId="{d5498dd3-4a64-46ce-9a8a-c831885a0249}" id="{5f7c2826-e91d-4f0b-ab57-6e9e87ad8d91}" done="1">
    <x18tc:text xml:space="preserve">12/30</x18tc:text>
  </x18tc:threadedComment>
  <x18tc:threadedComment ref="A1" dT="2024-12-30T03:02:01.00" personId="{d5498dd3-4a64-46ce-9a8a-c831885a0249}" id="{736f2311-7bf0-4f9f-987f-736ca2d1df7d}" done="0">
    <x18tc:text xml:space="preserve">01/14</x18tc:text>
  </x18tc:threadedComment>
  <x18tc:threadedComment ref="A1" dT="2024-12-30T03:30:40.00" personId="{d5498dd3-4a64-46ce-9a8a-c831885a0249}" id="{82def7d6-6c70-404b-8864-2ba184f2ef39}" done="0">
    <x18tc:text xml:space="preserve">01/14</x18tc:text>
  </x18tc:threadedComment>
  <x18tc:threadedComment ref="A1" dT="2024-12-30T03:30:45.00" personId="{d5498dd3-4a64-46ce-9a8a-c831885a0249}" id="{2da3dd6f-0651-4c33-aac8-385a48625e17}" done="0">
    <x18tc:text xml:space="preserve">01/14</x18tc:text>
  </x18tc:threadedComment>
  <x18tc:threadedComment ref="A1" dT="2024-12-30T03:30:51.00" personId="{d5498dd3-4a64-46ce-9a8a-c831885a0249}" id="{90734001-dde0-4d54-919f-e6c6cc1a338e}" done="0">
    <x18tc:text xml:space="preserve">01/14</x18tc:text>
  </x18tc:threadedComment>
  <x18tc:threadedComment ref="A1" dT="2024-12-30T03:46:37.00" personId="{d5498dd3-4a64-46ce-9a8a-c831885a0249}" id="{43c11ed8-bba4-4e4d-a651-4b402acc7365}" done="0">
    <x18tc:text xml:space="preserve">01/24</x18tc:text>
  </x18tc:threadedComment>
  <x18tc:threadedComment ref="A1" dT="2024-12-30T04:00:06.00" personId="{d5498dd3-4a64-46ce-9a8a-c831885a0249}" id="{232bee27-19d7-4acd-b09f-ed6215de7fce}" done="0">
    <x18tc:text xml:space="preserve">01/23</x18tc:text>
  </x18tc:threadedComment>
  <x18tc:threadedComment ref="A1" dT="2024-12-30T04:03:17.00" personId="{d5498dd3-4a64-46ce-9a8a-c831885a0249}" id="{920c4065-1046-4a3e-aa8b-dccb84754c99}" done="0">
    <x18tc:text xml:space="preserve">01/23</x18tc:text>
  </x18tc:threadedComment>
  <x18tc:threadedComment ref="A1" dT="2024-12-30T04:24:44.00" personId="{d5498dd3-4a64-46ce-9a8a-c831885a0249}" id="{16d6b865-7e09-4cf8-98cc-18afd2383438}" done="0">
    <x18tc:text xml:space="preserve">12/30</x18tc:text>
  </x18tc:threadedComment>
  <x18tc:threadedComment ref="A1" dT="2024-12-30T04:37:21.00" personId="{d5498dd3-4a64-46ce-9a8a-c831885a0249}" id="{593a894c-9899-4b73-8b5b-d01f0c9e12b9}" done="0">
    <x18tc:text xml:space="preserve">12/30</x18tc:text>
  </x18tc:threadedComment>
  <x18tc:threadedComment ref="A1" dT="2024-12-30T04:57:40.00" personId="{d5498dd3-4a64-46ce-9a8a-c831885a0249}" id="{75bd4bf7-f5e1-4b31-9291-3155b22743d4}" done="0">
    <x18tc:text xml:space="preserve">01/23</x18tc:text>
  </x18tc:threadedComment>
  <x18tc:threadedComment ref="A1" dT="2024-12-30T04:57:46.00" personId="{d5498dd3-4a64-46ce-9a8a-c831885a0249}" id="{d9aa4a54-9ddb-4d09-95e9-570505da88f6}" done="0">
    <x18tc:text xml:space="preserve">12/30</x18tc:text>
  </x18tc:threadedComment>
  <x18tc:threadedComment ref="A1" dT="2024-12-29T01:15:29.00" personId="{d5498dd3-4a64-46ce-9a8a-c831885a0249}" id="{fecb8d6f-ab59-4f92-b9a4-1e74aa832f0c}" done="0">
    <x18tc:text xml:space="preserve">01/24</x18tc:text>
  </x18tc:threadedComment>
  <x18tc:threadedComment ref="A1" dT="2024-12-29T01:29:46.00" personId="{d5498dd3-4a64-46ce-9a8a-c831885a0249}" id="{3fe3ec2a-419f-4628-9da8-3146a44a95bd}" done="0">
    <x18tc:text xml:space="preserve">01/23</x18tc:text>
  </x18tc:threadedComment>
  <x18tc:threadedComment ref="A1" dT="2024-12-29T02:54:47.00" personId="{d5498dd3-4a64-46ce-9a8a-c831885a0249}" id="{90dc3bcd-c55d-4fab-bd2b-77bf5f1eff8e}" done="0">
    <x18tc:text xml:space="preserve">01/23</x18tc:text>
  </x18tc:threadedComment>
  <x18tc:threadedComment ref="A1" dT="2024-12-29T02:56:12.00" personId="{d5498dd3-4a64-46ce-9a8a-c831885a0249}" id="{f4660e54-c542-48b2-bffd-45fa5eefdfb3}" done="0">
    <x18tc:text xml:space="preserve">01/23</x18tc:text>
  </x18tc:threadedComment>
  <x18tc:threadedComment ref="A1" dT="2024-12-29T03:04:00.00" personId="{d5498dd3-4a64-46ce-9a8a-c831885a0249}" id="{83263a2e-cc12-4dea-9529-97cd8303987f}" done="0">
    <x18tc:text xml:space="preserve">01/23</x18tc:text>
  </x18tc:threadedComment>
  <x18tc:threadedComment ref="A1" dT="2024-12-29T02:05:08.00" personId="{d5498dd3-4a64-46ce-9a8a-c831885a0249}" id="{f52e83f0-fcd4-4846-8298-f836595bbd7d}" done="0">
    <x18tc:text xml:space="preserve">12/30</x18tc:text>
  </x18tc:threadedComment>
  <x18tc:threadedComment ref="A1" dT="2024-12-29T02:08:18.00" personId="{d5498dd3-4a64-46ce-9a8a-c831885a0249}" id="{0c20bfc3-0073-4eba-bc6f-6f68cfe86387}" done="0">
    <x18tc:text xml:space="preserve">12/30</x18tc:text>
  </x18tc:threadedComment>
  <x18tc:threadedComment ref="A1" dT="2024-12-29T02:16:29.00" personId="{d5498dd3-4a64-46ce-9a8a-c831885a0249}" id="{802735cd-30bd-4572-9b22-e24228026598}" done="0">
    <x18tc:text xml:space="preserve">01/23</x18tc:text>
  </x18tc:threadedComment>
  <x18tc:threadedComment ref="A1" dT="2024-12-29T02:17:27.00" personId="{d5498dd3-4a64-46ce-9a8a-c831885a0249}" id="{3164bede-8b34-4229-9009-93ee578bc116}" done="0">
    <x18tc:text xml:space="preserve">01/23</x18tc:text>
  </x18tc:threadedComment>
  <x18tc:threadedComment ref="A1" dT="2024-12-29T02:19:20.00" personId="{d5498dd3-4a64-46ce-9a8a-c831885a0249}" id="{da6e005a-f5e6-4662-aa05-b17d74234101}" done="1">
    <x18tc:text xml:space="preserve">12/30</x18tc:text>
  </x18tc:threadedComment>
  <x18tc:threadedComment ref="A1" dT="2024-12-29T02:19:41.00" personId="{d5498dd3-4a64-46ce-9a8a-c831885a0249}" id="{2b47272b-635f-4fb5-bd00-474efe0df415}" done="1">
    <x18tc:text xml:space="preserve">12/30</x18tc:text>
  </x18tc:threadedComment>
  <x18tc:threadedComment ref="A1" dT="2024-12-29T02:31:39.00" personId="{d5498dd3-4a64-46ce-9a8a-c831885a0249}" id="{ff7a9d34-e05e-4b34-8b0b-7575631f6a7c}" done="0">
    <x18tc:text xml:space="preserve">01/23</x18tc:text>
  </x18tc:threadedComment>
  <x18tc:threadedComment ref="A1" dT="2024-12-29T02:35:37.00" personId="{d5498dd3-4a64-46ce-9a8a-c831885a0249}" id="{f2f85f42-8145-4714-ac05-77c5b6ed9cea}" done="0">
    <x18tc:text xml:space="preserve">12/30</x18tc:text>
  </x18tc:threadedComment>
  <x18tc:threadedComment ref="A1" dT="2024-12-29T02:40:52.00" personId="{d5498dd3-4a64-46ce-9a8a-c831885a0249}" id="{661dcac1-e712-486f-bca4-89faada7f73c}" done="1">
    <x18tc:text xml:space="preserve">12/30</x18tc:text>
  </x18tc:threadedComment>
  <x18tc:threadedComment ref="A1" dT="2024-12-29T02:44:04.00" personId="{d5498dd3-4a64-46ce-9a8a-c831885a0249}" id="{be42bc82-7588-4a8d-8607-271c9dd1ea04}" done="1">
    <x18tc:text xml:space="preserve">12/30</x18tc:text>
  </x18tc:threadedComment>
  <x18tc:threadedComment ref="V232" dT="2024-12-29T02:47:28.00" personId="{d5498dd3-4a64-46ce-9a8a-c831885a0249}" id="{662cd0ac-cc2c-435e-999b-da80e4008924}" done="1">
    <x18tc:text xml:space="preserve">12/30 followed up on this claim with PAs, asked about the settlement release and the mortgage company (CM)</x18tc:text>
  </x18tc:threadedComment>
  <x18tc:threadedComment ref="A1" dT="2024-12-29T02:49:02.00" personId="{d5498dd3-4a64-46ce-9a8a-c831885a0249}" id="{b2f6b850-8c62-4021-ae4a-1fab941536f2}" done="0">
    <x18tc:text xml:space="preserve">12/30</x18tc:text>
  </x18tc:threadedComment>
  <x18tc:threadedComment ref="A1" dT="2024-12-29T02:53:00.00" personId="{d5498dd3-4a64-46ce-9a8a-c831885a0249}" id="{ba582d7a-4b37-4573-af27-ce71d88b9b9e}" done="0">
    <x18tc:text xml:space="preserve">01/23</x18tc:text>
  </x18tc:threadedComment>
  <x18tc:threadedComment ref="A1" dT="2024-12-29T03:09:31.00" personId="{d5498dd3-4a64-46ce-9a8a-c831885a0249}" id="{a4c9dfd6-47c6-4230-a8a9-8cee347c0a82}" done="0">
    <x18tc:text xml:space="preserve">01/23</x18tc:text>
  </x18tc:threadedComment>
  <x18tc:threadedComment ref="A1" dT="2024-12-29T03:11:44.00" personId="{d5498dd3-4a64-46ce-9a8a-c831885a0249}" id="{9409f17a-0176-4e0e-ac23-7447f8e0d0ec}" done="0">
    <x18tc:text xml:space="preserve">01/06</x18tc:text>
  </x18tc:threadedComment>
  <x18tc:threadedComment ref="A1" dT="2024-12-29T03:30:21.00" personId="{d5498dd3-4a64-46ce-9a8a-c831885a0249}" id="{fb8f68fd-3df7-4434-a907-ebf2ed84d02d}" done="0">
    <x18tc:text xml:space="preserve">12/30</x18tc:text>
  </x18tc:threadedComment>
  <x18tc:threadedComment ref="A1" dT="2024-12-29T03:30:25.00" personId="{d5498dd3-4a64-46ce-9a8a-c831885a0249}" id="{ec1877df-d1ef-4999-b996-dd36268a51bc}" done="0">
    <x18tc:text xml:space="preserve">12/30</x18tc:text>
  </x18tc:threadedComment>
  <x18tc:threadedComment ref="A1" dT="2024-12-29T03:30:29.00" personId="{d5498dd3-4a64-46ce-9a8a-c831885a0249}" id="{fe95392b-d0c7-4297-9c52-e64246c488aa}" done="0">
    <x18tc:text xml:space="preserve">01/23</x18tc:text>
  </x18tc:threadedComment>
  <x18tc:threadedComment ref="A1" dT="2024-12-29T03:12:53.00" personId="{d5498dd3-4a64-46ce-9a8a-c831885a0249}" id="{0248a819-577f-4e71-a351-87be6a1b2de1}" done="0">
    <x18tc:text xml:space="preserve">01/23</x18tc:text>
  </x18tc:threadedComment>
  <x18tc:threadedComment ref="A1" dT="2024-12-29T03:22:12.00" personId="{d5498dd3-4a64-46ce-9a8a-c831885a0249}" id="{a923bde4-6bf9-4dc0-a9b2-1242573fa4da}" done="0">
    <x18tc:text xml:space="preserve">12/30</x18tc:text>
  </x18tc:threadedComment>
  <x18tc:threadedComment ref="A1" dT="2024-12-29T03:30:13.00" personId="{d5498dd3-4a64-46ce-9a8a-c831885a0249}" id="{f69d7ff1-8392-40eb-b12d-772c6cbdfff5}" done="0">
    <x18tc:text xml:space="preserve">01/22</x18tc:text>
  </x18tc:threadedComment>
  <x18tc:threadedComment ref="A1" dT="2024-12-29T03:30:17.00" personId="{d5498dd3-4a64-46ce-9a8a-c831885a0249}" id="{730154b8-e7ee-47d9-9015-02afe11ba653}" done="0">
    <x18tc:text xml:space="preserve">01/23</x18tc:text>
  </x18tc:threadedComment>
  <x18tc:threadedComment ref="A1" dT="2024-12-29T03:33:51.00" personId="{d5498dd3-4a64-46ce-9a8a-c831885a0249}" id="{0fe0e3db-2dca-418d-a3bf-7cdafa86605c}" done="0">
    <x18tc:text xml:space="preserve">01/23</x18tc:text>
  </x18tc:threadedComment>
  <x18tc:threadedComment ref="A1" dT="2024-12-29T03:35:01.00" personId="{d5498dd3-4a64-46ce-9a8a-c831885a0249}" id="{edb6bbef-dca2-41fe-9d3c-58dbd012859a}" done="1">
    <x18tc:text xml:space="preserve">01/23</x18tc:text>
  </x18tc:threadedComment>
  <x18tc:threadedComment ref="V260" dT="2025-01-08T12:24:37.00" personId="{d5498dd3-4a64-46ce-9a8a-c831885a0249}" id="{80f1be5f-80bd-4d68-898f-ff1e951e6e84}" done="1">
    <x18tc:text xml:space="preserve">01/07 sent the denial letter to PAs, asked them how to proceed (CM)</x18tc:text>
  </x18tc:threadedComment>
  <x18tc:threadedComment ref="V261" dT="2025-01-08T12:24:42.00" personId="{d5498dd3-4a64-46ce-9a8a-c831885a0249}" id="{0d9dd926-9d23-45ab-8ed5-39909aef1c1f}" done="1">
    <x18tc:text xml:space="preserve">01/07 sent the denial letter to PAs, asked them how to proceed (CM)</x18tc:text>
  </x18tc:threadedComment>
  <x18tc:threadedComment ref="V259" dT="2025-01-08T12:27:19.00" personId="{d5498dd3-4a64-46ce-9a8a-c831885a0249}" id="{1d6347c3-941f-4438-83a1-c28ac48985e6}" done="1">
    <x18tc:text xml:space="preserve">01/08 sent the denial letter to PAs, asked JP to send our estimate (CM)</x18tc:text>
  </x18tc:threadedComment>
  <x18tc:threadedComment ref="N297" dT="2025-01-09T14:18:04.00" personId="{651ebe9d-f120-479c-8376-36973fff1cc1}" id="{f942e61a-124b-4e9b-ac07-1a738e63a885}" done="0">
    <x18tc:text xml:space="preserve">1/9/25 sent the estimate to Angie/Ivan for review</x18tc:text>
  </x18tc:threadedComment>
  <x18tc:threadedComment ref="N297" dT="2025-01-22T17:32:31.00" personId="{651ebe9d-f120-479c-8376-36973fff1cc1}" id="{f8ce51dc-6b80-4a6b-8906-003f1a20f21a}" parentId="{f942e61a-124b-4e9b-ac07-1a738e63a885}">
    <x18tc:text xml:space="preserve">1/21 aprobado</x18tc:text>
  </x18tc:threadedComment>
  <x18tc:threadedComment ref="M297" dT="2025-01-09T14:18:28.00" personId="{651ebe9d-f120-479c-8376-36973fff1cc1}" id="{cc281bec-757f-4a28-9a8b-0e0e586ad5a6}" done="0">
    <x18tc:text xml:space="preserve">enviar cuando este aprobado</x18tc:text>
  </x18tc:threadedComment>
  <x18tc:threadedComment ref="M297" dT="2025-01-22T17:37:37.00" personId="{651ebe9d-f120-479c-8376-36973fff1cc1}" id="{27da387f-700a-443b-9e84-b26e40d63652}" parentId="{cc281bec-757f-4a28-9a8b-0e0e586ad5a6}">
    <x18tc:text xml:space="preserve">1/22/25 sent to DA</x18tc:text>
  </x18tc:threadedComment>
  <x18tc:threadedComment ref="M241" dT="2025-01-09T13:17:58.00" personId="{651ebe9d-f120-479c-8376-36973fff1cc1}" id="{589ce5f5-68fa-4561-8f12-c2a113d50613}" done="0">
    <x18tc:text xml:space="preserve">1/9/25 subido a CP</x18tc:text>
  </x18tc:threadedComment>
  <x18tc:threadedComment ref="N287" dT="2025-01-09T18:05:41.00" personId="{651ebe9d-f120-479c-8376-36973fff1cc1}" id="{d7900a02-5c51-47b7-abd1-95109bf054b8}" done="0">
    <x18tc:text xml:space="preserve">1/9/25 sent to ivan</x18tc:text>
  </x18tc:threadedComment>
  <x18tc:threadedComment ref="N287" dT="2025-01-13T16:31:58.00" personId="{651ebe9d-f120-479c-8376-36973fff1cc1}" id="{08426672-b6fe-411c-bd1e-e81866971a28}" parentId="{d7900a02-5c51-47b7-abd1-95109bf054b8}">
    <x18tc:text xml:space="preserve">1/13/25 aprobado</x18tc:text>
  </x18tc:threadedComment>
  <x18tc:threadedComment ref="A1" dT="2025-01-09T18:16:20.00" personId="{d5498dd3-4a64-46ce-9a8a-c831885a0249}" id="{5ffad071-4e37-4052-a722-5631b8065727}" done="0">
    <x18tc:text xml:space="preserve">01/03</x18tc:text>
  </x18tc:threadedComment>
  <x18tc:threadedComment ref="A1" dT="2025-01-09T18:16:26.00" personId="{d5498dd3-4a64-46ce-9a8a-c831885a0249}" id="{502c19f2-d3c7-4370-a236-ddfe4ca3085d}" done="0">
    <x18tc:text xml:space="preserve">01/03</x18tc:text>
  </x18tc:threadedComment>
  <x18tc:threadedComment ref="N296" dT="2025-01-13T13:10:28.00" personId="{651ebe9d-f120-479c-8376-36973fff1cc1}" id="{2b569617-20b8-4b34-b8e8-9290bf3dadae}" done="0">
    <x18tc:text xml:space="preserve">1/13/25 sent to ivan</x18tc:text>
  </x18tc:threadedComment>
  <x18tc:threadedComment ref="N296" dT="2025-01-13T13:36:03.00" personId="{651ebe9d-f120-479c-8376-36973fff1cc1}" id="{161af680-938d-43e7-9037-4252e8421031}" parentId="{2b569617-20b8-4b34-b8e8-9290bf3dadae}">
    <x18tc:text xml:space="preserve">1/13 aprobado</x18tc:text>
  </x18tc:threadedComment>
  <x18tc:threadedComment ref="N295" dT="2025-01-13T13:35:21.00" personId="{651ebe9d-f120-479c-8376-36973fff1cc1}" id="{5843e911-84a7-47b2-9232-8df54679ffe7}" done="0">
    <x18tc:text xml:space="preserve">1/13/25 Sent the estimate to Ivan for review</x18tc:text>
  </x18tc:threadedComment>
  <x18tc:threadedComment ref="N295" dT="2025-01-15T13:10:30.00" personId="{651ebe9d-f120-479c-8376-36973fff1cc1}" id="{26b2f030-758a-4f9a-803a-bbe9990059de}" parentId="{5843e911-84a7-47b2-9232-8df54679ffe7}">
    <x18tc:text xml:space="preserve">1/15 aprobado por ivan</x18tc:text>
  </x18tc:threadedComment>
  <x18tc:threadedComment ref="M296" dT="2025-01-13T13:38:56.00" personId="{651ebe9d-f120-479c-8376-36973fff1cc1}" id="{c4d1168a-a216-46ef-b033-2e1b93432838}" done="0">
    <x18tc:text xml:space="preserve">1/13/25 sent to DA</x18tc:text>
  </x18tc:threadedComment>
  <x18tc:threadedComment ref="M291" dT="2025-01-13T13:48:33.00" personId="{651ebe9d-f120-479c-8376-36973fff1cc1}" id="{400869ee-9230-4bc6-ba7b-b05df8023c33}" done="0">
    <x18tc:text xml:space="preserve">1/13/25 sent to carrier</x18tc:text>
  </x18tc:threadedComment>
  <x18tc:threadedComment ref="M279" dT="2025-01-13T16:59:42.00" personId="{651ebe9d-f120-479c-8376-36973fff1cc1}" id="{e33a0208-2ce6-47b0-9ab3-5316d68444bb}" done="1">
    <x18tc:text xml:space="preserve">9/26 Ivan sent the estimate to carrier. NOSTRESS client</x18tc:text>
  </x18tc:threadedComment>
  <x18tc:threadedComment ref="M294" dT="2025-01-13T17:56:57.00" personId="{651ebe9d-f120-479c-8376-36973fff1cc1}" id="{2676c43d-b2b1-46e8-ba96-6fb2868d6047}" done="0">
    <x18tc:text xml:space="preserve">ESPERAR IA REPORT</x18tc:text>
  </x18tc:threadedComment>
  <x18tc:threadedComment ref="M294" dT="2025-01-20T13:11:45.00" personId="{651ebe9d-f120-479c-8376-36973fff1cc1}" id="{3c7b2448-100a-4606-8b45-b49f9d72828e}" parentId="{2676c43d-b2b1-46e8-ba96-6fb2868d6047}">
    <x18tc:text xml:space="preserve">1/20 sent to DA</x18tc:text>
  </x18tc:threadedComment>
  <x18tc:threadedComment ref="N298" dT="2025-01-13T18:39:25.00" personId="{651ebe9d-f120-479c-8376-36973fff1cc1}" id="{8597af9b-2c98-458d-a66b-ceb1ffd3ec61}" done="0">
    <x18tc:text xml:space="preserve">1/13/25 sent to ivan</x18tc:text>
  </x18tc:threadedComment>
  <x18tc:threadedComment ref="M298" dT="2025-01-13T18:42:17.00" personId="{651ebe9d-f120-479c-8376-36973fff1cc1}" id="{77f5c298-f41c-4904-ac2a-ebd752500c51}" done="0">
    <x18tc:text xml:space="preserve">enviar cuando este aprobado</x18tc:text>
  </x18tc:threadedComment>
  <x18tc:threadedComment ref="M298" dT="2025-01-28T15:26:45.00" personId="{d5498dd3-4a64-46ce-9a8a-c831885a0249}" id="{07896e63-8b2b-4c5a-9ccd-5559313b7bc9}" parentId="{77f5c298-f41c-4904-ac2a-ebd752500c51}">
    <x18tc:text xml:space="preserve">1/28/25 subido a CP</x18tc:text>
  </x18tc:threadedComment>
  <x18tc:threadedComment ref="A222" dT="2025-01-17T13:35:15.00" personId="{d5498dd3-4a64-46ce-9a8a-c831885a0249}" id="{ddaff263-f071-41b3-a941-c234fdc20ed1}" done="1">
    <x18tc:text xml:space="preserve">@scheduling@ipadjustinggroup.com
Assigned to scheduling@ipadjustinggroup.com</x18tc:text>
    <x18tc:mentions>
      <x18tc:mention mentionpersonId="{2c8ec519-d5db-42bb-a5e2-52abe8ff6abf}" mentionId="{7e3d80cb-59c1-41c7-8d51-7fccae78a945}" startIndex="0" length="32"/>
    </x18tc:mentions>
  </x18tc:threadedComment>
  <x18tc:threadedComment ref="A231" dT="2025-01-16T02:19:13.00" personId="{d5498dd3-4a64-46ce-9a8a-c831885a0249}" id="{f741ebe3-a43b-4782-9bda-edd5c65377ec}" done="1">
    <x18tc:text xml:space="preserve">Juan</x18tc:text>
  </x18tc:threadedComment>
  <x18tc:threadedComment ref="V222" dT="2025-01-16T17:26:27.00" personId="{d5498dd3-4a64-46ce-9a8a-c831885a0249}" id="{23bf3409-f37d-46f1-a8b3-f3d1f9039732}" done="1">
    <x18tc:text xml:space="preserve">01/16 received the Engineer report, DA is denying the claim, sent to PAs asked how to proceed (CM)</x18tc:text>
  </x18tc:threadedComment>
  <x18tc:threadedComment ref="A179" dT="2025-01-20T01:48:25.00" personId="{d5498dd3-4a64-46ce-9a8a-c831885a0249}" id="{690f0fbb-acb6-4ac8-bf73-44f7ecc16abc}" done="0">
    <x18tc:text xml:space="preserve">Joshua</x18tc:text>
  </x18tc:threadedComment>
  <x18tc:threadedComment ref="A179" dT="2025-08-09T00:09:56.00" personId="{d5498dd3-4a64-46ce-9a8a-c831885a0249}" id="{49e8babc-9eeb-425d-99ec-2eaea693712b}" parentId="{690f0fbb-acb6-4ac8-bf73-44f7ecc16abc}">
    <x18tc:text xml:space="preserve">Ordinance and Law: $616.65,</x18tc:text>
  </x18tc:threadedComment>
  <x18tc:threadedComment ref="O229" dT="2025-01-20T02:08:32.00" personId="{d5498dd3-4a64-46ce-9a8a-c831885a0249}" id="{4567dd0d-bcbf-4dd0-aecc-2336f74c103a}" done="0">
    <x18tc:text xml:space="preserve">@admin@ipadjustinggroup.com enviado Carito
Assigned to admin@ipadjustinggroup.com</x18tc:text>
    <x18tc:mentions>
      <x18tc:mention mentionpersonId="{1ffc25a2-3f83-4ed1-a701-edf0aba99522}" mentionId="{34ae053d-5269-47d3-8d86-de8e1bbe5759}" startIndex="0" length="27"/>
    </x18tc:mentions>
  </x18tc:threadedComment>
  <x18tc:threadedComment ref="A1" dT="2025-01-20T02:11:22.00" personId="{d5498dd3-4a64-46ce-9a8a-c831885a0249}" id="{27397e80-22eb-40cf-a12a-94f786c20264}" done="0">
    <x18tc:text xml:space="preserve">01/20</x18tc:text>
  </x18tc:threadedComment>
  <x18tc:threadedComment ref="A1" dT="2025-01-20T02:17:50.00" personId="{d5498dd3-4a64-46ce-9a8a-c831885a0249}" id="{ff8d697a-3364-4941-9314-13f642df871f}" done="0">
    <x18tc:text xml:space="preserve">01/20</x18tc:text>
  </x18tc:threadedComment>
  <x18tc:threadedComment ref="A1" dT="2025-01-20T02:24:25.00" personId="{d5498dd3-4a64-46ce-9a8a-c831885a0249}" id="{9f43ddfb-131c-4a49-86ce-ffedfff1d18e}" done="0">
    <x18tc:text xml:space="preserve">01/20</x18tc:text>
  </x18tc:threadedComment>
  <x18tc:threadedComment ref="A1" dT="2025-01-20T02:26:52.00" personId="{d5498dd3-4a64-46ce-9a8a-c831885a0249}" id="{e839c337-5fd1-4259-aade-97ba451c989f}" done="0">
    <x18tc:text xml:space="preserve">01/23</x18tc:text>
  </x18tc:threadedComment>
  <x18tc:threadedComment ref="A1" dT="2025-01-20T02:33:00.00" personId="{d5498dd3-4a64-46ce-9a8a-c831885a0249}" id="{0c287a85-f996-4ba2-b700-59cacd6ea70d}" done="0">
    <x18tc:text xml:space="preserve">01/20</x18tc:text>
  </x18tc:threadedComment>
  <x18tc:threadedComment ref="M304" dT="2025-01-20T22:21:50.00" personId="{651ebe9d-f120-479c-8376-36973fff1cc1}" id="{2e615b43-9afe-447d-b097-b2729b61da30}" done="0">
    <x18tc:text xml:space="preserve">1/20/25 sent to DA</x18tc:text>
  </x18tc:threadedComment>
  <x18tc:threadedComment ref="N306" dT="2025-01-20T23:27:23.00" personId="{651ebe9d-f120-479c-8376-36973fff1cc1}" id="{47bdc8eb-9e0e-4c18-83cf-badc9d268bbb}" done="0">
    <x18tc:text xml:space="preserve">1/20/25 sent to ivan</x18tc:text>
  </x18tc:threadedComment>
  <x18tc:threadedComment ref="N306" dT="2025-01-28T15:08:37.00" personId="{651ebe9d-f120-479c-8376-36973fff1cc1}" id="{4be5c044-502b-4c55-b799-474284537a52}" parentId="{47bdc8eb-9e0e-4c18-83cf-badc9d268bbb}">
    <x18tc:text xml:space="preserve">1/27 aprobado</x18tc:text>
  </x18tc:threadedComment>
  <x18tc:threadedComment ref="V206" dT="2025-01-20T20:42:40.00" personId="{d5498dd3-4a64-46ce-9a8a-c831885a0249}" id="{b3ef3e0c-c913-407b-892f-a2fb59a453ef}" done="0">
    <x18tc:text xml:space="preserve">01/20 DA stands on her denial, received an offer for 1k, sent to PAs (CM)</x18tc:text>
  </x18tc:threadedComment>
  <x18tc:threadedComment ref="N301" dT="2025-01-20T20:46:36.00" personId="{651ebe9d-f120-479c-8376-36973fff1cc1}" id="{dbf98c81-153b-4167-8a72-8cff241dce4a}" done="0">
    <x18tc:text xml:space="preserve">1/20 sent to ivan</x18tc:text>
  </x18tc:threadedComment>
  <x18tc:threadedComment ref="N301" dT="2025-03-12T17:14:06.00" personId="{d5498dd3-4a64-46ce-9a8a-c831885a0249}" id="{0bfa9566-8e1a-4c7f-849e-62cc3c93ce3d}" parentId="{dbf98c81-153b-4167-8a72-8cff241dce4a}">
    <x18tc:text xml:space="preserve">3/12 aprobado por Ivan</x18tc:text>
  </x18tc:threadedComment>
  <x18tc:threadedComment ref="A239" dT="2025-01-20T21:04:31.00" personId="{d5498dd3-4a64-46ce-9a8a-c831885a0249}" id="{21cb0a52-aec0-4a63-b13d-3ebb3a7349aa}" done="0">
    <x18tc:text xml:space="preserve">Joshua</x18tc:text>
  </x18tc:threadedComment>
  <x18tc:threadedComment ref="A239" dT="2025-08-09T00:39:39.00" personId="{d5498dd3-4a64-46ce-9a8a-c831885a0249}" id="{a8c90850-ff1d-49a8-89ae-bf9b7a115b79}" parentId="{21cb0a52-aec0-4a63-b13d-3ebb3a7349aa}">
    <x18tc:text xml:space="preserve">O/L: $921.81</x18tc:text>
  </x18tc:threadedComment>
  <x18tc:threadedComment ref="A244" dT="2025-01-20T21:14:12.00" personId="{d5498dd3-4a64-46ce-9a8a-c831885a0249}" id="{0b83300c-5c0c-4c35-989e-dd8f516a65bd}" done="1">
    <x18tc:text xml:space="preserve">Juan</x18tc:text>
  </x18tc:threadedComment>
  <x18tc:threadedComment ref="N303" dT="2025-01-20T22:08:42.00" personId="{651ebe9d-f120-479c-8376-36973fff1cc1}" id="{d9c7a1a6-543a-4c68-b60f-df4cdb5db438}" done="0">
    <x18tc:text xml:space="preserve">1/20/25 sent to ivan</x18tc:text>
  </x18tc:threadedComment>
  <x18tc:threadedComment ref="N303" dT="2025-01-21T17:41:42.00" personId="{651ebe9d-f120-479c-8376-36973fff1cc1}" id="{09f00444-331b-431a-9a14-331c9afcf200}" parentId="{d9c7a1a6-543a-4c68-b60f-df4cdb5db438}">
    <x18tc:text xml:space="preserve">1/21/25 aprobado</x18tc:text>
  </x18tc:threadedComment>
  <x18tc:threadedComment ref="N309" dT="2025-01-21T00:43:14.00" personId="{651ebe9d-f120-479c-8376-36973fff1cc1}" id="{7622a423-19ec-4894-8155-0b5bc676aecf}" done="0">
    <x18tc:text xml:space="preserve">1/20/25 sent to josh</x18tc:text>
  </x18tc:threadedComment>
  <x18tc:threadedComment ref="N309" dT="2025-01-24T21:32:03.00" personId="{d5498dd3-4a64-46ce-9a8a-c831885a0249}" id="{c5c5c242-b63d-4b68-911d-eeafe3c434cb}" parentId="{7622a423-19ec-4894-8155-0b5bc676aecf}">
    <x18tc:text xml:space="preserve">1/21/25 aprobado por josh, JP</x18tc:text>
  </x18tc:threadedComment>
  <x18tc:threadedComment ref="A264" dT="2025-01-23T21:59:19.00" personId="{d5498dd3-4a64-46ce-9a8a-c831885a0249}" id="{c302719f-b30d-4480-b386-81f962c2ba9a}" done="0">
    <x18tc:text xml:space="preserve">Juan</x18tc:text>
  </x18tc:threadedComment>
  <x18tc:threadedComment ref="A264" dT="2025-08-27T21:53:56.00" personId="{d5498dd3-4a64-46ce-9a8a-c831885a0249}" id="{db48bfd6-f856-46d9-bb04-723772de16d6}" parentId="{c302719f-b30d-4480-b386-81f962c2ba9a}">
    <x18tc:text xml:space="preserve">Nothing to be recovered</x18tc:text>
  </x18tc:threadedComment>
  <x18tc:threadedComment ref="A290" dT="2025-01-23T15:40:54.00" personId="{d5498dd3-4a64-46ce-9a8a-c831885a0249}" id="{d00992f5-4d0f-47c2-adda-3f4f167cce35}" done="1">
    <x18tc:text xml:space="preserve">@scheduling@ipadjustinggroup.com
Assigned to scheduling@ipadjustinggroup.com</x18tc:text>
    <x18tc:mentions>
      <x18tc:mention mentionpersonId="{2c8ec519-d5db-42bb-a5e2-52abe8ff6abf}" mentionId="{6628db4b-2d7f-46a4-a4fd-0e21ff9ef188}" startIndex="0" length="32"/>
    </x18tc:mentions>
  </x18tc:threadedComment>
  <x18tc:threadedComment ref="A290" dT="2025-01-24T16:24:24.00" personId="{610be7ce-9288-4df9-9aac-427cc105bbe1}" id="{2c48d1fc-eb3f-4d03-bc3b-fbe9451abbfd}" parentId="{d00992f5-4d0f-47c2-adda-3f4f167cce35}">
    <x18tc:text xml:space="preserve">Marked as done</x18tc:text>
  </x18tc:threadedComment>
  <x18tc:threadedComment ref="A1" dT="2025-01-23T16:19:52.00" personId="{d5498dd3-4a64-46ce-9a8a-c831885a0249}" id="{e5e832cf-1624-46ca-b3a8-014671dfcbfa}" done="0">
    <x18tc:text xml:space="preserve">01/23</x18tc:text>
  </x18tc:threadedComment>
  <x18tc:threadedComment ref="V166" dT="2025-01-23T14:37:50.00" personId="{d5498dd3-4a64-46ce-9a8a-c831885a0249}" id="{98c31597-efeb-40b9-b771-09d8840b5422}" done="1">
    <x18tc:text xml:space="preserve">01/22 Peter did an offer for 17.5k (CM)</x18tc:text>
  </x18tc:threadedComment>
  <x18tc:threadedComment ref="V280" dT="2025-01-23T15:09:10.00" personId="{d5498dd3-4a64-46ce-9a8a-c831885a0249}" id="{210fd527-dda0-48db-afb0-d5c9e44e68f3}" done="1">
    <x18tc:text xml:space="preserve">01/23 DA did an offer for 5k, sent to PAs (CM)</x18tc:text>
  </x18tc:threadedComment>
  <x18tc:threadedComment ref="V280" dT="2025-01-27T17:30:15.00" personId="{d5498dd3-4a64-46ce-9a8a-c831885a0249}" id="{95cd8614-564d-4a70-9d7f-1ebd4d559c20}" parentId="{210fd527-dda0-48db-afb0-d5c9e44e68f3}">
    <x18tc:text xml:space="preserve">01/27 Peter is asking 27k (CM)</x18tc:text>
  </x18tc:threadedComment>
  <x18tc:threadedComment ref="A1" dT="2025-01-23T16:27:50.00" personId="{d5498dd3-4a64-46ce-9a8a-c831885a0249}" id="{bd44514e-deca-42dd-b303-f13d66aefef0}" done="0">
    <x18tc:text xml:space="preserve">01/23</x18tc:text>
  </x18tc:threadedComment>
  <x18tc:threadedComment ref="A1" dT="2025-01-23T16:31:55.00" personId="{d5498dd3-4a64-46ce-9a8a-c831885a0249}" id="{9ff93520-bdca-4000-8ac3-8913916753d3}" done="0">
    <x18tc:text xml:space="preserve">01/23</x18tc:text>
  </x18tc:threadedComment>
  <x18tc:threadedComment ref="A1" dT="2025-01-23T17:02:39.00" personId="{d5498dd3-4a64-46ce-9a8a-c831885a0249}" id="{53cd4139-a671-45d1-b1a5-1fa166b049a8}" done="0">
    <x18tc:text xml:space="preserve">01/23</x18tc:text>
  </x18tc:threadedComment>
  <x18tc:threadedComment ref="A1" dT="2025-01-23T17:03:03.00" personId="{d5498dd3-4a64-46ce-9a8a-c831885a0249}" id="{9d31e3b1-1ee4-4e77-82d1-529b1b3e9747}" done="0">
    <x18tc:text xml:space="preserve">01/23</x18tc:text>
  </x18tc:threadedComment>
  <x18tc:threadedComment ref="A1" dT="2025-01-23T17:03:07.00" personId="{d5498dd3-4a64-46ce-9a8a-c831885a0249}" id="{55334549-d88d-4ce3-9731-f40ab365ce34}" done="0">
    <x18tc:text xml:space="preserve">01/23</x18tc:text>
  </x18tc:threadedComment>
  <x18tc:threadedComment ref="A1" dT="2025-01-24T19:08:01.00" personId="{d5498dd3-4a64-46ce-9a8a-c831885a0249}" id="{c705e6dc-3d26-4265-8dca-814eefaa7317}" done="0">
    <x18tc:text xml:space="preserve">01/24</x18tc:text>
  </x18tc:threadedComment>
  <x18tc:threadedComment ref="A1" dT="2025-01-24T19:09:28.00" personId="{d5498dd3-4a64-46ce-9a8a-c831885a0249}" id="{22b51f86-0cec-4afa-abf6-5048b6cb4595}" done="0">
    <x18tc:text xml:space="preserve">01/24</x18tc:text>
  </x18tc:threadedComment>
  <x18tc:threadedComment ref="A1" dT="2025-01-24T19:13:06.00" personId="{d5498dd3-4a64-46ce-9a8a-c831885a0249}" id="{7f041c1f-33db-43ca-b3dc-57337db4699b}" done="0">
    <x18tc:text xml:space="preserve">01/24</x18tc:text>
  </x18tc:threadedComment>
  <x18tc:threadedComment ref="V300" dT="2025-01-24T18:04:52.00" personId="{d5498dd3-4a64-46ce-9a8a-c831885a0249}" id="{3df9f811-8a98-4206-91d6-95b3f2409933}" done="1">
    <x18tc:text xml:space="preserve">01/24 DA is asking all docs for the previous claim (h ian), she is asking a recorded statement, sent to Day and Joshua, asked for the IA report, received it, sent to PAs, pending coverage decision (CM)</x18tc:text>
  </x18tc:threadedComment>
  <x18tc:threadedComment ref="V207" dT="2025-01-24T18:35:14.00" personId="{d5498dd3-4a64-46ce-9a8a-c831885a0249}" id="{4a6f95f2-8cf1-462a-9e91-65b594b1b5a4}" done="1">
    <x18tc:text xml:space="preserve">01/24 OA sent his position on this claim, PAs are cc'd, asked Day to schedule a call next week if needed and requested by DA (CM)</x18tc:text>
  </x18tc:threadedComment>
  <x18tc:threadedComment ref="A1" dT="2025-01-24T18:50:12.00" personId="{d5498dd3-4a64-46ce-9a8a-c831885a0249}" id="{75271415-b76f-4e60-8bbb-1436e838847c}" done="0">
    <x18tc:text xml:space="preserve">01/24</x18tc:text>
  </x18tc:threadedComment>
  <x18tc:threadedComment ref="A1" dT="2025-01-24T19:03:44.00" personId="{d5498dd3-4a64-46ce-9a8a-c831885a0249}" id="{32a3db7b-90bf-464c-9b48-2c29d823b37c}" done="0">
    <x18tc:text xml:space="preserve">01/24</x18tc:text>
  </x18tc:threadedComment>
  <x18tc:threadedComment ref="A1" dT="2025-01-24T19:07:51.00" personId="{d5498dd3-4a64-46ce-9a8a-c831885a0249}" id="{101f8d38-34c2-4f57-87a1-f2e70a7fc60e}" done="0">
    <x18tc:text xml:space="preserve">01/24</x18tc:text>
  </x18tc:threadedComment>
  <x18tc:threadedComment ref="A1" dT="2025-01-24T19:13:59.00" personId="{d5498dd3-4a64-46ce-9a8a-c831885a0249}" id="{299f365d-c8ea-465b-9d8f-eaf062302ddb}" done="0">
    <x18tc:text xml:space="preserve">01/24</x18tc:text>
  </x18tc:threadedComment>
  <x18tc:threadedComment ref="A1" dT="2025-01-24T19:14:30.00" personId="{d5498dd3-4a64-46ce-9a8a-c831885a0249}" id="{5843255a-239c-4a5e-98fa-370f442a7eda}" done="0">
    <x18tc:text xml:space="preserve">01/24</x18tc:text>
  </x18tc:threadedComment>
  <x18tc:threadedComment ref="V299" dT="2025-01-24T19:15:20.00" personId="{d5498dd3-4a64-46ce-9a8a-c831885a0249}" id="{62627f66-8005-4042-8b90-251c94828564}" done="1">
    <x18tc:text xml:space="preserve">01/27 Peter is asking 42.5k (CM)</x18tc:text>
  </x18tc:threadedComment>
  <x18tc:threadedComment ref="M108" dT="2025-01-24T21:52:31.00" personId="{651ebe9d-f120-479c-8376-36973fff1cc1}" id="{b29a2742-3707-4944-b64d-364c0fa8beee}" done="0">
    <x18tc:text xml:space="preserve">1/24/25 sent to carrier</x18tc:text>
  </x18tc:threadedComment>
  <x18tc:threadedComment ref="A282" dT="2025-01-24T13:43:43.00" personId="{d5498dd3-4a64-46ce-9a8a-c831885a0249}" id="{f2912cc8-1548-40fa-bc4d-e3211a25a030}" done="0">
    <x18tc:text xml:space="preserve">Juan</x18tc:text>
  </x18tc:threadedComment>
  <x18tc:threadedComment ref="A282" dT="2025-08-18T15:03:29.00" personId="{d5498dd3-4a64-46ce-9a8a-c831885a0249}" id="{86318784-6515-4d7e-92d8-6e9aa141fa81}" parentId="{f2912cc8-1548-40fa-bc4d-e3211a25a030}">
    <x18tc:text xml:space="preserve">recoverable depreciation : 9,777.27</x18tc:text>
  </x18tc:threadedComment>
  <x18tc:threadedComment ref="V244" dT="2025-01-24T14:05:47.00" personId="{d5498dd3-4a64-46ce-9a8a-c831885a0249}" id="{e207ad0b-cba0-4196-b65e-6be7f194b0b1}" done="1">
    <x18tc:text xml:space="preserve">01/24 DA is asking us to send an offer, the difference between estimate is 43k aprox, cc'd PAs (CM)</x18tc:text>
  </x18tc:threadedComment>
  <x18tc:threadedComment ref="V244" dT="2025-01-27T16:19:30.00" personId="{d5498dd3-4a64-46ce-9a8a-c831885a0249}" id="{541df34a-6cfa-4944-b409-946e845b412d}" parentId="{e207ad0b-cba0-4196-b65e-6be7f194b0b1}">
    <x18tc:text xml:space="preserve">01/27 Peter is asking 40k (CM)</x18tc:text>
  </x18tc:threadedComment>
  <x18tc:threadedComment ref="V215" dT="2025-01-24T14:19:34.00" personId="{d5498dd3-4a64-46ce-9a8a-c831885a0249}" id="{aee3b6f0-37d2-43af-b20a-2ea963f38a1c}" done="1">
    <x18tc:text xml:space="preserve">01/24 DA is asking for the mortgage company, asked David (CM)</x18tc:text>
  </x18tc:threadedComment>
  <x18tc:threadedComment ref="P300" dT="2025-01-24T14:48:15.00" personId="{d5498dd3-4a64-46ce-9a8a-c831885a0249}" id="{990cf9a5-f49e-42c0-9cde-837ca3f7d603}" done="1">
    <x18tc:text xml:space="preserve">01/24</x18tc:text>
  </x18tc:threadedComment>
  <x18tc:threadedComment ref="V264" dT="2025-01-24T17:40:34.00" personId="{d5498dd3-4a64-46ce-9a8a-c831885a0249}" id="{698657ed-5f86-4013-b31b-ba3fa60479f2}" done="1">
    <x18tc:text xml:space="preserve">01/24 DA is questioning some items on the estimate , sent to PAs (CM)</x18tc:text>
  </x18tc:threadedComment>
  <x18tc:threadedComment ref="V263" dT="2025-01-24T17:48:28.00" personId="{d5498dd3-4a64-46ce-9a8a-c831885a0249}" id="{70e8d1b2-20d0-4eb1-a988-28dda29de186}" done="1">
    <x18tc:text xml:space="preserve">01/16 recieved the IA report and determination letter from before, sent to PAs, asked Jp to send our estimate (CM)
01/24 Joshua asked me to invoke appraisal, but we don't have the estimate (CM)</x18tc:text>
  </x18tc:threadedComment>
  <x18tc:threadedComment ref="V273" dT="2025-01-28T20:39:46.00" personId="{d5498dd3-4a64-46ce-9a8a-c831885a0249}" id="{0d238948-0561-4250-8ae8-419f25fe7c12}" done="1">
    <x18tc:text xml:space="preserve">01/28 Peter is asking 38.5k (CM)</x18tc:text>
  </x18tc:threadedComment>
  <x18tc:threadedComment ref="A216" dT="2025-01-28T18:52:30.00" personId="{d5498dd3-4a64-46ce-9a8a-c831885a0249}" id="{09fe886f-09b0-446b-b3ea-667e1b4267d9}" done="1">
    <x18tc:text xml:space="preserve">vamos a pedir mediacion</x18tc:text>
  </x18tc:threadedComment>
  <x18tc:threadedComment ref="V311" dT="2025-01-28T15:39:11.00" personId="{d5498dd3-4a64-46ce-9a8a-c831885a0249}" id="{a8981fe8-81e2-42b4-b0c6-b60d8ab7796e}" done="1">
    <x18tc:text xml:space="preserve">01/28 asked Iván via email to send the plumber's report (CM)</x18tc:text>
  </x18tc:threadedComment>
  <x18tc:threadedComment ref="V311" dT="2025-02-13T15:34:30.00" personId="{d5498dd3-4a64-46ce-9a8a-c831885a0249}" id="{b96360a7-4a5d-43e0-9fd5-d648be83d28f}" parentId="{a8981fe8-81e2-42b4-b0c6-b60d8ab7796e}">
    <x18tc:text xml:space="preserve">02/13 recieved the IA report, determination, they are issuing a payment for $9,766.62, asked Iván to send his estimate to JP (CM)</x18tc:text>
  </x18tc:threadedComment>
  <x18tc:threadedComment ref="V207" dT="2025-01-27T16:06:23.00" personId="{d5498dd3-4a64-46ce-9a8a-c831885a0249}" id="{75e27d7b-8874-460a-a736-2bc20b54c120}" done="1">
    <x18tc:text xml:space="preserve">01/27 Peter is asking 60k (CM)</x18tc:text>
  </x18tc:threadedComment>
  <x18tc:threadedComment ref="V255" dT="2025-01-27T16:07:34.00" personId="{d5498dd3-4a64-46ce-9a8a-c831885a0249}" id="{5b2c7e3a-5f83-440f-bd64-d6c166448228}" done="1">
    <x18tc:text xml:space="preserve">01/27 DA is asking the third parties invoices (CM)</x18tc:text>
  </x18tc:threadedComment>
  <x18tc:threadedComment ref="V212" dT="2025-01-27T16:16:31.00" personId="{d5498dd3-4a64-46ce-9a8a-c831885a0249}" id="{4b89c7a9-e7e1-4db3-8db4-cb18f7e48c40}" done="0">
    <x18tc:text xml:space="preserve">01/27 DA is requesting some info (CM)</x18tc:text>
  </x18tc:threadedComment>
  <x18tc:threadedComment ref="N284" dT="2025-01-27T16:26:33.00" personId="{651ebe9d-f120-479c-8376-36973fff1cc1}" id="{99f4791b-161c-4e13-81af-5befac3d09e4}" done="0">
    <x18tc:text xml:space="preserve">1/27/25 sent to Juan</x18tc:text>
  </x18tc:threadedComment>
  <x18tc:threadedComment ref="N284" dT="2025-01-31T21:57:12.00" personId="{651ebe9d-f120-479c-8376-36973fff1cc1}" id="{020291c6-5c54-4cfd-8dc6-592b308ec13f}" parentId="{99f4791b-161c-4e13-81af-5befac3d09e4}">
    <x18tc:text xml:space="preserve">1/31 send an update to juan</x18tc:text>
  </x18tc:threadedComment>
  <x18tc:threadedComment ref="N284" dT="2025-02-01T16:23:51.00" personId="{651ebe9d-f120-479c-8376-36973fff1cc1}" id="{c72520f9-5b6c-4ee9-bb89-ff68f64471cf}" parentId="{99f4791b-161c-4e13-81af-5befac3d09e4}">
    <x18tc:text xml:space="preserve">2/1/25 juan approved</x18tc:text>
  </x18tc:threadedComment>
  <x18tc:threadedComment ref="V271" dT="2025-01-27T17:14:40.00" personId="{d5498dd3-4a64-46ce-9a8a-c831885a0249}" id="{c36caed4-62db-4e1e-82b4-05fbe9a22f37}" done="1">
    <x18tc:text xml:space="preserve">01/27 DA is offering 5k, Day cc'd PAs (CM)</x18tc:text>
  </x18tc:threadedComment>
  <x18tc:threadedComment ref="N310" dT="2025-01-27T17:42:57.00" personId="{651ebe9d-f120-479c-8376-36973fff1cc1}" id="{43d1cd53-3360-4aec-bb5f-599193216c4e}" done="0">
    <x18tc:text xml:space="preserve">1/27 sent to juan</x18tc:text>
  </x18tc:threadedComment>
  <x18tc:threadedComment ref="N310" dT="2025-02-01T16:48:20.00" personId="{651ebe9d-f120-479c-8376-36973fff1cc1}" id="{2495dc0a-044d-41af-a7f7-5a9644f67c80}" parentId="{43d1cd53-3360-4aec-bb5f-599193216c4e}">
    <x18tc:text xml:space="preserve">1/31/25 aprobado por juan</x18tc:text>
  </x18tc:threadedComment>
  <x18tc:threadedComment ref="U158" dT="2025-01-29T10:03:18.00" personId="{d5498dd3-4a64-46ce-9a8a-c831885a0249}" id="{0ce2c5be-55de-4065-950e-63cd625d4e4d}" done="0">
    <x18tc:text xml:space="preserve">Prefered Method phone</x18tc:text>
  </x18tc:threadedComment>
  <x18tc:threadedComment ref="U166" dT="2025-01-29T10:03:42.00" personId="{d5498dd3-4a64-46ce-9a8a-c831885a0249}" id="{b633ea23-5bcc-4c5a-8f48-09287bbf5f59}" done="1">
    <x18tc:text xml:space="preserve">Prefered Method phone</x18tc:text>
  </x18tc:threadedComment>
  <x18tc:threadedComment ref="U170" dT="2025-01-29T10:03:48.00" personId="{d5498dd3-4a64-46ce-9a8a-c831885a0249}" id="{8dbe41ec-4f1e-4d02-b466-a163daaff166}" done="0">
    <x18tc:text xml:space="preserve">Prefered Method phone</x18tc:text>
  </x18tc:threadedComment>
  <x18tc:threadedComment ref="V190" dT="2025-01-29T09:59:13.00" personId="{d5498dd3-4a64-46ce-9a8a-c831885a0249}" id="{65563291-742c-4479-8973-03b68403104d}" done="1">
    <x18tc:text xml:space="preserve">01/28 Iván is asking 65k (CM)</x18tc:text>
  </x18tc:threadedComment>
  <x18tc:threadedComment ref="U107" dT="2025-01-29T10:02:25.00" personId="{d5498dd3-4a64-46ce-9a8a-c831885a0249}" id="{ca9a1312-9853-40d3-a745-4b9d31c2dbf1}" done="0">
    <x18tc:text xml:space="preserve">Prefered Method phone</x18tc:text>
  </x18tc:threadedComment>
  <x18tc:threadedComment ref="U110" dT="2025-01-29T10:02:33.00" personId="{d5498dd3-4a64-46ce-9a8a-c831885a0249}" id="{737cd586-14cf-4a7d-8d6f-f0bd3cc6f8f3}" done="0">
    <x18tc:text xml:space="preserve">Prefered Method phone</x18tc:text>
  </x18tc:threadedComment>
  <x18tc:threadedComment ref="U112" dT="2025-01-29T10:02:40.00" personId="{d5498dd3-4a64-46ce-9a8a-c831885a0249}" id="{9b351722-dbf5-49cf-b084-ecc741b30987}" done="0">
    <x18tc:text xml:space="preserve">Prefered Method phone</x18tc:text>
  </x18tc:threadedComment>
  <x18tc:threadedComment ref="U153" dT="2025-01-29T10:03:13.00" personId="{d5498dd3-4a64-46ce-9a8a-c831885a0249}" id="{145b9ca6-91db-48e7-ba00-a7375f3e6c3b}" done="1">
    <x18tc:text xml:space="preserve">Prefered Method text</x18tc:text>
  </x18tc:threadedComment>
  <x18tc:threadedComment ref="U173" dT="2025-01-29T10:03:58.00" personId="{d5498dd3-4a64-46ce-9a8a-c831885a0249}" id="{0ebb757c-aff8-4190-8081-df926115cfbc}" done="0">
    <x18tc:text xml:space="preserve">Prefered Method text</x18tc:text>
  </x18tc:threadedComment>
  <x18tc:threadedComment ref="U207" dT="2025-01-29T10:04:19.00" personId="{d5498dd3-4a64-46ce-9a8a-c831885a0249}" id="{9bffac01-3c1e-4b7e-b487-a8aa5c8ff5c7}" done="1">
    <x18tc:text xml:space="preserve">Prefered Method email</x18tc:text>
  </x18tc:threadedComment>
  <x18tc:threadedComment ref="U208" dT="2025-01-29T10:04:26.00" personId="{d5498dd3-4a64-46ce-9a8a-c831885a0249}" id="{a5d0c535-f6c7-4dde-9b3d-bceec867b593}" done="0">
    <x18tc:text xml:space="preserve">Prefered Method phone</x18tc:text>
  </x18tc:threadedComment>
  <x18tc:threadedComment ref="U214" dT="2025-01-29T10:04:36.00" personId="{d5498dd3-4a64-46ce-9a8a-c831885a0249}" id="{835a2af8-b76e-4e64-b42c-84e6843245f5}" done="0">
    <x18tc:text xml:space="preserve">Prefered Method text</x18tc:text>
  </x18tc:threadedComment>
  <x18tc:threadedComment ref="U218" dT="2025-01-29T10:04:42.00" personId="{d5498dd3-4a64-46ce-9a8a-c831885a0249}" id="{6d6845da-0713-41a8-858e-88245818f9d9}" done="1">
    <x18tc:text xml:space="preserve">Prefered Method phone</x18tc:text>
  </x18tc:threadedComment>
  <x18tc:threadedComment ref="U297" dT="2025-01-29T10:04:53.00" personId="{d5498dd3-4a64-46ce-9a8a-c831885a0249}" id="{1dc6a07e-3319-4334-b07f-02b6890bd85d}" done="1">
    <x18tc:text xml:space="preserve">Prefered Method phone</x18tc:text>
  </x18tc:threadedComment>
  <x18tc:threadedComment ref="U310" dT="2025-01-29T10:05:12.00" personId="{d5498dd3-4a64-46ce-9a8a-c831885a0249}" id="{47d7f81b-5981-44a8-ad7e-41927adbab39}" done="1">
    <x18tc:text xml:space="preserve">Prefered Method text</x18tc:text>
  </x18tc:threadedComment>
  <x18tc:threadedComment ref="A275" dT="2025-01-30T15:50:53.00" personId="{610be7ce-9288-4df9-9aac-427cc105bbe1}" id="{903d8ea4-8571-4457-b2e6-33c7ea7f2796}" done="0">
    <x18tc:text xml:space="preserve">Peter</x18tc:text>
  </x18tc:threadedComment>
  <x18tc:threadedComment ref="A275" dT="2025-06-19T18:40:26.00" personId="{d5498dd3-4a64-46ce-9a8a-c831885a0249}" id="{697c9831-d3a8-4695-9d11-19820033fec5}" parentId="{903d8ea4-8571-4457-b2e6-33c7ea7f2796}">
    <x18tc:text xml:space="preserve">Ordinance and law: $3,212.83</x18tc:text>
  </x18tc:threadedComment>
  <x18tc:threadedComment ref="A219" dT="2025-01-30T18:00:56.00" personId="{d5498dd3-4a64-46ce-9a8a-c831885a0249}" id="{fce8bc99-1d66-4622-82d4-a1aa81d34c92}" done="0">
    <x18tc:text xml:space="preserve">Juan</x18tc:text>
  </x18tc:threadedComment>
  <x18tc:threadedComment ref="A219" dT="2025-08-09T00:27:58.00" personId="{d5498dd3-4a64-46ce-9a8a-c831885a0249}" id="{8080c01f-8627-405b-8bac-065f5c923559}" parentId="{fce8bc99-1d66-4622-82d4-a1aa81d34c92}">
    <x18tc:text xml:space="preserve">paid everything else on a settlement release, nothing to be recovered</x18tc:text>
  </x18tc:threadedComment>
  <x18tc:threadedComment ref="N312" dT="2025-01-30T18:02:14.00" personId="{651ebe9d-f120-479c-8376-36973fff1cc1}" id="{813bd15c-6f20-44a4-a54a-1223f9e88bbd}" done="0">
    <x18tc:text xml:space="preserve">1/30/25 sent to josh</x18tc:text>
  </x18tc:threadedComment>
  <x18tc:threadedComment ref="N312" dT="2025-01-30T19:52:49.00" personId="{651ebe9d-f120-479c-8376-36973fff1cc1}" id="{ad98e9a4-ee7e-4cbc-b2d0-f090070f66df}" parentId="{813bd15c-6f20-44a4-a54a-1223f9e88bbd}">
    <x18tc:text xml:space="preserve">1/30 aprobado</x18tc:text>
  </x18tc:threadedComment>
  <x18tc:threadedComment ref="N312" dT="2025-11-22T13:50:42.00" personId="{651ebe9d-f120-479c-8376-36973fff1cc1}" id="{9cd8e672-a681-4186-9b48-4878b8c260cb}" parentId="{813bd15c-6f20-44a4-a54a-1223f9e88bbd}">
    <x18tc:text xml:space="preserve">11/22/25 sent update to peter</x18tc:text>
  </x18tc:threadedComment>
  <x18tc:threadedComment ref="V309" dT="2025-01-30T19:13:38.00" personId="{d5498dd3-4a64-46ce-9a8a-c831885a0249}" id="{1473ecbc-09ec-451a-a13e-588f668b64d0}" done="1">
    <x18tc:text xml:space="preserve">01/30 received the IA report, asked JP to send our estimate (CM)</x18tc:text>
  </x18tc:threadedComment>
  <x18tc:threadedComment ref="M309" dT="2025-01-30T19:50:20.00" personId="{651ebe9d-f120-479c-8376-36973fff1cc1}" id="{faf7d1d2-680d-4c33-bd81-2364ad854fb6}" done="0">
    <x18tc:text xml:space="preserve">1/30/25 sent to carrier</x18tc:text>
  </x18tc:threadedComment>
  <x18tc:threadedComment ref="V306" dT="2025-01-30T22:40:12.00" personId="{d5498dd3-4a64-46ce-9a8a-c831885a0249}" id="{502c606f-9754-4df7-8fd2-fcd9667157b0}" done="1">
    <x18tc:text xml:space="preserve">01/30 received a draft estimate, set to PAs, pending determination, asked Iván if he wants us to send our estimate (CM)</x18tc:text>
  </x18tc:threadedComment>
  <x18tc:threadedComment ref="M260" dT="2025-01-29T14:30:32.00" personId="{651ebe9d-f120-479c-8376-36973fff1cc1}" id="{5a41afc8-982c-433b-8869-d0e5256aaece}" done="0">
    <x18tc:text xml:space="preserve">1/29/25 sent to carrier</x18tc:text>
  </x18tc:threadedComment>
  <x18tc:threadedComment ref="P310" dT="2025-01-31T16:32:50.00" personId="{d5498dd3-4a64-46ce-9a8a-c831885a0249}" id="{f5943eb4-461c-4e47-9a05-d2d65a98948b}" done="1">
    <x18tc:text xml:space="preserve">02/13</x18tc:text>
  </x18tc:threadedComment>
  <x18tc:threadedComment ref="V220" dT="2025-01-31T17:25:50.00" personId="{d5498dd3-4a64-46ce-9a8a-c831885a0249}" id="{aad9cb30-6c3a-41a5-b31f-ac4bdb116fc9}" done="1">
    <x18tc:text xml:space="preserve">01/31 DFS is askig if there is a power of attorney for the insured, asked Peter about it (CM)</x18tc:text>
  </x18tc:threadedComment>
  <x18tc:threadedComment ref="V216" dT="2025-01-31T15:34:54.00" personId="{d5498dd3-4a64-46ce-9a8a-c831885a0249}" id="{69e58ffa-0119-40d4-9c79-8aeecd07c8f8}" done="1">
    <x18tc:text xml:space="preserve">01/31 DA sent an undisputted check for 5k and final IA, sent to PAs, asked them if they want to request mediation (CM)</x18tc:text>
  </x18tc:threadedComment>
  <x18tc:threadedComment ref="V247" dT="2025-01-31T15:52:51.00" personId="{d5498dd3-4a64-46ce-9a8a-c831885a0249}" id="{09762d7b-a52a-4e07-9e55-8821a287b0c8}" done="1">
    <x18tc:text xml:space="preserve">01/31 Mediation resulted in an impasse as per Mediator info (CM)</x18tc:text>
  </x18tc:threadedComment>
  <x18tc:threadedComment ref="P293" dT="2025-01-31T16:18:58.00" personId="{d5498dd3-4a64-46ce-9a8a-c831885a0249}" id="{be41be9b-601f-4dca-9f98-bf24276c968b}" done="1">
    <x18tc:text xml:space="preserve">02/07</x18tc:text>
  </x18tc:threadedComment>
  <x18tc:threadedComment ref="N302" dT="2025-01-15T14:23:32.00" personId="{651ebe9d-f120-479c-8376-36973fff1cc1}" id="{4d8b9b1e-a25a-435c-9dcc-2dbaab907621}" done="0">
    <x18tc:text xml:space="preserve">1/15/25 sent to Jose for review</x18tc:text>
  </x18tc:threadedComment>
  <x18tc:threadedComment ref="N302" dT="2025-01-20T13:52:09.00" personId="{651ebe9d-f120-479c-8376-36973fff1cc1}" id="{6a3ebdaa-096d-4c1b-af7d-c0a7cc246eda}" parentId="{4d8b9b1e-a25a-435c-9dcc-2dbaab907621}">
    <x18tc:text xml:space="preserve">1/16/25 Jose approved</x18tc:text>
  </x18tc:threadedComment>
  <x18tc:threadedComment ref="M295" dT="2025-01-15T13:14:57.00" personId="{651ebe9d-f120-479c-8376-36973fff1cc1}" id="{8b834d6c-7610-42d2-b5ce-187b01a5262c}" done="0">
    <x18tc:text xml:space="preserve">1/15/25 sent to DA</x18tc:text>
  </x18tc:threadedComment>
  <x18tc:threadedComment ref="M275" dT="2025-01-15T13:29:48.00" personId="{651ebe9d-f120-479c-8376-36973fff1cc1}" id="{86ce9d47-c473-49de-a4bd-85c3e7c1254e}" done="0">
    <x18tc:text xml:space="preserve">1/15/25 sent to carrier</x18tc:text>
  </x18tc:threadedComment>
  <x18tc:threadedComment ref="A280" dT="2025-01-15T14:56:02.00" personId="{d5498dd3-4a64-46ce-9a8a-c831885a0249}" id="{79713a85-8e8b-425c-9739-83992282a7a7}" done="1">
    <x18tc:text xml:space="preserve">@scheduling@ipadjustinggroup.com
Assigned to scheduling@ipadjustinggroup.com</x18tc:text>
    <x18tc:mentions>
      <x18tc:mention mentionpersonId="{2c8ec519-d5db-42bb-a5e2-52abe8ff6abf}" mentionId="{c5248d37-7150-455d-b2fa-cbf9b9779a3a}" startIndex="0" length="32"/>
    </x18tc:mentions>
  </x18tc:threadedComment>
  <x18tc:threadedComment ref="A280" dT="2025-01-15T16:48:52.00" personId="{610be7ce-9288-4df9-9aac-427cc105bbe1}" id="{d3bd48f3-a051-4400-84f3-e72de4d85803}" parentId="{79713a85-8e8b-425c-9739-83992282a7a7}">
    <x18tc:text xml:space="preserve">NOTED
Marked as done</x18tc:text>
  </x18tc:threadedComment>
  <x18tc:threadedComment ref="V294" dT="2025-01-15T15:22:11.00" personId="{d5498dd3-4a64-46ce-9a8a-c831885a0249}" id="{c4c0d436-f995-45dd-8a1e-77407a780491}" done="1">
    <x18tc:text xml:space="preserve">01/15 claim is under deductible, asked JP to send our estimate (CM)</x18tc:text>
  </x18tc:threadedComment>
  <x18tc:threadedComment ref="A182" dT="2025-01-15T18:36:38.00" personId="{d5498dd3-4a64-46ce-9a8a-c831885a0249}" id="{2e1daa21-c443-40c3-b29d-fefe2385a3cb}" done="0">
    <x18tc:text xml:space="preserve">Peter</x18tc:text>
  </x18tc:threadedComment>
  <x18tc:threadedComment ref="A182" dT="2025-08-09T00:10:50.00" personId="{d5498dd3-4a64-46ce-9a8a-c831885a0249}" id="{71794318-6656-40db-9d44-c79e09fcb0c1}" parentId="{2e1daa21-c443-40c3-b29d-fefe2385a3cb}">
    <x18tc:text xml:space="preserve">Recoverable Depreciation: $1,091.55</x18tc:text>
  </x18tc:threadedComment>
  <x18tc:threadedComment ref="N299" dT="2025-01-13T20:13:23.00" personId="{651ebe9d-f120-479c-8376-36973fff1cc1}" id="{2f13c242-4ac5-43e0-aafb-29150af274ec}" done="0">
    <x18tc:text xml:space="preserve">1/13/25 sent to josh</x18tc:text>
  </x18tc:threadedComment>
  <x18tc:threadedComment ref="N299" dT="2025-01-13T21:57:48.00" personId="{651ebe9d-f120-479c-8376-36973fff1cc1}" id="{05275f28-1229-4fbe-ba93-82a580b2eaf4}" parentId="{2f13c242-4ac5-43e0-aafb-29150af274ec}">
    <x18tc:text xml:space="preserve">1/13 aprobado</x18tc:text>
  </x18tc:threadedComment>
  <x18tc:threadedComment ref="N314" dT="2025-02-01T15:01:31.00" personId="{651ebe9d-f120-479c-8376-36973fff1cc1}" id="{7d081896-6ea5-4881-a322-cb9e09dd23b6}" done="0">
    <x18tc:text xml:space="preserve">2/1/25 sent to josh</x18tc:text>
  </x18tc:threadedComment>
  <x18tc:threadedComment ref="N314" dT="2025-02-03T17:56:24.00" personId="{651ebe9d-f120-479c-8376-36973fff1cc1}" id="{a6ef18ff-6609-446d-b265-a7df6bf11c7a}" parentId="{7d081896-6ea5-4881-a322-cb9e09dd23b6}">
    <x18tc:text xml:space="preserve">2/3/25 approved</x18tc:text>
  </x18tc:threadedComment>
  <x18tc:threadedComment ref="M284" dT="2025-02-01T16:46:12.00" personId="{651ebe9d-f120-479c-8376-36973fff1cc1}" id="{9a6666d6-ecce-4d7d-9ee8-59bed9114906}" done="0">
    <x18tc:text xml:space="preserve">2/1/25 upload to CP</x18tc:text>
  </x18tc:threadedComment>
  <x18tc:threadedComment ref="A208" dT="2025-01-21T17:52:13.00" personId="{d5498dd3-4a64-46ce-9a8a-c831885a0249}" id="{1f92b5e0-772f-440c-864e-520887d60e17}" done="0">
    <x18tc:text xml:space="preserve">Joshua</x18tc:text>
  </x18tc:threadedComment>
  <x18tc:threadedComment ref="O184" dT="2025-01-21T17:00:17.00" personId="{651ebe9d-f120-479c-8376-36973fff1cc1}" id="{34d67655-6ac1-43aa-9ee3-cc0e603f1c4e}" done="0">
    <x18tc:text xml:space="preserve">1/21/25 sent to client</x18tc:text>
  </x18tc:threadedComment>
  <x18tc:threadedComment ref="V303" dT="2025-01-21T17:02:42.00" personId="{d5498dd3-4a64-46ce-9a8a-c831885a0249}" id="{3576bbc2-bf8a-4b0f-aecf-c803d7e4c8c2}" done="1">
    <x18tc:text xml:space="preserve">01/21 customer service informed that this claim is under deductible (CM)</x18tc:text>
  </x18tc:threadedComment>
  <x18tc:threadedComment ref="V303" dT="2025-02-13T17:58:13.00" personId="{d5498dd3-4a64-46ce-9a8a-c831885a0249}" id="{e7db1b74-c1c4-4ac0-ad89-88541c5b55fe}" parentId="{3576bbc2-bf8a-4b0f-aecf-c803d7e4c8c2}">
    <x18tc:text xml:space="preserve">02/13 followed up on this claim (CM)</x18tc:text>
  </x18tc:threadedComment>
  <x18tc:threadedComment ref="O141" dT="2025-01-21T17:05:13.00" personId="{651ebe9d-f120-479c-8376-36973fff1cc1}" id="{2846d8df-200a-44eb-917a-82cae6a987b2}" done="0">
    <x18tc:text xml:space="preserve">1/21/25 pedi el formato</x18tc:text>
  </x18tc:threadedComment>
  <x18tc:threadedComment ref="O141" dT="2025-01-21T17:41:08.00" personId="{d5498dd3-4a64-46ce-9a8a-c831885a0249}" id="{1dc75f8a-414f-4579-bdf9-0ff41a7fcc8a}" parentId="{2846d8df-200a-44eb-917a-82cae6a987b2}">
    <x18tc:text xml:space="preserve">dice que no quiere SPOL el DA</x18tc:text>
  </x18tc:threadedComment>
  <x18tc:threadedComment ref="A215" dT="2025-01-21T18:15:05.00" personId="{d5498dd3-4a64-46ce-9a8a-c831885a0249}" id="{fd0d2e97-9002-4a97-85d4-a0e545ac2b0f}" done="0">
    <x18tc:text xml:space="preserve">Peter</x18tc:text>
  </x18tc:threadedComment>
  <x18tc:threadedComment ref="A215" dT="2025-08-09T00:25:35.00" personId="{d5498dd3-4a64-46ce-9a8a-c831885a0249}" id="{22c728f8-8d2a-4c6f-af4b-f92f9ff5cfed}" parentId="{fd0d2e97-9002-4a97-85d4-a0e545ac2b0f}">
    <x18tc:text xml:space="preserve">Less $1,375.24 (O&amp;L)</x18tc:text>
  </x18tc:threadedComment>
  <x18tc:threadedComment ref="V230" dT="2025-01-21T18:37:17.00" personId="{d5498dd3-4a64-46ce-9a8a-c831885a0249}" id="{1f1ccbfa-b620-4473-8e43-ed9713b9ddef}" done="1">
    <x18tc:text xml:space="preserve">01/21 Peter says we should wait for the estimate (CM)</x18tc:text>
  </x18tc:threadedComment>
  <x18tc:threadedComment ref="V238" dT="2025-01-21T18:44:58.00" personId="{d5498dd3-4a64-46ce-9a8a-c831885a0249}" id="{4712d6a2-ff3f-4dbe-8257-1770d09c4783}" done="1">
    <x18tc:text xml:space="preserve">01/21 Peter is asking 17k (CM)</x18tc:text>
  </x18tc:threadedComment>
  <x18tc:threadedComment ref="V231" dT="2025-01-21T19:23:44.00" personId="{d5498dd3-4a64-46ce-9a8a-c831885a0249}" id="{9284b4e9-7142-4670-a882-04fe809965ce}" done="1">
    <x18tc:text xml:space="preserve">01/21 DA rejects the appraisal demand (CM)</x18tc:text>
  </x18tc:threadedComment>
  <x18tc:threadedComment ref="M234" dT="2025-02-03T20:39:14.00" personId="{651ebe9d-f120-479c-8376-36973fff1cc1}" id="{3239ee0b-1808-40f0-bd7e-3aea474690a4}" done="0">
    <x18tc:text xml:space="preserve">2/3/25 sent to client</x18tc:text>
  </x18tc:threadedComment>
  <x18tc:threadedComment ref="M234" dT="2025-02-03T20:44:29.00" personId="{651ebe9d-f120-479c-8376-36973fff1cc1}" id="{e72a8414-97a9-4b5f-9c9e-7c75cc3d9eac}" parentId="{3239ee0b-1808-40f0-bd7e-3aea474690a4}">
    <x18tc:text xml:space="preserve">no se pudo enviar al cliente el estimado, no tiene email</x18tc:text>
  </x18tc:threadedComment>
  <x18tc:threadedComment ref="V280" dT="2025-02-03T22:21:18.00" personId="{d5498dd3-4a64-46ce-9a8a-c831885a0249}" id="{04d9c946-380e-4f69-8ef1-127a3428bdcd}" done="1">
    <x18tc:text xml:space="preserve">02/04 DA requested some domunentation after the mediation conference, sent to PAs (CM)</x18tc:text>
  </x18tc:threadedComment>
  <x18tc:threadedComment ref="N316" dT="2025-02-08T01:09:06.00" personId="{651ebe9d-f120-479c-8376-36973fff1cc1}" id="{ee66009a-fda3-46f3-ada4-e169802213af}" done="0">
    <x18tc:text xml:space="preserve">2/7/25 sent to josh</x18tc:text>
  </x18tc:threadedComment>
  <x18tc:threadedComment ref="N316" dT="2025-02-11T18:26:26.00" personId="{651ebe9d-f120-479c-8376-36973fff1cc1}" id="{8dfe2af6-d9b1-4c8d-990b-d75062629e17}" parentId="{ee66009a-fda3-46f3-ada4-e169802213af}">
    <x18tc:text xml:space="preserve">2/10 aprobado</x18tc:text>
  </x18tc:threadedComment>
  <x18tc:threadedComment ref="N316" dT="2025-02-20T01:34:04.00" personId="{d5498dd3-4a64-46ce-9a8a-c831885a0249}" id="{497d1bb4-4e9c-4edb-939f-b9c133548f24}" parentId="{ee66009a-fda3-46f3-ada4-e169802213af}">
    <x18tc:text xml:space="preserve">@jp.ipestimates@gmail.com cliente 324 no has mandado, manda porfa despues de revisar el IA</x18tc:text>
    <x18tc:mentions>
      <x18tc:mention mentionpersonId="{f5ec41ac-eb21-45bf-aaa5-f7dfbc04c8e9}" mentionId="{e2e37f5e-4098-42ca-bfab-cc878f266683}" startIndex="0" length="25"/>
    </x18tc:mentions>
  </x18tc:threadedComment>
  <x18tc:threadedComment ref="N316" dT="2025-02-20T12:20:23.00" personId="{651ebe9d-f120-479c-8376-36973fff1cc1}" id="{0bd01611-b3c3-4981-b078-5fe060c999f2}" parentId="{ee66009a-fda3-46f3-ada4-e169802213af}">
    <x18tc:text xml:space="preserve">en el master list me sale que falta el IA report de este clliente, Jose Pavon. confirma</x18tc:text>
  </x18tc:threadedComment>
  <x18tc:threadedComment ref="N316" dT="2025-02-20T15:20:18.00" personId="{d5498dd3-4a64-46ce-9a8a-c831885a0249}" id="{ce2307a2-9b3b-45ff-ada9-926d7299f00e}" parentId="{ee66009a-fda3-46f3-ada4-e169802213af}">
    <x18tc:text xml:space="preserve">EL 324 Es Robert Robles, ya veo que has mandado el estimad asi que perfect!</x18tc:text>
  </x18tc:threadedComment>
  <x18tc:threadedComment ref="N316" dT="2025-04-12T15:26:51.00" personId="{651ebe9d-f120-479c-8376-36973fff1cc1}" id="{3870d753-647d-4700-966e-e85f5700b870}" parentId="{ee66009a-fda3-46f3-ada4-e169802213af}">
    <x18tc:text xml:space="preserve">4/12 envie una actualizacion del estimado a josh</x18tc:text>
  </x18tc:threadedComment>
  <x18tc:threadedComment ref="N316" dT="2025-04-16T16:16:07.00" personId="{651ebe9d-f120-479c-8376-36973fff1cc1}" id="{38fcdadb-8bb3-4681-a39f-426d610a2996}" parentId="{ee66009a-fda3-46f3-ada4-e169802213af}">
    <x18tc:text xml:space="preserve">4/12 aprobado</x18tc:text>
  </x18tc:threadedComment>
  <x18tc:threadedComment ref="M308" dT="2025-02-14T14:13:08.00" personId="{651ebe9d-f120-479c-8376-36973fff1cc1}" id="{4e86e3ec-75ca-47bb-be7c-14427708a98c}" done="0">
    <x18tc:text xml:space="preserve">2/14 sent to carrier</x18tc:text>
  </x18tc:threadedComment>
  <x18tc:threadedComment ref="N318" dT="2025-02-14T14:49:31.00" personId="{651ebe9d-f120-479c-8376-36973fff1cc1}" id="{07d7aaeb-67f8-4763-8290-4c75fdc40c62}" done="0">
    <x18tc:text xml:space="preserve">2/14/25 ivan approved</x18tc:text>
  </x18tc:threadedComment>
  <x18tc:threadedComment ref="M318" dT="2025-02-14T14:53:37.00" personId="{651ebe9d-f120-479c-8376-36973fff1cc1}" id="{86f48cf9-fa82-48bd-9e63-e498b6093d64}" done="0">
    <x18tc:text xml:space="preserve">2/14 sent to DA</x18tc:text>
  </x18tc:threadedComment>
  <x18tc:threadedComment ref="Q310" dT="2025-02-13T18:14:08.00" personId="{d5498dd3-4a64-46ce-9a8a-c831885a0249}" id="{2125493d-70b3-44a3-92c6-1965ea328d03}" done="1">
    <x18tc:text xml:space="preserve">02/13</x18tc:text>
  </x18tc:threadedComment>
  <x18tc:threadedComment ref="P314" dT="2025-02-13T18:17:55.00" personId="{d5498dd3-4a64-46ce-9a8a-c831885a0249}" id="{d8d9c66c-be63-4ccb-9eca-114063b938d6}" done="1">
    <x18tc:text xml:space="preserve">02/17</x18tc:text>
  </x18tc:threadedComment>
  <x18tc:threadedComment ref="M293" dT="2025-02-14T15:29:42.00" personId="{651ebe9d-f120-479c-8376-36973fff1cc1}" id="{d5283a4e-8cfd-4586-a59c-ad75103bb588}" done="0">
    <x18tc:text xml:space="preserve">2/14 subido a CP</x18tc:text>
  </x18tc:threadedComment>
  <x18tc:threadedComment ref="N263" dT="2025-02-14T17:19:01.00" personId="{651ebe9d-f120-479c-8376-36973fff1cc1}" id="{4e73a004-92af-49f7-8d58-f2edfbb1d611}" done="0">
    <x18tc:text xml:space="preserve">2/14 sent to joshua</x18tc:text>
  </x18tc:threadedComment>
  <x18tc:threadedComment ref="N263" dT="2025-02-14T17:41:54.00" personId="{651ebe9d-f120-479c-8376-36973fff1cc1}" id="{1b93f82e-cf8a-4e13-b5f1-e4126d23bc8e}" parentId="{4e73a004-92af-49f7-8d58-f2edfbb1d611}">
    <x18tc:text xml:space="preserve">2/14 aprobado</x18tc:text>
  </x18tc:threadedComment>
  <x18tc:threadedComment ref="M263" dT="2025-02-14T17:44:26.00" personId="{651ebe9d-f120-479c-8376-36973fff1cc1}" id="{4c7495cc-60a8-47e7-9a1a-8d1e43068c4f}" done="0">
    <x18tc:text xml:space="preserve">2/14 sent to carrier</x18tc:text>
  </x18tc:threadedComment>
  <x18tc:threadedComment ref="O254" dT="2025-03-06T17:40:45.00" personId="{d5498dd3-4a64-46ce-9a8a-c831885a0249}" id="{a74b4016-08ba-47ab-ad87-26ee1227824a}" done="0">
    <x18tc:text xml:space="preserve">3/6 sent to client</x18tc:text>
  </x18tc:threadedComment>
  <x18tc:threadedComment ref="A283" dT="2025-03-06T18:37:30.00" personId="{d5498dd3-4a64-46ce-9a8a-c831885a0249}" id="{450a00c8-a60a-444b-aa2d-947d62dc24a8}" done="1">
    <x18tc:text xml:space="preserve">Peter</x18tc:text>
  </x18tc:threadedComment>
  <x18tc:threadedComment ref="A1" dT="2025-01-26T20:57:36.00" personId="{d5498dd3-4a64-46ce-9a8a-c831885a0249}" id="{bf137753-6a16-46ed-af51-08b6babf8af8}" done="0">
    <x18tc:text xml:space="preserve">01/27</x18tc:text>
  </x18tc:threadedComment>
  <x18tc:threadedComment ref="A1" dT="2025-01-26T21:00:29.00" personId="{d5498dd3-4a64-46ce-9a8a-c831885a0249}" id="{7653829e-89c8-4a5f-b5b1-0324f3884061}" done="0">
    <x18tc:text xml:space="preserve">01/27</x18tc:text>
  </x18tc:threadedComment>
  <x18tc:threadedComment ref="A1" dT="2025-01-26T21:02:33.00" personId="{d5498dd3-4a64-46ce-9a8a-c831885a0249}" id="{7ba8f871-4113-4045-b619-fdea0cf8027f}" done="0">
    <x18tc:text xml:space="preserve">01/27</x18tc:text>
  </x18tc:threadedComment>
  <x18tc:threadedComment ref="V282" dT="2025-01-26T20:33:22.00" personId="{d5498dd3-4a64-46ce-9a8a-c831885a0249}" id="{64945f4c-045b-4984-ae13-87d7e84ea02c}" done="1">
    <x18tc:text xml:space="preserve">01/27 they don't accept Peter as he is a desinterested party (CM)</x18tc:text>
  </x18tc:threadedComment>
  <x18tc:threadedComment ref="P301" dT="2025-01-26T21:28:02.00" personId="{d5498dd3-4a64-46ce-9a8a-c831885a0249}" id="{d2c0420e-59e5-4ba5-bfcb-e6e6aebb47fd}" done="1">
    <x18tc:text xml:space="preserve">rs was 02/14</x18tc:text>
  </x18tc:threadedComment>
  <x18tc:threadedComment ref="P305" dT="2025-01-26T21:32:29.00" personId="{d5498dd3-4a64-46ce-9a8a-c831885a0249}" id="{89549eb5-437a-4cde-99ff-3298af0cddeb}" done="1">
    <x18tc:text xml:space="preserve">01/22 insp</x18tc:text>
  </x18tc:threadedComment>
  <x18tc:threadedComment ref="P306" dT="2025-01-26T21:32:48.00" personId="{d5498dd3-4a64-46ce-9a8a-c831885a0249}" id="{6deef390-f533-48d8-932f-5af4dee11588}" done="1">
    <x18tc:text xml:space="preserve">02/11 rs
02/18 eng</x18tc:text>
  </x18tc:threadedComment>
  <x18tc:threadedComment ref="P308" dT="2025-01-26T21:34:49.00" personId="{d5498dd3-4a64-46ce-9a8a-c831885a0249}" id="{c420b6a6-f571-49c9-a55f-00f8b1c237dd}" done="1">
    <x18tc:text xml:space="preserve">01/24 insp</x18tc:text>
  </x18tc:threadedComment>
  <x18tc:threadedComment ref="V229" dT="2025-01-27T15:37:38.00" personId="{d5498dd3-4a64-46ce-9a8a-c831885a0249}" id="{4637cd7c-093c-4dd7-b7a7-66ad6e82e7b6}" done="1">
    <x18tc:text xml:space="preserve">01/27 Day is asking to choose an umpire (CM)</x18tc:text>
  </x18tc:threadedComment>
  <x18tc:threadedComment ref="V190" dT="2025-01-27T15:38:30.00" personId="{d5498dd3-4a64-46ce-9a8a-c831885a0249}" id="{45d1ffa0-3d23-4350-b795-d26ca9642d87}" done="1">
    <x18tc:text xml:space="preserve">mediation will be 12/13 (CM)</x18tc:text>
  </x18tc:threadedComment>
  <x18tc:threadedComment ref="V307" dT="2025-01-28T01:59:53.00" personId="{d5498dd3-4a64-46ce-9a8a-c831885a0249}" id="{991f94d8-46a0-48e3-8220-1c3f2461ed1e}" done="1">
    <x18tc:text xml:space="preserve">01/24 Day informs that the client passed away (CM)</x18tc:text>
  </x18tc:threadedComment>
  <x18tc:threadedComment ref="V288" dT="2025-01-28T02:02:56.00" personId="{d5498dd3-4a64-46ce-9a8a-c831885a0249}" id="{fa5fa398-3673-4a15-982f-5b30bada1042}" done="1">
    <x18tc:text xml:space="preserve">01/02 received the correct claim#, the IA report, asked Juan to send his estimate to JP (CM)</x18tc:text>
  </x18tc:threadedComment>
  <x18tc:threadedComment ref="V279" dT="2025-01-28T02:04:35.00" personId="{d5498dd3-4a64-46ce-9a8a-c831885a0249}" id="{8873bb47-cc89-4f8b-bd83-6920251208ce}" done="1">
    <x18tc:text xml:space="preserve">01/21 Iván is following up on the estimate with Peter (CM)</x18tc:text>
  </x18tc:threadedComment>
  <x18tc:threadedComment ref="V299" dT="2025-01-27T23:51:56.00" personId="{d5498dd3-4a64-46ce-9a8a-c831885a0249}" id="{64d99e51-702b-460d-9633-dcfd7f1f1ba5}" done="1">
    <x18tc:text xml:space="preserve">01/23 DA is offering 10k sent to PAs (CM)
01/27 Peter is asking 42.5k (CM)</x18tc:text>
  </x18tc:threadedComment>
  <x18tc:threadedComment ref="V299" dT="2025-01-28T16:19:48.00" personId="{d5498dd3-4a64-46ce-9a8a-c831885a0249}" id="{faa0e7f3-cc06-442a-b9df-6758931a7509}" parentId="{64d99e51-702b-460d-9633-dcfd7f1f1ba5}">
    <x18tc:text xml:space="preserve">01/28 DA says they can not offer more that 10k, asked Peter how to proceed (CM)</x18tc:text>
  </x18tc:threadedComment>
  <x18tc:threadedComment ref="V289" dT="2025-01-28T00:05:44.00" personId="{d5498dd3-4a64-46ce-9a8a-c831885a0249}" id="{b87381ae-50e9-4555-8bb8-e8f558701876}" done="1">
    <x18tc:text xml:space="preserve">01/27 followed up on this claim, DA is asking if we have eagle photos for the roof or photos of the interior, sent to Juan (CM)</x18tc:text>
  </x18tc:threadedComment>
  <x18tc:threadedComment ref="A1" dT="2025-01-28T01:55:35.00" personId="{d5498dd3-4a64-46ce-9a8a-c831885a0249}" id="{e1144ec5-e5b0-40e4-bf53-53851ec10822}" done="0">
    <x18tc:text xml:space="preserve">12/12 Asked PAs if they want me to change the status to pending payment as the mediation was cancelled due to payments received (CM)</x18tc:text>
  </x18tc:threadedComment>
  <x18tc:threadedComment ref="Q285" dT="2025-01-28T02:42:18.00" personId="{d5498dd3-4a64-46ce-9a8a-c831885a0249}" id="{dd6e84db-cd3b-4b6c-8181-9b95f7cbbf15}" done="1">
    <x18tc:text xml:space="preserve">01/03</x18tc:text>
  </x18tc:threadedComment>
  <x18tc:threadedComment ref="Q286" dT="2025-01-28T02:42:23.00" personId="{d5498dd3-4a64-46ce-9a8a-c831885a0249}" id="{c8264767-4bd1-4c99-93de-3d8c743f208a}" done="1">
    <x18tc:text xml:space="preserve">01/03</x18tc:text>
  </x18tc:threadedComment>
  <x18tc:threadedComment ref="Q287" dT="2025-01-28T02:42:29.00" personId="{d5498dd3-4a64-46ce-9a8a-c831885a0249}" id="{e4c4acf6-e331-4c20-be6d-0488b1423eea}" done="0">
    <x18tc:text xml:space="preserve">01/02</x18tc:text>
  </x18tc:threadedComment>
  <x18tc:threadedComment ref="V273" dT="2025-01-28T02:08:14.00" personId="{d5498dd3-4a64-46ce-9a8a-c831885a0249}" id="{701a8f03-50e0-4c20-8a86-755f0b9429c6}" done="1">
    <x18tc:text xml:space="preserve">12/19 received the determination letter and IA report (CM)</x18tc:text>
  </x18tc:threadedComment>
  <x18tc:threadedComment ref="V141" dT="2025-01-28T02:27:53.00" personId="{d5498dd3-4a64-46ce-9a8a-c831885a0249}" id="{e71210fb-150d-44a4-9fc9-c2ef2902ecb4}" done="0">
    <x18tc:text xml:space="preserve">11/15 Peter informs Juan is going to send LOR for 2 previous claims and for H. Milton, mediation impasse (CM)</x18tc:text>
  </x18tc:threadedComment>
  <x18tc:threadedComment ref="Q209" dT="2025-01-28T02:39:59.00" personId="{d5498dd3-4a64-46ce-9a8a-c831885a0249}" id="{19e16260-18db-48e0-9f89-06a857b77163}" done="0">
    <x18tc:text xml:space="preserve">01/02</x18tc:text>
  </x18tc:threadedComment>
  <x18tc:threadedComment ref="Q213" dT="2025-01-28T02:40:15.00" personId="{d5498dd3-4a64-46ce-9a8a-c831885a0249}" id="{54dcc02c-1752-4dfe-8eb3-9341af7f9b9b}" done="0">
    <x18tc:text xml:space="preserve">12/30</x18tc:text>
  </x18tc:threadedComment>
  <x18tc:threadedComment ref="A1" dT="2025-01-28T02:40:28.00" personId="{d5498dd3-4a64-46ce-9a8a-c831885a0249}" id="{00f60ad5-49a6-4227-9b0c-84f939160840}" done="0">
    <x18tc:text xml:space="preserve">10/29</x18tc:text>
  </x18tc:threadedComment>
  <x18tc:threadedComment ref="Q232" dT="2025-01-28T02:40:58.00" personId="{d5498dd3-4a64-46ce-9a8a-c831885a0249}" id="{60791350-dd3c-4c06-a127-9acfdd6b1d13}" done="1">
    <x18tc:text xml:space="preserve">12/16</x18tc:text>
  </x18tc:threadedComment>
  <x18tc:threadedComment ref="Q291" dT="2025-01-28T02:41:37.00" personId="{d5498dd3-4a64-46ce-9a8a-c831885a0249}" id="{f76c0428-51d5-4876-ac6c-69102bea6ba1}" done="1">
    <x18tc:text xml:space="preserve">01/02</x18tc:text>
  </x18tc:threadedComment>
  <x18tc:threadedComment ref="Q282" dT="2025-01-28T02:41:58.00" personId="{d5498dd3-4a64-46ce-9a8a-c831885a0249}" id="{b61d979e-2c8f-4949-880e-c74655fe5a67}" done="1">
    <x18tc:text xml:space="preserve">01/03</x18tc:text>
  </x18tc:threadedComment>
  <x18tc:threadedComment ref="Q283" dT="2025-01-28T02:42:04.00" personId="{d5498dd3-4a64-46ce-9a8a-c831885a0249}" id="{020c1436-925f-415b-a8c6-ee167c2eed58}" done="1">
    <x18tc:text xml:space="preserve">02/13</x18tc:text>
  </x18tc:threadedComment>
  <x18tc:threadedComment ref="Q288" dT="2025-01-28T02:42:33.00" personId="{d5498dd3-4a64-46ce-9a8a-c831885a0249}" id="{a00e640d-f9db-4c71-bc22-db7bc3aa80a0}" done="1">
    <x18tc:text xml:space="preserve">01/02</x18tc:text>
  </x18tc:threadedComment>
  <x18tc:threadedComment ref="Q264" dT="2025-01-28T02:42:51.00" personId="{d5498dd3-4a64-46ce-9a8a-c831885a0249}" id="{cb786804-42f8-4c93-9e0b-f0213069c3cd}" done="0">
    <x18tc:text xml:space="preserve">12/30</x18tc:text>
  </x18tc:threadedComment>
  <x18tc:threadedComment ref="Q242" dT="2025-01-28T02:43:06.00" personId="{d5498dd3-4a64-46ce-9a8a-c831885a0249}" id="{53f7cccc-2c33-4ba3-a83f-9941d6b14c9e}" done="1">
    <x18tc:text xml:space="preserve">01/02</x18tc:text>
  </x18tc:threadedComment>
  <x18tc:threadedComment ref="Q240" dT="2025-01-28T02:43:12.00" personId="{d5498dd3-4a64-46ce-9a8a-c831885a0249}" id="{ca496e66-b8d6-413e-95d4-e94cd750a03a}" done="0">
    <x18tc:text xml:space="preserve">10/30</x18tc:text>
  </x18tc:threadedComment>
  <x18tc:threadedComment ref="V198" dT="2025-01-31T20:28:58.00" personId="{d5498dd3-4a64-46ce-9a8a-c831885a0249}" id="{9a6e7e51-b145-4f40-a6a3-de20dc6e5c32}" done="0">
    <x18tc:text xml:space="preserve">01/31 followed up on the settlement release we wee supposed to receive, DA says he retracted his offer, informed Peter (CM)</x18tc:text>
  </x18tc:threadedComment>
  <x18tc:threadedComment ref="V281" dT="2025-02-03T15:25:39.00" personId="{d5498dd3-4a64-46ce-9a8a-c831885a0249}" id="{3cd36a09-d43b-4e8d-949d-3585c2d6ca9e}" done="1">
    <x18tc:text xml:space="preserve">02/18 asked PAs if they want to request mediation as we received the new determination based on the engineer insp. asked Joshua to send the H Ian docs that they have beem asking (CM)</x18tc:text>
  </x18tc:threadedComment>
  <x18tc:threadedComment ref="V308" dT="2025-02-03T15:44:45.00" personId="{d5498dd3-4a64-46ce-9a8a-c831885a0249}" id="{31755e21-fa1b-47df-8060-0f50063145dc}" done="1">
    <x18tc:text xml:space="preserve">02/03 received the IA report and the payment letter, they are issuing a payment for 65k, asked Iván to review the estimate that JP sent (CM)</x18tc:text>
  </x18tc:threadedComment>
  <x18tc:threadedComment ref="V305" dT="2025-02-17T20:50:14.00" personId="{d5498dd3-4a64-46ce-9a8a-c831885a0249}" id="{523251e3-f1ff-4bd5-9560-58066450b94d}" done="1">
    <x18tc:text xml:space="preserve">02/17 received a denial letter, as this loss was caused by an animal and the policy doesn't include those type of damages, sent to PAs and JP (CM)</x18tc:text>
  </x18tc:threadedComment>
  <x18tc:threadedComment ref="V305" dT="2025-03-19T02:24:59.00" personId="{d5498dd3-4a64-46ce-9a8a-c831885a0249}" id="{7b1f2bbd-4ca8-4779-b793-4a4d9d33cf89}" parentId="{523251e3-f1ff-4bd5-9560-58066450b94d}">
    <x18tc:text xml:space="preserve">03/19 received a denial letter after our estimate, asked PAs how to proceed (CM)</x18tc:text>
  </x18tc:threadedComment>
  <x18tc:threadedComment ref="V247" dT="2025-02-18T14:57:56.00" personId="{d5498dd3-4a64-46ce-9a8a-c831885a0249}" id="{338646bd-a5af-4d6c-99f3-fa9ac8e25564}" done="1">
    <x18tc:text xml:space="preserve">02/18 received a supplement coverage determination after the mediation, claim is closed as per FPI (CM)</x18tc:text>
  </x18tc:threadedComment>
  <x18tc:threadedComment ref="P256" dT="2025-02-20T01:23:08.00" personId="{d5498dd3-4a64-46ce-9a8a-c831885a0249}" id="{f619f29b-48b7-430e-b65d-eadc05acc146}" done="1">
    <x18tc:text xml:space="preserve">@scheduling@ipadjustinggroup.com
Assigned to scheduling@ipadjustinggroup.com</x18tc:text>
    <x18tc:mentions>
      <x18tc:mention mentionpersonId="{2c8ec519-d5db-42bb-a5e2-52abe8ff6abf}" mentionId="{b3d776ed-1d3a-4e93-b48d-755054f9b0a8}" startIndex="0" length="32"/>
    </x18tc:mentions>
  </x18tc:threadedComment>
  <x18tc:threadedComment ref="P273" dT="2025-02-20T01:24:42.00" personId="{d5498dd3-4a64-46ce-9a8a-c831885a0249}" id="{1caf4d71-989a-4a17-80df-e9e810d311c9}" done="0">
    <x18tc:text xml:space="preserve">@scheduling@ipadjustinggroup.com
Assigned to scheduling@ipadjustinggroup.com</x18tc:text>
    <x18tc:mentions>
      <x18tc:mention mentionpersonId="{2c8ec519-d5db-42bb-a5e2-52abe8ff6abf}" mentionId="{1c1d79ee-e94e-47a8-8be0-91d96d72612a}" startIndex="0" length="32"/>
    </x18tc:mentions>
  </x18tc:threadedComment>
  <x18tc:threadedComment ref="P238" dT="2025-02-20T01:14:46.00" personId="{d5498dd3-4a64-46ce-9a8a-c831885a0249}" id="{8f1d27af-52ff-4b8a-86c3-b9d47cc69f15}" done="1">
    <x18tc:text xml:space="preserve">@scheduling@ipadjustinggroup.com
Assigned to scheduling@ipadjustinggroup.com</x18tc:text>
    <x18tc:mentions>
      <x18tc:mention mentionpersonId="{2c8ec519-d5db-42bb-a5e2-52abe8ff6abf}" mentionId="{6705051f-f7a0-4105-8288-f3750b366f93}" startIndex="0" length="32"/>
    </x18tc:mentions>
  </x18tc:threadedComment>
  <x18tc:threadedComment ref="P304" dT="2025-02-20T01:27:16.00" personId="{d5498dd3-4a64-46ce-9a8a-c831885a0249}" id="{11a46f84-56b5-43b4-b4b3-c6b4928d378b}" done="0">
    <x18tc:text xml:space="preserve">@scheduling@ipadjustinggroup.com
Assigned to scheduling@ipadjustinggroup.com</x18tc:text>
    <x18tc:mentions>
      <x18tc:mention mentionpersonId="{2c8ec519-d5db-42bb-a5e2-52abe8ff6abf}" mentionId="{00a51cff-f7ad-49cb-957d-9f43220964de}" startIndex="0" length="32"/>
    </x18tc:mentions>
  </x18tc:threadedComment>
  <x18tc:threadedComment ref="P317" dT="2025-02-20T01:34:43.00" personId="{d5498dd3-4a64-46ce-9a8a-c831885a0249}" id="{147bedf9-fb72-4e06-9dd1-2cc354c620fd}" done="1">
    <x18tc:text xml:space="preserve">02/28 insp</x18tc:text>
  </x18tc:threadedComment>
  <x18tc:threadedComment ref="P318" dT="2025-02-20T01:35:18.00" personId="{d5498dd3-4a64-46ce-9a8a-c831885a0249}" id="{501a24e1-cfd5-4ac4-b4ce-f36cafd38a7f}" done="1">
    <x18tc:text xml:space="preserve">@scheduling@ipadjustinggroup.com
Assigned to scheduling@ipadjustinggroup.com</x18tc:text>
    <x18tc:mentions>
      <x18tc:mention mentionpersonId="{2c8ec519-d5db-42bb-a5e2-52abe8ff6abf}" mentionId="{d91335f4-0f15-4b6e-bfef-eb6d450e19a7}" startIndex="0" length="32"/>
    </x18tc:mentions>
  </x18tc:threadedComment>
  <x18tc:threadedComment ref="P318" dT="2025-02-21T04:25:27.00" personId="{610be7ce-9288-4df9-9aac-427cc105bbe1}" id="{21ba4923-39f4-49ba-b20c-9abac3375594}" parentId="{501a24e1-cfd5-4ac4-b4ce-f36cafd38a7f}">
    <x18tc:text xml:space="preserve">Marked as done</x18tc:text>
  </x18tc:threadedComment>
  <x18tc:threadedComment ref="V318" dT="2025-02-24T15:49:45.00" personId="{d5498dd3-4a64-46ce-9a8a-c831885a0249}" id="{331220bb-ba6e-4cff-a225-c753a36d2e3b}" done="1">
    <x18tc:text xml:space="preserve">02/24 received an determination letter with an undisputted for 18k, DA is asking for our offer to settle, sent to I&amp;P (CM)</x18tc:text>
  </x18tc:threadedComment>
  <x18tc:threadedComment ref="M312" dT="2025-02-24T18:17:18.00" personId="{651ebe9d-f120-479c-8376-36973fff1cc1}" id="{18928104-ef57-4bd0-a54d-b71f38b9cbc2}" done="0">
    <x18tc:text xml:space="preserve">2/24 sent to DA</x18tc:text>
  </x18tc:threadedComment>
  <x18tc:threadedComment ref="N324" dT="2025-02-24T19:26:41.00" personId="{651ebe9d-f120-479c-8376-36973fff1cc1}" id="{258cee47-2077-4b15-ae41-5cdef31cd94a}" done="0">
    <x18tc:text xml:space="preserve">2/24 sent to josh</x18tc:text>
  </x18tc:threadedComment>
  <x18tc:threadedComment ref="N324" dT="2025-03-12T18:09:23.00" personId="{651ebe9d-f120-479c-8376-36973fff1cc1}" id="{032db91b-abf0-4b15-a2bf-a7598ab5a733}" parentId="{258cee47-2077-4b15-ae41-5cdef31cd94a}">
    <x18tc:text xml:space="preserve">3/12 Josh approved the estimate</x18tc:text>
  </x18tc:threadedComment>
  <x18tc:threadedComment ref="M228" dT="2025-02-24T20:25:54.00" personId="{651ebe9d-f120-479c-8376-36973fff1cc1}" id="{3c202b9d-21a9-4812-b7b8-a05716554755}" done="0">
    <x18tc:text xml:space="preserve">11/1/24 sent to DA</x18tc:text>
  </x18tc:threadedComment>
  <x18tc:threadedComment ref="V301" dT="2025-02-26T13:08:13.00" personId="{d5498dd3-4a64-46ce-9a8a-c831885a0249}" id="{c7840b9f-0ead-42cb-80a9-551dae3b6500}" done="1">
    <x18tc:text xml:space="preserve">02/26 DA sent a determination, claim is denied, sent to PAs and Jp, asked JP to send our estimate (CM)</x18tc:text>
  </x18tc:threadedComment>
  <x18tc:threadedComment ref="O272" dT="2025-02-26T20:22:13.00" personId="{651ebe9d-f120-479c-8376-36973fff1cc1}" id="{df14e3cf-3eed-401b-bc7f-8c2ab37e0304}" done="0">
    <x18tc:text xml:space="preserve">2/26 sent to client</x18tc:text>
  </x18tc:threadedComment>
  <x18tc:threadedComment ref="M314" dT="2025-02-26T20:28:07.00" personId="{651ebe9d-f120-479c-8376-36973fff1cc1}" id="{45f0d531-1730-402d-85e3-68553df45bd5}" done="0">
    <x18tc:text xml:space="preserve">2/26 sent to DA and client</x18tc:text>
  </x18tc:threadedComment>
  <x18tc:threadedComment ref="M311" dT="2025-02-26T20:38:58.00" personId="{651ebe9d-f120-479c-8376-36973fff1cc1}" id="{e1de2580-a6c8-4ffb-b5c2-c14392cadc4d}" done="0">
    <x18tc:text xml:space="preserve">2/26 sent to DA and client</x18tc:text>
  </x18tc:threadedComment>
  <x18tc:threadedComment ref="N325" dT="2025-02-28T17:51:28.00" personId="{651ebe9d-f120-479c-8376-36973fff1cc1}" id="{cf2dd116-9847-449d-9478-6a9cf91ce05a}" done="0">
    <x18tc:text xml:space="preserve">2/28 sent to ivan</x18tc:text>
  </x18tc:threadedComment>
  <x18tc:threadedComment ref="N325" dT="2025-03-13T16:13:04.00" personId="{651ebe9d-f120-479c-8376-36973fff1cc1}" id="{1812bed1-3e18-4d3c-bbd6-e3f227af3149}" parentId="{cf2dd116-9847-449d-9478-6a9cf91ce05a}">
    <x18tc:text xml:space="preserve">3/12 aprobado por ivan</x18tc:text>
  </x18tc:threadedComment>
  <x18tc:threadedComment ref="M315" dT="2025-02-28T18:09:07.00" personId="{651ebe9d-f120-479c-8376-36973fff1cc1}" id="{0d25fb88-6fd5-4d16-832c-a6c57b321d02}" done="0">
    <x18tc:text xml:space="preserve">2/28 sent to carrier</x18tc:text>
  </x18tc:threadedComment>
  <x18tc:threadedComment ref="N328" dT="2025-02-28T20:16:46.00" personId="{651ebe9d-f120-479c-8376-36973fff1cc1}" id="{b433ef16-7e17-44fd-8da5-e97e2b5e47b5}" done="0">
    <x18tc:text xml:space="preserve">2/28 sent to ivan</x18tc:text>
  </x18tc:threadedComment>
  <x18tc:threadedComment ref="N328" dT="2025-03-12T17:07:36.00" personId="{d5498dd3-4a64-46ce-9a8a-c831885a0249}" id="{36eca8cb-601c-4a0f-b928-9969a45a2009}" parentId="{b433ef16-7e17-44fd-8da5-e97e2b5e47b5}">
    <x18tc:text xml:space="preserve">3/12 Ivan aprueba</x18tc:text>
  </x18tc:threadedComment>
  <x18tc:threadedComment ref="N328" dT="2025-04-13T14:14:02.00" personId="{651ebe9d-f120-479c-8376-36973fff1cc1}" id="{367f2d32-86e2-4d28-b426-17a4297a60dc}" parentId="{b433ef16-7e17-44fd-8da5-e97e2b5e47b5}">
    <x18tc:text xml:space="preserve">4/13 envie un update a ivan</x18tc:text>
  </x18tc:threadedComment>
  <x18tc:threadedComment ref="N270" dT="2025-02-28T20:49:12.00" personId="{651ebe9d-f120-479c-8376-36973fff1cc1}" id="{e43e7ec4-dc82-4863-a4bc-f297a12c3a14}" done="0">
    <x18tc:text xml:space="preserve">2/28 sent to juan</x18tc:text>
  </x18tc:threadedComment>
  <x18tc:threadedComment ref="N270" dT="2025-03-12T18:08:33.00" personId="{651ebe9d-f120-479c-8376-36973fff1cc1}" id="{6f7aafc0-9d00-4589-b8f1-fce29dd67c9b}" parentId="{e43e7ec4-dc82-4863-a4bc-f297a12c3a14}">
    <x18tc:text xml:space="preserve">3/12 Juan apporved</x18tc:text>
  </x18tc:threadedComment>
  <x18tc:threadedComment ref="V236" dT="2025-02-03T23:55:11.00" personId="{d5498dd3-4a64-46ce-9a8a-c831885a0249}" id="{18124d9b-d3f9-4193-b916-9b3cee143c1f}" done="1">
    <x18tc:text xml:space="preserve">02/04 DA is asking the invoice for the roof replacement, sent to PA (CM)</x18tc:text>
  </x18tc:threadedComment>
  <x18tc:threadedComment ref="V267" dT="2025-02-04T23:52:19.00" personId="{d5498dd3-4a64-46ce-9a8a-c831885a0249}" id="{ee2770f4-7846-4e6f-a846-7c56a6a10618}" done="1">
    <x18tc:text xml:space="preserve">02/04 the DA has sent an updated IA and he is trying to negotiate, cc'd PAs (CM)</x18tc:text>
  </x18tc:threadedComment>
  <x18tc:threadedComment ref="V255" dT="2025-02-05T01:55:28.00" personId="{d5498dd3-4a64-46ce-9a8a-c831885a0249}" id="{8c078e2e-d39c-443c-a590-68228f78de72}" done="1">
    <x18tc:text xml:space="preserve">02/04 DA is asking the third parties invoices (CM)</x18tc:text>
  </x18tc:threadedComment>
  <x18tc:threadedComment ref="A308" dT="2025-02-04T02:06:12.00" personId="{d5498dd3-4a64-46ce-9a8a-c831885a0249}" id="{093663f2-b37f-4fb0-b8af-abfa2db9d5fb}" done="0">
    <x18tc:text xml:space="preserve">Peter</x18tc:text>
  </x18tc:threadedComment>
  <x18tc:threadedComment ref="A308" dT="2025-08-19T14:14:38.00" personId="{d5498dd3-4a64-46ce-9a8a-c831885a0249}" id="{143e4992-5797-441d-88ae-2b55c5482805}" parentId="{093663f2-b37f-4fb0-b8af-abfa2db9d5fb}">
    <x18tc:text xml:space="preserve">Ordinance or Law of $3,489.96 
Recoverable depreciation of $5,730.94</x18tc:text>
  </x18tc:threadedComment>
  <x18tc:threadedComment ref="A265" dT="2025-02-04T02:19:41.00" personId="{d5498dd3-4a64-46ce-9a8a-c831885a0249}" id="{5b6817b8-c45d-4cfe-a2cf-a57ad49f55fb}" done="1">
    <x18tc:text xml:space="preserve">Joshua</x18tc:text>
  </x18tc:threadedComment>
  <x18tc:threadedComment ref="V297" dT="2025-02-06T00:11:29.00" personId="{d5498dd3-4a64-46ce-9a8a-c831885a0249}" id="{81b1545e-e72e-4980-9b74-2ab15f568034}" done="1">
    <x18tc:text xml:space="preserve">02/05 DA says that it does not confirm the cause of failure to the appliance, he is requesting A list of damaged personal property, Repair estimate, Mitigation documents, including dry log and moisture readings (CM)</x18tc:text>
  </x18tc:threadedComment>
  <x18tc:threadedComment ref="V184" dT="2025-02-06T00:32:08.00" personId="{d5498dd3-4a64-46ce-9a8a-c831885a0249}" id="{52ac7286-3e15-4847-9ad6-f63ce42dafb1}" done="1">
    <x18tc:text xml:space="preserve">02/05 they remain on their position after reviewing our estimate, asked PAs how to proceed (CM)</x18tc:text>
  </x18tc:threadedComment>
  <x18tc:threadedComment ref="V257" dT="2025-02-05T22:33:47.00" personId="{d5498dd3-4a64-46ce-9a8a-c831885a0249}" id="{dc5b34ce-0ed7-4d09-a5b2-4969b0dd1f0d}" done="1">
    <x18tc:text xml:space="preserve">01/28 Followed up with DA, 20k offer (CM)
02/04 asked Peter how to move forward on this claim (CM)</x18tc:text>
  </x18tc:threadedComment>
  <x18tc:threadedComment ref="V296" dT="2025-02-06T00:00:40.00" personId="{d5498dd3-4a64-46ce-9a8a-c831885a0249}" id="{88ffab5f-e980-4a70-b91b-5d6147c83935}" done="1">
    <x18tc:text xml:space="preserve">02/05 Peter asked 50k on this claim (CM)</x18tc:text>
  </x18tc:threadedComment>
  <x18tc:threadedComment ref="V296" dT="2025-02-06T13:57:43.00" personId="{d5498dd3-4a64-46ce-9a8a-c831885a0249}" id="{aacb1ad1-563d-4da5-9ea2-57eecd338432}" parentId="{88ffab5f-e980-4a70-b91b-5d6147c83935}">
    <x18tc:text xml:space="preserve">02/06 DA is offering $39,765.55 new money (CM)</x18tc:text>
  </x18tc:threadedComment>
  <x18tc:threadedComment ref="V296" dT="2025-02-11T10:34:18.00" personId="{d5498dd3-4a64-46ce-9a8a-c831885a0249}" id="{54b0c6b9-f283-4c04-9760-4f5050c93d10}" parentId="{88ffab5f-e980-4a70-b91b-5d6147c83935}">
    <x18tc:text xml:space="preserve">02/11 asked 45k as per Iván request (CM)</x18tc:text>
  </x18tc:threadedComment>
  <x18tc:threadedComment ref="N315" dT="2025-02-06T13:42:22.00" personId="{651ebe9d-f120-479c-8376-36973fff1cc1}" id="{f77fdb43-b0c6-4a3d-a442-770663771902}" done="0">
    <x18tc:text xml:space="preserve">2/6/25 sent to Juan</x18tc:text>
  </x18tc:threadedComment>
  <x18tc:threadedComment ref="N315" dT="2025-02-28T17:53:05.00" personId="{651ebe9d-f120-479c-8376-36973fff1cc1}" id="{e3259e83-cdcf-401e-b2e5-5da070266137}" parentId="{f77fdb43-b0c6-4a3d-a442-770663771902}">
    <x18tc:text xml:space="preserve">2/27 aprobado por juan</x18tc:text>
  </x18tc:threadedComment>
  <x18tc:threadedComment ref="P311" dT="2025-02-06T15:16:58.00" personId="{d5498dd3-4a64-46ce-9a8a-c831885a0249}" id="{5a9922da-3a50-42f2-bb2d-844c65531e5f}" done="1">
    <x18tc:text xml:space="preserve">02/06</x18tc:text>
  </x18tc:threadedComment>
  <x18tc:threadedComment ref="N300" dT="2025-02-07T15:39:45.00" personId="{651ebe9d-f120-479c-8376-36973fff1cc1}" id="{c203f96d-adf5-4342-b4dd-d09b5a4f4e48}" done="0">
    <x18tc:text xml:space="preserve">2/7/25 sent to josh</x18tc:text>
  </x18tc:threadedComment>
  <x18tc:threadedComment ref="N300" dT="2025-02-07T15:43:56.00" personId="{651ebe9d-f120-479c-8376-36973fff1cc1}" id="{b26f033a-3a25-469d-b45b-32bcca566bd6}" parentId="{c203f96d-adf5-4342-b4dd-d09b5a4f4e48}">
    <x18tc:text xml:space="preserve">2/7 aprobado</x18tc:text>
  </x18tc:threadedComment>
  <x18tc:threadedComment ref="M300" dT="2025-02-07T15:49:17.00" personId="{651ebe9d-f120-479c-8376-36973fff1cc1}" id="{b4948bad-07f3-4071-b546-4f2c8f7c3e77}" done="0">
    <x18tc:text xml:space="preserve">2/7/25 sent to client and carrier (DA)</x18tc:text>
  </x18tc:threadedComment>
  <x18tc:threadedComment ref="N185" dT="2025-02-07T16:58:22.00" personId="{651ebe9d-f120-479c-8376-36973fff1cc1}" id="{796a461c-7f64-46e4-bba6-f6826ca8ad5a}" done="0">
    <x18tc:text xml:space="preserve">2/7/25 juan pidio actualizar estimado y agregar items del IA report, se envio el update</x18tc:text>
  </x18tc:threadedComment>
  <x18tc:threadedComment ref="V293" dT="2025-02-07T17:24:23.00" personId="{d5498dd3-4a64-46ce-9a8a-c831885a0249}" id="{bdf93815-6210-4255-ac18-f6cf4fefd75f}" done="1">
    <x18tc:text xml:space="preserve">02/07 received and unsdisputted for 6k, asked JP to review the IA and send our estimate (CM)</x18tc:text>
  </x18tc:threadedComment>
  <x18tc:threadedComment ref="Q304" dT="2025-02-07T17:52:03.00" personId="{d5498dd3-4a64-46ce-9a8a-c831885a0249}" id="{bf096c88-bf48-49d8-ac98-a703e4e08698}" done="1">
    <x18tc:text xml:space="preserve">02/07</x18tc:text>
  </x18tc:threadedComment>
  <x18tc:threadedComment ref="A225" dT="2025-02-12T21:30:56.00" personId="{d5498dd3-4a64-46ce-9a8a-c831885a0249}" id="{16f488d1-1ca4-4ce5-934a-5a3e694077a1}" done="1">
    <x18tc:text xml:space="preserve">we were paid for this @admin@ipadjustinggroup.com
Assigned to admin@ipadjustinggroup.com</x18tc:text>
    <x18tc:mentions>
      <x18tc:mention mentionpersonId="{1ffc25a2-3f83-4ed1-a701-edf0aba99522}" mentionId="{acc14aa8-fa7a-4b71-bead-b016c92b3df6}" startIndex="22" length="27"/>
    </x18tc:mentions>
  </x18tc:threadedComment>
  <x18tc:threadedComment ref="A262" dT="2025-02-08T22:02:17.00" personId="{d5498dd3-4a64-46ce-9a8a-c831885a0249}" id="{5f6075f4-6bea-4c82-aab7-826c191f27f7}" done="1">
    <x18tc:text xml:space="preserve">01/28 Joshua will send lor for debby to settle both claims</x18tc:text>
  </x18tc:threadedComment>
  <x18tc:threadedComment ref="V234" dT="2025-02-08T19:35:43.00" personId="{d5498dd3-4a64-46ce-9a8a-c831885a0249}" id="{1d12468b-05dd-4158-92a8-6fd6a339906d}" done="1">
    <x18tc:text xml:space="preserve">02/06 Day received a call from the DA she informed that she has sent a payment for $5490.33 (CM)</x18tc:text>
  </x18tc:threadedComment>
  <x18tc:threadedComment ref="A1" dT="2025-02-08T19:37:10.00" personId="{d5498dd3-4a64-46ce-9a8a-c831885a0249}" id="{cb3c406f-8c9c-4534-8821-e375265a21ce}" done="1">
    <x18tc:text xml:space="preserve">llamar por offer</x18tc:text>
  </x18tc:threadedComment>
  <x18tc:threadedComment ref="P312" dT="2025-02-11T23:42:52.00" personId="{d5498dd3-4a64-46ce-9a8a-c831885a0249}" id="{824da676-7340-4710-9a73-ea5d75309687}" done="1">
    <x18tc:text xml:space="preserve">02/11</x18tc:text>
  </x18tc:threadedComment>
  <x18tc:threadedComment ref="M341" dT="2025-03-24T15:19:02.00" personId="{651ebe9d-f120-479c-8376-36973fff1cc1}" id="{c6285e88-3e14-4b76-b31a-17571b21593c}" done="0">
    <x18tc:text xml:space="preserve">3/24 sent to carrier</x18tc:text>
  </x18tc:threadedComment>
  <x18tc:threadedComment ref="M306" dT="2025-03-24T15:32:35.00" personId="{651ebe9d-f120-479c-8376-36973fff1cc1}" id="{d2d7473b-526a-4f63-ae68-a2c5edfb1f4e}" done="0">
    <x18tc:text xml:space="preserve">3/24 sent to carrier</x18tc:text>
  </x18tc:threadedComment>
  <x18tc:threadedComment ref="M338" dT="2025-03-24T15:50:40.00" personId="{651ebe9d-f120-479c-8376-36973fff1cc1}" id="{508f4436-b7d9-4d44-adc2-ef9657a218e9}" done="0">
    <x18tc:text xml:space="preserve">3/24 sent to carrier</x18tc:text>
  </x18tc:threadedComment>
  <x18tc:threadedComment ref="M338" dT="2025-07-28T21:38:26.00" personId="{651ebe9d-f120-479c-8376-36973fff1cc1}" id="{72bfa834-d8e0-45da-b4ad-8b18895dde30}" parentId="{508f4436-b7d9-4d44-adc2-ef9657a218e9}">
    <x18tc:text xml:space="preserve">7/28 sent update to peter</x18tc:text>
  </x18tc:threadedComment>
  <x18tc:threadedComment ref="A305" dT="2025-03-24T16:31:13.00" personId="{d5498dd3-4a64-46ce-9a8a-c831885a0249}" id="{ea587c8b-8d11-4da0-ad3e-21c5b5bdf2eb}" done="1">
    <x18tc:text xml:space="preserve">@scheduling@ipadjustinggroup.com
Assigned to scheduling@ipadjustinggroup.com</x18tc:text>
    <x18tc:mentions>
      <x18tc:mention mentionpersonId="{2c8ec519-d5db-42bb-a5e2-52abe8ff6abf}" mentionId="{abbda25b-fef9-47ec-a9ee-fe94b3b0fb85}" startIndex="0" length="32"/>
    </x18tc:mentions>
  </x18tc:threadedComment>
  <x18tc:threadedComment ref="A314" dT="2025-03-24T16:31:40.00" personId="{d5498dd3-4a64-46ce-9a8a-c831885a0249}" id="{7c3d0503-9b9c-430b-af0b-4aaf3eda1369}" done="0">
    <x18tc:text xml:space="preserve">Juan</x18tc:text>
  </x18tc:threadedComment>
  <x18tc:threadedComment ref="A314" dT="2025-07-15T18:19:37.00" personId="{d5498dd3-4a64-46ce-9a8a-c831885a0249}" id="{eba9ff46-9c21-4e1b-a581-beeac27f0c3e}" parentId="{7c3d0503-9b9c-430b-af0b-4aaf3eda1369}">
    <x18tc:text xml:space="preserve">Less holdback until incurred (O&amp;L): $4,983.27</x18tc:text>
  </x18tc:threadedComment>
  <x18tc:threadedComment ref="Q299" dT="2025-02-13T14:45:29.00" personId="{d5498dd3-4a64-46ce-9a8a-c831885a0249}" id="{4e14572d-457b-4f2c-bd41-af5c6d81fce2}" done="1">
    <x18tc:text xml:space="preserve">02/13</x18tc:text>
  </x18tc:threadedComment>
  <x18tc:threadedComment ref="V237" dT="2025-02-14T21:21:37.00" personId="{d5498dd3-4a64-46ce-9a8a-c831885a0249}" id="{ff67726a-1f92-4b34-82ea-7cc508efa6fc}" done="1">
    <x18tc:text xml:space="preserve">02/14 Opposing Appraiser informs that he is trying to contact Peter, informed that he is out of the country (CM)</x18tc:text>
  </x18tc:threadedComment>
  <x18tc:threadedComment ref="Q324" dT="2025-03-10T15:14:02.00" personId="{d5498dd3-4a64-46ce-9a8a-c831885a0249}" id="{cc387b37-bc1f-4133-b522-cce82ff13690}" done="1">
    <x18tc:text xml:space="preserve">03/10</x18tc:text>
  </x18tc:threadedComment>
  <x18tc:threadedComment ref="V235" dT="2025-03-10T15:33:30.00" personId="{d5498dd3-4a64-46ce-9a8a-c831885a0249}" id="{df4fbd04-2a97-457a-91e1-139fd721f309}" done="1">
    <x18tc:text xml:space="preserve">03/10 followed up on the 50k counteroffer that Peter did (CM)</x18tc:text>
  </x18tc:threadedComment>
  <x18tc:threadedComment ref="V244" dT="2025-03-10T15:42:17.00" personId="{d5498dd3-4a64-46ce-9a8a-c831885a0249}" id="{6a08518c-9d20-4c39-a92e-3c22f08e2bb3}" done="1">
    <x18tc:text xml:space="preserve">03/10 followed up on the 30K countefoffer Peter did (CM)</x18tc:text>
  </x18tc:threadedComment>
  <x18tc:threadedComment ref="V250" dT="2025-03-10T15:53:37.00" personId="{d5498dd3-4a64-46ce-9a8a-c831885a0249}" id="{f112cdad-f0b3-4201-8fac-299efdcf111c}" done="1">
    <x18tc:text xml:space="preserve">03/05 sent the offer to the new da, or asked to move with the appraisal, signed as Peter (CM)</x18tc:text>
  </x18tc:threadedComment>
  <x18tc:threadedComment ref="V271" dT="2025-03-10T15:57:37.00" personId="{d5498dd3-4a64-46ce-9a8a-c831885a0249}" id="{e8cf36c1-79d0-427f-9f70-98ae506dc488}" done="1">
    <x18tc:text xml:space="preserve">03/07 received the appraisal award, asked Peter if he approves it (CM)</x18tc:text>
  </x18tc:threadedComment>
  <x18tc:threadedComment ref="V214" dT="2025-03-10T16:15:35.00" personId="{d5498dd3-4a64-46ce-9a8a-c831885a0249}" id="{9a0c2892-1ce4-4020-8a77-0a9524cf980a}" done="1">
    <x18tc:text xml:space="preserve">03/10 Followed up with PAs via ws on this claim as we were supposed to received a settlement release but JP sent an updated estimate on 03/04 (CM)</x18tc:text>
  </x18tc:threadedComment>
  <x18tc:threadedComment ref="V241" dT="2025-03-10T16:20:08.00" personId="{d5498dd3-4a64-46ce-9a8a-c831885a0249}" id="{a5d6b016-f1c4-4183-9631-92866d41b6a5}" done="1">
    <x18tc:text xml:space="preserve">03/10 followed up on the breakdown that Iván sent, and asked if they agreed on it (CM)</x18tc:text>
  </x18tc:threadedComment>
  <x18tc:threadedComment ref="V254" dT="2025-03-10T16:20:34.00" personId="{d5498dd3-4a64-46ce-9a8a-c831885a0249}" id="{3e3d0b6c-20ed-4019-879a-962fddbb2264}" done="1">
    <x18tc:text xml:space="preserve">02/28 Iván informed me that Peter got to an agreement on the mediation for 45k, expect a release (CM)</x18tc:text>
  </x18tc:threadedComment>
  <x18tc:threadedComment ref="V280" dT="2025-03-10T17:33:59.00" personId="{d5498dd3-4a64-46ce-9a8a-c831885a0249}" id="{87210313-f59b-473b-97cf-4c1ed42033cb}" done="1">
    <x18tc:text xml:space="preserve">03/07 the mediation resulted in an impasse as per mediator (CM)</x18tc:text>
  </x18tc:threadedComment>
  <x18tc:threadedComment ref="V280" dT="2025-03-11T23:22:30.00" personId="{d5498dd3-4a64-46ce-9a8a-c831885a0249}" id="{ab6f88c9-aad8-4421-ba89-f3baaa39c9f4}" parentId="{87210313-f59b-473b-97cf-4c1ed42033cb}">
    <x18tc:text xml:space="preserve">03/11 DA is asking if a contractor has been obtained for the repairs, sent to PAs (CM)</x18tc:text>
  </x18tc:threadedComment>
  <x18tc:threadedComment ref="V323" dT="2025-03-10T18:08:08.00" personId="{d5498dd3-4a64-46ce-9a8a-c831885a0249}" id="{df19336b-d27d-48f4-b53a-be74d57daafd}" done="0">
    <x18tc:text xml:space="preserve">03/10 Client says he doesn't want to continue with the claim, informed that Peter will return on 02/18 (CM)</x18tc:text>
  </x18tc:threadedComment>
  <x18tc:threadedComment ref="P331" dT="2025-03-11T16:52:31.00" personId="{d5498dd3-4a64-46ce-9a8a-c831885a0249}" id="{5d034103-27a4-4373-8012-894cf55ffd63}" done="1">
    <x18tc:text xml:space="preserve">insp. will be 03/17</x18tc:text>
  </x18tc:threadedComment>
  <x18tc:threadedComment ref="M326" dT="2025-03-13T15:38:14.00" personId="{651ebe9d-f120-479c-8376-36973fff1cc1}" id="{78f726e9-f2ae-4693-9275-76daa241da44}" done="0">
    <x18tc:text xml:space="preserve">3/13 sent to DA</x18tc:text>
  </x18tc:threadedComment>
  <x18tc:threadedComment ref="Q313" dT="2025-03-13T15:41:08.00" personId="{d5498dd3-4a64-46ce-9a8a-c831885a0249}" id="{17567063-2dd9-4d32-ae71-0c24da410864}" done="1">
    <x18tc:text xml:space="preserve">03/13</x18tc:text>
  </x18tc:threadedComment>
  <x18tc:threadedComment ref="M335" dT="2025-03-13T16:20:50.00" personId="{651ebe9d-f120-479c-8376-36973fff1cc1}" id="{51308d04-766b-4505-9a58-69172fbc2acf}" done="0">
    <x18tc:text xml:space="preserve">3/13 sent to DA</x18tc:text>
  </x18tc:threadedComment>
  <x18tc:threadedComment ref="O326" dT="2025-03-13T15:57:24.00" personId="{651ebe9d-f120-479c-8376-36973fff1cc1}" id="{cf0e7b9d-d138-4021-b211-6d36f70048a5}" done="0">
    <x18tc:text xml:space="preserve">3/13 sent to client</x18tc:text>
  </x18tc:threadedComment>
  <x18tc:threadedComment ref="S211" dT="2025-03-13T17:38:25.00" personId="{d5498dd3-4a64-46ce-9a8a-c831885a0249}" id="{3184e253-28fb-479b-aff9-b0a664c50c9b}" done="1">
    <x18tc:text xml:space="preserve">@scheduling@ipadjustinggroup.com pilas Day
Assigned to scheduling@ipadjustinggroup.com</x18tc:text>
    <x18tc:mentions>
      <x18tc:mention mentionpersonId="{2c8ec519-d5db-42bb-a5e2-52abe8ff6abf}" mentionId="{e5bbb8fa-ac00-4e22-bba4-7ca9ea832e3a}" startIndex="0" length="32"/>
    </x18tc:mentions>
  </x18tc:threadedComment>
  <x18tc:threadedComment ref="S211" dT="2025-03-14T16:30:47.00" personId="{610be7ce-9288-4df9-9aac-427cc105bbe1}" id="{c952b7fc-4d57-440d-8f20-2ea202717ad1}" parentId="{3184e253-28fb-479b-aff9-b0a664c50c9b}">
    <x18tc:text xml:space="preserve">Marked as done</x18tc:text>
  </x18tc:threadedComment>
  <x18tc:threadedComment ref="S211" dT="2025-03-14T16:31:16.00" personId="{610be7ce-9288-4df9-9aac-427cc105bbe1}" id="{cbc30f53-57ea-4067-86b5-030fa65d5152}" parentId="{3184e253-28fb-479b-aff9-b0a664c50c9b}">
    <x18tc:text xml:space="preserve">YEAP, organizing the umpire appraisal
Re-opened</x18tc:text>
  </x18tc:threadedComment>
  <x18tc:threadedComment ref="N338" dT="2025-03-13T17:58:00.00" personId="{651ebe9d-f120-479c-8376-36973fff1cc1}" id="{937dd9f9-0048-4ed2-85ed-05887660fffe}" done="0">
    <x18tc:text xml:space="preserve">3/13 sent to juan</x18tc:text>
  </x18tc:threadedComment>
  <x18tc:threadedComment ref="N338" dT="2025-03-14T16:12:29.00" personId="{d5498dd3-4a64-46ce-9a8a-c831885a0249}" id="{caf15510-027e-482a-be84-3c7df4fa5092}" parentId="{937dd9f9-0048-4ed2-85ed-05887660fffe}">
    <x18tc:text xml:space="preserve">3/14 aprobado por juan</x18tc:text>
  </x18tc:threadedComment>
  <x18tc:threadedComment ref="N337" dT="2025-03-13T19:18:01.00" personId="{651ebe9d-f120-479c-8376-36973fff1cc1}" id="{4d6ebdcc-ad6f-448b-97c5-97e36a9a0ef5}" done="0">
    <x18tc:text xml:space="preserve">3/13 sent to juan</x18tc:text>
  </x18tc:threadedComment>
  <x18tc:threadedComment ref="N337" dT="2025-06-20T16:17:40.00" personId="{651ebe9d-f120-479c-8376-36973fff1cc1}" id="{69420ad8-628d-4aac-be2b-41c5d82d9188}" parentId="{4d6ebdcc-ad6f-448b-97c5-97e36a9a0ef5}">
    <x18tc:text xml:space="preserve">6/20 asked juan to review again</x18tc:text>
  </x18tc:threadedComment>
  <x18tc:threadedComment ref="N337" dT="2025-11-22T16:57:58.00" personId="{651ebe9d-f120-479c-8376-36973fff1cc1}" id="{5d4fc525-b2ae-4f3b-aa91-6cc35fde1ae3}" parentId="{4d6ebdcc-ad6f-448b-97c5-97e36a9a0ef5}">
    <x18tc:text xml:space="preserve">11/22 aprobado y enviado Carito para enviar al DA</x18tc:text>
  </x18tc:threadedComment>
  <x18tc:threadedComment ref="N339" dT="2025-03-13T21:03:20.00" personId="{651ebe9d-f120-479c-8376-36973fff1cc1}" id="{0ba4286c-a277-41b6-8a51-641011c66c6e}" done="0">
    <x18tc:text xml:space="preserve">3/13 sent to ivan</x18tc:text>
  </x18tc:threadedComment>
  <x18tc:threadedComment ref="N339" dT="2025-03-19T16:15:13.00" personId="{651ebe9d-f120-479c-8376-36973fff1cc1}" id="{35902145-89cc-45e5-81d1-1db72e021eac}" parentId="{0ba4286c-a277-41b6-8a51-641011c66c6e}">
    <x18tc:text xml:space="preserve">3/19 aprobado por ivan</x18tc:text>
  </x18tc:threadedComment>
  <x18tc:threadedComment ref="N288" dT="2025-03-13T21:28:06.00" personId="{651ebe9d-f120-479c-8376-36973fff1cc1}" id="{f1dc3348-8dbb-4634-89d1-285503f6a64a}" done="0">
    <x18tc:text xml:space="preserve">3/13 sent to juan</x18tc:text>
  </x18tc:threadedComment>
  <x18tc:threadedComment ref="N288" dT="2025-03-25T20:45:33.00" personId="{651ebe9d-f120-479c-8376-36973fff1cc1}" id="{720b5948-177a-4914-9f96-f4ee51b7923c}" parentId="{f1dc3348-8dbb-4634-89d1-285503f6a64a}">
    <x18tc:text xml:space="preserve">3/25 aprobado, faltan las fotos @admin@ipadjustinggroup.com</x18tc:text>
    <x18tc:mentions>
      <x18tc:mention mentionpersonId="{1ffc25a2-3f83-4ed1-a701-edf0aba99522}" mentionId="{ace1a3dc-a2c2-4413-98fc-f2438a6b4e2a}" startIndex="32" length="27"/>
    </x18tc:mentions>
  </x18tc:threadedComment>
  <x18tc:threadedComment ref="N317" dT="2025-03-14T16:46:18.00" personId="{651ebe9d-f120-479c-8376-36973fff1cc1}" id="{633c004d-a72d-4df2-9703-9b658eecf39c}" done="0">
    <x18tc:text xml:space="preserve">3/14 sent to josh</x18tc:text>
  </x18tc:threadedComment>
  <x18tc:threadedComment ref="N317" dT="2025-03-31T20:35:37.00" personId="{651ebe9d-f120-479c-8376-36973fff1cc1}" id="{0e00c792-4b3b-4714-9d77-4e0fbcf6c836}" parentId="{633c004d-a72d-4df2-9703-9b658eecf39c}">
    <x18tc:text xml:space="preserve">3/26 aprobado</x18tc:text>
  </x18tc:threadedComment>
  <x18tc:threadedComment ref="Q314" dT="2025-02-17T15:49:01.00" personId="{d5498dd3-4a64-46ce-9a8a-c831885a0249}" id="{3c6fd55b-f944-46ac-ab7e-df7a869140b1}" done="1">
    <x18tc:text xml:space="preserve">02/17</x18tc:text>
  </x18tc:threadedComment>
  <x18tc:threadedComment ref="V322" dT="2025-02-17T12:42:00.00" personId="{d5498dd3-4a64-46ce-9a8a-c831885a0249}" id="{424e829f-6654-4df2-9deb-fccafab1039b}" done="1">
    <x18tc:text xml:space="preserve">02/13 DA called to inform me about the corrections that we need to do on the LOR, he won't continue with the claim until we modify what he has requested, sent to PAs (CM)</x18tc:text>
  </x18tc:threadedComment>
  <x18tc:threadedComment ref="A263" dT="2025-02-17T13:19:15.00" personId="{d5498dd3-4a64-46ce-9a8a-c831885a0249}" id="{1188f71c-c5ac-4e7e-9b38-12309a3ae236}" done="0">
    <x18tc:text xml:space="preserve">Wilber</x18tc:text>
  </x18tc:threadedComment>
  <x18tc:threadedComment ref="P166" dT="2025-02-19T15:49:13.00" personId="{d5498dd3-4a64-46ce-9a8a-c831885a0249}" id="{89f436ba-6609-4727-9f41-5743e4cbc317}" done="1">
    <x18tc:text xml:space="preserve">@scheduling@ipadjustinggroup.com
Assigned to scheduling@ipadjustinggroup.com</x18tc:text>
    <x18tc:mentions>
      <x18tc:mention mentionpersonId="{2c8ec519-d5db-42bb-a5e2-52abe8ff6abf}" mentionId="{d6ad9a1c-e066-4549-b8e9-49a81c2913e4}" startIndex="0" length="32"/>
    </x18tc:mentions>
  </x18tc:threadedComment>
  <x18tc:threadedComment ref="P166" dT="2025-02-21T04:21:24.00" personId="{610be7ce-9288-4df9-9aac-427cc105bbe1}" id="{797c236b-5f90-4686-8a86-15d7064b0028}" parentId="{89f436ba-6609-4727-9f41-5743e4cbc317}">
    <x18tc:text xml:space="preserve">Marked as done</x18tc:text>
  </x18tc:threadedComment>
  <x18tc:threadedComment ref="N311" dT="2025-02-19T16:06:32.00" personId="{651ebe9d-f120-479c-8376-36973fff1cc1}" id="{7d912654-85fe-4bd1-bd56-a7086db91364}" done="0">
    <x18tc:text xml:space="preserve">2/19/25 sent to ivan</x18tc:text>
  </x18tc:threadedComment>
  <x18tc:threadedComment ref="N311" dT="2025-02-26T20:34:36.00" personId="{651ebe9d-f120-479c-8376-36973fff1cc1}" id="{3e220809-e14c-4d1a-a609-133f48f405ce}" parentId="{7d912654-85fe-4bd1-bd56-a7086db91364}">
    <x18tc:text xml:space="preserve">2/26 Ivan approved</x18tc:text>
  </x18tc:threadedComment>
  <x18tc:threadedComment ref="A1" dT="2025-04-11T15:29:09.00" personId="{d5498dd3-4a64-46ce-9a8a-c831885a0249}" id="{8e09c9b2-ac7a-4651-9642-5ddce043ec70}" done="1">
    <x18tc:text xml:space="preserve">FOLLOW UP CON DAY</x18tc:text>
  </x18tc:threadedComment>
  <x18tc:threadedComment ref="N321" dT="2025-02-20T12:17:12.00" personId="{651ebe9d-f120-479c-8376-36973fff1cc1}" id="{1c1f894d-57e2-4ca6-b936-d768fdf59a3d}" done="0">
    <x18tc:text xml:space="preserve">2/20 sent to ivan</x18tc:text>
  </x18tc:threadedComment>
  <x18tc:threadedComment ref="N321" dT="2025-02-27T15:03:37.00" personId="{651ebe9d-f120-479c-8376-36973fff1cc1}" id="{26baaaed-f028-409f-ac95-30ccf5b22af8}" parentId="{1c1f894d-57e2-4ca6-b936-d768fdf59a3d}">
    <x18tc:text xml:space="preserve">2/26 ivan approved</x18tc:text>
  </x18tc:threadedComment>
  <x18tc:threadedComment ref="N321" dT="2025-03-20T22:09:02.00" personId="{651ebe9d-f120-479c-8376-36973fff1cc1}" id="{e77edd04-1740-40bf-8006-75103a2ced85}" parentId="{1c1f894d-57e2-4ca6-b936-d768fdf59a3d}">
    <x18tc:text xml:space="preserve">3/20 con el ia report se hizo una actualizacion del estimado</x18tc:text>
  </x18tc:threadedComment>
  <x18tc:threadedComment ref="M316" dT="2025-02-20T12:27:44.00" personId="{651ebe9d-f120-479c-8376-36973fff1cc1}" id="{aec47c20-f029-4ffb-bf13-749675e4c7a5}" done="0">
    <x18tc:text xml:space="preserve">2/20 sent to DA and client</x18tc:text>
  </x18tc:threadedComment>
  <x18tc:threadedComment ref="M316" dT="2025-04-12T15:26:18.00" personId="{651ebe9d-f120-479c-8376-36973fff1cc1}" id="{2e2df0c4-3893-46b2-9318-4f7ffaeff766}" parentId="{aec47c20-f029-4ffb-bf13-749675e4c7a5}">
    <x18tc:text xml:space="preserve">4/12 josh pidio actualizar el estimado, esperando q apruebe para enviar al DA. Robert robles @admin@ipadjustinggroup.com</x18tc:text>
    <x18tc:mentions>
      <x18tc:mention mentionpersonId="{1ffc25a2-3f83-4ed1-a701-edf0aba99522}" mentionId="{285421a2-9255-400a-a472-59c453159865}" startIndex="93" length="27"/>
    </x18tc:mentions>
  </x18tc:threadedComment>
  <x18tc:threadedComment ref="M316" dT="2025-04-18T14:58:42.00" personId="{651ebe9d-f120-479c-8376-36973fff1cc1}" id="{6eb46363-3d25-4d3f-ab1f-d6ffdc481f08}" parentId="{aec47c20-f029-4ffb-bf13-749675e4c7a5}">
    <x18tc:text xml:space="preserve">4/17 Carito enviado el update a la DA @admin@ipadjustinggroup.com</x18tc:text>
    <x18tc:mentions>
      <x18tc:mention mentionpersonId="{1ffc25a2-3f83-4ed1-a701-edf0aba99522}" mentionId="{f03c4ba9-ae33-43ff-af9a-49f29c4f200e}" startIndex="38" length="27"/>
    </x18tc:mentions>
  </x18tc:threadedComment>
  <x18tc:threadedComment ref="N323" dT="2025-02-25T21:34:39.00" personId="{651ebe9d-f120-479c-8376-36973fff1cc1}" id="{d2749892-c058-4677-97bb-ed9c8c918d1f}" done="0">
    <x18tc:text xml:space="preserve">2/25 sent to josh</x18tc:text>
  </x18tc:threadedComment>
  <x18tc:threadedComment ref="O298" dT="2025-02-25T21:52:06.00" personId="{651ebe9d-f120-479c-8376-36973fff1cc1}" id="{746fbc01-20cb-47fb-b944-0c60e4a76a58}" done="1">
    <x18tc:text xml:space="preserve">2/25 sent to client to sign</x18tc:text>
  </x18tc:threadedComment>
  <x18tc:threadedComment ref="N150" dT="2025-03-03T17:51:35.00" personId="{651ebe9d-f120-479c-8376-36973fff1cc1}" id="{2fd51c23-e9c5-469d-9db2-30cfc9e00af8}" done="0">
    <x18tc:text xml:space="preserve">3/3 peter pidio hacer update</x18tc:text>
  </x18tc:threadedComment>
  <x18tc:threadedComment ref="N305" dT="2025-03-03T20:56:18.00" personId="{651ebe9d-f120-479c-8376-36973fff1cc1}" id="{12ae92f7-b6d5-41c7-a57c-bc065599294f}" done="0">
    <x18tc:text xml:space="preserve">3/3 sent to josh</x18tc:text>
  </x18tc:threadedComment>
  <x18tc:threadedComment ref="N305" dT="2025-03-04T22:03:23.00" personId="{651ebe9d-f120-479c-8376-36973fff1cc1}" id="{77dddaca-8334-4956-9cdb-9f5013fb4ca0}" parentId="{12ae92f7-b6d5-41c7-a57c-bc065599294f}">
    <x18tc:text xml:space="preserve">3/4 aprobado</x18tc:text>
  </x18tc:threadedComment>
  <x18tc:threadedComment ref="V260" dT="2025-03-03T20:57:34.00" personId="{d5498dd3-4a64-46ce-9a8a-c831885a0249}" id="{e9c53e38-afae-4c8b-92a2-ce69a73d5bac}" done="1">
    <x18tc:text xml:space="preserve">03/03 DA is requesting information about the property, Day sent to David F. (CM)</x18tc:text>
  </x18tc:threadedComment>
  <x18tc:threadedComment ref="V259" dT="2025-03-03T20:59:06.00" personId="{d5498dd3-4a64-46ce-9a8a-c831885a0249}" id="{af82df37-0eed-478a-a31a-3d965cc9579e}" done="1">
    <x18tc:text xml:space="preserve">03/03 DA is requesting information about the property, Day sent to David F. (CM)</x18tc:text>
  </x18tc:threadedComment>
  <x18tc:threadedComment ref="V259" dT="2025-03-06T16:38:00.00" personId="{d5498dd3-4a64-46ce-9a8a-c831885a0249}" id="{62c90de2-9442-412c-9515-e00cc8e82238}" parentId="{af82df37-0eed-478a-a31a-3d965cc9579e}">
    <x18tc:text xml:space="preserve">03/06 carrier informs that that Underwriters are not obligated to proceed with DFS mediation; however, they are willing to enter into a voluntary mediation outside of the DFS process, informed PAS (CM)</x18tc:text>
  </x18tc:threadedComment>
  <x18tc:threadedComment ref="A1" dT="2025-03-04T17:30:04.00" personId="{651ebe9d-f120-479c-8376-36973fff1cc1}" id="{5185d23d-b119-4d60-a1d2-735aa1ae907f}" done="0">
    <x18tc:text xml:space="preserve">3/4 sent to juan</x18tc:text>
  </x18tc:threadedComment>
  <x18tc:threadedComment ref="N333" dT="2025-03-04T17:53:49.00" personId="{651ebe9d-f120-479c-8376-36973fff1cc1}" id="{4c53844b-d650-466e-a737-4cd72fbe0f62}" done="0">
    <x18tc:text xml:space="preserve">3/4 sent to josh</x18tc:text>
  </x18tc:threadedComment>
  <x18tc:threadedComment ref="N333" dT="2025-03-31T20:18:45.00" personId="{651ebe9d-f120-479c-8376-36973fff1cc1}" id="{66d43c76-6bab-4874-95d6-e729024fdf4e}" parentId="{4c53844b-d650-466e-a737-4cd72fbe0f62}">
    <x18tc:text xml:space="preserve">3/26 aprobado</x18tc:text>
  </x18tc:threadedComment>
  <x18tc:threadedComment ref="M305" dT="2025-03-04T22:10:26.00" personId="{651ebe9d-f120-479c-8376-36973fff1cc1}" id="{ca4654aa-eaf3-45a2-b926-9b9ca9f0e2bb}" done="0">
    <x18tc:text xml:space="preserve">3/4 sent to DA</x18tc:text>
  </x18tc:threadedComment>
  <x18tc:threadedComment ref="O302" dT="2025-03-04T22:26:45.00" personId="{651ebe9d-f120-479c-8376-36973fff1cc1}" id="{eb9388c3-8c37-47f4-885d-3280810533e6}" done="0">
    <x18tc:text xml:space="preserve">3/4 sent to client to sign</x18tc:text>
  </x18tc:threadedComment>
  <x18tc:threadedComment ref="O286" dT="2025-03-04T22:33:59.00" personId="{651ebe9d-f120-479c-8376-36973fff1cc1}" id="{09aff18a-be97-4f64-9632-8c759b6e6d2c}" done="1">
    <x18tc:text xml:space="preserve">3/4 sent to client to sign</x18tc:text>
  </x18tc:threadedComment>
  <x18tc:threadedComment ref="O284" dT="2025-03-04T22:40:35.00" personId="{651ebe9d-f120-479c-8376-36973fff1cc1}" id="{03a6bc18-5bc3-4b9a-8f0c-26e1bea1bce7}" done="0">
    <x18tc:text xml:space="preserve">3/4 sent to client to sign</x18tc:text>
  </x18tc:threadedComment>
  <x18tc:threadedComment ref="N327" dT="2025-03-06T17:14:45.00" personId="{d5498dd3-4a64-46ce-9a8a-c831885a0249}" id="{2a0f6fec-0dca-4323-ae4c-857691a5626d}" done="0">
    <x18tc:text xml:space="preserve">3/6 sent to Ivan</x18tc:text>
  </x18tc:threadedComment>
  <x18tc:threadedComment ref="N327" dT="2025-03-12T20:57:44.00" personId="{651ebe9d-f120-479c-8376-36973fff1cc1}" id="{67679856-5a1e-49ba-afa3-cb40a118551a}" parentId="{2a0f6fec-0dca-4323-ae4c-857691a5626d}">
    <x18tc:text xml:space="preserve">3/12 Ivan aprueba</x18tc:text>
  </x18tc:threadedComment>
  <x18tc:threadedComment ref="N330" dT="2025-03-06T14:20:43.00" personId="{d5498dd3-4a64-46ce-9a8a-c831885a0249}" id="{acbaa134-c342-4346-ba8d-2fbeef05b9a6}" done="0">
    <x18tc:text xml:space="preserve">3/6 sent to josh</x18tc:text>
  </x18tc:threadedComment>
  <x18tc:threadedComment ref="N330" dT="2025-03-14T16:18:22.00" personId="{651ebe9d-f120-479c-8376-36973fff1cc1}" id="{c1ab01c5-60fa-4a43-a222-fc7098f57742}" parentId="{acbaa134-c342-4346-ba8d-2fbeef05b9a6}">
    <x18tc:text xml:space="preserve">3/14 aprobado por josh</x18tc:text>
  </x18tc:threadedComment>
  <x18tc:threadedComment ref="V261" dT="2025-03-06T16:38:06.00" personId="{d5498dd3-4a64-46ce-9a8a-c831885a0249}" id="{4ca87f49-907d-425d-b0b8-34ad57537c63}" done="1">
    <x18tc:text xml:space="preserve">03/06 carrier informs that that Underwriters are not obligated to proceed with DFS mediation; however, they are willing to enter into a voluntary mediation outside of the DFS process, informed PAS (CM)</x18tc:text>
  </x18tc:threadedComment>
  <x18tc:threadedComment ref="A1" dT="2025-03-06T16:38:17.00" personId="{d5498dd3-4a64-46ce-9a8a-c831885a0249}" id="{dfbf82e4-f142-46e4-93b4-bdd6b5b9e5de}" done="0">
    <x18tc:text xml:space="preserve">03/06 carrier informs that that Underwriters are not obligated to proceed with DFS mediation; however, they are willing to enter into a voluntary mediation outside of the DFS process, informed PAS (CM)</x18tc:text>
  </x18tc:threadedComment>
  <x18tc:threadedComment ref="Q331" dT="2025-03-06T22:22:50.00" personId="{d5498dd3-4a64-46ce-9a8a-c831885a0249}" id="{2a6c1583-12aa-4445-998f-236e2b76909b}" done="1">
    <x18tc:text xml:space="preserve">03/06</x18tc:text>
  </x18tc:threadedComment>
  <x18tc:threadedComment ref="Q332" dT="2025-03-06T22:23:01.00" personId="{d5498dd3-4a64-46ce-9a8a-c831885a0249}" id="{7757e26c-e223-4613-afdd-73ac23184ab0}" done="1">
    <x18tc:text xml:space="preserve">03/06</x18tc:text>
  </x18tc:threadedComment>
  <x18tc:threadedComment ref="Q333" dT="2025-03-06T22:23:07.00" personId="{d5498dd3-4a64-46ce-9a8a-c831885a0249}" id="{a4d40398-241a-493f-ae2f-a5de6da962cb}" done="1">
    <x18tc:text xml:space="preserve">03/06</x18tc:text>
  </x18tc:threadedComment>
  <x18tc:threadedComment ref="Q334" dT="2025-03-06T22:23:14.00" personId="{d5498dd3-4a64-46ce-9a8a-c831885a0249}" id="{4a0618e3-3498-4603-a56c-060fab2d3c51}" done="1">
    <x18tc:text xml:space="preserve">03/06</x18tc:text>
  </x18tc:threadedComment>
  <x18tc:threadedComment ref="A108" dT="2025-03-12T15:00:11.00" personId="{d5498dd3-4a64-46ce-9a8a-c831885a0249}" id="{a2af9120-6229-40b6-b517-ac5767c7fa99}" done="1">
    <x18tc:text xml:space="preserve">@scheduling@ipadjustinggroup.com requested mediation (CM)
Assigned to scheduling@ipadjustinggroup.com</x18tc:text>
    <x18tc:mentions>
      <x18tc:mention mentionpersonId="{2c8ec519-d5db-42bb-a5e2-52abe8ff6abf}" mentionId="{a4aef3ab-216d-403e-94d9-3d1aa73f83f4}" startIndex="0" length="32"/>
    </x18tc:mentions>
  </x18tc:threadedComment>
  <x18tc:threadedComment ref="A310" dT="2025-03-12T16:40:23.00" personId="{d5498dd3-4a64-46ce-9a8a-c831885a0249}" id="{1d9f88ce-54ca-440d-b17c-78b7c7ef0ace}" done="0">
    <x18tc:text xml:space="preserve">Joshua</x18tc:text>
  </x18tc:threadedComment>
  <x18tc:threadedComment ref="A310" dT="2025-08-18T15:11:13.00" personId="{d5498dd3-4a64-46ce-9a8a-c831885a0249}" id="{628ba526-f5f5-4c59-863a-61fd036c137a}" parentId="{1d9f88ce-54ca-440d-b17c-78b7c7ef0ace}">
    <x18tc:text xml:space="preserve">Ordinance &amp; Law: $2,603.85</x18tc:text>
  </x18tc:threadedComment>
  <x18tc:threadedComment ref="N326" dT="2025-03-12T16:42:08.00" personId="{d5498dd3-4a64-46ce-9a8a-c831885a0249}" id="{87c35645-82a0-4b0e-bd7c-481c991e990f}" done="0">
    <x18tc:text xml:space="preserve">3/12 sent to Chris</x18tc:text>
  </x18tc:threadedComment>
  <x18tc:threadedComment ref="N326" dT="2025-03-13T15:32:44.00" personId="{651ebe9d-f120-479c-8376-36973fff1cc1}" id="{48b07711-28e5-4d68-8782-53cdb7aef652}" parentId="{87c35645-82a0-4b0e-bd7c-481c991e990f}">
    <x18tc:text xml:space="preserve">3/13 aprobado por cris</x18tc:text>
  </x18tc:threadedComment>
  <x18tc:threadedComment ref="M310" dT="2025-03-12T16:52:55.00" personId="{d5498dd3-4a64-46ce-9a8a-c831885a0249}" id="{282ee0d8-2859-4783-a851-5f0f7d796c0e}" done="0">
    <x18tc:text xml:space="preserve">3/12 sent to carrier</x18tc:text>
  </x18tc:threadedComment>
  <x18tc:threadedComment ref="M301" dT="2025-03-12T17:22:21.00" personId="{d5498dd3-4a64-46ce-9a8a-c831885a0249}" id="{9219696f-7dc8-4eff-b182-652f4d3f2448}" done="0">
    <x18tc:text xml:space="preserve">3/12 sent to DA</x18tc:text>
  </x18tc:threadedComment>
  <x18tc:threadedComment ref="M324" dT="2025-03-12T18:15:29.00" personId="{651ebe9d-f120-479c-8376-36973fff1cc1}" id="{b0bd3c38-cda5-4183-ab12-1e93383779e4}" done="0">
    <x18tc:text xml:space="preserve">3/12 sent to DA</x18tc:text>
  </x18tc:threadedComment>
  <x18tc:threadedComment ref="N335" dT="2025-03-12T20:53:56.00" personId="{651ebe9d-f120-479c-8376-36973fff1cc1}" id="{2da55d2f-ea27-48a4-913d-afc11316d154}" done="0">
    <x18tc:text xml:space="preserve">3/12 sent to ivan</x18tc:text>
  </x18tc:threadedComment>
  <x18tc:threadedComment ref="N335" dT="2025-03-13T16:14:37.00" personId="{651ebe9d-f120-479c-8376-36973fff1cc1}" id="{326dd71e-1c0f-4bbe-8c12-69ea71515797}" parentId="{2da55d2f-ea27-48a4-913d-afc11316d154}">
    <x18tc:text xml:space="preserve">3/12 aprobado</x18tc:text>
  </x18tc:threadedComment>
  <x18tc:threadedComment ref="M327" dT="2025-03-12T21:01:47.00" personId="{651ebe9d-f120-479c-8376-36973fff1cc1}" id="{283a65fa-fe1d-4e73-b4e3-c79c526f688f}" done="0">
    <x18tc:text xml:space="preserve">3/12 sent to DA and client</x18tc:text>
  </x18tc:threadedComment>
  <x18tc:threadedComment ref="M270" dT="2025-03-12T18:59:55.00" personId="{651ebe9d-f120-479c-8376-36973fff1cc1}" id="{3126c563-b6f8-473c-bc30-da4c4f845f26}" done="0">
    <x18tc:text xml:space="preserve">3/12 sent to carrier</x18tc:text>
  </x18tc:threadedComment>
  <x18tc:threadedComment ref="A270" dT="2025-03-12T19:15:17.00" personId="{d5498dd3-4a64-46ce-9a8a-c831885a0249}" id="{8b655ca2-2641-4097-8d56-132af28ee093}" done="0">
    <x18tc:text xml:space="preserve">Joshua</x18tc:text>
  </x18tc:threadedComment>
  <x18tc:threadedComment ref="A270" dT="2025-08-18T14:58:00.00" personId="{d5498dd3-4a64-46ce-9a8a-c831885a0249}" id="{74570cf3-79f9-41ec-bb22-88fce9d81884}" parentId="{8b655ca2-2641-4097-8d56-132af28ee093}">
    <x18tc:text xml:space="preserve">No additional payments on this claim</x18tc:text>
  </x18tc:threadedComment>
  <x18tc:threadedComment ref="M339" dT="2025-03-19T16:21:54.00" personId="{651ebe9d-f120-479c-8376-36973fff1cc1}" id="{d1c4eae6-4646-4bc7-a7f4-e8943aed9edf}" done="0">
    <x18tc:text xml:space="preserve">3/19 sent to DA</x18tc:text>
  </x18tc:threadedComment>
  <x18tc:threadedComment ref="A1" dT="2025-03-20T03:50:58.00" personId="{d5498dd3-4a64-46ce-9a8a-c831885a0249}" id="{ea152fa0-fbdf-4c34-ba29-abc06f7e88c2}" done="1">
    <x18tc:text xml:space="preserve">follow up con day</x18tc:text>
  </x18tc:threadedComment>
  <x18tc:threadedComment ref="A1" dT="2025-03-20T03:55:35.00" personId="{d5498dd3-4a64-46ce-9a8a-c831885a0249}" id="{c84a35c2-f5c9-497e-9afd-cbf2ac430e1c}" done="1">
    <x18tc:text xml:space="preserve">follow up con day</x18tc:text>
  </x18tc:threadedComment>
  <x18tc:threadedComment ref="A1" dT="2025-03-20T03:59:46.00" personId="{d5498dd3-4a64-46ce-9a8a-c831885a0249}" id="{876a18c8-d14b-401e-a360-44dbda9665ca}" done="1">
    <x18tc:text xml:space="preserve">follow up con Day</x18tc:text>
  </x18tc:threadedComment>
  <x18tc:threadedComment ref="A256" dT="2025-03-21T13:22:51.00" personId="{d5498dd3-4a64-46ce-9a8a-c831885a0249}" id="{b8477bb2-c888-48ac-9355-c35fda64f937}" done="1">
    <x18tc:text xml:space="preserve">@scheduling@ipadjustinggroup.com
Assigned to scheduling@ipadjustinggroup.com</x18tc:text>
    <x18tc:mentions>
      <x18tc:mention mentionpersonId="{2c8ec519-d5db-42bb-a5e2-52abe8ff6abf}" mentionId="{f66fa7c3-601a-4961-b4e1-d853d418818f}" startIndex="0" length="32"/>
    </x18tc:mentions>
  </x18tc:threadedComment>
  <x18tc:threadedComment ref="A256" dT="2025-03-21T17:48:10.00" personId="{610be7ce-9288-4df9-9aac-427cc105bbe1}" id="{deef99ef-66e4-424a-8d77-035f8693bba9}" parentId="{b8477bb2-c888-48ac-9355-c35fda64f937}">
    <x18tc:text xml:space="preserve">Marked as done</x18tc:text>
  </x18tc:threadedComment>
  <x18tc:threadedComment ref="A341" dT="2025-03-21T13:24:58.00" personId="{d5498dd3-4a64-46ce-9a8a-c831885a0249}" id="{bff1f813-5166-4697-bc6e-d51f5ed659c7}" done="1">
    <x18tc:text xml:space="preserve">Peter</x18tc:text>
  </x18tc:threadedComment>
  <x18tc:threadedComment ref="A341" dT="2025-08-05T16:39:36.00" personId="{d5498dd3-4a64-46ce-9a8a-c831885a0249}" id="{e68b6950-12ff-4594-a831-8c084220d844}" parentId="{bff1f813-5166-4697-bc6e-d51f5ed659c7}">
    <x18tc:text xml:space="preserve">holdback until incurred (O&amp;L): $2,038.21</x18tc:text>
  </x18tc:threadedComment>
  <x18tc:threadedComment ref="A289" dT="2025-03-21T13:37:53.00" personId="{d5498dd3-4a64-46ce-9a8a-c831885a0249}" id="{b897620b-5ff6-427f-8338-ea07b60d0914}" done="1">
    <x18tc:text xml:space="preserve">Joshua</x18tc:text>
  </x18tc:threadedComment>
  <x18tc:threadedComment ref="S289" dT="2025-03-27T21:37:14.00" personId="{d5498dd3-4a64-46ce-9a8a-c831885a0249}" id="{9722775e-2b8b-41fa-b600-b226602fd0ec}" done="1">
    <x18tc:text xml:space="preserve">@scheduling@ipadjustinggroup.com
Assigned to scheduling@ipadjustinggroup.com</x18tc:text>
    <x18tc:mentions>
      <x18tc:mention mentionpersonId="{2c8ec519-d5db-42bb-a5e2-52abe8ff6abf}" mentionId="{e18da915-986e-4675-b48b-6e018e04da8d}" startIndex="0" length="32"/>
    </x18tc:mentions>
  </x18tc:threadedComment>
  <x18tc:threadedComment ref="S289" dT="2025-03-28T18:09:29.00" personId="{610be7ce-9288-4df9-9aac-427cc105bbe1}" id="{95515f52-3421-46b3-846a-b9212ca1a5fe}" parentId="{9722775e-2b8b-41fa-b600-b226602fd0ec}">
    <x18tc:text xml:space="preserve">Noted</x18tc:text>
  </x18tc:threadedComment>
  <x18tc:threadedComment ref="S280" dT="2025-03-27T21:39:31.00" personId="{d5498dd3-4a64-46ce-9a8a-c831885a0249}" id="{c5443996-386a-4a70-93fb-dac6abdf275e}" done="1">
    <x18tc:text xml:space="preserve">@scheduling@ipadjustinggroup.com
Assigned to scheduling@ipadjustinggroup.com</x18tc:text>
    <x18tc:mentions>
      <x18tc:mention mentionpersonId="{2c8ec519-d5db-42bb-a5e2-52abe8ff6abf}" mentionId="{e050e3f9-d37d-40a0-b35f-0d894adafe22}" startIndex="0" length="32"/>
    </x18tc:mentions>
  </x18tc:threadedComment>
  <x18tc:threadedComment ref="S280" dT="2025-03-31T14:33:56.00" personId="{d5498dd3-4a64-46ce-9a8a-c831885a0249}" id="{9e5098cb-807e-41d0-bfb8-4fe833139c07}" parentId="{c5443996-386a-4a70-93fb-dac6abdf275e}">
    <x18tc:text xml:space="preserve">Marked as done</x18tc:text>
  </x18tc:threadedComment>
  <x18tc:threadedComment ref="S280" dT="2025-03-31T15:38:29.00" personId="{610be7ce-9288-4df9-9aac-427cc105bbe1}" id="{3171ad9b-5e90-4768-9bff-1ad9f0c02015}" parentId="{c5443996-386a-4a70-93fb-dac6abdf275e}">
    <x18tc:text xml:space="preserve">Copiado Carito
Re-opened</x18tc:text>
  </x18tc:threadedComment>
  <x18tc:threadedComment ref="V289" dT="2025-03-20T17:20:30.00" personId="{d5498dd3-4a64-46ce-9a8a-c831885a0249}" id="{9f0abca7-30fc-4896-be5c-54dab83ab30f}" done="1">
    <x18tc:text xml:space="preserve">03/20 we offered 25k (CM)</x18tc:text>
  </x18tc:threadedComment>
  <x18tc:threadedComment ref="M321" dT="2025-03-20T22:15:05.00" personId="{651ebe9d-f120-479c-8376-36973fff1cc1}" id="{e7167d40-32db-47ea-bad2-a9bda802cc93}" done="0">
    <x18tc:text xml:space="preserve">3/20 enviado a DA (Tamara), falta subir al portal @admin@ipadjustinggroup.com
Assigned to admin@ipadjustinggroup.com</x18tc:text>
    <x18tc:mentions>
      <x18tc:mention mentionpersonId="{1ffc25a2-3f83-4ed1-a701-edf0aba99522}" mentionId="{61908ba8-748c-4ca7-b7a4-ca8f7cb0f8f4}" startIndex="50" length="27"/>
    </x18tc:mentions>
  </x18tc:threadedComment>
  <x18tc:threadedComment ref="J333" dT="2025-03-20T19:54:35.00" personId="{610be7ce-9288-4df9-9aac-427cc105bbe1}" id="{c3a90057-1b0d-45a6-8b3d-3c0a3ac56b86}" done="1">
    <x18tc:text xml:space="preserve">001-00-540606</x18tc:text>
  </x18tc:threadedComment>
  <x18tc:threadedComment ref="N341" dT="2025-03-18T18:53:04.00" personId="{651ebe9d-f120-479c-8376-36973fff1cc1}" id="{9e706f39-8af6-4a83-93bc-5aceae474980}" done="0">
    <x18tc:text xml:space="preserve">3/18 sent to josh</x18tc:text>
  </x18tc:threadedComment>
  <x18tc:threadedComment ref="N341" dT="2025-03-24T15:09:37.00" personId="{651ebe9d-f120-479c-8376-36973fff1cc1}" id="{dad4e303-827e-46b9-ac3c-6b7f418ce32f}" parentId="{9e706f39-8af6-4a83-93bc-5aceae474980}">
    <x18tc:text xml:space="preserve">3/20 aprobado</x18tc:text>
  </x18tc:threadedComment>
  <x18tc:threadedComment ref="V333" dT="2025-04-01T23:31:13.00" personId="{d5498dd3-4a64-46ce-9a8a-c831885a0249}" id="{22137ddb-7cab-42a7-94ba-a12c4d383a15}" done="1">
    <x18tc:text xml:space="preserve">04/01 received a stand on their denial letter, asked I&amp;P HOW TP PROCEED(CM)</x18tc:text>
  </x18tc:threadedComment>
  <x18tc:threadedComment ref="N344" dT="2025-04-01T15:22:31.00" personId="{651ebe9d-f120-479c-8376-36973fff1cc1}" id="{d9ce1010-e762-4eb3-9e5c-d9ec92acaaa1}" done="0">
    <x18tc:text xml:space="preserve">4/1 sent to ivan</x18tc:text>
  </x18tc:threadedComment>
  <x18tc:threadedComment ref="N344" dT="2025-04-01T21:05:16.00" personId="{651ebe9d-f120-479c-8376-36973fff1cc1}" id="{5e316f31-f525-411f-8af8-cffe726ce4d5}" parentId="{d9ce1010-e762-4eb3-9e5c-d9ec92acaaa1}">
    <x18tc:text xml:space="preserve">4/1 aprobado</x18tc:text>
  </x18tc:threadedComment>
  <x18tc:threadedComment ref="N351" dT="2025-04-03T14:51:56.00" personId="{651ebe9d-f120-479c-8376-36973fff1cc1}" id="{cae1153c-7186-452e-b7e5-8a294da49988}" done="0">
    <x18tc:text xml:space="preserve">4/3 sent to josh</x18tc:text>
  </x18tc:threadedComment>
  <x18tc:threadedComment ref="N351" dT="2025-04-03T18:29:43.00" personId="{651ebe9d-f120-479c-8376-36973fff1cc1}" id="{6602bd8f-db1f-4713-afeb-2165e2d2a692}" parentId="{cae1153c-7186-452e-b7e5-8a294da49988}">
    <x18tc:text xml:space="preserve">4/3 aprobado</x18tc:text>
  </x18tc:threadedComment>
  <x18tc:threadedComment ref="N332" dT="2025-04-03T15:35:21.00" personId="{651ebe9d-f120-479c-8376-36973fff1cc1}" id="{1b777a3f-2a60-4f9a-94c4-259199d9ece9}" done="0">
    <x18tc:text xml:space="preserve">4/3 sent to josh</x18tc:text>
  </x18tc:threadedComment>
  <x18tc:threadedComment ref="N332" dT="2025-04-03T18:40:02.00" personId="{651ebe9d-f120-479c-8376-36973fff1cc1}" id="{cf2558f5-afb9-4e75-8198-58a80c90dc8f}" parentId="{1b777a3f-2a60-4f9a-94c4-259199d9ece9}">
    <x18tc:text xml:space="preserve">4/3 aprobado</x18tc:text>
  </x18tc:threadedComment>
  <x18tc:threadedComment ref="M302" dT="2025-04-03T19:27:02.00" personId="{651ebe9d-f120-479c-8376-36973fff1cc1}" id="{3b7c8cd3-6ab8-4a36-8215-715c1692e906}" done="0">
    <x18tc:text xml:space="preserve">4/3 upload CP</x18tc:text>
  </x18tc:threadedComment>
  <x18tc:threadedComment ref="N346" dT="2025-04-03T18:27:07.00" personId="{651ebe9d-f120-479c-8376-36973fff1cc1}" id="{6f118116-487f-4c02-bb83-6096220f9cc3}" done="0">
    <x18tc:text xml:space="preserve">4/3 sent to josh</x18tc:text>
  </x18tc:threadedComment>
  <x18tc:threadedComment ref="N346" dT="2025-04-03T19:30:53.00" personId="{651ebe9d-f120-479c-8376-36973fff1cc1}" id="{c6439441-b586-4a73-92da-1fc01d8680f9}" parentId="{6f118116-487f-4c02-bb83-6096220f9cc3}">
    <x18tc:text xml:space="preserve">4/3 aprobado</x18tc:text>
  </x18tc:threadedComment>
  <x18tc:threadedComment ref="M351" dT="2025-04-03T18:36:51.00" personId="{651ebe9d-f120-479c-8376-36973fff1cc1}" id="{652a23bf-5a40-4b99-8b48-d3f0b952d9da}" done="0">
    <x18tc:text xml:space="preserve">4/3 sent to carrier</x18tc:text>
  </x18tc:threadedComment>
  <x18tc:threadedComment ref="N348" dT="2025-04-03T18:53:04.00" personId="{651ebe9d-f120-479c-8376-36973fff1cc1}" id="{f03e9133-790c-4b72-bca5-25ec9d341a83}" done="0">
    <x18tc:text xml:space="preserve">4/3 sent to josh</x18tc:text>
  </x18tc:threadedComment>
  <x18tc:threadedComment ref="N348" dT="2025-04-03T19:29:24.00" personId="{651ebe9d-f120-479c-8376-36973fff1cc1}" id="{927a2972-cf57-49a0-a2ad-ee9a68773b28}" parentId="{f03e9133-790c-4b72-bca5-25ec9d341a83}">
    <x18tc:text xml:space="preserve">4/3 aprobado</x18tc:text>
  </x18tc:threadedComment>
  <x18tc:threadedComment ref="M317" dT="2025-04-03T19:43:46.00" personId="{651ebe9d-f120-479c-8376-36973fff1cc1}" id="{ed3accd3-ebec-4eb6-b2aa-9091dabf2b33}" done="0">
    <x18tc:text xml:space="preserve">4/3 sent to carrier and client</x18tc:text>
  </x18tc:threadedComment>
  <x18tc:threadedComment ref="S234" dT="2025-04-07T17:44:06.00" personId="{d5498dd3-4a64-46ce-9a8a-c831885a0249}" id="{c54f3058-df53-4cc7-a718-94b6b6187882}" done="1">
    <x18tc:text xml:space="preserve">@scheduling@ipadjustinggroup.com
Assigned to scheduling@ipadjustinggroup.com</x18tc:text>
    <x18tc:mentions>
      <x18tc:mention mentionpersonId="{2c8ec519-d5db-42bb-a5e2-52abe8ff6abf}" mentionId="{a03fde1d-f7ea-4868-b8ed-6dc293b32f12}" startIndex="0" length="32"/>
    </x18tc:mentions>
  </x18tc:threadedComment>
  <x18tc:threadedComment ref="S234" dT="2025-04-07T19:15:34.00" personId="{610be7ce-9288-4df9-9aac-427cc105bbe1}" id="{0f534ee5-b72d-4b5a-800a-4050fb9a39e4}" parentId="{c54f3058-df53-4cc7-a718-94b6b6187882}">
    <x18tc:text xml:space="preserve">Marked as done</x18tc:text>
  </x18tc:threadedComment>
  <x18tc:threadedComment ref="S234" dT="2025-04-07T19:17:59.00" personId="{610be7ce-9288-4df9-9aac-427cc105bbe1}" id="{f0715271-c098-426f-a9bf-8260c7de50a0}" parentId="{c54f3058-df53-4cc7-a718-94b6b6187882}">
    <x18tc:text xml:space="preserve">copy that, appraisal cancelled
Re-opened</x18tc:text>
  </x18tc:threadedComment>
  <x18tc:threadedComment ref="M330" dT="2025-04-07T18:16:24.00" personId="{651ebe9d-f120-479c-8376-36973fff1cc1}" id="{7198fe67-9179-47e4-b88e-9c22565d1dfc}" done="0">
    <x18tc:text xml:space="preserve">4/7 sent to DA</x18tc:text>
  </x18tc:threadedComment>
  <x18tc:threadedComment ref="O313" dT="2025-04-08T16:28:07.00" personId="{651ebe9d-f120-479c-8376-36973fff1cc1}" id="{a68f5ea8-7de5-48d8-87d1-4a7079ec0004}" done="0">
    <x18tc:text xml:space="preserve">4/8 sent to client</x18tc:text>
  </x18tc:threadedComment>
  <x18tc:threadedComment ref="N350" dT="2025-04-08T17:27:45.00" personId="{651ebe9d-f120-479c-8376-36973fff1cc1}" id="{9fd9d721-332c-4664-8f18-a7649d617dd2}" done="0">
    <x18tc:text xml:space="preserve">4/8 sent to ivan</x18tc:text>
  </x18tc:threadedComment>
  <x18tc:threadedComment ref="N350" dT="2025-04-09T13:13:47.00" personId="{651ebe9d-f120-479c-8376-36973fff1cc1}" id="{29f62a4c-0119-41a1-a6cc-2fd022818728}" parentId="{9fd9d721-332c-4664-8f18-a7649d617dd2}">
    <x18tc:text xml:space="preserve">4/9 aprobado</x18tc:text>
  </x18tc:threadedComment>
  <x18tc:threadedComment ref="A1" dT="2025-04-13T17:41:29.00" personId="{d5498dd3-4a64-46ce-9a8a-c831885a0249}" id="{71982460-8291-4a62-b34f-2e33640aad0c}" done="1">
    <x18tc:text xml:space="preserve">follow up ocn day</x18tc:text>
  </x18tc:threadedComment>
  <x18tc:threadedComment ref="O300" dT="2025-04-15T14:48:23.00" personId="{d5498dd3-4a64-46ce-9a8a-c831885a0249}" id="{09e389aa-c3f2-4d50-8979-110966b6e10a}" done="0">
    <x18tc:text xml:space="preserve">@jp.ipestimates@gmail.com necesitamos SPOL de Shana Junior
Assigned to jp.ipestimates@gmail.com</x18tc:text>
    <x18tc:mentions>
      <x18tc:mention mentionpersonId="{f5ec41ac-eb21-45bf-aaa5-f7dfbc04c8e9}" mentionId="{24876869-aff4-43ee-acde-d98a0b6b5cb3}" startIndex="0" length="25"/>
    </x18tc:mentions>
  </x18tc:threadedComment>
  <x18tc:threadedComment ref="O300" dT="2025-04-17T23:13:39.00" personId="{651ebe9d-f120-479c-8376-36973fff1cc1}" id="{fd985e93-0ddd-4d41-bf06-932578a290a4}" parentId="{09e389aa-c3f2-4d50-8979-110966b6e10a}">
    <x18tc:text xml:space="preserve">4/17 enviado al cliente para q firme y notarice</x18tc:text>
  </x18tc:threadedComment>
  <x18tc:threadedComment ref="A338" dT="2025-03-25T18:56:03.00" personId="{d5498dd3-4a64-46ce-9a8a-c831885a0249}" id="{a5534516-4774-400f-b7a5-48561a974aa9}" done="0">
    <x18tc:text xml:space="preserve">Joshua</x18tc:text>
  </x18tc:threadedComment>
  <x18tc:threadedComment ref="A338" dT="2025-08-27T21:56:43.00" personId="{d5498dd3-4a64-46ce-9a8a-c831885a0249}" id="{afccb7b7-fc2b-4672-95af-e8d702c2e8b4}" parentId="{a5534516-4774-400f-b7a5-48561a974aa9}">
    <x18tc:text xml:space="preserve">nothing to be recovered</x18tc:text>
  </x18tc:threadedComment>
  <x18tc:threadedComment ref="P306" dT="2025-03-27T12:44:16.00" personId="{d5498dd3-4a64-46ce-9a8a-c831885a0249}" id="{a7e2f81b-6a92-489b-bddf-288f05d3f687}" done="1">
    <x18tc:text xml:space="preserve">@scheduling@ipadjustinggroup.com don't follow up on the estimate, I already asked her and she stands on her decision
Assigned to scheduling@ipadjustinggroup.com</x18tc:text>
    <x18tc:mentions>
      <x18tc:mention mentionpersonId="{2c8ec519-d5db-42bb-a5e2-52abe8ff6abf}" mentionId="{cce0d3d2-fbe3-46ad-a6b2-b2d72ebc0180}" startIndex="0" length="32"/>
    </x18tc:mentions>
  </x18tc:threadedComment>
  <x18tc:threadedComment ref="P306" dT="2025-03-27T18:55:45.00" personId="{610be7ce-9288-4df9-9aac-427cc105bbe1}" id="{b48fb0e8-456a-41b0-8bd6-da9d8354e4a4}" parentId="{a7e2f81b-6a92-489b-bddf-288f05d3f687}">
    <x18tc:text xml:space="preserve">copy that, ty</x18tc:text>
  </x18tc:threadedComment>
  <x18tc:threadedComment ref="A306" dT="2025-03-27T12:54:02.00" personId="{d5498dd3-4a64-46ce-9a8a-c831885a0249}" id="{be8140c7-89c0-4e45-8bf3-fdc6071453f9}" done="1">
    <x18tc:text xml:space="preserve">@scheduling@ipadjustinggroup.com
Assigned to scheduling@ipadjustinggroup.com</x18tc:text>
    <x18tc:mentions>
      <x18tc:mention mentionpersonId="{2c8ec519-d5db-42bb-a5e2-52abe8ff6abf}" mentionId="{87624930-4661-484f-9ea8-e24d2f1414ba}" startIndex="0" length="32"/>
    </x18tc:mentions>
  </x18tc:threadedComment>
  <x18tc:threadedComment ref="R347" dT="2025-03-28T20:32:53.00" personId="{610be7ce-9288-4df9-9aac-427cc105bbe1}" id="{1b0a10d2-fee3-42e3-8b29-f0a45c86671c}" done="1">
    <x18tc:text xml:space="preserve">@admin@ipadjustinggroup.com DA INFO UDATED
Assigned to admin@ipadjustinggroup.com</x18tc:text>
    <x18tc:mentions>
      <x18tc:mention mentionpersonId="{1ffc25a2-3f83-4ed1-a701-edf0aba99522}" mentionId="{1ba2c635-d82d-4eb9-bd8b-8814b3f1b941}" startIndex="0" length="27"/>
    </x18tc:mentions>
  </x18tc:threadedComment>
  <x18tc:threadedComment ref="V197" dT="2025-03-31T17:46:28.00" personId="{d5498dd3-4a64-46ce-9a8a-c831885a0249}" id="{3884d552-7ee8-40e7-8aca-a1144f07e479}" done="1">
    <x18tc:text xml:space="preserve">03/31 received a denial after the EUO, asked I&amp;P how to proceed (CM)</x18tc:text>
  </x18tc:threadedComment>
  <x18tc:threadedComment ref="N347" dT="2025-03-31T18:39:18.00" personId="{651ebe9d-f120-479c-8376-36973fff1cc1}" id="{15a47b9f-db67-45ca-aa35-7ddf71b3203b}" done="0">
    <x18tc:text xml:space="preserve">3/31 sent to Josh</x18tc:text>
  </x18tc:threadedComment>
  <x18tc:threadedComment ref="N347" dT="2025-04-16T16:11:46.00" personId="{651ebe9d-f120-479c-8376-36973fff1cc1}" id="{e7198f21-d528-4703-bc74-622621722ae3}" parentId="{15a47b9f-db67-45ca-aa35-7ddf71b3203b}">
    <x18tc:text xml:space="preserve">4/12 aprobado</x18tc:text>
  </x18tc:threadedComment>
  <x18tc:threadedComment ref="N334" dT="2025-03-31T20:17:23.00" personId="{651ebe9d-f120-479c-8376-36973fff1cc1}" id="{cc559fc4-12c9-4e71-96b1-465904474591}" done="0">
    <x18tc:text xml:space="preserve">3/31 sent to josh</x18tc:text>
  </x18tc:threadedComment>
  <x18tc:threadedComment ref="N334" dT="2025-04-01T15:50:53.00" personId="{651ebe9d-f120-479c-8376-36973fff1cc1}" id="{4b1b2a6c-6da7-426e-9b11-e1fc6e4619a2}" parentId="{cc559fc4-12c9-4e71-96b1-465904474591}">
    <x18tc:text xml:space="preserve">3/31 aprobado</x18tc:text>
  </x18tc:threadedComment>
  <x18tc:threadedComment ref="M333" dT="2025-03-31T20:25:04.00" personId="{651ebe9d-f120-479c-8376-36973fff1cc1}" id="{4a47d0bf-3545-49c2-952c-26a0f2180c2e}" done="0">
    <x18tc:text xml:space="preserve">3/31 sent to carrier</x18tc:text>
  </x18tc:threadedComment>
  <x18tc:threadedComment ref="N343" dT="2025-03-31T21:21:28.00" personId="{651ebe9d-f120-479c-8376-36973fff1cc1}" id="{a1ce01a3-4a5c-49af-82ed-ad694edf04ce}" done="0">
    <x18tc:text xml:space="preserve">3/31 sent to juan</x18tc:text>
  </x18tc:threadedComment>
  <x18tc:threadedComment ref="N343" dT="2025-04-12T15:37:06.00" personId="{651ebe9d-f120-479c-8376-36973fff1cc1}" id="{28a62681-0012-4881-9f9f-7cd4f1a57ba0}" parentId="{a1ce01a3-4a5c-49af-82ed-ad694edf04ce}">
    <x18tc:text xml:space="preserve">4/10 aprobado por juan</x18tc:text>
  </x18tc:threadedComment>
  <x18tc:threadedComment ref="N343" dT="2025-08-20T18:33:30.00" personId="{651ebe9d-f120-479c-8376-36973fff1cc1}" id="{1c4b60df-eba9-4d6e-a75d-5148dca27d32}" parentId="{a1ce01a3-4a5c-49af-82ed-ad694edf04ce}">
    <x18tc:text xml:space="preserve">8/20 se envio un update a Peter</x18tc:text>
  </x18tc:threadedComment>
  <x18tc:threadedComment ref="O324" dT="2025-03-31T21:42:06.00" personId="{651ebe9d-f120-479c-8376-36973fff1cc1}" id="{f3cc3ba2-6d2e-402f-95c1-80326b56f861}" done="0">
    <x18tc:text xml:space="preserve">3/31 sent to client</x18tc:text>
  </x18tc:threadedComment>
  <x18tc:threadedComment ref="N349" dT="2025-04-01T21:49:35.00" personId="{651ebe9d-f120-479c-8376-36973fff1cc1}" id="{a718e7ce-8c50-4764-9dd7-a966cce9d475}" done="0">
    <x18tc:text xml:space="preserve">4/1 sent to josh</x18tc:text>
  </x18tc:threadedComment>
  <x18tc:threadedComment ref="N349" dT="2025-04-16T16:13:03.00" personId="{651ebe9d-f120-479c-8376-36973fff1cc1}" id="{9b373ec1-2449-4056-a992-cf2a8f45269f}" parentId="{a718e7ce-8c50-4764-9dd7-a966cce9d475}">
    <x18tc:text xml:space="preserve">4/14 aprobado</x18tc:text>
  </x18tc:threadedComment>
  <x18tc:threadedComment ref="V289" dT="2025-04-02T14:32:45.00" personId="{d5498dd3-4a64-46ce-9a8a-c831885a0249}" id="{02ccbc5a-6cd5-43d2-abce-abe58b4394fe}" done="1">
    <x18tc:text xml:space="preserve">04/02 DA offered a Global Settlement for $46,153.39. That is $ 18,961.87 new money in exchange for a signed release. Peter previously asked 25k, asked them how to proceed (CM)</x18tc:text>
  </x18tc:threadedComment>
  <x18tc:threadedComment ref="M342" dT="2025-04-02T17:45:23.00" personId="{651ebe9d-f120-479c-8376-36973fff1cc1}" id="{bfe9530e-16b2-4e8f-9170-e4826fd891f0}" done="0">
    <x18tc:text xml:space="preserve">4/2 sent to carrier</x18tc:text>
  </x18tc:threadedComment>
  <x18tc:threadedComment ref="A234" dT="2025-04-02T14:58:20.00" personId="{d5498dd3-4a64-46ce-9a8a-c831885a0249}" id="{25fb350a-4a70-45cc-834e-ef8c86f5f241}" done="1">
    <x18tc:text xml:space="preserve">Peter</x18tc:text>
  </x18tc:threadedComment>
  <x18tc:threadedComment ref="O317" dT="2025-04-02T16:06:41.00" personId="{651ebe9d-f120-479c-8376-36973fff1cc1}" id="{93293df8-43fc-4591-92ad-8174db9d35f3}" done="1">
    <x18tc:text xml:space="preserve">4/2 sent to client</x18tc:text>
  </x18tc:threadedComment>
  <x18tc:threadedComment ref="M288" dT="2025-04-02T16:48:13.00" personId="{651ebe9d-f120-479c-8376-36973fff1cc1}" id="{a456e805-371f-41ea-8829-ab16cfe311f4}" done="0">
    <x18tc:text xml:space="preserve">4/2 esperando picture file de juan</x18tc:text>
  </x18tc:threadedComment>
  <x18tc:threadedComment ref="M288" dT="2025-04-17T23:22:06.00" personId="{651ebe9d-f120-479c-8376-36973fff1cc1}" id="{078665b7-e5fe-4fc5-b8b7-5b65e5b3267d}" parentId="{a456e805-371f-41ea-8829-ab16cfe311f4}">
    <x18tc:text xml:space="preserve">4/17 sent to carrier</x18tc:text>
  </x18tc:threadedComment>
  <x18tc:threadedComment ref="S316" dT="2025-04-02T17:34:10.00" personId="{d5498dd3-4a64-46ce-9a8a-c831885a0249}" id="{1aa1f32c-50b3-40b6-be55-06722cdd24cc}" done="1">
    <x18tc:text xml:space="preserve">@scheduling@ipadjustinggroup.com
Assigned to scheduling@ipadjustinggroup.com</x18tc:text>
    <x18tc:mentions>
      <x18tc:mention mentionpersonId="{2c8ec519-d5db-42bb-a5e2-52abe8ff6abf}" mentionId="{453dfce6-ec9e-4a74-bac0-1ba11a74c76d}" startIndex="0" length="32"/>
    </x18tc:mentions>
  </x18tc:threadedComment>
  <x18tc:threadedComment ref="S316" dT="2025-04-02T18:18:55.00" personId="{610be7ce-9288-4df9-9aac-427cc105bbe1}" id="{9f713cdc-67bd-413c-8d0d-80d0ac502216}" parentId="{1aa1f32c-50b3-40b6-be55-06722cdd24cc}">
    <x18tc:text xml:space="preserve">Marked as done</x18tc:text>
  </x18tc:threadedComment>
  <x18tc:threadedComment ref="N342" dT="2025-04-02T17:36:49.00" personId="{651ebe9d-f120-479c-8376-36973fff1cc1}" id="{c0ad1c1f-60f3-486a-83f4-76dc091d2fd5}" done="0">
    <x18tc:text xml:space="preserve">4/2 sent to Josh</x18tc:text>
  </x18tc:threadedComment>
  <x18tc:threadedComment ref="N342" dT="2025-04-02T17:39:26.00" personId="{651ebe9d-f120-479c-8376-36973fff1cc1}" id="{07efd0b1-9dac-4dcb-9e61-4c5673d62c47}" parentId="{c0ad1c1f-60f3-486a-83f4-76dc091d2fd5}">
    <x18tc:text xml:space="preserve">4/2 aprobado</x18tc:text>
  </x18tc:threadedComment>
  <x18tc:threadedComment ref="N279" dT="2025-04-02T18:39:01.00" personId="{651ebe9d-f120-479c-8376-36973fff1cc1}" id="{3b4cbdab-c535-4d8e-81a3-394e2753ecb4}" done="0">
    <x18tc:text xml:space="preserve">4/2 sent to Peter</x18tc:text>
  </x18tc:threadedComment>
  <x18tc:threadedComment ref="N279" dT="2025-04-12T15:29:55.00" personId="{651ebe9d-f120-479c-8376-36973fff1cc1}" id="{11556aca-25c4-41c3-b0b6-1f2456c2bc7c}" parentId="{3b4cbdab-c535-4d8e-81a3-394e2753ecb4}">
    <x18tc:text xml:space="preserve">4/9 aprobado por peter</x18tc:text>
  </x18tc:threadedComment>
  <x18tc:threadedComment ref="O336" dT="2025-04-02T19:01:17.00" personId="{d5498dd3-4a64-46ce-9a8a-c831885a0249}" id="{fad2849a-1b48-412f-b8cf-1127476cccfd}" done="0">
    <x18tc:text xml:space="preserve">@jp.ipestimates@gmail.com pilas el estimado porfa
Assigned to jp.ipestimates@gmail.com</x18tc:text>
    <x18tc:mentions>
      <x18tc:mention mentionpersonId="{f5ec41ac-eb21-45bf-aaa5-f7dfbc04c8e9}" mentionId="{9811861c-cc31-4021-9d5b-8bc1c999b0c8}" startIndex="0" length="25"/>
    </x18tc:mentions>
  </x18tc:threadedComment>
  <x18tc:threadedComment ref="A327" dT="2025-04-02T19:04:03.00" personId="{d5498dd3-4a64-46ce-9a8a-c831885a0249}" id="{90cc6873-8e92-40d9-83ee-52dc2dfecc6d}" done="1">
    <x18tc:text xml:space="preserve">@scheduling@ipadjustinggroup.com
Assigned to scheduling@ipadjustinggroup.com</x18tc:text>
    <x18tc:mentions>
      <x18tc:mention mentionpersonId="{2c8ec519-d5db-42bb-a5e2-52abe8ff6abf}" mentionId="{c8c0aece-6bbf-4ab2-beea-6f2861340be5}" startIndex="0" length="32"/>
    </x18tc:mentions>
  </x18tc:threadedComment>
  <x18tc:threadedComment ref="A327" dT="2025-04-03T03:38:42.00" personId="{610be7ce-9288-4df9-9aac-427cc105bbe1}" id="{8b1ffb18-4976-4956-acd5-f8bf69db4d71}" parentId="{90cc6873-8e92-40d9-83ee-52dc2dfecc6d}">
    <x18tc:text xml:space="preserve">Marked as done</x18tc:text>
  </x18tc:threadedComment>
  <x18tc:threadedComment ref="Q348" dT="2025-04-04T18:01:08.00" personId="{d5498dd3-4a64-46ce-9a8a-c831885a0249}" id="{2cd7439d-8b9a-4958-bce9-605247718814}" done="1">
    <x18tc:text xml:space="preserve">04/04</x18tc:text>
  </x18tc:threadedComment>
  <x18tc:threadedComment ref="A302" dT="2025-04-04T16:34:50.00" personId="{d5498dd3-4a64-46ce-9a8a-c831885a0249}" id="{e59c689b-e56d-4544-9043-0bb909a39cd2}" done="1">
    <x18tc:text xml:space="preserve">@scheduling@ipadjustinggroup.com
Assigned to scheduling@ipadjustinggroup.com</x18tc:text>
    <x18tc:mentions>
      <x18tc:mention mentionpersonId="{2c8ec519-d5db-42bb-a5e2-52abe8ff6abf}" mentionId="{d7552567-2820-41fe-8500-4ce0bae4cec5}" startIndex="0" length="32"/>
    </x18tc:mentions>
  </x18tc:threadedComment>
  <x18tc:threadedComment ref="A302" dT="2025-04-04T17:36:43.00" personId="{610be7ce-9288-4df9-9aac-427cc105bbe1}" id="{89d9cc31-097e-4bf3-8d53-d83ce73b2799}" parentId="{e59c689b-e56d-4544-9043-0bb909a39cd2}">
    <x18tc:text xml:space="preserve">Marked as done</x18tc:text>
  </x18tc:threadedComment>
  <x18tc:threadedComment ref="Q343" dT="2025-04-04T17:35:49.00" personId="{d5498dd3-4a64-46ce-9a8a-c831885a0249}" id="{542877f5-8872-4af3-a708-e0845eb6da53}" done="1">
    <x18tc:text xml:space="preserve">0404</x18tc:text>
  </x18tc:threadedComment>
  <x18tc:threadedComment ref="Q345" dT="2025-04-04T18:01:18.00" personId="{d5498dd3-4a64-46ce-9a8a-c831885a0249}" id="{fccf9e13-e445-4e88-ab96-5543e1465e1b}" done="1">
    <x18tc:text xml:space="preserve">04/04</x18tc:text>
  </x18tc:threadedComment>
  <x18tc:threadedComment ref="Q344" dT="2025-04-04T18:01:22.00" personId="{d5498dd3-4a64-46ce-9a8a-c831885a0249}" id="{95b0580d-5b62-4b1f-990c-d8224335751f}" done="1">
    <x18tc:text xml:space="preserve">04/04</x18tc:text>
  </x18tc:threadedComment>
  <x18tc:threadedComment ref="S301" dT="2025-04-04T18:03:15.00" personId="{d5498dd3-4a64-46ce-9a8a-c831885a0249}" id="{f9eefc6c-1c68-468b-9d88-b483d7368aa0}" done="1">
    <x18tc:text xml:space="preserve">@scheduling@ipadjustinggroup.com
Assigned to scheduling@ipadjustinggroup.com</x18tc:text>
    <x18tc:mentions>
      <x18tc:mention mentionpersonId="{2c8ec519-d5db-42bb-a5e2-52abe8ff6abf}" mentionId="{78e714f8-29fa-41dd-859a-64bb05c31721}" startIndex="0" length="32"/>
    </x18tc:mentions>
  </x18tc:threadedComment>
  <x18tc:threadedComment ref="S301" dT="2025-04-07T03:58:43.00" personId="{610be7ce-9288-4df9-9aac-427cc105bbe1}" id="{57691404-b71e-4b82-a456-3260ef2c3d1a}" parentId="{f9eefc6c-1c68-468b-9d88-b483d7368aa0}">
    <x18tc:text xml:space="preserve">Marked as done</x18tc:text>
  </x18tc:threadedComment>
  <x18tc:threadedComment ref="S301" dT="2025-04-07T04:18:37.00" personId="{610be7ce-9288-4df9-9aac-427cc105bbe1}" id="{1ab67cd2-2e92-43cb-bad1-0eba754b7b01}" parentId="{f9eefc6c-1c68-468b-9d88-b483d7368aa0}">
    <x18tc:text xml:space="preserve">noted
Re-opened</x18tc:text>
  </x18tc:threadedComment>
  <x18tc:threadedComment ref="V280" dT="2025-04-07T19:59:40.00" personId="{d5498dd3-4a64-46ce-9a8a-c831885a0249}" id="{79d46d53-5dbf-43a1-a593-642eb85ef638}" done="1">
    <x18tc:text xml:space="preserve">04/02 left a VM to the client informing about the 15k offer (CM</x18tc:text>
  </x18tc:threadedComment>
  <x18tc:threadedComment ref="V280" dT="2025-04-07T20:03:25.00" personId="{d5498dd3-4a64-46ce-9a8a-c831885a0249}" id="{48adc1c0-0e4d-4559-b419-75c1f259ef28}" parentId="{79d46d53-5dbf-43a1-a593-642eb85ef638}">
    <x18tc:text xml:space="preserve">04/07 sent an offer for 22k to DA (CM)</x18tc:text>
  </x18tc:threadedComment>
  <x18tc:threadedComment ref="V331" dT="2025-04-09T02:34:10.00" personId="{d5498dd3-4a64-46ce-9a8a-c831885a0249}" id="{3655dd4f-47ac-4607-9243-f47ac7a852f2}" done="1">
    <x18tc:text xml:space="preserve">04/09 received a denial due the policy has wind exclusion, informed PAs (CM)</x18tc:text>
  </x18tc:threadedComment>
  <x18tc:threadedComment ref="M350" dT="2025-04-09T13:22:18.00" personId="{651ebe9d-f120-479c-8376-36973fff1cc1}" id="{d4bf9a40-e9c2-4f4d-a158-84e2b62e7f3d}" done="0">
    <x18tc:text xml:space="preserve">4/9 sent to carrier</x18tc:text>
  </x18tc:threadedComment>
  <x18tc:threadedComment ref="A1" dT="2025-04-09T13:36:26.00" personId="{d5498dd3-4a64-46ce-9a8a-c831885a0249}" id="{9f9c8130-f1fe-44ea-b939-1cb40c4f5079}" done="1">
    <x18tc:text xml:space="preserve">follow up con Day</x18tc:text>
  </x18tc:threadedComment>
  <x18tc:threadedComment ref="N322" dT="2025-04-09T13:38:24.00" personId="{651ebe9d-f120-479c-8376-36973fff1cc1}" id="{9e4ea9c0-f2d3-4770-ada4-21d07674f59d}" done="0">
    <x18tc:text xml:space="preserve">4/9 sent to juan</x18tc:text>
  </x18tc:threadedComment>
  <x18tc:threadedComment ref="N322" dT="2025-04-11T15:29:24.00" personId="{651ebe9d-f120-479c-8376-36973fff1cc1}" id="{64c49bf1-9847-47ca-85e5-58ab08f7faac}" parentId="{9e4ea9c0-f2d3-4770-ada4-21d07674f59d}">
    <x18tc:text xml:space="preserve">4/11 aprobado</x18tc:text>
  </x18tc:threadedComment>
  <x18tc:threadedComment ref="V301" dT="2025-04-10T14:32:52.00" personId="{d5498dd3-4a64-46ce-9a8a-c831885a0249}" id="{02c0c1ab-f422-45a5-9cf2-9a05cdbff560}" done="1">
    <x18tc:text xml:space="preserve">04/08 need to cancel with the DFS once received the settlement release (CM)</x18tc:text>
  </x18tc:threadedComment>
  <x18tc:threadedComment ref="V311" dT="2025-04-09T20:53:52.00" personId="{d5498dd3-4a64-46ce-9a8a-c831885a0249}" id="{4cb0ebd0-e035-4e69-a4c2-961e09cebb7c}" done="1">
    <x18tc:text xml:space="preserve">04/09 DA is offering 5k new money, asked I&amp;P (CM)</x18tc:text>
  </x18tc:threadedComment>
  <x18tc:threadedComment ref="V216" dT="2025-04-09T21:07:49.00" personId="{d5498dd3-4a64-46ce-9a8a-c831885a0249}" id="{f19ed777-de44-4c3d-b6b2-08d5579e68d5}" done="1">
    <x18tc:text xml:space="preserve">04/09 DA asked 7.5k new money in a exchange for a release, did a counteroffer for 27.5k (CM)</x18tc:text>
  </x18tc:threadedComment>
  <x18tc:threadedComment ref="N340" dT="2025-04-10T17:20:58.00" personId="{651ebe9d-f120-479c-8376-36973fff1cc1}" id="{841e6599-bcd1-43bf-96b4-6f064104c6ef}" done="0">
    <x18tc:text xml:space="preserve">4/10 aprobado por juan</x18tc:text>
  </x18tc:threadedComment>
  <x18tc:threadedComment ref="M340" dT="2025-04-10T17:29:26.00" personId="{651ebe9d-f120-479c-8376-36973fff1cc1}" id="{f1d65f23-ff46-4e22-9491-a3d9c9c49ae0}" done="0">
    <x18tc:text xml:space="preserve">4/10 sent to carrier and client</x18tc:text>
  </x18tc:threadedComment>
  <x18tc:threadedComment ref="V350" dT="2025-04-10T20:41:18.00" personId="{d5498dd3-4a64-46ce-9a8a-c831885a0249}" id="{4dad5801-12f6-44cd-8f93-ef23bbb1411b}" done="1">
    <x18tc:text xml:space="preserve">04/10 DA is requesting docs, asked Iván about it (CM)</x18tc:text>
  </x18tc:threadedComment>
  <x18tc:threadedComment ref="M322" dT="2025-04-12T14:29:16.00" personId="{651ebe9d-f120-479c-8376-36973fff1cc1}" id="{d112e5a9-db52-43e9-82c6-eb4d42fb92e7}" done="0">
    <x18tc:text xml:space="preserve">4/12 sent to carrier</x18tc:text>
  </x18tc:threadedComment>
  <x18tc:threadedComment ref="M279" dT="2025-04-12T15:33:22.00" personId="{651ebe9d-f120-479c-8376-36973fff1cc1}" id="{7e5831d1-f2c5-446e-8ea6-560bb7f49820}" done="0">
    <x18tc:text xml:space="preserve">4/12 sent to carrier</x18tc:text>
  </x18tc:threadedComment>
  <x18tc:threadedComment ref="M276" dT="2025-04-12T15:46:05.00" personId="{651ebe9d-f120-479c-8376-36973fff1cc1}" id="{34ca30e8-c832-4697-9c87-9aa8675715e7}" done="0">
    <x18tc:text xml:space="preserve">4/12 sent to carrier</x18tc:text>
  </x18tc:threadedComment>
  <x18tc:threadedComment ref="M343" dT="2025-04-12T15:50:57.00" personId="{651ebe9d-f120-479c-8376-36973fff1cc1}" id="{c7a9b855-3c53-407e-a7c1-3bd80570e167}" done="0">
    <x18tc:text xml:space="preserve">4/12 esperando el picture file</x18tc:text>
  </x18tc:threadedComment>
  <x18tc:threadedComment ref="M343" dT="2025-04-15T15:22:15.00" personId="{651ebe9d-f120-479c-8376-36973fff1cc1}" id="{b1220b64-c499-43f9-ad9b-39502dc831db}" parentId="{c7a9b855-3c53-407e-a7c1-3bd80570e167}">
    <x18tc:text xml:space="preserve">4/15 sent to carrier</x18tc:text>
  </x18tc:threadedComment>
  <x18tc:threadedComment ref="A316" dT="2025-05-05T16:39:02.00" personId="{d5498dd3-4a64-46ce-9a8a-c831885a0249}" id="{ef64f0ba-b3b7-4bf8-961d-4f4b6e610343}" done="0">
    <x18tc:text xml:space="preserve">Juan</x18tc:text>
  </x18tc:threadedComment>
  <x18tc:threadedComment ref="A316" dT="2025-08-22T19:16:46.00" personId="{d5498dd3-4a64-46ce-9a8a-c831885a0249}" id="{88165c33-c2e8-438b-a44a-17b0a2f3ce3a}" parentId="{ef64f0ba-b3b7-4bf8-961d-4f4b6e610343}">
    <x18tc:text xml:space="preserve">recoverable depreciation $1118.67</x18tc:text>
  </x18tc:threadedComment>
  <x18tc:threadedComment ref="A1" dT="2025-05-05T16:54:16.00" personId="{d5498dd3-4a64-46ce-9a8a-c831885a0249}" id="{90107935-16cc-4705-909a-bfc5c3b973ef}" done="1">
    <x18tc:text xml:space="preserve">follow up con Day</x18tc:text>
  </x18tc:threadedComment>
  <x18tc:threadedComment ref="N361" dT="2025-05-06T13:55:12.00" personId="{651ebe9d-f120-479c-8376-36973fff1cc1}" id="{8e20c09a-7a5e-4d61-af58-2a930568cfb0}" done="0">
    <x18tc:text xml:space="preserve">5/6 sent to josh</x18tc:text>
  </x18tc:threadedComment>
  <x18tc:threadedComment ref="N361" dT="2025-05-28T13:49:06.00" personId="{651ebe9d-f120-479c-8376-36973fff1cc1}" id="{a407544e-9676-4c06-abcd-30f9217bf09a}" parentId="{8e20c09a-7a5e-4d61-af58-2a930568cfb0}">
    <x18tc:text xml:space="preserve">5/21 aprobado</x18tc:text>
  </x18tc:threadedComment>
  <x18tc:threadedComment ref="N367" dT="2025-05-06T14:22:45.00" personId="{651ebe9d-f120-479c-8376-36973fff1cc1}" id="{886746c0-a457-4fb5-93fb-5b93a00d5244}" done="0">
    <x18tc:text xml:space="preserve">5/6 Sent to josh</x18tc:text>
  </x18tc:threadedComment>
  <x18tc:threadedComment ref="A1" dT="2025-04-18T09:02:46.00" personId="{d5498dd3-4a64-46ce-9a8a-c831885a0249}" id="{20e48460-4f56-4df3-b443-f76497f18edf}" done="1">
    <x18tc:text xml:space="preserve">follow up con day</x18tc:text>
  </x18tc:threadedComment>
  <x18tc:threadedComment ref="A1" dT="2025-04-18T09:08:26.00" personId="{d5498dd3-4a64-46ce-9a8a-c831885a0249}" id="{39806475-23a0-432b-8c35-9c66d954d69d}" done="1">
    <x18tc:text xml:space="preserve">ask day to follow up</x18tc:text>
  </x18tc:threadedComment>
  <x18tc:threadedComment ref="A326" dT="2025-04-18T09:39:48.00" personId="{d5498dd3-4a64-46ce-9a8a-c831885a0249}" id="{dc558372-6de1-4563-bebb-fa13cf5f5b2a}" done="0">
    <x18tc:text xml:space="preserve">Juan</x18tc:text>
  </x18tc:threadedComment>
  <x18tc:threadedComment ref="A326" dT="2025-08-18T21:08:50.00" personId="{d5498dd3-4a64-46ce-9a8a-c831885a0249}" id="{27a3b466-9fd9-4497-aea4-2430a1da2a88}" parentId="{dc558372-6de1-4563-bebb-fa13cf5f5b2a}">
    <x18tc:text xml:space="preserve">no additional payments on this claim</x18tc:text>
  </x18tc:threadedComment>
  <x18tc:threadedComment ref="A350" dT="2025-04-18T09:42:27.00" personId="{d5498dd3-4a64-46ce-9a8a-c831885a0249}" id="{bf64037f-4e31-47d5-93b8-0304ece16727}" done="0">
    <x18tc:text xml:space="preserve">Pedro</x18tc:text>
  </x18tc:threadedComment>
  <x18tc:threadedComment ref="A350" dT="2025-06-19T18:41:26.00" personId="{d5498dd3-4a64-46ce-9a8a-c831885a0249}" id="{fb3bef2b-b20c-4d47-9363-76949d4b4285}" parentId="{bf64037f-4e31-47d5-93b8-0304ece16727}">
    <x18tc:text xml:space="preserve">Recoverable depreciation:
Coverage A: $4,895.70</x18tc:text>
  </x18tc:threadedComment>
  <x18tc:threadedComment ref="A1" dT="2025-04-18T09:58:07.00" personId="{d5498dd3-4a64-46ce-9a8a-c831885a0249}" id="{4f53f5d2-7659-466f-af62-d41eab34ec85}" done="1">
    <x18tc:text xml:space="preserve">follow up ocn Day</x18tc:text>
  </x18tc:threadedComment>
  <x18tc:threadedComment ref="A1" dT="2025-04-18T10:16:22.00" personId="{d5498dd3-4a64-46ce-9a8a-c831885a0249}" id="{c8d6db2b-4c68-4a74-a030-b75470b40e1b}" done="1">
    <x18tc:text xml:space="preserve">follow up con day</x18tc:text>
  </x18tc:threadedComment>
  <x18tc:threadedComment ref="M230" dT="2025-04-18T16:06:07.00" personId="{651ebe9d-f120-479c-8376-36973fff1cc1}" id="{7c8e3272-62cf-4ef5-b3d1-b966a4d37ab3}" done="0">
    <x18tc:text xml:space="preserve">4/18 sent to DA</x18tc:text>
  </x18tc:threadedComment>
  <x18tc:threadedComment ref="A351" dT="2025-04-18T18:27:49.00" personId="{d5498dd3-4a64-46ce-9a8a-c831885a0249}" id="{5179dad8-321a-4bad-82ea-105804888763}" done="0">
    <x18tc:text xml:space="preserve">Juan</x18tc:text>
  </x18tc:threadedComment>
  <x18tc:threadedComment ref="A351" dT="2025-08-18T15:30:32.00" personId="{d5498dd3-4a64-46ce-9a8a-c831885a0249}" id="{bd63059b-761c-4f97-93f5-2a7eb01a1cc0}" parentId="{5179dad8-321a-4bad-82ea-105804888763}">
    <x18tc:text xml:space="preserve">No additional payments on this one</x18tc:text>
  </x18tc:threadedComment>
  <x18tc:threadedComment ref="A335" dT="2025-04-18T18:28:04.00" personId="{d5498dd3-4a64-46ce-9a8a-c831885a0249}" id="{065790a7-dbe7-40ed-985e-b440ebf0bddd}" done="0">
    <x18tc:text xml:space="preserve">Peter</x18tc:text>
  </x18tc:threadedComment>
  <x18tc:threadedComment ref="A335" dT="2026-01-12T17:27:34.00" personId="{d5498dd3-4a64-46ce-9a8a-c831885a0249}" id="{d9b5ca20-7bce-4545-a15a-8eac69b679ea}" parentId="{065790a7-dbe7-40ed-985e-b440ebf0bddd}">
    <x18tc:text xml:space="preserve">Depreciation $ 5,614.74</x18tc:text>
  </x18tc:threadedComment>
  <x18tc:threadedComment ref="N354" dT="2025-04-18T18:54:50.00" personId="{d5498dd3-4a64-46ce-9a8a-c831885a0249}" id="{21b0c0db-7bec-48a1-88f7-30c66a582841}" done="0">
    <x18tc:text xml:space="preserve">@jp.ipestimates@gmail.com Haz el estimado de Walton please, y mandalo
Assigned to jp.ipestimates@gmail.com</x18tc:text>
    <x18tc:mentions>
      <x18tc:mention mentionpersonId="{f5ec41ac-eb21-45bf-aaa5-f7dfbc04c8e9}" mentionId="{503eb3aa-b82a-4ee1-90a6-fe39efa06e82}" startIndex="0" length="25"/>
    </x18tc:mentions>
  </x18tc:threadedComment>
  <x18tc:threadedComment ref="N354" dT="2025-04-19T16:08:35.00" personId="{651ebe9d-f120-479c-8376-36973fff1cc1}" id="{11415198-ffcf-4f54-bd0f-8bafabe60d90}" parentId="{21b0c0db-7bec-48a1-88f7-30c66a582841}">
    <x18tc:text xml:space="preserve">4/19 enviado a josh para q revise @admin@ipadjustinggroup.com</x18tc:text>
    <x18tc:mentions>
      <x18tc:mention mentionpersonId="{1ffc25a2-3f83-4ed1-a701-edf0aba99522}" mentionId="{8ebca995-ca8c-42a2-8658-7e4b218d5aba}" startIndex="34" length="27"/>
    </x18tc:mentions>
  </x18tc:threadedComment>
  <x18tc:threadedComment ref="N354" dT="2025-04-19T18:06:10.00" personId="{651ebe9d-f120-479c-8376-36973fff1cc1}" id="{d8f5f803-1cb9-436c-8485-6af81e817fe8}" parentId="{21b0c0db-7bec-48a1-88f7-30c66a582841}">
    <x18tc:text xml:space="preserve">@admin@ipadjustinggroup.com Carito estoy esperando q josh apruebe el estimado de walton</x18tc:text>
    <x18tc:mentions>
      <x18tc:mention mentionpersonId="{1ffc25a2-3f83-4ed1-a701-edf0aba99522}" mentionId="{e3f8659b-2e03-44fa-b371-1e648596b565}" startIndex="0" length="27"/>
    </x18tc:mentions>
  </x18tc:threadedComment>
  <x18tc:threadedComment ref="N354" dT="2025-04-24T16:39:52.00" personId="{651ebe9d-f120-479c-8376-36973fff1cc1}" id="{95904a26-7d42-4163-bca9-acbcce050a0f}" parentId="{21b0c0db-7bec-48a1-88f7-30c66a582841}">
    <x18tc:text xml:space="preserve">4/23 aprobado</x18tc:text>
  </x18tc:threadedComment>
  <x18tc:threadedComment ref="A1" dT="2025-04-18T20:20:52.00" personId="{d5498dd3-4a64-46ce-9a8a-c831885a0249}" id="{e2d6ca82-5304-4a72-a30d-894b2ee6fd03}" done="1">
    <x18tc:text xml:space="preserve">follow up con day</x18tc:text>
  </x18tc:threadedComment>
  <x18tc:threadedComment ref="N345" dT="2025-04-16T15:50:09.00" personId="{651ebe9d-f120-479c-8376-36973fff1cc1}" id="{7c9dba17-a1c0-4b1f-9816-a576ec6bf048}" done="0">
    <x18tc:text xml:space="preserve">4/14 aprobado</x18tc:text>
  </x18tc:threadedComment>
  <x18tc:threadedComment ref="M345" dT="2025-04-16T15:54:09.00" personId="{651ebe9d-f120-479c-8376-36973fff1cc1}" id="{79bb1b24-4988-444d-b1fc-148fdd19ef53}" done="0">
    <x18tc:text xml:space="preserve">4/16 sent to DA</x18tc:text>
  </x18tc:threadedComment>
  <x18tc:threadedComment ref="P344" dT="2025-04-16T16:34:26.00" personId="{d5498dd3-4a64-46ce-9a8a-c831885a0249}" id="{5d084d7a-c70f-44ce-aa1a-442d0aecf6a5}" done="1">
    <x18tc:text xml:space="preserve">insp 04/17</x18tc:text>
  </x18tc:threadedComment>
  <x18tc:threadedComment ref="A1" dT="2025-04-16T21:51:43.00" personId="{d5498dd3-4a64-46ce-9a8a-c831885a0249}" id="{7dafb408-e717-4d71-b618-0920ba9ae275}" done="1">
    <x18tc:text xml:space="preserve">follow up con Day</x18tc:text>
  </x18tc:threadedComment>
  <x18tc:threadedComment ref="M349" dT="2025-04-16T22:22:20.00" personId="{d5498dd3-4a64-46ce-9a8a-c831885a0249}" id="{8e25bf77-b1df-4441-91a0-d679cb6bc837}" done="0">
    <x18tc:text xml:space="preserve">@jp.ipestimates@gmail.com paulillo manda Maria herrera porfa
Assigned to jp.ipestimates@gmail.com</x18tc:text>
    <x18tc:mentions>
      <x18tc:mention mentionpersonId="{f5ec41ac-eb21-45bf-aaa5-f7dfbc04c8e9}" mentionId="{2eaa18b7-55f2-401d-996f-1996c68689fe}" startIndex="0" length="25"/>
    </x18tc:mentions>
  </x18tc:threadedComment>
  <x18tc:threadedComment ref="M349" dT="2025-04-17T23:00:53.00" personId="{651ebe9d-f120-479c-8376-36973fff1cc1}" id="{78c44c97-2c3b-4d92-8955-ab65c847dcef}" parentId="{8e25bf77-b1df-4441-91a0-d679cb6bc837}">
    <x18tc:text xml:space="preserve">4/17 enviado carito @admin@ipadjustinggroup.com</x18tc:text>
    <x18tc:mentions>
      <x18tc:mention mentionpersonId="{1ffc25a2-3f83-4ed1-a701-edf0aba99522}" mentionId="{552fb5f2-b997-47ff-8ca3-1bc7153d8ba8}" startIndex="20" length="27"/>
    </x18tc:mentions>
  </x18tc:threadedComment>
  <x18tc:threadedComment ref="A1" dT="2025-04-16T22:22:38.00" personId="{d5498dd3-4a64-46ce-9a8a-c831885a0249}" id="{89300c10-107e-4def-ac2d-3c8b8c669448}" done="1">
    <x18tc:text xml:space="preserve">follow up con Day</x18tc:text>
  </x18tc:threadedComment>
  <x18tc:threadedComment ref="V351" dT="2025-04-17T17:17:16.00" personId="{d5498dd3-4a64-46ce-9a8a-c831885a0249}" id="{3ac48427-b2d0-4a4a-a112-f53228dde520}" done="1">
    <x18tc:text xml:space="preserve">04/17 DA offered 20K for this claim, asked for a copy of the policy (CM)</x18tc:text>
  </x18tc:threadedComment>
  <x18tc:threadedComment ref="N329" dT="2025-04-17T16:28:42.00" personId="{651ebe9d-f120-479c-8376-36973fff1cc1}" id="{30e4ed53-3149-44f5-b5ec-29147d0cbcc4}" done="0">
    <x18tc:text xml:space="preserve">4/17 sent to josh</x18tc:text>
  </x18tc:threadedComment>
  <x18tc:threadedComment ref="N329" dT="2025-04-17T22:44:52.00" personId="{651ebe9d-f120-479c-8376-36973fff1cc1}" id="{5054fc19-a1ce-4291-af82-f948ec0ec56b}" parentId="{30e4ed53-3149-44f5-b5ec-29147d0cbcc4}">
    <x18tc:text xml:space="preserve">4/17 aprobado</x18tc:text>
  </x18tc:threadedComment>
  <x18tc:threadedComment ref="V330" dT="2025-04-17T17:06:54.00" personId="{d5498dd3-4a64-46ce-9a8a-c831885a0249}" id="{e1c47050-9fb6-4fa0-bf58-5662f2295776}" done="1">
    <x18tc:text xml:space="preserve">04/17 DA stands on her decision, asked PAs how to proceed (CM)</x18tc:text>
  </x18tc:threadedComment>
  <x18tc:threadedComment ref="M329" dT="2025-04-17T22:52:05.00" personId="{651ebe9d-f120-479c-8376-36973fff1cc1}" id="{d8511690-c30d-4204-9785-05d0304c1146}" done="0">
    <x18tc:text xml:space="preserve">4/17 sent to DA @admin@ipadjustinggroup.com</x18tc:text>
    <x18tc:mentions>
      <x18tc:mention mentionpersonId="{1ffc25a2-3f83-4ed1-a701-edf0aba99522}" mentionId="{2afb0450-4949-4833-9f3e-5a1df78bfc46}" startIndex="16" length="27"/>
    </x18tc:mentions>
  </x18tc:threadedComment>
  <x18tc:threadedComment ref="O347" dT="2025-04-26T14:00:22.00" personId="{651ebe9d-f120-479c-8376-36973fff1cc1}" id="{4ad5ab70-43b9-4cd5-b8d2-995f33328565}" done="0">
    <x18tc:text xml:space="preserve">4/26 sent to client</x18tc:text>
  </x18tc:threadedComment>
  <x18tc:threadedComment ref="A321" dT="2025-04-28T13:15:51.00" personId="{d5498dd3-4a64-46ce-9a8a-c831885a0249}" id="{25bfc588-c879-4630-973a-07471621de50}" done="1">
    <x18tc:text xml:space="preserve">Wilber</x18tc:text>
  </x18tc:threadedComment>
  <x18tc:threadedComment ref="V357" dT="2025-04-28T13:26:29.00" personId="{d5498dd3-4a64-46ce-9a8a-c831885a0249}" id="{48c47623-6a0a-4988-9f52-16cb0e26b7e9}" done="1">
    <x18tc:text xml:space="preserve">04/28 received the determination, they stand on their decision, DA gave some additional info, sent to PAs (CM)</x18tc:text>
  </x18tc:threadedComment>
  <x18tc:threadedComment ref="A317" dT="2025-04-29T01:35:17.00" personId="{d5498dd3-4a64-46ce-9a8a-c831885a0249}" id="{5cdcff6e-7f1f-4589-9acc-778ab149e0a0}" done="1">
    <x18tc:text xml:space="preserve">@scheduling@ipadjustinggroup.com
Assigned to scheduling@ipadjustinggroup.com</x18tc:text>
    <x18tc:mentions>
      <x18tc:mention mentionpersonId="{2c8ec519-d5db-42bb-a5e2-52abe8ff6abf}" mentionId="{2c232dbe-dfe7-4e99-92b7-3262a0121550}" startIndex="0" length="32"/>
    </x18tc:mentions>
  </x18tc:threadedComment>
  <x18tc:threadedComment ref="M328" dT="2025-04-30T13:29:56.00" personId="{651ebe9d-f120-479c-8376-36973fff1cc1}" id="{54d5115d-4bcf-47a4-a154-9fd79f0f3b61}" done="0">
    <x18tc:text xml:space="preserve">4/30 sent to carrier</x18tc:text>
  </x18tc:threadedComment>
  <x18tc:threadedComment ref="N358" dT="2025-04-30T13:42:01.00" personId="{651ebe9d-f120-479c-8376-36973fff1cc1}" id="{d97edff3-11dd-4dde-8f6a-fbee5242d6f5}" done="0">
    <x18tc:text xml:space="preserve">josh envio incompleto, esperando q envie todo</x18tc:text>
  </x18tc:threadedComment>
  <x18tc:threadedComment ref="N358" dT="2025-05-03T22:23:34.00" personId="{651ebe9d-f120-479c-8376-36973fff1cc1}" id="{0c7d1837-c74b-46e2-9ffc-d73520c40dad}" parentId="{d97edff3-11dd-4dde-8f6a-fbee5242d6f5}">
    <x18tc:text xml:space="preserve">5/3 sent to josh</x18tc:text>
  </x18tc:threadedComment>
  <x18tc:threadedComment ref="N358" dT="2025-05-04T15:20:54.00" personId="{651ebe9d-f120-479c-8376-36973fff1cc1}" id="{92ec8ed4-5468-43da-b4a6-0ce8876055b6}" parentId="{d97edff3-11dd-4dde-8f6a-fbee5242d6f5}">
    <x18tc:text xml:space="preserve">5/3 aprobado</x18tc:text>
  </x18tc:threadedComment>
  <x18tc:threadedComment ref="N357" dT="2025-04-19T16:47:30.00" personId="{651ebe9d-f120-479c-8376-36973fff1cc1}" id="{cdbed2c2-90a3-4f90-95ee-3b9fe10714bf}" done="0">
    <x18tc:text xml:space="preserve">4/19 sent to Josh</x18tc:text>
  </x18tc:threadedComment>
  <x18tc:threadedComment ref="N357" dT="2025-04-24T18:36:15.00" personId="{651ebe9d-f120-479c-8376-36973fff1cc1}" id="{00ae2677-fc41-476f-92ae-f9864906a22a}" parentId="{cdbed2c2-90a3-4f90-95ee-3b9fe10714bf}">
    <x18tc:text xml:space="preserve">4/23 APROBADO</x18tc:text>
  </x18tc:threadedComment>
  <x18tc:threadedComment ref="A362" dT="2025-04-30T14:12:54.00" personId="{d5498dd3-4a64-46ce-9a8a-c831885a0249}" id="{618fdd96-855d-4ad5-ac39-12e3d3db8f04}" done="0">
    <x18tc:text xml:space="preserve">Joshua</x18tc:text>
  </x18tc:threadedComment>
  <x18tc:threadedComment ref="N364" dT="2025-04-30T14:25:25.00" personId="{651ebe9d-f120-479c-8376-36973fff1cc1}" id="{a6183463-80b0-49ee-8c6f-abf32d7582ae}" done="0">
    <x18tc:text xml:space="preserve">4/30 sent to Juan. no photos</x18tc:text>
  </x18tc:threadedComment>
  <x18tc:threadedComment ref="N364" dT="2025-05-01T17:07:14.00" personId="{651ebe9d-f120-479c-8376-36973fff1cc1}" id="{433811e3-28a0-4ae4-af41-35cadf0a9b7a}" parentId="{a6183463-80b0-49ee-8c6f-abf32d7582ae}">
    <x18tc:text xml:space="preserve">4/30 APROBADO</x18tc:text>
  </x18tc:threadedComment>
  <x18tc:threadedComment ref="N355" dT="2025-04-19T18:02:57.00" personId="{651ebe9d-f120-479c-8376-36973fff1cc1}" id="{787a0562-aee5-4807-b53b-d157e4833d4c}" done="0">
    <x18tc:text xml:space="preserve">4/19 sent to josh</x18tc:text>
  </x18tc:threadedComment>
  <x18tc:threadedComment ref="N355" dT="2025-04-24T19:05:15.00" personId="{651ebe9d-f120-479c-8376-36973fff1cc1}" id="{317445d5-a54e-4d79-8c0d-2e4aee910569}" parentId="{787a0562-aee5-4807-b53b-d157e4833d4c}">
    <x18tc:text xml:space="preserve">4/23 aprobado</x18tc:text>
  </x18tc:threadedComment>
  <x18tc:threadedComment ref="A238" dT="2025-04-21T16:05:00.00" personId="{d5498dd3-4a64-46ce-9a8a-c831885a0249}" id="{5e8a6fec-1460-4883-9794-47a854452041}" done="1">
    <x18tc:text xml:space="preserve">@scheduling@ipadjustinggroup.com
Assigned to scheduling@ipadjustinggroup.com</x18tc:text>
    <x18tc:mentions>
      <x18tc:mention mentionpersonId="{2c8ec519-d5db-42bb-a5e2-52abe8ff6abf}" mentionId="{c5eded5d-8a6c-48bd-a04a-2f836ae14403}" startIndex="0" length="32"/>
    </x18tc:mentions>
  </x18tc:threadedComment>
  <x18tc:threadedComment ref="A238" dT="2025-04-24T18:25:31.00" personId="{610be7ce-9288-4df9-9aac-427cc105bbe1}" id="{ae669874-02a9-4c50-8aba-c9beee2e78fe}" parentId="{5e8a6fec-1460-4883-9794-47a854452041}">
    <x18tc:text xml:space="preserve">Marked as done</x18tc:text>
  </x18tc:threadedComment>
  <x18tc:threadedComment ref="A1" dT="2025-04-21T16:24:31.00" personId="{d5498dd3-4a64-46ce-9a8a-c831885a0249}" id="{d529b9ed-5131-419e-a79b-b2c3913d710d}" done="1">
    <x18tc:text xml:space="preserve">follow up cON Day</x18tc:text>
  </x18tc:threadedComment>
  <x18tc:threadedComment ref="A279" dT="2025-04-22T14:39:52.00" personId="{d5498dd3-4a64-46ce-9a8a-c831885a0249}" id="{978da125-65c6-411c-baa0-3db6bb340043}" done="1">
    <x18tc:text xml:space="preserve">@scheduling@ipadjustinggroup.com
Assigned to scheduling@ipadjustinggroup.com</x18tc:text>
    <x18tc:mentions>
      <x18tc:mention mentionpersonId="{2c8ec519-d5db-42bb-a5e2-52abe8ff6abf}" mentionId="{e97319bb-cbb1-4d8e-b5cb-ebc953a71313}" startIndex="0" length="32"/>
    </x18tc:mentions>
  </x18tc:threadedComment>
  <x18tc:threadedComment ref="A279" dT="2025-04-24T18:34:53.00" personId="{610be7ce-9288-4df9-9aac-427cc105bbe1}" id="{d16c0c96-c3c5-4b67-b599-7d7fdca5e109}" parentId="{978da125-65c6-411c-baa0-3db6bb340043}">
    <x18tc:text xml:space="preserve">Marked as done</x18tc:text>
  </x18tc:threadedComment>
  <x18tc:threadedComment ref="M354" dT="2025-04-24T16:40:02.00" personId="{651ebe9d-f120-479c-8376-36973fff1cc1}" id="{304cd9c4-c7e1-4ddc-ad91-569f97452e2d}" done="0">
    <x18tc:text xml:space="preserve">4/23 sent to DA</x18tc:text>
  </x18tc:threadedComment>
  <x18tc:threadedComment ref="M354" dT="2025-05-08T16:50:32.00" personId="{651ebe9d-f120-479c-8376-36973fff1cc1}" id="{9ae85b78-0af4-47c5-bf17-8ef38ce70823}" parentId="{304cd9c4-c7e1-4ddc-ad91-569f97452e2d}">
    <x18tc:text xml:space="preserve">5/8 sent an update to Peter</x18tc:text>
  </x18tc:threadedComment>
  <x18tc:threadedComment ref="M354" dT="2025-05-28T16:47:07.00" personId="{651ebe9d-f120-479c-8376-36973fff1cc1}" id="{cbe782cf-ad39-4a58-9d6e-20e554d20c6d}" parentId="{304cd9c4-c7e1-4ddc-ad91-569f97452e2d}">
    <x18tc:text xml:space="preserve">5/28 sent to DA</x18tc:text>
  </x18tc:threadedComment>
  <x18tc:threadedComment ref="M357" dT="2025-04-24T19:02:36.00" personId="{651ebe9d-f120-479c-8376-36973fff1cc1}" id="{4d74e7a3-f023-4e80-a1ce-f1a14ccad2fa}" done="0">
    <x18tc:text xml:space="preserve">4/24 sent to DA</x18tc:text>
  </x18tc:threadedComment>
  <x18tc:threadedComment ref="A1" dT="2025-04-24T19:03:42.00" personId="{d5498dd3-4a64-46ce-9a8a-c831885a0249}" id="{e399ea54-00e2-46cd-9ea9-203b8927e0f0}" done="1">
    <x18tc:text xml:space="preserve">Ask Day to follow up</x18tc:text>
  </x18tc:threadedComment>
  <x18tc:threadedComment ref="M355" dT="2025-04-24T19:10:40.00" personId="{651ebe9d-f120-479c-8376-36973fff1cc1}" id="{2b78e492-5eee-418e-b1d2-bb319c7b6e51}" done="0">
    <x18tc:text xml:space="preserve">4/24 sent to carrier</x18tc:text>
  </x18tc:threadedComment>
  <x18tc:threadedComment ref="M348" dT="2025-04-24T19:16:15.00" personId="{651ebe9d-f120-479c-8376-36973fff1cc1}" id="{5817276a-7fff-44d7-9129-f82cab54e686}" done="0">
    <x18tc:text xml:space="preserve">4/23 sent to carrier</x18tc:text>
  </x18tc:threadedComment>
  <x18tc:threadedComment ref="M347" dT="2025-04-24T19:21:51.00" personId="{651ebe9d-f120-479c-8376-36973fff1cc1}" id="{8a6f1f3e-d3f2-44f8-9e2a-71592db04796}" done="0">
    <x18tc:text xml:space="preserve">4/24 sent to DA</x18tc:text>
  </x18tc:threadedComment>
  <x18tc:threadedComment ref="V348" dT="2025-04-25T17:45:16.00" personId="{d5498dd3-4a64-46ce-9a8a-c831885a0249}" id="{618a915e-e2d7-4a54-8fc8-99d9d2a0f81a}" done="1">
    <x18tc:text xml:space="preserve">04/25 DA stand on their decision, aked PAs how to proceed (CM)</x18tc:text>
  </x18tc:threadedComment>
  <x18tc:threadedComment ref="V288" dT="2025-04-28T18:30:08.00" personId="{d5498dd3-4a64-46ce-9a8a-c831885a0249}" id="{4da64028-6ab6-4099-806e-258b05d19069}" done="1">
    <x18tc:text xml:space="preserve">04/28 DA stands on their decision after reviewing our estimate, asked I&amp;P how to proceed (CM)</x18tc:text>
  </x18tc:threadedComment>
  <x18tc:threadedComment ref="A343" dT="2025-04-29T14:53:59.00" personId="{d5498dd3-4a64-46ce-9a8a-c831885a0249}" id="{2e3d92a4-fbb7-4976-bf65-15e57c3fde5e}" done="0">
    <x18tc:text xml:space="preserve">Joshua</x18tc:text>
  </x18tc:threadedComment>
  <x18tc:threadedComment ref="A288" dT="2025-04-29T16:35:10.00" personId="{d5498dd3-4a64-46ce-9a8a-c831885a0249}" id="{11d338b5-d3d0-4ce2-8704-7c32eca77cd5}" done="0">
    <x18tc:text xml:space="preserve">Joshua</x18tc:text>
  </x18tc:threadedComment>
  <x18tc:threadedComment ref="O288" dT="2025-05-01T18:58:42.00" personId="{651ebe9d-f120-479c-8376-36973fff1cc1}" id="{6211a46f-a1a4-4698-9d0d-bd295e6b8545}" done="0">
    <x18tc:text xml:space="preserve">5/1 sent to client</x18tc:text>
  </x18tc:threadedComment>
  <x18tc:threadedComment ref="A1" dT="2025-05-01T18:25:41.00" personId="{d5498dd3-4a64-46ce-9a8a-c831885a0249}" id="{d17dd593-c5a0-4732-8a78-929924dae085}" done="1">
    <x18tc:text xml:space="preserve">follow up con Day</x18tc:text>
  </x18tc:threadedComment>
  <x18tc:threadedComment ref="M358" dT="2025-05-04T15:26:58.00" personId="{651ebe9d-f120-479c-8376-36973fff1cc1}" id="{b60d9fc3-ee7a-4283-b12c-1abee3efb050}" done="0">
    <x18tc:text xml:space="preserve">5/3 sent to carrier</x18tc:text>
  </x18tc:threadedComment>
  <x18tc:threadedComment ref="A321" dT="2025-05-16T22:57:57.00" personId="{d5498dd3-4a64-46ce-9a8a-c831885a0249}" id="{17ad0dc2-50be-40d8-832e-7a01da78f8af}" done="1">
    <x18tc:text xml:space="preserve">05/16 submitted mediaiton @scheduling@ipadjustinggroup.com
Assigned to scheduling@ipadjustinggroup.com</x18tc:text>
    <x18tc:mentions>
      <x18tc:mention mentionpersonId="{2c8ec519-d5db-42bb-a5e2-52abe8ff6abf}" mentionId="{7988219a-d4f6-4005-9f65-ee54bc322240}" startIndex="26" length="32"/>
    </x18tc:mentions>
  </x18tc:threadedComment>
  <x18tc:threadedComment ref="Q356" dT="2025-05-20T17:50:41.00" personId="{d5498dd3-4a64-46ce-9a8a-c831885a0249}" id="{842ac207-6f68-45f3-b450-ccdcc8fb0357}" done="1">
    <x18tc:text xml:space="preserve">05/20</x18tc:text>
  </x18tc:threadedComment>
  <x18tc:threadedComment ref="Q372" dT="2025-05-20T17:50:49.00" personId="{d5498dd3-4a64-46ce-9a8a-c831885a0249}" id="{4a5ddcac-55b1-46f9-bb12-da02eebd44e1}" done="1">
    <x18tc:text xml:space="preserve">05/20</x18tc:text>
  </x18tc:threadedComment>
  <x18tc:threadedComment ref="V329" dT="2025-05-20T17:51:33.00" personId="{d5498dd3-4a64-46ce-9a8a-c831885a0249}" id="{595549b1-d50f-4876-9b7f-addfea8308a1}" done="1">
    <x18tc:text xml:space="preserve">05/20 followed on this claim, received the Engineer report, sent to PAs for their review (CM)</x18tc:text>
  </x18tc:threadedComment>
  <x18tc:threadedComment ref="V359" dT="2025-05-09T21:35:37.00" personId="{d5498dd3-4a64-46ce-9a8a-c831885a0249}" id="{94dbeae3-5c84-449b-a9c5-c6015e2dcc0f}" done="1">
    <x18tc:text xml:space="preserve">05/09 DA is requesting suporting documents, sent to Iván (CM)</x18tc:text>
  </x18tc:threadedComment>
  <x18tc:threadedComment ref="A315" dT="2025-05-09T22:18:00.00" personId="{d5498dd3-4a64-46ce-9a8a-c831885a0249}" id="{6f2c6351-395a-4f92-85f2-a7f4fd8292bf}" done="0">
    <x18tc:text xml:space="preserve">Joshua</x18tc:text>
  </x18tc:threadedComment>
  <x18tc:threadedComment ref="A324" dT="2025-05-09T01:34:17.00" personId="{d5498dd3-4a64-46ce-9a8a-c831885a0249}" id="{d779a218-cbde-463f-974b-b9bcd3ba10cc}" done="1">
    <x18tc:text xml:space="preserve">Juan</x18tc:text>
  </x18tc:threadedComment>
  <x18tc:threadedComment ref="N362" dT="2025-05-08T17:24:20.00" personId="{651ebe9d-f120-479c-8376-36973fff1cc1}" id="{76f15c56-b8ae-484a-badc-63d700660767}" done="0">
    <x18tc:text xml:space="preserve">5/8 sent to josh</x18tc:text>
  </x18tc:threadedComment>
  <x18tc:threadedComment ref="N362" dT="2025-05-08T22:21:18.00" personId="{651ebe9d-f120-479c-8376-36973fff1cc1}" id="{12455c4c-57fe-447e-88c7-76a3475bb1b7}" parentId="{76f15c56-b8ae-484a-badc-63d700660767}">
    <x18tc:text xml:space="preserve">5/8 aprobado</x18tc:text>
  </x18tc:threadedComment>
  <x18tc:threadedComment ref="M346" dT="2025-05-08T17:30:59.00" personId="{651ebe9d-f120-479c-8376-36973fff1cc1}" id="{bad038cb-c599-4c8e-887e-ffd429cc9cf3}" done="0">
    <x18tc:text xml:space="preserve">esperar IA report</x18tc:text>
  </x18tc:threadedComment>
  <x18tc:threadedComment ref="M346" dT="2025-05-13T16:15:27.00" personId="{651ebe9d-f120-479c-8376-36973fff1cc1}" id="{20e60da1-0957-4a0d-887f-d195466da6e5}" parentId="{bad038cb-c599-4c8e-887e-ffd429cc9cf3}">
    <x18tc:text xml:space="preserve">5/13 sent to carrier and client</x18tc:text>
  </x18tc:threadedComment>
  <x18tc:threadedComment ref="M362" dT="2025-05-08T22:28:10.00" personId="{651ebe9d-f120-479c-8376-36973fff1cc1}" id="{390e77df-7700-4bf9-9e3f-da7fb52d2da1}" done="0">
    <x18tc:text xml:space="preserve">5/8 sent to carrier</x18tc:text>
  </x18tc:threadedComment>
  <x18tc:threadedComment ref="M362" dT="2025-05-08T22:32:06.00" personId="{651ebe9d-f120-479c-8376-36973fff1cc1}" id="{a86228b1-8fbb-435b-9f26-833365ae2bf4}" parentId="{390e77df-7700-4bf9-9e3f-da7fb52d2da1}">
    <x18tc:text xml:space="preserve">Carito enviado al carrier DERANTY COHEN @admin@ipadjustinggroup.com</x18tc:text>
    <x18tc:mentions>
      <x18tc:mention mentionpersonId="{1ffc25a2-3f83-4ed1-a701-edf0aba99522}" mentionId="{b76c7aec-b0b3-4c84-bedd-e86bf5397113}" startIndex="40" length="27"/>
    </x18tc:mentions>
  </x18tc:threadedComment>
  <x18tc:threadedComment ref="M362" dT="2025-05-13T17:02:39.00" personId="{651ebe9d-f120-479c-8376-36973fff1cc1}" id="{cc444d7f-7bf7-46de-938f-efeb79959afd}" parentId="{390e77df-7700-4bf9-9e3f-da7fb52d2da1}">
    <x18tc:text xml:space="preserve">5/13 sent audit/variation  report @admin@ipadjustinggroup.com</x18tc:text>
    <x18tc:mentions>
      <x18tc:mention mentionpersonId="{1ffc25a2-3f83-4ed1-a701-edf0aba99522}" mentionId="{e7ecd895-130d-4bbb-9ebc-4f698ae672c9}" startIndex="34" length="27"/>
    </x18tc:mentions>
  </x18tc:threadedComment>
  <x18tc:threadedComment ref="V349" dT="2025-05-06T19:54:06.00" personId="{d5498dd3-4a64-46ce-9a8a-c831885a0249}" id="{5967da38-3b7f-4ed9-804a-da4732b83b04}" done="1">
    <x18tc:text xml:space="preserve">05/06 received the determination based on our estimate, it has been denied, asked PAs how to proceed (CM)</x18tc:text>
  </x18tc:threadedComment>
  <x18tc:threadedComment ref="N356" dT="2025-05-15T18:25:19.00" personId="{651ebe9d-f120-479c-8376-36973fff1cc1}" id="{d803457f-d9f4-4f97-be96-82fd82adbd7e}" done="0">
    <x18tc:text xml:space="preserve">5/15 sent to josh</x18tc:text>
  </x18tc:threadedComment>
  <x18tc:threadedComment ref="N356" dT="2025-05-19T16:16:44.00" personId="{651ebe9d-f120-479c-8376-36973fff1cc1}" id="{d5e964ac-e148-4075-945f-ead44e79e495}" parentId="{d803457f-d9f4-4f97-be96-82fd82adbd7e}">
    <x18tc:text xml:space="preserve">5/16 aprobado</x18tc:text>
  </x18tc:threadedComment>
  <x18tc:threadedComment ref="O338" dT="2025-05-16T01:02:32.00" personId="{651ebe9d-f120-479c-8376-36973fff1cc1}" id="{759a7ade-ec03-4cf2-8696-cb9cb518106c}" done="0">
    <x18tc:text xml:space="preserve">5/15 sent to client</x18tc:text>
  </x18tc:threadedComment>
  <x18tc:threadedComment ref="R341" dT="2025-05-16T16:42:49.00" personId="{d5498dd3-4a64-46ce-9a8a-c831885a0249}" id="{d7bbe356-4372-4ed7-ab89-b1e9fa3cefcc}" done="1">
    <x18tc:text xml:space="preserve">@admin@ipadjustinggroup.com  NEW DA INFO</x18tc:text>
    <x18tc:mentions>
      <x18tc:mention mentionpersonId="{1ffc25a2-3f83-4ed1-a701-edf0aba99522}" mentionId="{a4c72c01-36ae-4ffb-88ff-c64bda1c3ce8}" startIndex="0" length="27"/>
    </x18tc:mentions>
  </x18tc:threadedComment>
  <x18tc:threadedComment ref="N383" dT="2025-07-10T17:56:44.00" personId="{651ebe9d-f120-479c-8376-36973fff1cc1}" id="{8d19288e-d958-4829-8859-77afea974f73}" done="0">
    <x18tc:text xml:space="preserve">7/10 Sent to ivan</x18tc:text>
  </x18tc:threadedComment>
  <x18tc:threadedComment ref="N383" dT="2025-07-17T14:04:55.00" personId="{651ebe9d-f120-479c-8376-36973fff1cc1}" id="{4d50e756-d4dc-46c5-9f62-291583eed870}" parentId="{8d19288e-d958-4829-8859-77afea974f73}">
    <x18tc:text xml:space="preserve">7/14 aprobado</x18tc:text>
  </x18tc:threadedComment>
  <x18tc:threadedComment ref="Q335" dT="2025-06-23T15:32:20.00" personId="{d5498dd3-4a64-46ce-9a8a-c831885a0249}" id="{226e9759-3876-45bf-8dd0-8d2ce1ae92be}" done="1">
    <x18tc:text xml:space="preserve">10/29</x18tc:text>
  </x18tc:threadedComment>
  <x18tc:threadedComment ref="Q315" dT="2025-06-23T15:33:13.00" personId="{d5498dd3-4a64-46ce-9a8a-c831885a0249}" id="{39b103e0-b2e7-4ce6-8a5c-36ae09036180}" done="1">
    <x18tc:text xml:space="preserve">06/16</x18tc:text>
  </x18tc:threadedComment>
  <x18tc:threadedComment ref="N371" dT="2025-06-23T16:46:00.00" personId="{651ebe9d-f120-479c-8376-36973fff1cc1}" id="{71736341-48f9-4d25-a75f-4bf008e11fe9}" done="0">
    <x18tc:text xml:space="preserve">6/23 se envia a josh el estimado copiado del reclamo anterior de huracan milton</x18tc:text>
  </x18tc:threadedComment>
  <x18tc:threadedComment ref="N371" dT="2025-06-26T18:09:49.00" personId="{d5498dd3-4a64-46ce-9a8a-c831885a0249}" id="{8b026031-b440-43b3-9386-7258af2027fb}" parentId="{71736341-48f9-4d25-a75f-4bf008e11fe9}">
    <x18tc:text xml:space="preserve">Paulillo manda estoporfa, ya aprobo joSHUA, VI EL OTRO DIA</x18tc:text>
  </x18tc:threadedComment>
  <x18tc:threadedComment ref="N371" dT="2025-06-27T14:05:40.00" personId="{651ebe9d-f120-479c-8376-36973fff1cc1}" id="{3dca934a-9ced-4e10-b0a9-c3bc0800a925}" parentId="{71736341-48f9-4d25-a75f-4bf008e11fe9}">
    <x18tc:text xml:space="preserve">6/24 aprobado</x18tc:text>
  </x18tc:threadedComment>
  <x18tc:threadedComment ref="M372" dT="2025-07-08T16:16:10.00" personId="{651ebe9d-f120-479c-8376-36973fff1cc1}" id="{b9990089-4ea0-401d-9c3e-f1710ec6b69d}" done="0">
    <x18tc:text xml:space="preserve">7/8 sent to carrier</x18tc:text>
  </x18tc:threadedComment>
  <x18tc:threadedComment ref="A230" dT="2025-05-27T01:39:10.00" personId="{d5498dd3-4a64-46ce-9a8a-c831885a0249}" id="{2de82c9d-6927-4526-bc56-fcc853e467f8}" done="1">
    <x18tc:text xml:space="preserve">@scheduling@ipadjustinggroup.com mediation
Assigned to scheduling@ipadjustinggroup.com</x18tc:text>
    <x18tc:mentions>
      <x18tc:mention mentionpersonId="{2c8ec519-d5db-42bb-a5e2-52abe8ff6abf}" mentionId="{bce73cc1-5ebe-43f2-aefe-a273b0ba86fb}" startIndex="0" length="32"/>
    </x18tc:mentions>
  </x18tc:threadedComment>
  <x18tc:threadedComment ref="A230" dT="2025-05-28T22:16:20.00" personId="{610be7ce-9288-4df9-9aac-427cc105bbe1}" id="{a6e5c91e-05fb-4db7-a876-571391e2e4ad}" parentId="{2de82c9d-6927-4526-bc56-fcc853e467f8}">
    <x18tc:text xml:space="preserve">Marked as done</x18tc:text>
  </x18tc:threadedComment>
  <x18tc:threadedComment ref="A1" dT="2025-05-27T01:47:44.00" personId="{d5498dd3-4a64-46ce-9a8a-c831885a0249}" id="{f0450280-a408-4795-b1a1-2b1582f8c107}" done="1">
    <x18tc:text xml:space="preserve">follow up con Day</x18tc:text>
  </x18tc:threadedComment>
  <x18tc:threadedComment ref="A1" dT="2025-05-27T01:50:12.00" personId="{d5498dd3-4a64-46ce-9a8a-c831885a0249}" id="{fe95b421-0821-4db5-b81c-c2e176ed03a6}" done="1">
    <x18tc:text xml:space="preserve">follow up con Day</x18tc:text>
  </x18tc:threadedComment>
  <x18tc:threadedComment ref="A1" dT="2025-05-26T17:03:49.00" personId="{d5498dd3-4a64-46ce-9a8a-c831885a0249}" id="{109974bf-bc48-4b78-b4d8-f6cafb6c099b}" done="1">
    <x18tc:text xml:space="preserve">Pedir a Day que agende llamada con DA</x18tc:text>
  </x18tc:threadedComment>
  <x18tc:threadedComment ref="A348" dT="2025-05-26T17:25:08.00" personId="{d5498dd3-4a64-46ce-9a8a-c831885a0249}" id="{a3a83132-daf4-4519-8376-53c01dc4f33b}" done="0">
    <x18tc:text xml:space="preserve">Joshua</x18tc:text>
  </x18tc:threadedComment>
  <x18tc:threadedComment ref="A348" dT="2025-08-27T13:11:30.00" personId="{d5498dd3-4a64-46ce-9a8a-c831885a0249}" id="{167c7750-b0b9-472f-84e5-d8040b6be10a}" parentId="{a3a83132-daf4-4519-8376-53c01dc4f33b}">
    <x18tc:text xml:space="preserve">ordinance and law: $1,177.83
recoverable depreciation: 2,549.00</x18tc:text>
  </x18tc:threadedComment>
  <x18tc:threadedComment ref="Q368" dT="2025-05-27T10:08:29.00" personId="{d5498dd3-4a64-46ce-9a8a-c831885a0249}" id="{ce3065e0-da1d-4dfb-b235-e584b5958bb8}" done="1">
    <x18tc:text xml:space="preserve">05/27</x18tc:text>
  </x18tc:threadedComment>
  <x18tc:threadedComment ref="A1" dT="2025-05-27T09:26:26.00" personId="{d5498dd3-4a64-46ce-9a8a-c831885a0249}" id="{f8fb18ae-d94e-4bfd-95cc-252a5a867e85}" done="1">
    <x18tc:text xml:space="preserve">follow up con Day</x18tc:text>
  </x18tc:threadedComment>
  <x18tc:threadedComment ref="A1" dT="2025-05-27T09:41:29.00" personId="{d5498dd3-4a64-46ce-9a8a-c831885a0249}" id="{d7902e88-44e0-4bca-a2d6-2fe18569dc4a}" done="1">
    <x18tc:text xml:space="preserve">follow up con day</x18tc:text>
  </x18tc:threadedComment>
  <x18tc:threadedComment ref="N359" dT="2025-05-28T13:44:44.00" personId="{651ebe9d-f120-479c-8376-36973fff1cc1}" id="{0343f330-6b8a-4e78-9f5c-030d84db2d6e}" done="0">
    <x18tc:text xml:space="preserve">5/28 sent to ivan</x18tc:text>
  </x18tc:threadedComment>
  <x18tc:threadedComment ref="N359" dT="2025-05-28T16:55:31.00" personId="{651ebe9d-f120-479c-8376-36973fff1cc1}" id="{ad516b3e-eab9-42fe-8231-0b3142342afd}" parentId="{0343f330-6b8a-4e78-9f5c-030d84db2d6e}">
    <x18tc:text xml:space="preserve">5/28 aprobado</x18tc:text>
  </x18tc:threadedComment>
  <x18tc:threadedComment ref="M361" dT="2025-05-28T14:38:11.00" personId="{651ebe9d-f120-479c-8376-36973fff1cc1}" id="{6c6fcce6-180b-4694-9ae2-39d72cbb45f7}" done="0">
    <x18tc:text xml:space="preserve">5/28 sent to DA and client</x18tc:text>
  </x18tc:threadedComment>
  <x18tc:threadedComment ref="M359" dT="2025-05-28T17:03:46.00" personId="{651ebe9d-f120-479c-8376-36973fff1cc1}" id="{f5038228-67ed-47d4-b155-bdd3fa712a05}" done="0">
    <x18tc:text xml:space="preserve">5/28 sent to DA</x18tc:text>
  </x18tc:threadedComment>
  <x18tc:threadedComment ref="M359" dT="2025-10-31T22:31:26.00" personId="{651ebe9d-f120-479c-8376-36973fff1cc1}" id="{f1bf0fa0-c5ed-494c-878c-1b50c42988c1}" parentId="{f5038228-67ed-47d4-b155-bdd3fa712a05}">
    <x18tc:text xml:space="preserve">10/31/25 sent an update to DA</x18tc:text>
  </x18tc:threadedComment>
  <x18tc:threadedComment ref="A1" dT="2025-05-28T20:21:38.00" personId="{d5498dd3-4a64-46ce-9a8a-c831885a0249}" id="{19aa7887-a4eb-4c82-a2a0-5cebf08577e7}" done="1">
    <x18tc:text xml:space="preserve">follow up con Day</x18tc:text>
  </x18tc:threadedComment>
  <x18tc:threadedComment ref="A309" dT="2025-05-19T18:55:52.00" personId="{d5498dd3-4a64-46ce-9a8a-c831885a0249}" id="{744dfa1a-7729-4c5b-a712-70fd5164b523}" done="0">
    <x18tc:text xml:space="preserve">Juan</x18tc:text>
  </x18tc:threadedComment>
  <x18tc:threadedComment ref="A309" dT="2026-05-19T17:54:33.00" personId="{d5498dd3-4a64-46ce-9a8a-c831885a0249}" id="{270e5e94-2971-4b68-bd0e-93eef631ed1b}" parentId="{744dfa1a-7729-4c5b-a712-70fd5164b523}">
    <x18tc:text xml:space="preserve">recoverable depreciation: $5,298.52
Ordinance or Law: $4,134.67</x18tc:text>
  </x18tc:threadedComment>
  <x18tc:threadedComment ref="M356" dT="2025-05-19T16:22:14.00" personId="{651ebe9d-f120-479c-8376-36973fff1cc1}" id="{ea95c69d-833d-4616-94bb-35766a0214cb}" done="0">
    <x18tc:text xml:space="preserve">5/19 sent to DA and client</x18tc:text>
  </x18tc:threadedComment>
  <x18tc:threadedComment ref="A1" dT="2025-05-19T17:54:36.00" personId="{d5498dd3-4a64-46ce-9a8a-c831885a0249}" id="{fedad54a-fb7d-4dce-a68b-baf462a3f706}" done="1">
    <x18tc:text xml:space="preserve">follow up ocn day</x18tc:text>
  </x18tc:threadedComment>
  <x18tc:threadedComment ref="M325" dT="2025-05-19T17:56:42.00" personId="{651ebe9d-f120-479c-8376-36973fff1cc1}" id="{52074df7-6718-463b-8fec-dc48a42b799c}" done="0">
    <x18tc:text xml:space="preserve">5/19 sent to DA and client</x18tc:text>
  </x18tc:threadedComment>
  <x18tc:threadedComment ref="O321" dT="2025-05-19T18:17:37.00" personId="{651ebe9d-f120-479c-8376-36973fff1cc1}" id="{5b539322-8ffb-45ef-b9d3-81858d71563a}" done="1">
    <x18tc:text xml:space="preserve">5/19 sent to client to sign</x18tc:text>
  </x18tc:threadedComment>
  <x18tc:threadedComment ref="A347" dT="2025-05-21T16:45:38.00" personId="{d5498dd3-4a64-46ce-9a8a-c831885a0249}" id="{f14a6bb8-f971-4d72-97e2-4f11b5ad310d}" done="1">
    <x18tc:text xml:space="preserve">@scheduling@ipadjustinggroup.com Day hazle seguimiento a esta mediacion porfa
Assigned to scheduling@ipadjustinggroup.com</x18tc:text>
    <x18tc:mentions>
      <x18tc:mention mentionpersonId="{2c8ec519-d5db-42bb-a5e2-52abe8ff6abf}" mentionId="{22b6ce95-65f0-4d62-9879-4b98ca49a561}" startIndex="0" length="32"/>
    </x18tc:mentions>
  </x18tc:threadedComment>
  <x18tc:threadedComment ref="A347" dT="2025-05-22T02:29:54.00" personId="{610be7ce-9288-4df9-9aac-427cc105bbe1}" id="{4b975855-672c-4541-92f0-991e65972024}" parentId="{f14a6bb8-f971-4d72-97e2-4f11b5ad310d}">
    <x18tc:text xml:space="preserve">Marked as done</x18tc:text>
  </x18tc:threadedComment>
  <x18tc:threadedComment ref="A1" dT="2025-05-27T15:48:24.00" personId="{d5498dd3-4a64-46ce-9a8a-c831885a0249}" id="{a978ec76-4039-41b6-96fb-6fbfddcebb80}" done="1">
    <x18tc:text xml:space="preserve">follow up ocn day</x18tc:text>
  </x18tc:threadedComment>
  <x18tc:threadedComment ref="M352" dT="2025-05-27T15:32:05.00" personId="{651ebe9d-f120-479c-8376-36973fff1cc1}" id="{108e50b8-8ff6-4885-bee0-5f74cf900edf}" done="0">
    <x18tc:text xml:space="preserve">5/27 sent to DA</x18tc:text>
  </x18tc:threadedComment>
  <x18tc:threadedComment ref="N352" dT="2025-05-27T15:32:09.00" personId="{651ebe9d-f120-479c-8376-36973fff1cc1}" id="{eeb67141-e9b0-4694-86ea-7fd0eae501d8}" done="0">
    <x18tc:text xml:space="preserve">5/27 se cambio el c# del reclamo anterior y se envio al DA</x18tc:text>
  </x18tc:threadedComment>
  <x18tc:threadedComment ref="N188" dT="2025-05-27T16:17:20.00" personId="{651ebe9d-f120-479c-8376-36973fff1cc1}" id="{0876aec7-1d2b-4285-9f1f-58cc4b237318}" done="0">
    <x18tc:text xml:space="preserve">5/27 updated the estimate, compared with IA report</x18tc:text>
  </x18tc:threadedComment>
  <x18tc:threadedComment ref="A352" dT="2025-05-30T13:17:17.00" personId="{d5498dd3-4a64-46ce-9a8a-c831885a0249}" id="{253c8fe2-6bc6-46a9-82de-ad97d8a338aa}" done="0">
    <x18tc:text xml:space="preserve">Joshua</x18tc:text>
  </x18tc:threadedComment>
  <x18tc:threadedComment ref="A352" dT="2025-09-05T20:31:47.00" personId="{d5498dd3-4a64-46ce-9a8a-c831885a0249}" id="{c69e9fa6-f1cd-435d-aa28-904e5b469224}" parentId="{253c8fe2-6bc6-46a9-82de-ad97d8a338aa}">
    <x18tc:text xml:space="preserve">O&amp;L $1406,54</x18tc:text>
  </x18tc:threadedComment>
  <x18tc:threadedComment ref="D363" dT="2025-07-10T18:05:31.00" personId="{651ebe9d-f120-479c-8376-36973fff1cc1}" id="{c3abc17c-1a3f-47ac-8c03-14a4ed124d60}" done="1">
    <x18tc:text xml:space="preserve">7/11 @admin@ipadjustinggroup.com Carito, Juan dice que no va a continuar con este reclamo.
Assigned to admin@ipadjustinggroup.com</x18tc:text>
    <x18tc:mentions>
      <x18tc:mention mentionpersonId="{1ffc25a2-3f83-4ed1-a701-edf0aba99522}" mentionId="{6e6c3e57-5de3-4e8b-8db1-3f0e0919c981}" startIndex="5" length="27"/>
    </x18tc:mentions>
  </x18tc:threadedComment>
  <x18tc:threadedComment ref="D363" dT="2025-07-10T18:46:33.00" personId="{d5498dd3-4a64-46ce-9a8a-c831885a0249}" id="{538e0349-bde1-4336-b301-b13b909c2ef5}" parentId="{c3abc17c-1a3f-47ac-8c03-14a4ed124d60}">
    <x18tc:text xml:space="preserve">que diciendooo chuzo, ya.... @scheduling@ipadjustinggroup.com pilas
Reassigned to scheduling@ipadjustinggroup.com</x18tc:text>
    <x18tc:mentions>
      <x18tc:mention mentionpersonId="{2c8ec519-d5db-42bb-a5e2-52abe8ff6abf}" mentionId="{32315bdf-abb9-4564-97c4-19ea6423aea0}" startIndex="29" length="32"/>
    </x18tc:mentions>
  </x18tc:threadedComment>
  <x18tc:threadedComment ref="D363" dT="2025-07-11T15:18:42.00" personId="{610be7ce-9288-4df9-9aac-427cc105bbe1}" id="{80d50968-f663-4b68-8a1b-c79c504a91e3}" parentId="{c3abc17c-1a3f-47ac-8c03-14a4ed124d60}">
    <x18tc:text xml:space="preserve">Yes mai frens, ya quepsf</x18tc:text>
  </x18tc:threadedComment>
  <x18tc:threadedComment ref="O276" dT="2025-07-11T14:30:12.00" personId="{651ebe9d-f120-479c-8376-36973fff1cc1}" id="{cc1c179a-867f-4741-9cc8-95e32ad787df}" done="0">
    <x18tc:text xml:space="preserve">7/11 sent to client</x18tc:text>
  </x18tc:threadedComment>
  <x18tc:threadedComment ref="M344" dT="2025-05-29T17:54:01.00" personId="{651ebe9d-f120-479c-8376-36973fff1cc1}" id="{fed92577-5d6f-40e8-b05b-e88781db1f29}" done="0">
    <x18tc:text xml:space="preserve">5/28 ivan llego a un acuerdo</x18tc:text>
  </x18tc:threadedComment>
  <x18tc:threadedComment ref="N370" dT="2025-05-29T18:22:31.00" personId="{651ebe9d-f120-479c-8376-36973fff1cc1}" id="{9eb718a5-f564-40f0-a6c7-d81bb1dcaedb}" done="0">
    <x18tc:text xml:space="preserve">5/29 sent to josh</x18tc:text>
  </x18tc:threadedComment>
  <x18tc:threadedComment ref="N370" dT="2025-05-29T18:26:35.00" personId="{651ebe9d-f120-479c-8376-36973fff1cc1}" id="{303d7ee2-61c7-47bf-b526-3b65e5b8b42d}" parentId="{9eb718a5-f564-40f0-a6c7-d81bb1dcaedb}">
    <x18tc:text xml:space="preserve">5/29 aprobado</x18tc:text>
  </x18tc:threadedComment>
  <x18tc:threadedComment ref="N370" dT="2025-06-10T14:10:42.00" personId="{651ebe9d-f120-479c-8376-36973fff1cc1}" id="{1ba15c0f-7d28-4bd7-a31a-11b030d12cb6}" parentId="{9eb718a5-f564-40f0-a6c7-d81bb1dcaedb}">
    <x18tc:text xml:space="preserve">6/3 aprobado</x18tc:text>
  </x18tc:threadedComment>
  <x18tc:threadedComment ref="N278" dT="2025-05-30T15:31:38.00" personId="{651ebe9d-f120-479c-8376-36973fff1cc1}" id="{91564119-d845-4c11-b88a-b42cbff0e0ec}" done="0">
    <x18tc:text xml:space="preserve">5/30 sent to Peter</x18tc:text>
  </x18tc:threadedComment>
  <x18tc:threadedComment ref="N278" dT="2025-05-30T15:33:57.00" personId="{651ebe9d-f120-479c-8376-36973fff1cc1}" id="{1bffd615-0d2a-4b7d-b69b-413046f36809}" parentId="{91564119-d845-4c11-b88a-b42cbff0e0ec}">
    <x18tc:text xml:space="preserve">5/30 aprobado</x18tc:text>
  </x18tc:threadedComment>
  <x18tc:threadedComment ref="N373" dT="2025-05-30T15:59:26.00" personId="{651ebe9d-f120-479c-8376-36973fff1cc1}" id="{81552c24-ccb9-4eed-ae07-da3107239c38}" done="0">
    <x18tc:text xml:space="preserve">5/30 sent to josh</x18tc:text>
  </x18tc:threadedComment>
  <x18tc:threadedComment ref="N373" dT="2025-06-10T14:12:59.00" personId="{651ebe9d-f120-479c-8376-36973fff1cc1}" id="{0f5ac6d2-96fe-4343-940d-0690dceef78b}" parentId="{81552c24-ccb9-4eed-ae07-da3107239c38}">
    <x18tc:text xml:space="preserve">6/3 aprobado</x18tc:text>
  </x18tc:threadedComment>
  <x18tc:threadedComment ref="N374" dT="2025-05-31T16:22:20.00" personId="{651ebe9d-f120-479c-8376-36973fff1cc1}" id="{ba0c504d-9675-4046-81e5-e263029b209b}" done="0">
    <x18tc:text xml:space="preserve">6/11 Sent to Josh</x18tc:text>
  </x18tc:threadedComment>
  <x18tc:threadedComment ref="N374" dT="2025-06-17T12:41:39.00" personId="{651ebe9d-f120-479c-8376-36973fff1cc1}" id="{113ad899-8457-4284-804d-fdc1e1bdedb8}" parentId="{ba0c504d-9675-4046-81e5-e263029b209b}">
    <x18tc:text xml:space="preserve">6/17 sent update to josh</x18tc:text>
  </x18tc:threadedComment>
  <x18tc:threadedComment ref="N374" dT="2025-06-19T15:11:23.00" personId="{651ebe9d-f120-479c-8376-36973fff1cc1}" id="{d2b427a3-2a5d-439c-8044-b6cbfe2ab51f}" parentId="{ba0c504d-9675-4046-81e5-e263029b209b}">
    <x18tc:text xml:space="preserve">6/18 aprobado</x18tc:text>
  </x18tc:threadedComment>
  <x18tc:threadedComment ref="O348" dT="2025-05-31T00:19:50.00" personId="{651ebe9d-f120-479c-8376-36973fff1cc1}" id="{1bbd3553-0e17-47f8-bda7-47caf4ff3681}" done="1">
    <x18tc:text xml:space="preserve">5/30 Sent to client</x18tc:text>
  </x18tc:threadedComment>
  <x18tc:threadedComment ref="N372" dT="2025-06-10T14:15:48.00" personId="{651ebe9d-f120-479c-8376-36973fff1cc1}" id="{467f474c-9a7f-41ec-a137-b0eea4d1564c}" done="0">
    <x18tc:text xml:space="preserve">6/3 aprobado</x18tc:text>
  </x18tc:threadedComment>
  <x18tc:threadedComment ref="N372" dT="2025-06-27T15:21:31.00" personId="{651ebe9d-f120-479c-8376-36973fff1cc1}" id="{4b5d26c1-aa85-4198-a982-2355f7883ae6}" parentId="{467f474c-9a7f-41ec-a137-b0eea4d1564c}">
    <x18tc:text xml:space="preserve">6/27 sent an update to josh</x18tc:text>
  </x18tc:threadedComment>
  <x18tc:threadedComment ref="N372" dT="2025-07-01T15:50:35.00" personId="{651ebe9d-f120-479c-8376-36973fff1cc1}" id="{161ffc74-13b7-472b-a785-207cd9af9dad}" parentId="{467f474c-9a7f-41ec-a137-b0eea4d1564c}">
    <x18tc:text xml:space="preserve">7/1 aprobado</x18tc:text>
  </x18tc:threadedComment>
  <x18tc:threadedComment ref="A1" dT="2025-06-10T01:45:04.00" personId="{d5498dd3-4a64-46ce-9a8a-c831885a0249}" id="{f787e845-b0e7-49e3-b678-c822674bbde4}" done="1">
    <x18tc:text xml:space="preserve">FOLLOW UP CON DAY</x18tc:text>
  </x18tc:threadedComment>
  <x18tc:threadedComment ref="A345" dT="2025-06-11T17:31:18.00" personId="{d5498dd3-4a64-46ce-9a8a-c831885a0249}" id="{376469a2-c842-467c-85a9-da9ce3524b24}" done="1">
    <x18tc:text xml:space="preserve">@scheduling@ipadjustinggroup.com
Assigned to scheduling@ipadjustinggroup.com</x18tc:text>
    <x18tc:mentions>
      <x18tc:mention mentionpersonId="{2c8ec519-d5db-42bb-a5e2-52abe8ff6abf}" mentionId="{dc3e6532-92d7-4ed7-8f4d-d11bafcc57e6}" startIndex="0" length="32"/>
    </x18tc:mentions>
  </x18tc:threadedComment>
  <x18tc:threadedComment ref="A365" dT="2025-06-11T17:39:41.00" personId="{d5498dd3-4a64-46ce-9a8a-c831885a0249}" id="{fa846844-adcd-40e0-aced-4e80955fd9af}" done="1">
    <x18tc:text xml:space="preserve">@scheduling@ipadjustinggroup.com</x18tc:text>
    <x18tc:mentions>
      <x18tc:mention mentionpersonId="{2c8ec519-d5db-42bb-a5e2-52abe8ff6abf}" mentionId="{000b7f5f-7a34-4347-8a89-4749c5d61889}" startIndex="0" length="32"/>
    </x18tc:mentions>
  </x18tc:threadedComment>
  <x18tc:threadedComment ref="A360" dT="2025-06-11T17:43:35.00" personId="{d5498dd3-4a64-46ce-9a8a-c831885a0249}" id="{afa94d3f-1978-42fe-91fe-e1bf1084b942}" done="1">
    <x18tc:text xml:space="preserve">@scheduling@ipadjustinggroup.com
Assigned to scheduling@ipadjustinggroup.com</x18tc:text>
    <x18tc:mentions>
      <x18tc:mention mentionpersonId="{2c8ec519-d5db-42bb-a5e2-52abe8ff6abf}" mentionId="{f1606782-bfb2-4f72-bd8a-5c483a544a8f}" startIndex="0" length="32"/>
    </x18tc:mentions>
  </x18tc:threadedComment>
  <x18tc:threadedComment ref="V356" dT="2025-06-11T19:06:18.00" personId="{d5498dd3-4a64-46ce-9a8a-c831885a0249}" id="{d0de19a6-4f6b-46fe-a8f4-ef1680471e27}" done="0">
    <x18tc:text xml:space="preserve">06/11 received a denial letter, asked how to proceed (CM)</x18tc:text>
  </x18tc:threadedComment>
  <x18tc:threadedComment ref="M278" dT="2025-06-11T15:15:01.00" personId="{651ebe9d-f120-479c-8376-36973fff1cc1}" id="{a4f76f5b-774b-4775-8482-799c3a43a626}" done="0">
    <x18tc:text xml:space="preserve">6/11 sent the update to DA</x18tc:text>
  </x18tc:threadedComment>
  <x18tc:threadedComment ref="Q369" dT="2025-06-11T15:16:17.00" personId="{d5498dd3-4a64-46ce-9a8a-c831885a0249}" id="{c1d5f42c-f8a9-40d9-9749-6ad632eb9f6f}" done="0">
    <x18tc:text xml:space="preserve">06/11</x18tc:text>
  </x18tc:threadedComment>
  <x18tc:threadedComment ref="V313" dT="2025-06-11T16:23:33.00" personId="{d5498dd3-4a64-46ce-9a8a-c831885a0249}" id="{e6e8a159-f3ca-4bd0-9c63-2d78fd95ed04}" done="1">
    <x18tc:text xml:space="preserve">06/11 spoke with customer service, they informed me the claim has been denied as is wasn't wind related, sent to PAs asked how to proceed (CM)</x18tc:text>
  </x18tc:threadedComment>
  <x18tc:threadedComment ref="R362" dT="2025-06-11T17:04:41.00" personId="{610be7ce-9288-4df9-9aac-427cc105bbe1}" id="{e648a16d-a81c-4e4f-a73d-764e02d6bfd4}" done="1">
    <x18tc:text xml:space="preserve">06/11 CS provided new DA info since he invoked appraisal. Left a vm to new DA asking for updates regarding the appraisal @admin@ipadjustinggroup.com
Assigned to admin@ipadjustinggroup.com</x18tc:text>
    <x18tc:mentions>
      <x18tc:mention mentionpersonId="{1ffc25a2-3f83-4ed1-a701-edf0aba99522}" mentionId="{00881381-6453-40d4-91fa-52e61aa17429}" startIndex="121" length="27"/>
    </x18tc:mentions>
  </x18tc:threadedComment>
  <x18tc:threadedComment ref="R362" dT="2025-06-11T19:08:54.00" personId="{d5498dd3-4a64-46ce-9a8a-c831885a0249}" id="{faa7f6b5-d823-4bb7-b57e-c18475371a81}" parentId="{e648a16d-a81c-4e4f-a73d-764e02d6bfd4}">
    <x18tc:text xml:space="preserve">Marked as done</x18tc:text>
  </x18tc:threadedComment>
  <x18tc:threadedComment ref="M369" dT="2025-06-11T17:06:36.00" personId="{651ebe9d-f120-479c-8376-36973fff1cc1}" id="{7c548404-546d-44d6-8dc6-876ac777c235}" done="0">
    <x18tc:text xml:space="preserve">6/11 sent to DA</x18tc:text>
  </x18tc:threadedComment>
  <x18tc:threadedComment ref="Q364" dT="2025-06-16T14:12:49.00" personId="{d5498dd3-4a64-46ce-9a8a-c831885a0249}" id="{aa026a69-8dc6-424f-a0cb-056300a819c5}" done="1">
    <x18tc:text xml:space="preserve">06/16</x18tc:text>
  </x18tc:threadedComment>
  <x18tc:threadedComment ref="Q363" dT="2025-06-16T14:12:54.00" personId="{d5498dd3-4a64-46ce-9a8a-c831885a0249}" id="{064b16d4-d9dd-4f08-b619-f095a7485321}" done="1">
    <x18tc:text xml:space="preserve">06/16</x18tc:text>
  </x18tc:threadedComment>
  <x18tc:threadedComment ref="Q341" dT="2025-06-16T14:13:00.00" personId="{d5498dd3-4a64-46ce-9a8a-c831885a0249}" id="{8c10c6e5-8ffb-4764-bb74-53a149637341}" done="1">
    <x18tc:text xml:space="preserve">06/16</x18tc:text>
  </x18tc:threadedComment>
  <x18tc:threadedComment ref="Q377" dT="2025-06-16T14:12:43.00" personId="{d5498dd3-4a64-46ce-9a8a-c831885a0249}" id="{b2023f1e-4c18-43fd-9ca1-fbe91de1d43a}" done="1">
    <x18tc:text xml:space="preserve">06/16</x18tc:text>
  </x18tc:threadedComment>
  <x18tc:threadedComment ref="Q338" dT="2025-06-16T14:13:05.00" personId="{d5498dd3-4a64-46ce-9a8a-c831885a0249}" id="{fef4b00a-5225-4bae-af6d-afe6c8b56cdb}" done="1">
    <x18tc:text xml:space="preserve">06/16</x18tc:text>
  </x18tc:threadedComment>
  <x18tc:threadedComment ref="Q276" dT="2025-06-16T14:13:12.00" personId="{d5498dd3-4a64-46ce-9a8a-c831885a0249}" id="{b3e2b56a-8d31-4787-89c0-ef060ef9f2c1}" done="1">
    <x18tc:text xml:space="preserve">06/16</x18tc:text>
  </x18tc:threadedComment>
  <x18tc:threadedComment ref="A346" dT="2025-06-19T17:31:30.00" personId="{d5498dd3-4a64-46ce-9a8a-c831885a0249}" id="{d6742f34-02ac-4e6e-83d2-6a2ec3cf45c9}" done="0">
    <x18tc:text xml:space="preserve">Juan</x18tc:text>
  </x18tc:threadedComment>
  <x18tc:threadedComment ref="A346" dT="2026-07-17T21:18:30.00" personId="{d5498dd3-4a64-46ce-9a8a-c831885a0249}" id="{b69db8c7-e50e-432c-9b80-1726bf015e56}" parentId="{d6742f34-02ac-4e6e-83d2-6a2ec3cf45c9}">
    <x18tc:text xml:space="preserve">$8,601.68</x18tc:text>
  </x18tc:threadedComment>
  <x18tc:threadedComment ref="A1" dT="2025-06-19T15:26:44.00" personId="{651ebe9d-f120-479c-8376-36973fff1cc1}" id="{4e333c71-39ab-4519-afc2-c9a098dbaf15}" done="0">
    <x18tc:text xml:space="preserve">6/19 sent to client</x18tc:text>
  </x18tc:threadedComment>
  <x18tc:threadedComment ref="M373" dT="2025-06-19T15:55:08.00" personId="{651ebe9d-f120-479c-8376-36973fff1cc1}" id="{92b92a95-b504-4164-98d6-5dc16190af6d}" done="0">
    <x18tc:text xml:space="preserve">6/19 sent to carrier</x18tc:text>
  </x18tc:threadedComment>
  <x18tc:threadedComment ref="A45" dT="2025-06-19T17:59:09.00" personId="{d5498dd3-4a64-46ce-9a8a-c831885a0249}" id="{d792fb87-867d-436d-9df1-0b09607b00ae}" done="1">
    <x18tc:text xml:space="preserve">Recoverable depreciation:
Coverage A: $2,667.97
Coverage B: $2,861.55</x18tc:text>
  </x18tc:threadedComment>
  <x18tc:threadedComment ref="A59" dT="2025-06-19T18:14:04.00" personId="{d5498dd3-4a64-46ce-9a8a-c831885a0249}" id="{1d2c498f-a2e2-4b7f-9312-b099aea84dbe}" done="0">
    <x18tc:text xml:space="preserve">Recoverable depreciation:
Coverage A: $1,610.87</x18tc:text>
  </x18tc:threadedComment>
  <x18tc:threadedComment ref="A69" dT="2025-06-19T18:17:58.00" personId="{d5498dd3-4a64-46ce-9a8a-c831885a0249}" id="{b13a7bbf-e09f-4cee-9f6a-ebc14e1df3b5}" done="1">
    <x18tc:text xml:space="preserve">Recoverable depreciation:
Coverage A: $2,021.15
Coverage B: $681.26</x18tc:text>
  </x18tc:threadedComment>
  <x18tc:threadedComment ref="A97" dT="2025-06-19T18:23:10.00" personId="{d5498dd3-4a64-46ce-9a8a-c831885a0249}" id="{12a42ae6-ad83-42c9-b109-19ff0eda4957}" done="0">
    <x18tc:text xml:space="preserve">Recoverable Depreciation:
Coverage A: $2,559.97
Coverage B: $944.68</x18tc:text>
  </x18tc:threadedComment>
  <x18tc:threadedComment ref="A100" dT="2025-06-19T18:25:31.00" personId="{d5498dd3-4a64-46ce-9a8a-c831885a0249}" id="{b92b15a8-6814-42e7-8d9d-b735cd565e18}" done="0">
    <x18tc:text xml:space="preserve">Recoverable Depreciation:
Coverage A: $5,462.76</x18tc:text>
  </x18tc:threadedComment>
  <x18tc:threadedComment ref="A109" dT="2025-06-19T18:30:20.00" personId="{d5498dd3-4a64-46ce-9a8a-c831885a0249}" id="{0db1d3ac-ee25-4733-a743-3307ff339330}" done="0">
    <x18tc:text xml:space="preserve">Recoverable depreciation:
Coverage A: $2,165.91</x18tc:text>
  </x18tc:threadedComment>
  <x18tc:threadedComment ref="A112" dT="2025-06-19T18:31:50.00" personId="{d5498dd3-4a64-46ce-9a8a-c831885a0249}" id="{dfc8fc58-824e-4173-96d0-805ecdfc170d}" done="0">
    <x18tc:text xml:space="preserve">Recoverable depreciation:
Coverage A: $5,350.28</x18tc:text>
  </x18tc:threadedComment>
  <x18tc:threadedComment ref="A129" dT="2025-06-19T18:34:01.00" personId="{d5498dd3-4a64-46ce-9a8a-c831885a0249}" id="{2251a0fd-72f7-41e5-aed8-e37c3154a887}" done="0">
    <x18tc:text xml:space="preserve">NO Recoverable depreciation</x18tc:text>
  </x18tc:threadedComment>
  <x18tc:threadedComment ref="A134" dT="2025-06-19T18:36:09.00" personId="{d5498dd3-4a64-46ce-9a8a-c831885a0249}" id="{6eb874ab-735a-406d-8862-8d9e686e622d}" done="0">
    <x18tc:text xml:space="preserve">Recoverable depreciation:
Coverage A: $1,763.44
Coverage B: $609.86</x18tc:text>
  </x18tc:threadedComment>
  <x18tc:threadedComment ref="A169" dT="2025-08-09T00:07:03.00" personId="{d5498dd3-4a64-46ce-9a8a-c831885a0249}" id="{ca80d571-b385-4f09-926e-a6ee2144dc94}" done="0">
    <x18tc:text xml:space="preserve">Peter</x18tc:text>
  </x18tc:threadedComment>
  <x18tc:threadedComment ref="A169" dT="2025-08-09T00:07:12.00" personId="{d5498dd3-4a64-46ce-9a8a-c831885a0249}" id="{368be71b-168e-4c6f-b373-d868ff5fcb1a}" parentId="{ca80d571-b385-4f09-926e-a6ee2144dc94}">
    <x18tc:text xml:space="preserve">No pending recoverable</x18tc:text>
  </x18tc:threadedComment>
  <x18tc:threadedComment ref="A189" dT="2025-08-09T00:14:45.00" personId="{d5498dd3-4a64-46ce-9a8a-c831885a0249}" id="{41480b84-7076-4e82-bd8a-41a77320996c}" done="0">
    <x18tc:text xml:space="preserve">Wilber</x18tc:text>
  </x18tc:threadedComment>
  <x18tc:threadedComment ref="A189" dT="2025-08-09T00:14:53.00" personId="{d5498dd3-4a64-46ce-9a8a-c831885a0249}" id="{83d1d126-8356-40de-ab3b-a2fce04dadcb}" parentId="{41480b84-7076-4e82-bd8a-41a77320996c}">
    <x18tc:text xml:space="preserve">O&amp;L: $1,364.00
Recoverable dep: $2,776.43</x18tc:text>
  </x18tc:threadedComment>
  <x18tc:threadedComment ref="A121" dT="2025-08-08T18:27:11.00" personId="{d5498dd3-4a64-46ce-9a8a-c831885a0249}" id="{6df49e4a-6905-4fad-ada1-145ef9cb0b2b}" done="0">
    <x18tc:text xml:space="preserve">Stephen</x18tc:text>
  </x18tc:threadedComment>
  <x18tc:threadedComment ref="A138" dT="2025-08-08T23:51:29.00" personId="{d5498dd3-4a64-46ce-9a8a-c831885a0249}" id="{514eaf70-37d3-4929-8ac4-6d976106f001}" done="0">
    <x18tc:text xml:space="preserve">Peter</x18tc:text>
  </x18tc:threadedComment>
  <x18tc:threadedComment ref="A138" dT="2025-08-08T23:52:37.00" personId="{d5498dd3-4a64-46ce-9a8a-c831885a0249}" id="{2ce26dac-6a4d-4e54-866d-2095a2bbb823}" parentId="{514eaf70-37d3-4929-8ac4-6d976106f001}">
    <x18tc:text xml:space="preserve">Ordinance or Law: $3,282.04
Recoverable
Depreciation: $3,137.39,</x18tc:text>
  </x18tc:threadedComment>
  <x18tc:threadedComment ref="A142" dT="2025-08-08T23:54:13.00" personId="{d5498dd3-4a64-46ce-9a8a-c831885a0249}" id="{fc3e0b6c-d917-49be-90a7-e24f8114939f}" done="0">
    <x18tc:text xml:space="preserve">Peter</x18tc:text>
  </x18tc:threadedComment>
  <x18tc:threadedComment ref="A142" dT="2025-08-08T23:54:32.00" personId="{d5498dd3-4a64-46ce-9a8a-c831885a0249}" id="{906cde1e-89c5-48cb-a0df-ff52d22ad3c1}" parentId="{fc3e0b6c-d917-49be-90a7-e24f8114939f}">
    <x18tc:text xml:space="preserve">Not sure on this one for recoverables</x18tc:text>
  </x18tc:threadedComment>
  <x18tc:threadedComment ref="A148" dT="2025-08-08T23:56:26.00" personId="{d5498dd3-4a64-46ce-9a8a-c831885a0249}" id="{cd94e0ca-844c-4bcd-866f-162d9d578d72}" done="0">
    <x18tc:text xml:space="preserve">Wilber</x18tc:text>
  </x18tc:threadedComment>
  <x18tc:threadedComment ref="A148" dT="2025-08-08T23:57:11.00" personId="{d5498dd3-4a64-46ce-9a8a-c831885a0249}" id="{7994a2ca-e057-4278-86d8-f796565ff30b}" parentId="{cd94e0ca-844c-4bcd-866f-162d9d578d72}">
    <x18tc:text xml:space="preserve">Recoverable depreciation $ 1,206.31</x18tc:text>
  </x18tc:threadedComment>
  <x18tc:threadedComment ref="A150" dT="2025-08-08T23:57:53.00" personId="{d5498dd3-4a64-46ce-9a8a-c831885a0249}" id="{f570a81b-40aa-48c8-a200-a7d5cf09667b}" done="1">
    <x18tc:text xml:space="preserve">Stephen</x18tc:text>
  </x18tc:threadedComment>
  <x18tc:threadedComment ref="A354" dT="2025-07-16T18:44:53.00" personId="{d5498dd3-4a64-46ce-9a8a-c831885a0249}" id="{350a3aaa-16df-41fa-9e8c-c8f15bcb0821}" done="1">
    <x18tc:text xml:space="preserve">Joshua</x18tc:text>
  </x18tc:threadedComment>
  <x18tc:threadedComment ref="A380" dT="2025-07-16T18:54:13.00" personId="{d5498dd3-4a64-46ce-9a8a-c831885a0249}" id="{bf018a46-eccf-4ee1-8ef8-40a196e7fb0e}" done="1">
    <x18tc:text xml:space="preserve">@scheduling@ipadjustinggroup.com
Assigned to scheduling@ipadjustinggroup.com</x18tc:text>
    <x18tc:mentions>
      <x18tc:mention mentionpersonId="{2c8ec519-d5db-42bb-a5e2-52abe8ff6abf}" mentionId="{4b0684dd-2b9d-4605-9c08-d3e37b73af8f}" startIndex="0" length="32"/>
    </x18tc:mentions>
  </x18tc:threadedComment>
  <x18tc:threadedComment ref="A380" dT="2025-07-16T20:59:01.00" personId="{610be7ce-9288-4df9-9aac-427cc105bbe1}" id="{ec9a1c0a-5339-46f1-b03c-48cdf57b2384}" parentId="{bf018a46-eccf-4ee1-8ef8-40a196e7fb0e}">
    <x18tc:text xml:space="preserve">Marked as done</x18tc:text>
  </x18tc:threadedComment>
  <x18tc:threadedComment ref="V368" dT="2025-06-02T10:26:46.00" personId="{d5498dd3-4a64-46ce-9a8a-c831885a0249}" id="{62f179c5-2939-46bf-a697-d8cda0ccb7d0}" done="1">
    <x18tc:text xml:space="preserve">06/03 cc'd Iván so he may reply to DA inquiries (CM)</x18tc:text>
  </x18tc:threadedComment>
  <x18tc:threadedComment ref="V367" dT="2025-06-02T15:42:24.00" personId="{d5498dd3-4a64-46ce-9a8a-c831885a0249}" id="{dab3f06f-586d-4a95-8748-a0162846a678}" done="1">
    <x18tc:text xml:space="preserve">05/30 DA stands on his decision, asked PAs how to proceed (CM)</x18tc:text>
  </x18tc:threadedComment>
  <x18tc:threadedComment ref="A1" dT="2025-06-03T17:17:57.00" personId="{d5498dd3-4a64-46ce-9a8a-c831885a0249}" id="{e066173e-b475-434a-a653-4cac327bfaa4}" done="1">
    <x18tc:text xml:space="preserve">06/03 followed up on the OA info, cc'd Day so she can follow up next time (CM) @scheduling@ipadjustinggroup.com
Assigned to scheduling@ipadjustinggroup.com</x18tc:text>
    <x18tc:mentions>
      <x18tc:mention mentionpersonId="{2c8ec519-d5db-42bb-a5e2-52abe8ff6abf}" mentionId="{62c0e5be-f84f-42a7-8b9c-37de9735e1e8}" startIndex="79" length="32"/>
    </x18tc:mentions>
  </x18tc:threadedComment>
  <x18tc:threadedComment ref="A297" dT="2025-06-04T20:18:58.00" personId="{d5498dd3-4a64-46ce-9a8a-c831885a0249}" id="{5b640376-1e90-49d5-9870-e78f313119b6}" done="1">
    <x18tc:text xml:space="preserve">Peter</x18tc:text>
  </x18tc:threadedComment>
  <x18tc:threadedComment ref="A364" dT="2025-07-21T15:22:27.00" personId="{d5498dd3-4a64-46ce-9a8a-c831885a0249}" id="{9896b727-8a83-42f3-a6e8-d61a4d230be2}" done="0">
    <x18tc:text xml:space="preserve">Joshua</x18tc:text>
  </x18tc:threadedComment>
  <x18tc:threadedComment ref="A364" dT="2025-09-19T20:09:50.00" personId="{d5498dd3-4a64-46ce-9a8a-c831885a0249}" id="{b47ea0af-7745-4749-ad7f-709b2d1fb7a8}" parentId="{9896b727-8a83-42f3-a6e8-d61a4d230be2}">
    <x18tc:text xml:space="preserve">O&amp;L: $1,270.90</x18tc:text>
  </x18tc:threadedComment>
  <x18tc:threadedComment ref="M374" dT="2025-07-23T20:59:13.00" personId="{651ebe9d-f120-479c-8376-36973fff1cc1}" id="{202331fe-d54b-45ce-9fe7-d5d34b9374c6}" done="0">
    <x18tc:text xml:space="preserve">7/23 josh pidio enviar al DA nuestro estimado y fotos</x18tc:text>
  </x18tc:threadedComment>
  <x18tc:threadedComment ref="O381" dT="2025-07-23T14:39:19.00" personId="{651ebe9d-f120-479c-8376-36973fff1cc1}" id="{e73b494a-76c0-45ec-8d26-7ed883ffd015}" done="0">
    <x18tc:text xml:space="preserve">7/23 sent to client</x18tc:text>
  </x18tc:threadedComment>
  <x18tc:threadedComment ref="O381" dT="2025-08-04T15:24:08.00" personId="{651ebe9d-f120-479c-8376-36973fff1cc1}" id="{d2ee6257-a0f0-4951-8f32-27cf314b7024}" parentId="{e73b494a-76c0-45ec-8d26-7ed883ffd015}">
    <x18tc:text xml:space="preserve">8/4 sent an update to client</x18tc:text>
  </x18tc:threadedComment>
  <x18tc:threadedComment ref="A327" dT="2025-06-17T14:16:10.00" personId="{d5498dd3-4a64-46ce-9a8a-c831885a0249}" id="{5a6614cb-dadd-4bc8-910c-84e8062c1878}" done="0">
    <x18tc:text xml:space="preserve">Peter</x18tc:text>
  </x18tc:threadedComment>
  <x18tc:threadedComment ref="A327" dT="2025-12-05T20:01:23.00" personId="{d5498dd3-4a64-46ce-9a8a-c831885a0249}" id="{2b03f0e8-4556-4a8d-8624-50770a559bc7}" parentId="{5a6614cb-dadd-4bc8-910c-84e8062c1878}">
    <x18tc:text xml:space="preserve">Recoverable depreciation $2193.55
Ordinance and law : $1506,70</x18tc:text>
  </x18tc:threadedComment>
  <x18tc:threadedComment ref="V369" dT="2025-06-18T15:34:25.00" personId="{d5498dd3-4a64-46ce-9a8a-c831885a0249}" id="{51f5dcad-6b53-4ecc-93ab-86a7e77f2f32}" done="1">
    <x18tc:text xml:space="preserve">06/18 DA stands on her denial, asked I&amp;P if mediation is the next step (CM)</x18tc:text>
  </x18tc:threadedComment>
  <x18tc:threadedComment ref="N379" dT="2025-06-30T14:48:24.00" personId="{651ebe9d-f120-479c-8376-36973fff1cc1}" id="{a7a881af-df24-42d9-8a9b-703b64990a9f}" done="0">
    <x18tc:text xml:space="preserve">6/30 sent to josh</x18tc:text>
  </x18tc:threadedComment>
  <x18tc:threadedComment ref="N379" dT="2025-07-01T15:56:57.00" personId="{651ebe9d-f120-479c-8376-36973fff1cc1}" id="{10ce2206-6417-496c-bcc2-e786d479b750}" parentId="{a7a881af-df24-42d9-8a9b-703b64990a9f}">
    <x18tc:text xml:space="preserve">7/1 aprobado</x18tc:text>
  </x18tc:threadedComment>
  <x18tc:threadedComment ref="N380" dT="2025-07-01T13:25:06.00" personId="{651ebe9d-f120-479c-8376-36973fff1cc1}" id="{9c18559c-1c4b-490d-92b3-e00b64c86f9e}" done="0">
    <x18tc:text xml:space="preserve">7/1 sent to josh</x18tc:text>
  </x18tc:threadedComment>
  <x18tc:threadedComment ref="N380" dT="2025-07-01T16:04:50.00" personId="{651ebe9d-f120-479c-8376-36973fff1cc1}" id="{5dae39f7-241a-4151-b09e-e8ca104ca01a}" parentId="{9c18559c-1c4b-490d-92b3-e00b64c86f9e}">
    <x18tc:text xml:space="preserve">7/1 aprobado</x18tc:text>
  </x18tc:threadedComment>
  <x18tc:threadedComment ref="N368" dT="2025-07-01T15:43:57.00" personId="{651ebe9d-f120-479c-8376-36973fff1cc1}" id="{19ff0df8-132f-44cd-8931-8f0b92ecef1e}" done="0">
    <x18tc:text xml:space="preserve">7/1 sent to ivan</x18tc:text>
  </x18tc:threadedComment>
  <x18tc:threadedComment ref="N368" dT="2025-07-04T13:37:32.00" personId="{651ebe9d-f120-479c-8376-36973fff1cc1}" id="{05697563-41ee-4c04-8a97-efe423f237fc}" parentId="{19ff0df8-132f-44cd-8931-8f0b92ecef1e}">
    <x18tc:text xml:space="preserve">7/3 Ivan approved the estimate</x18tc:text>
  </x18tc:threadedComment>
  <x18tc:threadedComment ref="A1" dT="2025-07-01T17:52:43.00" personId="{d5498dd3-4a64-46ce-9a8a-c831885a0249}" id="{4b502e6b-8d04-48b7-8522-5d442991fcf8}" done="1">
    <x18tc:text xml:space="preserve">follow up ocn Day</x18tc:text>
  </x18tc:threadedComment>
  <x18tc:threadedComment ref="N375" dT="2025-07-01T18:30:07.00" personId="{651ebe9d-f120-479c-8376-36973fff1cc1}" id="{38ce77c8-384d-443a-a00c-837cb366964a}" done="0">
    <x18tc:text xml:space="preserve">7/1 aprobado por Ivan, dice q esperemos para enviar estimado</x18tc:text>
  </x18tc:threadedComment>
  <x18tc:threadedComment ref="M375" dT="2025-07-01T18:30:29.00" personId="{651ebe9d-f120-479c-8376-36973fff1cc1}" id="{5aec80e8-ef21-4f28-bccf-772b228015f7}" done="0">
    <x18tc:text xml:space="preserve">preguntar a Ivan cuando enviar estimado</x18tc:text>
  </x18tc:threadedComment>
  <x18tc:threadedComment ref="M375" dT="2025-08-21T13:14:43.00" personId="{651ebe9d-f120-479c-8376-36973fff1cc1}" id="{ca08187f-b382-4547-b401-472533135521}" parentId="{5aec80e8-ef21-4f28-bccf-772b228015f7}">
    <x18tc:text xml:space="preserve">8/21 sent to DA</x18tc:text>
  </x18tc:threadedComment>
  <x18tc:threadedComment ref="A1" dT="2025-07-01T18:36:35.00" personId="{d5498dd3-4a64-46ce-9a8a-c831885a0249}" id="{86dee9fc-d553-4071-b324-9b854f9a72c8}" done="1">
    <x18tc:text xml:space="preserve">follow up con day</x18tc:text>
  </x18tc:threadedComment>
  <x18tc:threadedComment ref="V354" dT="2025-07-02T13:52:06.00" personId="{d5498dd3-4a64-46ce-9a8a-c831885a0249}" id="{94ff1aa1-776c-42fb-82de-0ca4e36b90e0}" done="1">
    <x18tc:text xml:space="preserve">07/02 recieved a partial denial, asked PAs how to proceed (CM)</x18tc:text>
  </x18tc:threadedComment>
  <x18tc:threadedComment ref="N381" dT="2025-07-03T20:25:05.00" personId="{651ebe9d-f120-479c-8376-36973fff1cc1}" id="{05aa8dfb-7c2f-4c4d-bad0-e879df2203c3}" done="0">
    <x18tc:text xml:space="preserve">7/3 sent to josh</x18tc:text>
  </x18tc:threadedComment>
  <x18tc:threadedComment ref="N381" dT="2025-07-17T20:39:09.00" personId="{651ebe9d-f120-479c-8376-36973fff1cc1}" id="{199cc269-d825-42d0-bf37-7da066a191e2}" parentId="{05aa8dfb-7c2f-4c4d-bad0-e879df2203c3}">
    <x18tc:text xml:space="preserve">7/17 aprobado el update</x18tc:text>
  </x18tc:threadedComment>
  <x18tc:threadedComment ref="Q379" dT="2025-08-12T12:39:15.00" personId="{d5498dd3-4a64-46ce-9a8a-c831885a0249}" id="{7bacf1d1-2fc0-455e-b04d-6f7e4878e864}" done="1">
    <x18tc:text xml:space="preserve">08/12</x18tc:text>
  </x18tc:threadedComment>
  <x18tc:threadedComment ref="V312" dT="2025-08-12T17:45:15.00" personId="{d5498dd3-4a64-46ce-9a8a-c831885a0249}" id="{8da2b544-f9a5-461d-a05a-d599e1b2f561}" done="1">
    <x18tc:text xml:space="preserve">08/12 asked Joshua via ws to send the roof invoice as per DA request (CM)</x18tc:text>
  </x18tc:threadedComment>
  <x18tc:threadedComment ref="V368" dT="2025-08-13T14:40:25.00" personId="{d5498dd3-4a64-46ce-9a8a-c831885a0249}" id="{618b8053-3570-4529-976f-5025b3ff813f}" done="1">
    <x18tc:text xml:space="preserve">08/13 DA informs that there is no coverage on this claim, asked IP if they want to request mediation (CM)</x18tc:text>
  </x18tc:threadedComment>
  <x18tc:threadedComment ref="A378" dT="2025-08-13T16:16:27.00" personId="{d5498dd3-4a64-46ce-9a8a-c831885a0249}" id="{7313fe2f-2464-418b-9bd4-2010a4b9e94f}" done="1">
    <x18tc:text xml:space="preserve">09/06 deadline for this one @scheduling@ipadjustinggroup.com
Assigned to scheduling@ipadjustinggroup.com</x18tc:text>
    <x18tc:mentions>
      <x18tc:mention mentionpersonId="{2c8ec519-d5db-42bb-a5e2-52abe8ff6abf}" mentionId="{47ba798d-79ab-4978-9993-e5020b006079}" startIndex="28" length="32"/>
    </x18tc:mentions>
  </x18tc:threadedComment>
  <x18tc:threadedComment ref="N378" dT="2025-08-13T18:20:18.00" personId="{651ebe9d-f120-479c-8376-36973fff1cc1}" id="{01203e7a-ca9f-446d-9586-da01eefb3381}" done="0">
    <x18tc:text xml:space="preserve">8/13 sent to josh</x18tc:text>
  </x18tc:threadedComment>
  <x18tc:threadedComment ref="N378" dT="2025-08-13T21:09:57.00" personId="{651ebe9d-f120-479c-8376-36973fff1cc1}" id="{f9b723bc-79a8-42ba-aa66-d45ff123b87a}" parentId="{01203e7a-ca9f-446d-9586-da01eefb3381}">
    <x18tc:text xml:space="preserve">8/13 aprobado</x18tc:text>
  </x18tc:threadedComment>
  <x18tc:threadedComment ref="M364" dT="2025-06-18T16:36:01.00" personId="{651ebe9d-f120-479c-8376-36973fff1cc1}" id="{71768308-f3a1-4a71-82d1-841296862001}" done="0">
    <x18tc:text xml:space="preserve">6/18 sent to carrier and client</x18tc:text>
  </x18tc:threadedComment>
  <x18tc:threadedComment ref="N363" dT="2025-06-18T16:43:43.00" personId="{651ebe9d-f120-479c-8376-36973fff1cc1}" id="{43ca4942-cc1c-4a53-b560-bbd294d095d8}" done="0">
    <x18tc:text xml:space="preserve">juan no envia la info completa para terminar el estimado</x18tc:text>
  </x18tc:threadedComment>
  <x18tc:threadedComment ref="N363" dT="2025-06-24T14:57:53.00" personId="{651ebe9d-f120-479c-8376-36973fff1cc1}" id="{4749730c-9a47-4dbb-a664-5e1d54187f74}" parentId="{43ca4942-cc1c-4a53-b560-bbd294d095d8}">
    <x18tc:text xml:space="preserve">6/24 sent to Juan, agregue items del IA report</x18tc:text>
  </x18tc:threadedComment>
  <x18tc:threadedComment ref="N363" dT="2025-07-10T18:02:59.00" personId="{651ebe9d-f120-479c-8376-36973fff1cc1}" id="{282a2cca-94c1-4220-8b2c-34acc7cedcac}" parentId="{43ca4942-cc1c-4a53-b560-bbd294d095d8}">
    <x18tc:text xml:space="preserve">7/11 Juan dice q no va a continuar con este reclamo</x18tc:text>
  </x18tc:threadedComment>
  <x18tc:threadedComment ref="N363" dT="2025-07-17T15:05:43.00" personId="{651ebe9d-f120-479c-8376-36973fff1cc1}" id="{f1d950cf-1d6e-4ae0-9750-0778c52ade51}" parentId="{43ca4942-cc1c-4a53-b560-bbd294d095d8}">
    <x18tc:text xml:space="preserve">7/16 seguimos con el reclamo, envie a juan update</x18tc:text>
  </x18tc:threadedComment>
  <x18tc:threadedComment ref="N363" dT="2025-07-24T14:16:24.00" personId="{651ebe9d-f120-479c-8376-36973fff1cc1}" id="{e721ed53-1556-439d-9705-efe3360aff66}" parentId="{43ca4942-cc1c-4a53-b560-bbd294d095d8}">
    <x18tc:text xml:space="preserve">7/24 se pide a Juan nuevamente q revise el estimado.</x18tc:text>
  </x18tc:threadedComment>
  <x18tc:threadedComment ref="N363" dT="2025-08-05T12:37:43.00" personId="{651ebe9d-f120-479c-8376-36973fff1cc1}" id="{57719589-a24e-4175-8297-f0cec40f210b}" parentId="{43ca4942-cc1c-4a53-b560-bbd294d095d8}">
    <x18tc:text xml:space="preserve">8/5 se pide a juan q revise el estimado</x18tc:text>
  </x18tc:threadedComment>
  <x18tc:threadedComment ref="N363" dT="2025-08-21T16:52:45.00" personId="{651ebe9d-f120-479c-8376-36973fff1cc1}" id="{f7a62178-c5eb-4520-9e60-e62be07b55bc}" parentId="{43ca4942-cc1c-4a53-b560-bbd294d095d8}">
    <x18tc:text xml:space="preserve">8/21 peter aprueba y q suba valor a 70k</x18tc:text>
  </x18tc:threadedComment>
  <x18tc:threadedComment ref="N366" dT="2025-06-20T16:13:44.00" personId="{651ebe9d-f120-479c-8376-36973fff1cc1}" id="{9c12541c-7b34-4104-a66b-e229870eca91}" done="0">
    <x18tc:text xml:space="preserve">5/6 Sent the estimate to Josh</x18tc:text>
  </x18tc:threadedComment>
  <x18tc:threadedComment ref="N366" dT="2025-06-20T16:15:11.00" personId="{651ebe9d-f120-479c-8376-36973fff1cc1}" id="{e503c7f7-37c1-4226-9c93-7cf59ddf40d2}" parentId="{9c12541c-7b34-4104-a66b-e229870eca91}">
    <x18tc:text xml:space="preserve">6/20 asked josh to review</x18tc:text>
  </x18tc:threadedComment>
  <x18tc:threadedComment ref="N366" dT="2025-06-30T21:59:30.00" personId="{651ebe9d-f120-479c-8376-36973fff1cc1}" id="{6db56974-ef9c-4e45-962f-eab9dcd20006}" parentId="{9c12541c-7b34-4104-a66b-e229870eca91}">
    <x18tc:text xml:space="preserve">6/25 aprobado</x18tc:text>
  </x18tc:threadedComment>
  <x18tc:threadedComment ref="V345" dT="2025-06-24T15:10:35.00" personId="{d5498dd3-4a64-46ce-9a8a-c831885a0249}" id="{679bc04f-aba7-47a9-89ba-9585fca9cd56}" done="1">
    <x18tc:text xml:space="preserve">06/24 DA is asking for the previous claims on the property, asked Iván (CM)</x18tc:text>
  </x18tc:threadedComment>
  <x18tc:threadedComment ref="O327" dT="2025-06-24T15:26:07.00" personId="{651ebe9d-f120-479c-8376-36973fff1cc1}" id="{797b1046-cef2-4492-a74b-c7c38df05cb9}" done="0">
    <x18tc:text xml:space="preserve">6/24 sent to client</x18tc:text>
  </x18tc:threadedComment>
  <x18tc:threadedComment ref="M334" dT="2025-06-25T03:18:15.00" personId="{651ebe9d-f120-479c-8376-36973fff1cc1}" id="{0bba72dd-ea6c-4040-94af-fb4d4bc35636}" done="0">
    <x18tc:text xml:space="preserve">6/24 sent to DA</x18tc:text>
  </x18tc:threadedComment>
  <x18tc:threadedComment ref="A330" dT="2025-06-26T14:44:26.00" personId="{d5498dd3-4a64-46ce-9a8a-c831885a0249}" id="{26e490eb-16bd-4607-adde-c93e80780725}" done="1">
    <x18tc:text xml:space="preserve">Joshua</x18tc:text>
  </x18tc:threadedComment>
  <x18tc:threadedComment ref="A334" dT="2025-06-26T14:52:06.00" personId="{d5498dd3-4a64-46ce-9a8a-c831885a0249}" id="{6597da5e-caa8-490d-a6bb-1fd29c866824}" done="1">
    <x18tc:text xml:space="preserve">@scheduling@ipadjustinggroup.com
Assigned to scheduling@ipadjustinggroup.com</x18tc:text>
    <x18tc:mentions>
      <x18tc:mention mentionpersonId="{2c8ec519-d5db-42bb-a5e2-52abe8ff6abf}" mentionId="{55537726-9f27-4ab3-9c13-decd804a15c4}" startIndex="0" length="32"/>
    </x18tc:mentions>
  </x18tc:threadedComment>
  <x18tc:threadedComment ref="A334" dT="2025-06-26T17:12:45.00" personId="{610be7ce-9288-4df9-9aac-427cc105bbe1}" id="{b87b8a35-528b-4c6a-b2dc-dc9258defe2e}" parentId="{6597da5e-caa8-490d-a6bb-1fd29c866824}">
    <x18tc:text xml:space="preserve">Marked as done</x18tc:text>
  </x18tc:threadedComment>
  <x18tc:threadedComment ref="A276" dT="2025-06-26T14:57:57.00" personId="{d5498dd3-4a64-46ce-9a8a-c831885a0249}" id="{da3e630c-c701-4f31-a864-8cce23fcfd19}" done="0">
    <x18tc:text xml:space="preserve">Joshua</x18tc:text>
  </x18tc:threadedComment>
  <x18tc:threadedComment ref="A276" dT="2026-05-19T15:26:09.00" personId="{d5498dd3-4a64-46ce-9a8a-c831885a0249}" id="{8f3c4741-3421-4d2f-90f6-ee960dec0b3f}" parentId="{da3e630c-c701-4f31-a864-8cce23fcfd19}">
    <x18tc:text xml:space="preserve">not recoverable dep pending</x18tc:text>
  </x18tc:threadedComment>
  <x18tc:threadedComment ref="A1" dT="2025-06-26T15:47:54.00" personId="{d5498dd3-4a64-46ce-9a8a-c831885a0249}" id="{4e35574d-c421-4ba1-a51a-01d561d0e8c4}" done="1">
    <x18tc:text xml:space="preserve">follow up con Wilber</x18tc:text>
  </x18tc:threadedComment>
  <x18tc:threadedComment ref="M383" dT="2025-07-17T20:32:16.00" personId="{651ebe9d-f120-479c-8376-36973fff1cc1}" id="{389a7483-358e-44a5-bf7f-2cd8b70653ce}" done="0">
    <x18tc:text xml:space="preserve">7/17 sent to DA</x18tc:text>
  </x18tc:threadedComment>
  <x18tc:threadedComment ref="M381" dT="2025-07-17T20:56:22.00" personId="{651ebe9d-f120-479c-8376-36973fff1cc1}" id="{bc3e6291-2531-4fb3-948e-0f3fbbe0a08b}" done="0">
    <x18tc:text xml:space="preserve">7/17 sent to DA and client</x18tc:text>
  </x18tc:threadedComment>
  <x18tc:threadedComment ref="A313" dT="2025-06-27T14:22:17.00" personId="{d5498dd3-4a64-46ce-9a8a-c831885a0249}" id="{a561bc7f-5405-48d0-b988-a8cb6f0d8072}" done="1">
    <x18tc:text xml:space="preserve">@scheduling@ipadjustinggroup.com
Assigned to scheduling@ipadjustinggroup.com</x18tc:text>
    <x18tc:mentions>
      <x18tc:mention mentionpersonId="{2c8ec519-d5db-42bb-a5e2-52abe8ff6abf}" mentionId="{3e1b7e86-6f6e-4e61-870d-1730d622b032}" startIndex="0" length="32"/>
    </x18tc:mentions>
  </x18tc:threadedComment>
  <x18tc:threadedComment ref="A313" dT="2025-06-30T17:55:50.00" personId="{610be7ce-9288-4df9-9aac-427cc105bbe1}" id="{9a926a11-33aa-4ff9-afac-ea40fcc9cf32}" parentId="{a561bc7f-5405-48d0-b988-a8cb6f0d8072}">
    <x18tc:text xml:space="preserve">Marked as done</x18tc:text>
  </x18tc:threadedComment>
  <x18tc:threadedComment ref="M371" dT="2025-06-27T14:24:45.00" personId="{651ebe9d-f120-479c-8376-36973fff1cc1}" id="{5bc84b91-ed8d-4361-a67f-f4432eefcee8}" done="0">
    <x18tc:text xml:space="preserve">6/27 sent to DA</x18tc:text>
  </x18tc:threadedComment>
  <x18tc:threadedComment ref="A188" dT="2025-06-27T14:25:17.00" personId="{d5498dd3-4a64-46ce-9a8a-c831885a0249}" id="{6f936b5e-8f7f-4bda-8ff2-bb2415dae4b5}" done="1">
    <x18tc:text xml:space="preserve">@scheduling@ipadjustinggroup.com
Assigned to scheduling@ipadjustinggroup.com</x18tc:text>
    <x18tc:mentions>
      <x18tc:mention mentionpersonId="{2c8ec519-d5db-42bb-a5e2-52abe8ff6abf}" mentionId="{e3c3b026-2646-4ada-ac60-a5c4ad1ab1eb}" startIndex="0" length="32"/>
    </x18tc:mentions>
  </x18tc:threadedComment>
  <x18tc:threadedComment ref="A188" dT="2025-06-30T17:57:02.00" personId="{610be7ce-9288-4df9-9aac-427cc105bbe1}" id="{d7247855-3f70-479a-8041-a2aecbb59f0d}" parentId="{6f936b5e-8f7f-4bda-8ff2-bb2415dae4b5}">
    <x18tc:text xml:space="preserve">Marked as done</x18tc:text>
  </x18tc:threadedComment>
  <x18tc:threadedComment ref="N376" dT="2025-06-27T15:05:01.00" personId="{651ebe9d-f120-479c-8376-36973fff1cc1}" id="{63a76b97-8824-4d6c-99e3-ae1bcb415757}" done="0">
    <x18tc:text xml:space="preserve">6/27 sent to ivan</x18tc:text>
  </x18tc:threadedComment>
  <x18tc:threadedComment ref="N376" dT="2025-07-04T13:46:39.00" personId="{651ebe9d-f120-479c-8376-36973fff1cc1}" id="{564177de-d814-4dee-8bbd-7585b1c59bcf}" parentId="{63a76b97-8824-4d6c-99e3-ae1bcb415757}">
    <x18tc:text xml:space="preserve">7/1 aprobado</x18tc:text>
  </x18tc:threadedComment>
  <x18tc:threadedComment ref="A367" dT="2025-06-27T21:55:53.00" personId="{d5498dd3-4a64-46ce-9a8a-c831885a0249}" id="{6c2a8f58-d907-4528-9d2a-4968fe5d2310}" done="0">
    <x18tc:text xml:space="preserve">Juan (won't charge for this claim)</x18tc:text>
  </x18tc:threadedComment>
  <x18tc:threadedComment ref="N387" dT="2025-08-14T23:45:40.00" personId="{651ebe9d-f120-479c-8376-36973fff1cc1}" id="{94ff6dd1-ed78-4c9d-baf9-0a8371648d5a}" done="0">
    <x18tc:text xml:space="preserve">8/14 sent to josh</x18tc:text>
  </x18tc:threadedComment>
  <x18tc:threadedComment ref="N387" dT="2025-08-15T15:18:09.00" personId="{651ebe9d-f120-479c-8376-36973fff1cc1}" id="{4e38b22e-311d-4359-9f5f-d03fc8af0acf}" parentId="{94ff6dd1-ed78-4c9d-baf9-0a8371648d5a}">
    <x18tc:text xml:space="preserve">8/15 aprobado</x18tc:text>
  </x18tc:threadedComment>
  <x18tc:threadedComment ref="N382" dT="2025-07-10T17:20:13.00" personId="{651ebe9d-f120-479c-8376-36973fff1cc1}" id="{6765498d-59db-4980-8384-79398102b416}" done="0">
    <x18tc:text xml:space="preserve">7/10 sent to Ivan</x18tc:text>
  </x18tc:threadedComment>
  <x18tc:threadedComment ref="N382" dT="2025-07-17T13:48:02.00" personId="{651ebe9d-f120-479c-8376-36973fff1cc1}" id="{d0713c15-36d1-4683-808e-0a6734e5b1c3}" parentId="{6765498d-59db-4980-8384-79398102b416}">
    <x18tc:text xml:space="preserve">7/14 aprobado</x18tc:text>
  </x18tc:threadedComment>
  <x18tc:threadedComment ref="A359" dT="2025-07-16T15:05:50.00" personId="{d5498dd3-4a64-46ce-9a8a-c831885a0249}" id="{4b5a3ce5-069f-4f99-a959-9d775ebee6c1}" done="1">
    <x18tc:text xml:space="preserve">Peter</x18tc:text>
  </x18tc:threadedComment>
  <x18tc:threadedComment ref="M382" dT="2025-07-17T14:00:00.00" personId="{651ebe9d-f120-479c-8376-36973fff1cc1}" id="{e9c33384-60d6-406a-a2e3-3eea8d43b348}" done="0">
    <x18tc:text xml:space="preserve">7/17 sent to carier</x18tc:text>
  </x18tc:threadedComment>
  <x18tc:threadedComment ref="M379" dT="2025-07-17T18:36:49.00" personId="{651ebe9d-f120-479c-8376-36973fff1cc1}" id="{77326b35-c155-4e4b-b133-a31ebf7fa909}" done="0">
    <x18tc:text xml:space="preserve">7/17 sent to DA</x18tc:text>
  </x18tc:threadedComment>
  <x18tc:threadedComment ref="R383" dT="2025-07-25T15:41:44.00" personId="{610be7ce-9288-4df9-9aac-427cc105bbe1}" id="{64d14bb2-ecd0-410c-a428-d24e253e9661}" done="1">
    <x18tc:text xml:space="preserve">@admin@ipadjustinggroup.com Hoy me llamo la DA para agendar una llamada con Pete. Ella me dijo que es quien esta a cargo del reclamo. Te dejo la info mi Caro Yolanda Hollenquest / 678-266-8928
Assigned to admin@ipadjustinggroup.com</x18tc:text>
    <x18tc:mentions>
      <x18tc:mention mentionpersonId="{1ffc25a2-3f83-4ed1-a701-edf0aba99522}" mentionId="{62adba25-921f-4679-bc3d-b1cff2f17a5a}" startIndex="0" length="27"/>
    </x18tc:mentions>
  </x18tc:threadedComment>
  <x18tc:threadedComment ref="A383" dT="2025-08-06T16:57:42.00" personId="{d5498dd3-4a64-46ce-9a8a-c831885a0249}" id="{c9e70aab-4a51-4bff-b884-235ea1f6ada8}" done="0">
    <x18tc:text xml:space="preserve">Peter</x18tc:text>
  </x18tc:threadedComment>
  <x18tc:threadedComment ref="A383" dT="2025-09-08T19:39:50.00" personId="{d5498dd3-4a64-46ce-9a8a-c831885a0249}" id="{21ab27a3-8ff9-4818-9a53-ee07a1d9a473}" parentId="{c9e70aab-4a51-4bff-b884-235ea1f6ada8}">
    <x18tc:text xml:space="preserve">rec dep: $4150,16</x18tc:text>
  </x18tc:threadedComment>
  <x18tc:threadedComment ref="M368" dT="2025-07-31T21:11:16.00" personId="{651ebe9d-f120-479c-8376-36973fff1cc1}" id="{eea3fbe2-3fb8-4693-b5c3-54a7fb0bc889}" done="0">
    <x18tc:text xml:space="preserve">7/31 sent to DA @admin@ipadjustinggroup.com</x18tc:text>
    <x18tc:mentions>
      <x18tc:mention mentionpersonId="{1ffc25a2-3f83-4ed1-a701-edf0aba99522}" mentionId="{6839d3fb-8055-4258-a19d-886c5ebaf7ed}" startIndex="16" length="27"/>
    </x18tc:mentions>
  </x18tc:threadedComment>
  <x18tc:threadedComment ref="N385" dT="2025-07-31T20:27:16.00" personId="{651ebe9d-f120-479c-8376-36973fff1cc1}" id="{fb23e769-4a5d-4ef3-8af6-69ed29e0c4d5}" done="0">
    <x18tc:text xml:space="preserve">7/31 sent to ivan</x18tc:text>
  </x18tc:threadedComment>
  <x18tc:threadedComment ref="N385" dT="2025-08-15T15:42:29.00" personId="{651ebe9d-f120-479c-8376-36973fff1cc1}" id="{785a4f4b-5022-42d5-9a36-1d577d86b752}" parentId="{fb23e769-4a5d-4ef3-8af6-69ed29e0c4d5}">
    <x18tc:text xml:space="preserve">8/15 aprobado</x18tc:text>
  </x18tc:threadedComment>
  <x18tc:threadedComment ref="M376" dT="2025-07-31T21:25:19.00" personId="{651ebe9d-f120-479c-8376-36973fff1cc1}" id="{a10a32e7-2480-443b-a33c-2947ba350212}" done="0">
    <x18tc:text xml:space="preserve">7/31 sent to DA</x18tc:text>
  </x18tc:threadedComment>
  <x18tc:threadedComment ref="M370" dT="2025-07-31T21:26:14.00" personId="{651ebe9d-f120-479c-8376-36973fff1cc1}" id="{ea9a441a-668f-44d7-acdd-f2d40a75897e}" done="0">
    <x18tc:text xml:space="preserve">7/30 uploaded CP</x18tc:text>
  </x18tc:threadedComment>
  <x18tc:threadedComment ref="V373" dT="2025-08-01T15:46:45.00" personId="{d5498dd3-4a64-46ce-9a8a-c831885a0249}" id="{3f4584ee-1dfb-4ace-90cd-9066e2849b78}" done="1">
    <x18tc:text xml:space="preserve">08/02 received the new determination, no payment will be on this claim after the engineer inspection (CM)</x18tc:text>
  </x18tc:threadedComment>
  <x18tc:threadedComment ref="M363" dT="2025-08-25T21:28:03.00" personId="{651ebe9d-f120-479c-8376-36973fff1cc1}" id="{0ab4d6af-e2da-4945-b252-7ef07385a22e}" done="0">
    <x18tc:text xml:space="preserve">8/25 sent to carrier</x18tc:text>
  </x18tc:threadedComment>
  <x18tc:threadedComment ref="O385" dT="2025-08-15T15:46:22.00" personId="{651ebe9d-f120-479c-8376-36973fff1cc1}" id="{f939bcc8-670c-42dd-97c6-67a13c705bdb}" done="0">
    <x18tc:text xml:space="preserve">8/15 sent to client</x18tc:text>
  </x18tc:threadedComment>
  <x18tc:threadedComment ref="M387" dT="2025-08-18T15:44:20.00" personId="{651ebe9d-f120-479c-8376-36973fff1cc1}" id="{4c1aa8f9-9283-4b0a-801a-ef2b6516792f}" done="0">
    <x18tc:text xml:space="preserve">8/18 sent to DA</x18tc:text>
  </x18tc:threadedComment>
  <x18tc:threadedComment ref="M378" dT="2025-08-13T22:07:07.00" personId="{651ebe9d-f120-479c-8376-36973fff1cc1}" id="{38de0951-d800-4c0b-a52b-3fc2ac79de5d}" done="0">
    <x18tc:text xml:space="preserve">8/13 sent to DA</x18tc:text>
  </x18tc:threadedComment>
  <x18tc:threadedComment ref="V371" dT="2025-08-14T13:40:37.00" personId="{d5498dd3-4a64-46ce-9a8a-c831885a0249}" id="{ad60b3d3-bede-413a-a21e-b153a40ee4b8}" done="1">
    <x18tc:text xml:space="preserve">08/14 asked PAs on the next move on this claim after the undisputted (CM)</x18tc:text>
  </x18tc:threadedComment>
  <x18tc:threadedComment ref="A378" dT="2025-08-14T11:50:03.00" personId="{d5498dd3-4a64-46ce-9a8a-c831885a0249}" id="{9b576243-6a35-4c75-8c22-1143acc91f1d}" done="0">
    <x18tc:text xml:space="preserve">deadline 09/06</x18tc:text>
  </x18tc:threadedComment>
  <x18tc:threadedComment ref="R366" dT="2025-08-18T19:34:20.00" personId="{610be7ce-9288-4df9-9aac-427cc105bbe1}" id="{1b0f1c9e-5185-4ae3-994b-1348a427a4e8}" done="1">
    <x18tc:text xml:space="preserve">reyna.lopez1@assurant.com</x18tc:text>
  </x18tc:threadedComment>
  <x18tc:threadedComment ref="A371" dT="2025-08-20T18:44:00.00" personId="{d5498dd3-4a64-46ce-9a8a-c831885a0249}" id="{d843cc51-3783-4f3d-82cd-d7443ef15899}" done="1">
    <x18tc:text xml:space="preserve">Juan</x18tc:text>
  </x18tc:threadedComment>
  <x18tc:threadedComment ref="A371" dT="2025-10-29T15:44:45.00" personId="{d5498dd3-4a64-46ce-9a8a-c831885a0249}" id="{9dbc3e97-47b3-4385-8e68-3b58b81f4024}" parentId="{d843cc51-3783-4f3d-82cd-d7443ef15899}">
    <x18tc:text xml:space="preserve">Don't have the signed appraisal agreement, Joshua will pay Juan if necessary</x18tc:text>
  </x18tc:threadedComment>
  <x18tc:threadedComment ref="A381" dT="2025-08-21T16:00:30.00" personId="{d5498dd3-4a64-46ce-9a8a-c831885a0249}" id="{c799ac72-145c-4ebf-a2c0-ab65a2a467f9}" done="1">
    <x18tc:text xml:space="preserve">@scheduling@ipadjustinggroup.com
Assigned to scheduling@ipadjustinggroup.com</x18tc:text>
    <x18tc:mentions>
      <x18tc:mention mentionpersonId="{2c8ec519-d5db-42bb-a5e2-52abe8ff6abf}" mentionId="{e3a94603-57b6-4b96-a6e3-e24b2e106acb}" startIndex="0" length="32"/>
    </x18tc:mentions>
  </x18tc:threadedComment>
  <x18tc:threadedComment ref="A381" dT="2025-08-21T16:56:50.00" personId="{610be7ce-9288-4df9-9aac-427cc105bbe1}" id="{03c4bc13-3eb0-4a3f-ba31-6b494c8e3bcd}" parentId="{c799ac72-145c-4ebf-a2c0-ab65a2a467f9}">
    <x18tc:text xml:space="preserve">Marked as done</x18tc:text>
  </x18tc:threadedComment>
  <x18tc:threadedComment ref="O387" dT="2025-08-21T18:05:50.00" personId="{651ebe9d-f120-479c-8376-36973fff1cc1}" id="{e278f185-94b3-4f2d-a469-487fd095e702}" done="0">
    <x18tc:text xml:space="preserve">8/21 sent</x18tc:text>
  </x18tc:threadedComment>
  <x18tc:threadedComment ref="O376" dT="2025-09-09T12:56:05.00" personId="{651ebe9d-f120-479c-8376-36973fff1cc1}" id="{b3a86e7b-6884-411c-9599-0f730145a6c4}" done="0">
    <x18tc:text xml:space="preserve">9/9 sent to client</x18tc:text>
  </x18tc:threadedComment>
  <x18tc:threadedComment ref="A354" dT="2025-09-09T16:30:20.00" personId="{d5498dd3-4a64-46ce-9a8a-c831885a0249}" id="{c2d59b9d-35e7-401c-b9ee-5817da79a392}" done="1">
    <x18tc:text xml:space="preserve">@scheduling@ipadjustinggroup.com
Assigned to scheduling@ipadjustinggroup.com</x18tc:text>
    <x18tc:mentions>
      <x18tc:mention mentionpersonId="{2c8ec519-d5db-42bb-a5e2-52abe8ff6abf}" mentionId="{e1d926a8-ad86-4c45-a214-394839649ffc}" startIndex="0" length="32"/>
    </x18tc:mentions>
  </x18tc:threadedComment>
  <x18tc:threadedComment ref="A354" dT="2025-09-09T17:50:50.00" personId="{610be7ce-9288-4df9-9aac-427cc105bbe1}" id="{9b3cd385-8fbe-4b75-82e2-bdf66245a37b}" parentId="{c2d59b9d-35e7-401c-b9ee-5817da79a392}">
    <x18tc:text xml:space="preserve">Marked as done</x18tc:text>
  </x18tc:threadedComment>
  <x18tc:threadedComment ref="A382" dT="2025-09-09T16:43:28.00" personId="{d5498dd3-4a64-46ce-9a8a-c831885a0249}" id="{7868a545-39c5-4ad4-bffb-a6104c25391b}" done="0">
    <x18tc:text xml:space="preserve">Peter</x18tc:text>
  </x18tc:threadedComment>
  <x18tc:threadedComment ref="A382" dT="2025-11-13T15:03:28.00" personId="{d5498dd3-4a64-46ce-9a8a-c831885a0249}" id="{0b58a985-d4e5-4aa1-bc1e-4238fb465089}" parentId="{7868a545-39c5-4ad4-bffb-a6104c25391b}">
    <x18tc:text xml:space="preserve">no recoverable withheld
O&amp;L: $2632.36</x18tc:text>
  </x18tc:threadedComment>
  <x18tc:threadedComment ref="V231" dT="2025-08-26T14:28:20.00" personId="{d5498dd3-4a64-46ce-9a8a-c831885a0249}" id="{300f2f92-b845-41f7-8626-1533bdab8c91}" done="1">
    <x18tc:text xml:space="preserve">08/26 received a letter that the claim is underdeductible, they are offering 2.5k to the NOI process, it expires on 09/08 (CM)</x18tc:text>
  </x18tc:threadedComment>
  <x18tc:threadedComment ref="A1" dT="2025-10-02T22:24:10.00" personId="{d5498dd3-4a64-46ce-9a8a-c831885a0249}" id="{12f2924d-7cc6-49e0-8069-459869b74b9f}" done="1">
    <x18tc:text xml:space="preserve">sarah</x18tc:text>
  </x18tc:threadedComment>
  <x18tc:threadedComment ref="A375" dT="2025-10-02T22:31:13.00" personId="{d5498dd3-4a64-46ce-9a8a-c831885a0249}" id="{c707869c-b364-44ae-99d6-b38550a67319}" done="1">
    <x18tc:text xml:space="preserve">Peter</x18tc:text>
  </x18tc:threadedComment>
  <x18tc:threadedComment ref="R354" dT="2025-09-15T18:02:44.00" personId="{610be7ce-9288-4df9-9aac-427cc105bbe1}" id="{09fe9982-e852-4d81-8bdf-cbc1a67d4c41}" done="1">
    <x18tc:text xml:space="preserve">Beverly Scott / 931-214-4349</x18tc:text>
  </x18tc:threadedComment>
  <x18tc:threadedComment ref="A387" dT="2025-09-17T00:23:11.00" personId="{d5498dd3-4a64-46ce-9a8a-c831885a0249}" id="{2ae4a825-d41b-4361-929d-87351bca4c38}" done="1">
    <x18tc:text xml:space="preserve">Peter</x18tc:text>
  </x18tc:threadedComment>
  <x18tc:threadedComment ref="N389" dT="2025-09-17T18:00:42.00" personId="{651ebe9d-f120-479c-8376-36973fff1cc1}" id="{a22d48a7-5fe9-4efb-954d-65ddd52eb26b}" done="0">
    <x18tc:text xml:space="preserve">9/17 sent to ivan</x18tc:text>
  </x18tc:threadedComment>
  <x18tc:threadedComment ref="N389" dT="2025-09-18T21:32:19.00" personId="{651ebe9d-f120-479c-8376-36973fff1cc1}" id="{13b33897-7652-4845-9a00-a1cd399f09e0}" parentId="{a22d48a7-5fe9-4efb-954d-65ddd52eb26b}">
    <x18tc:text xml:space="preserve">9/17 approved</x18tc:text>
  </x18tc:threadedComment>
  <x18tc:threadedComment ref="N377" dT="2025-09-18T21:31:36.00" personId="{651ebe9d-f120-479c-8376-36973fff1cc1}" id="{5188fd29-1e21-4e17-9fd3-c2f4ff1b8ac3}" done="0">
    <x18tc:text xml:space="preserve">9/18 sent to peter</x18tc:text>
  </x18tc:threadedComment>
  <x18tc:threadedComment ref="M377" dT="2025-09-18T21:58:00.00" personId="{651ebe9d-f120-479c-8376-36973fff1cc1}" id="{8639c8d2-8e1a-4838-8293-9ac79436b9de}" done="0">
    <x18tc:text xml:space="preserve">9/18 sent to carrier</x18tc:text>
  </x18tc:threadedComment>
  <x18tc:threadedComment ref="M385" dT="2025-09-19T13:36:44.00" personId="{651ebe9d-f120-479c-8376-36973fff1cc1}" id="{8826038f-deea-4b0f-9f0d-091905d864e6}" done="0">
    <x18tc:text xml:space="preserve">9/19 sent to carrier</x18tc:text>
  </x18tc:threadedComment>
  <x18tc:threadedComment ref="J390" dT="2025-09-22T13:29:58.00" personId="{610be7ce-9288-4df9-9aac-427cc105bbe1}" id="{2d63eed2-e545-4452-a6d0-c8e1ed84f18b}" done="1">
    <x18tc:text xml:space="preserve">001-00-611528</x18tc:text>
  </x18tc:threadedComment>
  <x18tc:threadedComment ref="M389" dT="2025-09-22T15:12:54.00" personId="{651ebe9d-f120-479c-8376-36973fff1cc1}" id="{a5bacd3b-2038-4954-88e6-6822639d5586}" done="0">
    <x18tc:text xml:space="preserve">9/22 sent to carrier</x18tc:text>
  </x18tc:threadedComment>
  <x18tc:threadedComment ref="A377" dT="2025-09-25T15:47:38.00" personId="{d5498dd3-4a64-46ce-9a8a-c831885a0249}" id="{440f05c0-ac52-4bc5-bb9c-daa841c6fb28}" done="0">
    <x18tc:text xml:space="preserve">Pedro</x18tc:text>
  </x18tc:threadedComment>
  <x18tc:threadedComment ref="A377" dT="2025-12-04T19:32:38.00" personId="{d5498dd3-4a64-46ce-9a8a-c831885a0249}" id="{24a27fb3-e664-4ca9-b091-14a0ee0e21b3}" parentId="{440f05c0-ac52-4bc5-bb9c-daa841c6fb28}">
    <x18tc:text xml:space="preserve">no recoverable dep</x18tc:text>
  </x18tc:threadedComment>
  <x18tc:threadedComment ref="V385" dT="2025-09-29T15:25:02.00" personId="{d5498dd3-4a64-46ce-9a8a-c831885a0249}" id="{290f441d-0934-4ac6-9d6a-23ddce6805bc}" done="1">
    <x18tc:text xml:space="preserve">09/29 received the IA report asked I&amp;P how much they want to offer on this one, the DA is offering 10k (CM)</x18tc:text>
  </x18tc:threadedComment>
  <x18tc:threadedComment ref="M366" dT="2025-09-30T13:33:13.00" personId="{651ebe9d-f120-479c-8376-36973fff1cc1}" id="{230c8647-fca5-45c5-a04e-98ccf46d680d}" done="0">
    <x18tc:text xml:space="preserve">9/30 sent to DA</x18tc:text>
  </x18tc:threadedComment>
  <x18tc:threadedComment ref="A1" dT="2025-09-30T18:51:08.00" personId="{d5498dd3-4a64-46ce-9a8a-c831885a0249}" id="{8e3eefd8-74b2-4db6-9756-f15096af0e3c}" done="1">
    <x18tc:text xml:space="preserve">Inform Sarah</x18tc:text>
  </x18tc:threadedComment>
  <x18tc:threadedComment ref="A1" dT="2025-09-30T18:47:10.00" personId="{d5498dd3-4a64-46ce-9a8a-c831885a0249}" id="{f9acfa30-9710-42ef-9e6d-b2895e874274}" done="1">
    <x18tc:text xml:space="preserve">Inform Sarah</x18tc:text>
  </x18tc:threadedComment>
  <x18tc:threadedComment ref="A1" dT="2025-09-30T18:59:38.00" personId="{d5498dd3-4a64-46ce-9a8a-c831885a0249}" id="{7b08bc10-33f2-417e-8cbf-a72d10ea1347}" done="1">
    <x18tc:text xml:space="preserve">inform sarah</x18tc:text>
  </x18tc:threadedComment>
  <x18tc:threadedComment ref="A1" dT="2025-09-30T20:37:08.00" personId="{d5498dd3-4a64-46ce-9a8a-c831885a0249}" id="{e44c4368-c0ff-46ab-abb9-becf6d3c64d1}" done="1">
    <x18tc:text xml:space="preserve">Inform Sarah</x18tc:text>
  </x18tc:threadedComment>
  <x18tc:threadedComment ref="A1" dT="2025-09-30T20:40:19.00" personId="{d5498dd3-4a64-46ce-9a8a-c831885a0249}" id="{1a03f920-1fd1-4dde-b213-04f2df372f59}" done="1">
    <x18tc:text xml:space="preserve">Inform Sarah</x18tc:text>
  </x18tc:threadedComment>
  <x18tc:threadedComment ref="A1" dT="2025-09-30T20:49:53.00" personId="{d5498dd3-4a64-46ce-9a8a-c831885a0249}" id="{03327cb6-a6f7-457c-841a-1400d1c02c94}" done="1">
    <x18tc:text xml:space="preserve">inform Sarah</x18tc:text>
  </x18tc:threadedComment>
  <x18tc:threadedComment ref="A1" dT="2025-09-30T20:58:39.00" personId="{d5498dd3-4a64-46ce-9a8a-c831885a0249}" id="{a0382c42-6b69-4ab9-952f-91f515a05a1b}" done="1">
    <x18tc:text xml:space="preserve">sarah</x18tc:text>
  </x18tc:threadedComment>
  <x18tc:threadedComment ref="A381" dT="2025-10-01T00:42:59.00" personId="{d5498dd3-4a64-46ce-9a8a-c831885a0249}" id="{529b1f36-8471-4d5c-bd13-9a0bd30ac255}" done="1">
    <x18tc:text xml:space="preserve">Juan</x18tc:text>
  </x18tc:threadedComment>
  <x18tc:threadedComment ref="A381" dT="2025-12-09T16:37:41.00" personId="{d5498dd3-4a64-46ce-9a8a-c831885a0249}" id="{1e73b496-a79a-43bf-8684-8c140880be85}" parentId="{529b1f36-8471-4d5c-bd13-9a0bd30ac255}">
    <x18tc:text xml:space="preserve">Juan's fees $0, Joshua got to an agreement with Juan (CM)</x18tc:text>
  </x18tc:threadedComment>
  <x18tc:threadedComment ref="N393" dT="2025-10-14T16:57:42.00" personId="{651ebe9d-f120-479c-8376-36973fff1cc1}" id="{dd60b442-fa07-4508-ad82-f4ed7d883a85}" done="0">
    <x18tc:text xml:space="preserve">10/14 sent to ivan</x18tc:text>
  </x18tc:threadedComment>
  <x18tc:threadedComment ref="N393" dT="2025-11-12T15:27:47.00" personId="{651ebe9d-f120-479c-8376-36973fff1cc1}" id="{9bddaf66-bcb0-42e6-8b32-1039b99a12c6}" parentId="{dd60b442-fa07-4508-ad82-f4ed7d883a85}">
    <x18tc:text xml:space="preserve">11/12 approved</x18tc:text>
  </x18tc:threadedComment>
  <x18tc:threadedComment ref="V392" dT="2025-10-15T14:20:29.00" personId="{d5498dd3-4a64-46ce-9a8a-c831885a0249}" id="{bb74bacf-05e8-4d6b-bfce-799257e04db8}" done="0">
    <x18tc:text xml:space="preserve">10/14 DA informs that a determination was done on 06/12/25, she doesn't have new info to change her determination, asked pETER to send the estimate to JP (CM)</x18tc:text>
  </x18tc:threadedComment>
  <x18tc:threadedComment ref="N390" dT="2025-10-20T20:53:06.00" personId="{651ebe9d-f120-479c-8376-36973fff1cc1}" id="{350309a4-1394-4d05-97d5-c5549865c24b}" done="0">
    <x18tc:text xml:space="preserve">10/20 sent to josh</x18tc:text>
  </x18tc:threadedComment>
  <x18tc:threadedComment ref="N390" dT="2025-10-21T16:17:46.00" personId="{651ebe9d-f120-479c-8376-36973fff1cc1}" id="{1de5886e-81cf-49e6-8e95-6ee6b8f77bb8}" parentId="{350309a4-1394-4d05-97d5-c5549865c24b}">
    <x18tc:text xml:space="preserve">10/21 aprobado</x18tc:text>
  </x18tc:threadedComment>
  <x18tc:threadedComment ref="O377" dT="2025-10-07T13:38:39.00" personId="{651ebe9d-f120-479c-8376-36973fff1cc1}" id="{70f27f90-d454-4cbc-8977-a99da596c435}" done="0">
    <x18tc:text xml:space="preserve">10/7 sent to client</x18tc:text>
  </x18tc:threadedComment>
  <x18tc:threadedComment ref="M390" dT="2025-10-21T16:24:05.00" personId="{651ebe9d-f120-479c-8376-36973fff1cc1}" id="{dd7d121e-65a8-420c-8c31-94cf6d0ba21c}" done="0">
    <x18tc:text xml:space="preserve">10/21 sent to carrier. ropose $68,716.64</x18tc:text>
  </x18tc:threadedComment>
  <x18tc:threadedComment ref="A385" dT="2025-10-28T21:09:51.00" personId="{d5498dd3-4a64-46ce-9a8a-c831885a0249}" id="{f84d44f0-c607-45aa-b6ac-3bcae17f6105}" done="0">
    <x18tc:text xml:space="preserve">Peter</x18tc:text>
  </x18tc:threadedComment>
  <x18tc:threadedComment ref="A329" dT="2025-10-28T20:49:13.00" personId="{d5498dd3-4a64-46ce-9a8a-c831885a0249}" id="{bfbb2c3e-8f42-49a2-9e40-26e6f59741c7}" done="1">
    <x18tc:text xml:space="preserve">Juan</x18tc:text>
  </x18tc:threadedComment>
  <x18tc:threadedComment ref="A366" dT="2025-10-28T21:14:17.00" personId="{d5498dd3-4a64-46ce-9a8a-c831885a0249}" id="{7cd11d31-3da5-4cf1-a8dc-597e5726062d}" done="0">
    <x18tc:text xml:space="preserve">Juan</x18tc:text>
  </x18tc:threadedComment>
  <x18tc:threadedComment ref="A366" dT="2025-12-24T17:53:02.00" personId="{d5498dd3-4a64-46ce-9a8a-c831885a0249}" id="{fc8e939e-ff4a-4435-a598-557899f71ec2}" parentId="{7cd11d31-3da5-4cf1-a8dc-597e5726062d}">
    <x18tc:text xml:space="preserve">recoverable dep: $2,649.19</x18tc:text>
  </x18tc:threadedComment>
  <x18tc:threadedComment ref="Q366" dT="2025-11-12T21:58:21.00" personId="{d5498dd3-4a64-46ce-9a8a-c831885a0249}" id="{dc1973d1-192d-4936-be68-6e65600b272a}" done="1">
    <x18tc:text xml:space="preserve">11/12</x18tc:text>
  </x18tc:threadedComment>
  <x18tc:threadedComment ref="W390" dT="2026-01-14T16:50:55.00" personId="{d5498dd3-4a64-46ce-9a8a-c831885a0249}" id="{a43f4508-1460-4122-846c-3a7e45a49388}" done="1">
    <x18tc:text xml:space="preserve">$6,563.16 / Sarah undisputted</x18tc:text>
  </x18tc:threadedComment>
  <x18tc:threadedComment ref="N397" dT="2026-01-17T13:36:54.00" personId="{651ebe9d-f120-479c-8376-36973fff1cc1}" id="{828be83d-8592-4680-9d84-feac55a6f6cd}" done="0">
    <x18tc:text xml:space="preserve">1/17 sent to josh</x18tc:text>
  </x18tc:threadedComment>
  <x18tc:threadedComment ref="N397" dT="2026-01-25T14:26:06.00" personId="{651ebe9d-f120-479c-8376-36973fff1cc1}" id="{958a340b-0f27-45e2-a628-14a9c31e4ccf}" parentId="{828be83d-8592-4680-9d84-feac55a6f6cd}">
    <x18tc:text xml:space="preserve">1/23 aprobado</x18tc:text>
  </x18tc:threadedComment>
  <x18tc:threadedComment ref="N391" dT="2026-01-17T15:04:12.00" personId="{651ebe9d-f120-479c-8376-36973fff1cc1}" id="{f6ad5adc-0064-4bc5-b935-dbc59767416c}" done="0">
    <x18tc:text xml:space="preserve">1/17/26 sent to peter</x18tc:text>
  </x18tc:threadedComment>
  <x18tc:threadedComment ref="N391" dT="2026-02-02T20:22:37.00" personId="{651ebe9d-f120-479c-8376-36973fff1cc1}" id="{94080118-f5ae-42ca-87ed-cbb07364b5e7}" parentId="{f6ad5adc-0064-4bc5-b935-dbc59767416c}">
    <x18tc:text xml:space="preserve">2/2/26 Peter approved the estimate</x18tc:text>
  </x18tc:threadedComment>
  <x18tc:threadedComment ref="A381" dT="2026-01-17T12:29:55.00" personId="{d5498dd3-4a64-46ce-9a8a-c831885a0249}" id="{fc7a8cbe-eedb-48ae-9c57-9dc0e94acea2}" done="0">
    <x18tc:text xml:space="preserve">Leeban $150</x18tc:text>
  </x18tc:threadedComment>
  <x18tc:threadedComment ref="M393" dT="2025-11-12T15:33:35.00" personId="{651ebe9d-f120-479c-8376-36973fff1cc1}" id="{d3b68345-3ef7-4ba8-a71a-4e3eca36c87a}" done="0">
    <x18tc:text xml:space="preserve">11/12 sent</x18tc:text>
  </x18tc:threadedComment>
  <x18tc:threadedComment ref="V337" dT="2026-01-27T18:33:00.00" personId="{d5498dd3-4a64-46ce-9a8a-c831885a0249}" id="{46a84c75-fdfc-41c4-a6c1-a31a8036c972}" done="0">
    <x18tc:text xml:space="preserve">01/27 DA informs there won't be any supllemental payment, informed PAs (CM)</x18tc:text>
  </x18tc:threadedComment>
  <x18tc:threadedComment ref="V399" dT="2026-02-05T15:01:06.00" personId="{d5498dd3-4a64-46ce-9a8a-c831885a0249}" id="{a5426f61-9824-47d4-920b-3a20a5cc91be}" done="0">
    <x18tc:text xml:space="preserve">01/26 DA sent a denial letter for Mold Remediation and Water Restoration Pros and the denial reiteration for the claim (CM)</x18tc:text>
  </x18tc:threadedComment>
  <x18tc:threadedComment ref="M392" dT="2026-02-05T15:29:34.00" personId="{651ebe9d-f120-479c-8376-36973fff1cc1}" id="{13cf970e-fbd9-4eeb-83a3-873f09114958}" done="0">
    <x18tc:text xml:space="preserve">2/5/26 sent to DA</x18tc:text>
  </x18tc:threadedComment>
  <x18tc:threadedComment ref="Q347" dT="2025-11-14T18:38:56.00" personId="{d5498dd3-4a64-46ce-9a8a-c831885a0249}" id="{46a0ec3b-5f63-4253-be0b-a754248279cf}" done="1">
    <x18tc:text xml:space="preserve">11/14</x18tc:text>
  </x18tc:threadedComment>
  <x18tc:threadedComment ref="Q375" dT="2025-11-14T18:41:43.00" personId="{d5498dd3-4a64-46ce-9a8a-c831885a0249}" id="{c318a005-5833-4bcf-b6bd-11079c499c25}" done="0">
    <x18tc:text xml:space="preserve">11/10</x18tc:text>
  </x18tc:threadedComment>
  <x18tc:threadedComment ref="Q375" dT="2025-11-20T14:58:58.00" personId="{d5498dd3-4a64-46ce-9a8a-c831885a0249}" id="{82f595e5-ca15-4501-baa3-a14a0c69509a}" parentId="{c318a005-5833-4bcf-b6bd-11079c499c25}">
    <x18tc:text xml:space="preserve">11/20 DA informed that this is a force placed insurance (CM)</x18tc:text>
  </x18tc:threadedComment>
  <x18tc:threadedComment ref="M391" dT="2026-02-02T20:45:09.00" personId="{651ebe9d-f120-479c-8376-36973fff1cc1}" id="{5ea0755b-d926-45e2-aac7-c3c39ae26617}" done="0">
    <x18tc:text xml:space="preserve">2/2 sent to DA</x18tc:text>
  </x18tc:threadedComment>
  <x18tc:threadedComment ref="N394" dT="2025-11-22T14:50:45.00" personId="{651ebe9d-f120-479c-8376-36973fff1cc1}" id="{ed3a40ee-1093-4b19-a8f9-71d22861a4c4}" done="0">
    <x18tc:text xml:space="preserve">11/22/25 sent to josh to review</x18tc:text>
  </x18tc:threadedComment>
  <x18tc:threadedComment ref="N394" dT="2025-11-29T12:46:11.00" personId="{651ebe9d-f120-479c-8376-36973fff1cc1}" id="{07450bec-dc8d-4cc3-89de-798d0a4989ab}" parentId="{ed3a40ee-1093-4b19-a8f9-71d22861a4c4}">
    <x18tc:text xml:space="preserve">11/28 aprobado</x18tc:text>
  </x18tc:threadedComment>
  <x18tc:threadedComment ref="N392" dT="2025-12-17T22:10:41.00" personId="{651ebe9d-f120-479c-8376-36973fff1cc1}" id="{232bb0b7-03b6-4d99-808a-3092bd7adac3}" done="0">
    <x18tc:text xml:space="preserve">12/17/25 sent to peter</x18tc:text>
  </x18tc:threadedComment>
  <x18tc:threadedComment ref="N392" dT="2026-01-17T15:35:27.00" personId="{651ebe9d-f120-479c-8376-36973fff1cc1}" id="{8758d4b8-ed75-42e3-aa9c-ccc24055b7ab}" parentId="{232bb0b7-03b6-4d99-808a-3092bd7adac3}">
    <x18tc:text xml:space="preserve">1/12/26 aprobado</x18tc:text>
  </x18tc:threadedComment>
  <x18tc:threadedComment ref="A390" dT="2026-01-22T15:25:48.00" personId="{d5498dd3-4a64-46ce-9a8a-c831885a0249}" id="{140edb9a-53cc-420a-9cc1-bdde5ea05c31}" done="0">
    <x18tc:text xml:space="preserve">Juan $500</x18tc:text>
  </x18tc:threadedComment>
  <x18tc:threadedComment ref="N395" dT="2026-01-07T02:20:38.00" personId="{651ebe9d-f120-479c-8376-36973fff1cc1}" id="{ef0e7451-98ca-433e-b020-43f65ec2964e}" done="0">
    <x18tc:text xml:space="preserve">1/6/25 sent to ivan</x18tc:text>
  </x18tc:threadedComment>
  <x18tc:threadedComment ref="M395" dT="2026-01-08T18:04:01.00" personId="{651ebe9d-f120-479c-8376-36973fff1cc1}" id="{f44f4fa1-8518-4048-8407-dbf1caef796a}" done="0">
    <x18tc:text xml:space="preserve">1/8/26 sent</x18tc:text>
  </x18tc:threadedComment>
  <x18tc:threadedComment ref="Q381" dT="2026-01-13T18:10:37.00" personId="{d5498dd3-4a64-46ce-9a8a-c831885a0249}" id="{76b7893f-e367-4f12-aad7-b16cf9519772}" done="1">
    <x18tc:text xml:space="preserve">01/13</x18tc:text>
  </x18tc:threadedComment>
  <x18tc:threadedComment ref="M397" dT="2026-01-25T14:32:05.00" personId="{651ebe9d-f120-479c-8376-36973fff1cc1}" id="{3f416a0b-b2a2-4d07-9c4e-a9bc0c8b2562}" done="0">
    <x18tc:text xml:space="preserve">1/25 sent to carrier</x18tc:text>
  </x18tc:threadedComment>
  <x18tc:threadedComment ref="A393" dT="2026-01-26T16:15:53.00" personId="{d5498dd3-4a64-46ce-9a8a-c831885a0249}" id="{3f590cc5-1949-46f9-89f2-8c99e8a15f6d}" done="0">
    <x18tc:text xml:space="preserve">Pedro</x18tc:text>
  </x18tc:threadedComment>
  <x18tc:threadedComment ref="M396" dT="2026-01-27T15:38:00.00" personId="{651ebe9d-f120-479c-8376-36973fff1cc1}" id="{9ff4a62b-3e4c-4c16-8392-eefae227935e}" done="0">
    <x18tc:text xml:space="preserve">1/27 sent to DA</x18tc:text>
  </x18tc:threadedComment>
  <x18tc:threadedComment ref="N396" dT="2026-01-27T15:29:57.00" personId="{651ebe9d-f120-479c-8376-36973fff1cc1}" id="{31be2046-21e2-46d3-b048-6529b217442b}" done="0">
    <x18tc:text xml:space="preserve">1/27 aprobado</x18tc:text>
  </x18tc:threadedComment>
  <x18tc:threadedComment ref="A395" dT="2026-02-05T20:50:25.00" personId="{d5498dd3-4a64-46ce-9a8a-c831885a0249}" id="{8f8ba054-94ec-4ffd-9d03-869aff867ef0}" done="0">
    <x18tc:text xml:space="preserve">Pedro</x18tc:text>
  </x18tc:threadedComment>
  <x18tc:threadedComment ref="A395" dT="2026-03-30T14:59:13.00" personId="{d5498dd3-4a64-46ce-9a8a-c831885a0249}" id="{8726c2c2-4d21-4bcf-b9ad-60e17f67f18d}" parentId="{8f8ba054-94ec-4ffd-9d03-869aff867ef0}">
    <x18tc:text xml:space="preserve">no recoverables</x18tc:text>
  </x18tc:threadedComment>
  <x18tc:threadedComment ref="A411" dT="2026-07-29T22:48:45.00" personId="{d5498dd3-4a64-46ce-9a8a-c831885a0249}" id="{d119dd6f-8aba-4a50-b35f-d5aa186e6132}" done="0">
    <x18tc:text xml:space="preserve">Peter</x18tc:text>
  </x18tc:threadedComment>
  <x18tc:threadedComment ref="C1" dT="2026-08-14T15:44:33.00" personId="{d5498dd3-4a64-46ce-9a8a-c831885a0249}" id="{39ac48d9-7300-42c2-ae5d-7b9d6349bd1a}" done="0">
    <x18tc:text xml:space="preserve">naranja porq no tiene action item para mi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39" dT="2024-01-31T20:41:02.00" personId="{d5498dd3-4a64-46ce-9a8a-c831885a0249}" id="{c70ceb46-8b3a-4ce1-a75c-80490b3bbe7f}" done="0">
    <x18tc:text xml:space="preserve">01/31 REQ (CM)</x18tc:text>
  </x18tc:threadedComment>
  <x18tc:threadedComment ref="S52" dT="2024-01-31T21:21:49.00" personId="{d5498dd3-4a64-46ce-9a8a-c831885a0249}" id="{2a8dbf67-83d6-41e0-ba63-6451ed8d4fcf}" done="0">
    <x18tc:text xml:space="preserve">01/31 requested (CM)</x18tc:text>
  </x18tc:threadedComment>
  <x18tc:threadedComment ref="S41" dT="2024-01-25T17:04:52.00" personId="{d5498dd3-4a64-46ce-9a8a-c831885a0249}" id="{6e463498-0978-42a6-b667-c541a5a0cebd}" done="0">
    <x18tc:text xml:space="preserve">01/18 sent</x18tc:text>
  </x18tc:threadedComment>
  <x18tc:threadedComment ref="S4" dT="2024-01-26T23:10:57.00" personId="{d5498dd3-4a64-46ce-9a8a-c831885a0249}" id="{9992e3bf-4ff2-4333-bfc5-268697b44558}" done="0">
    <x18tc:text xml:space="preserve">01/26 req</x18tc:text>
  </x18tc:threadedComment>
  <x18tc:threadedComment ref="S4" dT="2024-03-19T13:30:41.00" personId="{d5498dd3-4a64-46ce-9a8a-c831885a0249}" id="{895f8e0f-cf10-4828-b26f-9a0a3ac6867a}" parentId="{9992e3bf-4ff2-4333-bfc5-268697b44558}">
    <x18tc:text xml:space="preserve">03/13 NOI will be filed says Day (CM)</x18tc:text>
  </x18tc:threadedComment>
  <x18tc:threadedComment ref="S12" dT="2024-01-26T23:11:35.00" personId="{d5498dd3-4a64-46ce-9a8a-c831885a0249}" id="{8a80344a-b2eb-4f07-a6e6-41cb0198cacd}" done="0">
    <x18tc:text xml:space="preserve">12/01 req</x18tc:text>
  </x18tc:threadedComment>
  <x18tc:threadedComment ref="S3" dT="2024-01-26T23:09:45.00" personId="{d5498dd3-4a64-46ce-9a8a-c831885a0249}" id="{7b41e800-8210-4f0a-844d-5163424f1d42}" done="0">
    <x18tc:text xml:space="preserve">03/05 appraisal done</x18tc:text>
  </x18tc:threadedComment>
  <x18tc:threadedComment ref="S28" dT="2024-01-26T23:12:21.00" personId="{d5498dd3-4a64-46ce-9a8a-c831885a0249}" id="{cf639ed2-4931-4629-b4f8-5f63dca5137f}" done="0">
    <x18tc:text xml:space="preserve">01/09 req</x18tc:text>
  </x18tc:threadedComment>
  <x18tc:threadedComment ref="S28" dT="2024-02-06T22:02:46.00" personId="{d5498dd3-4a64-46ce-9a8a-c831885a0249}" id="{c4e31a25-c6bc-4343-a76e-16b5a7acd842}" parentId="{cf639ed2-4931-4629-b4f8-5f63dca5137f}">
    <x18tc:text xml:space="preserve">02/06 follow up (CM)</x18tc:text>
  </x18tc:threadedComment>
  <x18tc:threadedComment ref="S28" dT="2024-03-19T13:36:47.00" personId="{d5498dd3-4a64-46ce-9a8a-c831885a0249}" id="{d417235d-5a64-4a89-a460-0ee56de1850a}" parentId="{cf639ed2-4931-4629-b4f8-5f63dca5137f}">
    <x18tc:text xml:space="preserve">03/18 mediation will be (CM)</x18tc:text>
  </x18tc:threadedComment>
  <x18tc:threadedComment ref="S44" dT="2024-01-26T23:12:37.00" personId="{d5498dd3-4a64-46ce-9a8a-c831885a0249}" id="{c87d8fd1-3bcb-4634-b893-16411f8ce1d1}" done="0">
    <x18tc:text xml:space="preserve">01/22 req</x18tc:text>
  </x18tc:threadedComment>
  <x18tc:threadedComment ref="S44" dT="2024-02-29T03:41:51.00" personId="{d5498dd3-4a64-46ce-9a8a-c831885a0249}" id="{8dcce877-a322-42ba-9288-396b87d25d82}" parentId="{c87d8fd1-3bcb-4634-b893-16411f8ce1d1}">
    <x18tc:text xml:space="preserve">done in 02/16</x18tc:text>
  </x18tc:threadedComment>
  <x18tc:threadedComment ref="S34" dT="2024-01-29T23:06:52.00" personId="{d5498dd3-4a64-46ce-9a8a-c831885a0249}" id="{f2fce734-fc4b-4196-8ef0-164df70e861f}" done="0">
    <x18tc:text xml:space="preserve">01/29 req</x18tc:text>
  </x18tc:threadedComment>
  <x18tc:threadedComment ref="S20" dT="2024-01-29T22:11:53.00" personId="{d5498dd3-4a64-46ce-9a8a-c831885a0249}" id="{f5974227-d447-4e76-a782-4a945dbdf941}" done="0">
    <x18tc:text xml:space="preserve">01/29 req</x18tc:text>
  </x18tc:threadedComment>
  <x18tc:threadedComment ref="S21" dT="2024-01-29T22:22:05.00" personId="{d5498dd3-4a64-46ce-9a8a-c831885a0249}" id="{1e8fe5ca-754c-40b2-8344-d2a1d3df520c}" done="0">
    <x18tc:text xml:space="preserve">01/29 REQ</x18tc:text>
  </x18tc:threadedComment>
  <x18tc:threadedComment ref="S27" dT="2024-01-29T22:36:12.00" personId="{d5498dd3-4a64-46ce-9a8a-c831885a0249}" id="{c8525f33-d922-41c1-80e1-a3c7bfa5a574}" done="0">
    <x18tc:text xml:space="preserve">01/29 req</x18tc:text>
  </x18tc:threadedComment>
  <x18tc:threadedComment ref="S173" dT="2024-01-29T22:53:46.00" personId="{d5498dd3-4a64-46ce-9a8a-c831885a0249}" id="{232ea178-1d7a-41a5-b488-07446c420325}" done="0">
    <x18tc:text xml:space="preserve">01/29 REQ</x18tc:text>
  </x18tc:threadedComment>
  <x18tc:threadedComment ref="S173" dT="2024-02-20T02:53:46.00" personId="{d5498dd3-4a64-46ce-9a8a-c831885a0249}" id="{926d1c3f-ef0a-4718-a070-cf980218d355}" parentId="{232ea178-1d7a-41a5-b488-07446c420325}">
    <x18tc:text xml:space="preserve">03/04 will do (CM)</x18tc:text>
  </x18tc:threadedComment>
  <x18tc:threadedComment ref="S38" dT="2024-01-30T15:27:38.00" personId="{d5498dd3-4a64-46ce-9a8a-c831885a0249}" id="{99a7338f-0313-47d3-b9e6-7187fdec9fa4}" done="0">
    <x18tc:text xml:space="preserve">01/30 Submitted</x18tc:text>
  </x18tc:threadedComment>
  <x18tc:threadedComment ref="S58" dT="2024-01-30T17:19:09.00" personId="{d5498dd3-4a64-46ce-9a8a-c831885a0249}" id="{ca486cab-5e14-49aa-a663-b2d8b2880410}" done="0">
    <x18tc:text xml:space="preserve">01/30 REQ</x18tc:text>
  </x18tc:threadedComment>
  <x18tc:threadedComment ref="S59" dT="2024-01-30T17:27:39.00" personId="{d5498dd3-4a64-46ce-9a8a-c831885a0249}" id="{cd8697df-15b6-4106-adb4-776f16f64c49}" done="0">
    <x18tc:text xml:space="preserve">01/30 REQ</x18tc:text>
  </x18tc:threadedComment>
  <x18tc:threadedComment ref="S68" dT="2024-01-30T21:05:32.00" personId="{d5498dd3-4a64-46ce-9a8a-c831885a0249}" id="{8917df64-f19b-4959-8899-ef61ecf816fc}" done="0">
    <x18tc:text xml:space="preserve">01/30 REQ</x18tc:text>
  </x18tc:threadedComment>
  <x18tc:threadedComment ref="S55" dT="2024-01-25T22:08:45.00" personId="{d5498dd3-4a64-46ce-9a8a-c831885a0249}" id="{5b2a2ab2-262d-432f-ae53-4df397358e8d}" done="0">
    <x18tc:text xml:space="preserve">01/25 requested MEDIATION
03/28 requested Appraisal</x18tc:text>
  </x18tc:threadedComment>
  <x18tc:threadedComment ref="S10" dT="2024-01-29T17:15:43.00" personId="{d5498dd3-4a64-46ce-9a8a-c831885a0249}" id="{9037e1ac-0bdf-4732-bc64-12528f6d42b5}" done="0">
    <x18tc:text xml:space="preserve">01/29 REQ</x18tc:text>
  </x18tc:threadedComment>
  <x18tc:threadedComment ref="S7" dT="2024-01-26T12:47:47.00" personId="{d5498dd3-4a64-46ce-9a8a-c831885a0249}" id="{5f7e0f23-8f20-4cd3-b180-3a9f1207764e}" done="0">
    <x18tc:text xml:space="preserve">01/26 Req.</x18tc:text>
  </x18tc:threadedComment>
  <x18tc:threadedComment ref="S5" dT="2024-01-26T13:12:58.00" personId="{d5498dd3-4a64-46ce-9a8a-c831885a0249}" id="{5790675a-af31-4117-952a-8b8f6cd879cb}" done="0">
    <x18tc:text xml:space="preserve">12/05 req.</x18tc:text>
  </x18tc:threadedComment>
  <x18tc:threadedComment ref="S170" dT="2024-02-13T15:04:25.00" personId="{d5498dd3-4a64-46ce-9a8a-c831885a0249}" id="{b2f82a23-8dba-48e7-b04d-ed194e3f3446}" done="0">
    <x18tc:text xml:space="preserve">02/13 req (CM)</x18tc:text>
  </x18tc:threadedComment>
  <x18tc:threadedComment ref="N61" dT="2024-02-05T22:02:31.00" personId="{d5498dd3-4a64-46ce-9a8a-c831885a0249}" id="{c360a998-ef12-4467-96bb-71ead3b20ab3}" done="0">
    <x18tc:text xml:space="preserve">5/17 Juan says Peter will continue the process without the SPOL (JP)</x18tc:text>
  </x18tc:threadedComment>
  <x18tc:threadedComment ref="N169" dT="2024-02-05T22:04:31.00" personId="{d5498dd3-4a64-46ce-9a8a-c831885a0249}" id="{ffd96ec6-ebc2-4ad1-8092-d2762bbfe834}" done="0">
    <x18tc:text xml:space="preserve">02/06 waiting IA or Determination letter to send (CM)</x18tc:text>
  </x18tc:threadedComment>
  <x18tc:threadedComment ref="N36" dT="2024-02-01T20:14:06.00" personId="{d5498dd3-4a64-46ce-9a8a-c831885a0249}" id="{1275477f-d40b-4897-a729-9cc2181e9c29}" done="0">
    <x18tc:text xml:space="preserve">12/08 SPOL sent 
12/28 follow up (CM)
01/23 follow up (CM)
04/12 follow up (CM)</x18tc:text>
  </x18tc:threadedComment>
  <x18tc:threadedComment ref="N40" dT="2024-02-01T20:15:49.00" personId="{d5498dd3-4a64-46ce-9a8a-c831885a0249}" id="{5e2403f9-c2a6-4392-8339-b07ad0c8e0a8}" done="0">
    <x18tc:text xml:space="preserve">7/03 Caro pidio a jaky info al cliente y estamos esperando</x18tc:text>
  </x18tc:threadedComment>
  <x18tc:threadedComment ref="S29" dT="2024-02-09T12:37:08.00" personId="{d5498dd3-4a64-46ce-9a8a-c831885a0249}" id="{f7ce69a6-4695-4c60-99c9-018277e9e8dc}" done="0">
    <x18tc:text xml:space="preserve">03/18 meditation done (CM)</x18tc:text>
  </x18tc:threadedComment>
  <x18tc:threadedComment ref="S35" dT="2024-02-09T12:37:43.00" personId="{d5498dd3-4a64-46ce-9a8a-c831885a0249}" id="{1fb4f206-c31c-4b3a-8f71-5d506814b34c}" done="0">
    <x18tc:text xml:space="preserve">02/08 REQ (CM)</x18tc:text>
  </x18tc:threadedComment>
  <x18tc:threadedComment ref="S45" dT="2024-02-22T13:24:31.00" personId="{d5498dd3-4a64-46ce-9a8a-c831885a0249}" id="{0d56ee0d-b67a-4073-af2b-f716524a9dc5}" done="0">
    <x18tc:text xml:space="preserve">02/22 req.</x18tc:text>
  </x18tc:threadedComment>
  <x18tc:threadedComment ref="S36" dT="2024-02-26T19:56:00.00" personId="{d5498dd3-4a64-46ce-9a8a-c831885a0249}" id="{b1f6632c-ab3e-4366-a4fa-2b1129508170}" done="0">
    <x18tc:text xml:space="preserve">02/26 Requested (CM)</x18tc:text>
  </x18tc:threadedComment>
  <x18tc:threadedComment ref="S37" dT="2024-03-14T15:09:22.00" personId="{d5498dd3-4a64-46ce-9a8a-c831885a0249}" id="{3da52247-bb87-4e57-aff4-996407f88183}" done="0">
    <x18tc:text xml:space="preserve">03/14 req.</x18tc:text>
  </x18tc:threadedComment>
  <x18tc:threadedComment ref="S61" dT="2024-03-14T15:28:52.00" personId="{d5498dd3-4a64-46ce-9a8a-c831885a0249}" id="{8158ed34-1ba7-4dd4-9df0-88df1a30d27b}" done="0">
    <x18tc:text xml:space="preserve">03/14 REQUESTED (CM)</x18tc:text>
  </x18tc:threadedComment>
  <x18tc:threadedComment ref="S86" dT="2024-03-21T21:31:36.00" personId="{d5498dd3-4a64-46ce-9a8a-c831885a0249}" id="{4a80d590-8d41-416c-aa6f-c6c9b98c82a4}" done="0">
    <x18tc:text xml:space="preserve">03/21 req</x18tc:text>
  </x18tc:threadedComment>
  <x18tc:threadedComment ref="S106" dT="2024-04-08T21:29:29.00" personId="{d5498dd3-4a64-46ce-9a8a-c831885a0249}" id="{1e0ed106-b841-4a70-a90d-ef42dd67fc26}" done="0">
    <x18tc:text xml:space="preserve">04/08 REQ</x18tc:text>
  </x18tc:threadedComment>
  <x18tc:threadedComment ref="S76" dT="2024-02-26T02:44:45.00" personId="{d5498dd3-4a64-46ce-9a8a-c831885a0249}" id="{b400cd75-4ca9-4a64-b6b0-7ca6452e0ad5}" done="0">
    <x18tc:text xml:space="preserve">02/26 REQ</x18tc:text>
  </x18tc:threadedComment>
  <x18tc:threadedComment ref="S87" dT="2024-03-08T21:21:02.00" personId="{d5498dd3-4a64-46ce-9a8a-c831885a0249}" id="{5e64b9ee-d94e-407d-9ef8-37f4f96ab684}" done="0">
    <x18tc:text xml:space="preserve">03/08 REQ.</x18tc:text>
  </x18tc:threadedComment>
  <x18tc:threadedComment ref="S89" dT="2024-03-01T03:43:16.00" personId="{d5498dd3-4a64-46ce-9a8a-c831885a0249}" id="{5de7b06a-aa40-42a5-97f2-abd2449b37f9}" done="0">
    <x18tc:text xml:space="preserve">03/01 REQ.</x18tc:text>
  </x18tc:threadedComment>
  <x18tc:threadedComment ref="S65" dT="2024-03-01T04:08:02.00" personId="{d5498dd3-4a64-46ce-9a8a-c831885a0249}" id="{ec368cf1-2913-481f-a11d-122f5b043259}" done="0">
    <x18tc:text xml:space="preserve">03/01 REQ.</x18tc:text>
  </x18tc:threadedComment>
  <x18tc:threadedComment ref="S66" dT="2024-03-01T04:10:02.00" personId="{d5498dd3-4a64-46ce-9a8a-c831885a0249}" id="{c2605045-22e6-4ad6-b6d1-3abd89a1fb68}" done="0">
    <x18tc:text xml:space="preserve">03/01 req</x18tc:text>
  </x18tc:threadedComment>
  <x18tc:threadedComment ref="S74" dT="2024-03-01T20:28:59.00" personId="{d5498dd3-4a64-46ce-9a8a-c831885a0249}" id="{011d90c7-f21a-4f83-963a-146970aa6e7e}" done="0">
    <x18tc:text xml:space="preserve">03/01 REQ. appraisal
04/25 req. mediation</x18tc:text>
  </x18tc:threadedComment>
  <x18tc:threadedComment ref="S73" dT="2024-03-12T20:00:05.00" personId="{d5498dd3-4a64-46ce-9a8a-c831885a0249}" id="{89e65f43-231f-40b7-b822-110212dc9bdc}" done="0">
    <x18tc:text xml:space="preserve">03/12 REQ.</x18tc:text>
  </x18tc:threadedComment>
  <x18tc:threadedComment ref="S56" dT="2024-03-19T13:12:32.00" personId="{d5498dd3-4a64-46ce-9a8a-c831885a0249}" id="{4f60e135-e526-42fa-8767-91efed538421}" done="0">
    <x18tc:text xml:space="preserve">03/19 requested (CM)</x18tc:text>
  </x18tc:threadedComment>
  <x18tc:threadedComment ref="S11" dT="2024-03-20T18:21:05.00" personId="{d5498dd3-4a64-46ce-9a8a-c831885a0249}" id="{0f46bbc8-bb78-4912-938b-6b3489f32fe8}" done="0">
    <x18tc:text xml:space="preserve">03/20 REQ</x18tc:text>
  </x18tc:threadedComment>
  <x18tc:threadedComment ref="S67" dT="2024-03-20T19:48:40.00" personId="{d5498dd3-4a64-46ce-9a8a-c831885a0249}" id="{5655cea4-7c26-4988-ae14-6a4b429ee158}" done="0">
    <x18tc:text xml:space="preserve">03/20 REQ.</x18tc:text>
  </x18tc:threadedComment>
  <x18tc:threadedComment ref="S92" dT="2024-03-20T20:02:34.00" personId="{d5498dd3-4a64-46ce-9a8a-c831885a0249}" id="{8d1e1154-875f-42ed-8272-0f3e086616fb}" done="0">
    <x18tc:text xml:space="preserve">03/20 REQ.</x18tc:text>
  </x18tc:threadedComment>
  <x18tc:threadedComment ref="S26" dT="2024-03-20T20:03:49.00" personId="{d5498dd3-4a64-46ce-9a8a-c831885a0249}" id="{a1e5ae71-28b0-41a2-bca6-4c9cd4388c69}" done="0">
    <x18tc:text xml:space="preserve">03/20 REQ. (cm)</x18tc:text>
  </x18tc:threadedComment>
  <x18tc:threadedComment ref="S15" dT="2024-03-22T21:00:23.00" personId="{d5498dd3-4a64-46ce-9a8a-c831885a0249}" id="{e7a2056c-e8e9-4dba-a06e-369b6f06333b}" done="0">
    <x18tc:text xml:space="preserve">03/22 REQ</x18tc:text>
  </x18tc:threadedComment>
  <x18tc:threadedComment ref="S23" dT="2024-03-22T21:05:03.00" personId="{d5498dd3-4a64-46ce-9a8a-c831885a0249}" id="{9de2a95a-031d-416f-9ea5-f0f4fc233943}" done="0">
    <x18tc:text xml:space="preserve">03/22 REQ</x18tc:text>
  </x18tc:threadedComment>
  <x18tc:threadedComment ref="Q11" dT="2024-03-28T09:39:22.00" personId="{d5498dd3-4a64-46ce-9a8a-c831885a0249}" id="{c28aa365-d155-47ee-8a99-9f39105f3789}" done="1">
    <x18tc:text xml:space="preserve">Did you settle before mediation?</x18tc:text>
  </x18tc:threadedComment>
  <x18tc:threadedComment ref="S17" dT="2024-03-28T09:45:05.00" personId="{d5498dd3-4a64-46ce-9a8a-c831885a0249}" id="{1248315f-5201-4994-ad63-8ec36ab857e9}" done="0">
    <x18tc:text xml:space="preserve">01/31 mediation done</x18tc:text>
  </x18tc:threadedComment>
  <x18tc:threadedComment ref="S13" dT="2024-03-28T09:24:25.00" personId="{d5498dd3-4a64-46ce-9a8a-c831885a0249}" id="{f41c6984-e161-4842-a290-dee4d8d2872e}" done="0">
    <x18tc:text xml:space="preserve">03/21 med. done</x18tc:text>
  </x18tc:threadedComment>
  <x18tc:threadedComment ref="S31" dT="2024-03-28T09:57:50.00" personId="{d5498dd3-4a64-46ce-9a8a-c831885a0249}" id="{51c018ba-3538-4ef6-bbc3-9121c7ba6f5b}" done="0">
    <x18tc:text xml:space="preserve">02/27 mediation done</x18tc:text>
  </x18tc:threadedComment>
  <x18tc:threadedComment ref="S18" dT="2024-03-28T19:05:50.00" personId="{d5498dd3-4a64-46ce-9a8a-c831885a0249}" id="{5d1a0dec-20a6-4d42-a515-eeb3a2fd44a5}" done="0">
    <x18tc:text xml:space="preserve">03/28 req.</x18tc:text>
  </x18tc:threadedComment>
  <x18tc:threadedComment ref="S9" dT="2024-04-12T19:24:32.00" personId="{d5498dd3-4a64-46ce-9a8a-c831885a0249}" id="{8de26b97-7afc-4224-a29d-c650790a2946}" done="0">
    <x18tc:text xml:space="preserve">04/12 req.</x18tc:text>
  </x18tc:threadedComment>
  <x18tc:threadedComment ref="S102" dT="2024-04-01T20:56:17.00" personId="{d5498dd3-4a64-46ce-9a8a-c831885a0249}" id="{fcc4802d-f9e8-4de9-aa52-5974405b26cb}" done="0">
    <x18tc:text xml:space="preserve">04/01 REQ</x18tc:text>
  </x18tc:threadedComment>
  <x18tc:threadedComment ref="S91" dT="2024-04-09T15:02:56.00" personId="{d5498dd3-4a64-46ce-9a8a-c831885a0249}" id="{4a15c866-f53c-465d-85fa-0b21f4f66244}" done="0">
    <x18tc:text xml:space="preserve">04/09 req</x18tc:text>
  </x18tc:threadedComment>
  <x18tc:threadedComment ref="S81" dT="2024-04-10T13:39:00.00" personId="{d5498dd3-4a64-46ce-9a8a-c831885a0249}" id="{a7372774-6f63-4444-9d49-1e6e5d7e6f0d}" done="0">
    <x18tc:text xml:space="preserve">04/10 REQ</x18tc:text>
  </x18tc:threadedComment>
  <x18tc:threadedComment ref="S60" dT="2024-04-11T16:48:53.00" personId="{d5498dd3-4a64-46ce-9a8a-c831885a0249}" id="{3996b9f9-4429-4caa-a440-569b981878fa}" done="0">
    <x18tc:text xml:space="preserve">04/11 req</x18tc:text>
  </x18tc:threadedComment>
  <x18tc:threadedComment ref="S24" dT="2024-04-11T16:05:34.00" personId="{d5498dd3-4a64-46ce-9a8a-c831885a0249}" id="{d988619c-472e-440d-86d4-5e85756095b6}" done="0">
    <x18tc:text xml:space="preserve">04/11 REQ</x18tc:text>
  </x18tc:threadedComment>
  <x18tc:threadedComment ref="S99" dT="2024-04-11T17:10:03.00" personId="{d5498dd3-4a64-46ce-9a8a-c831885a0249}" id="{c6e96c17-2867-478e-a85b-b327d0ed14d2}" done="0">
    <x18tc:text xml:space="preserve">04/11 REQ</x18tc:text>
  </x18tc:threadedComment>
  <x18tc:threadedComment ref="S42" dT="2024-04-11T17:42:08.00" personId="{d5498dd3-4a64-46ce-9a8a-c831885a0249}" id="{b4fdc22c-5747-49da-9408-c54e80ef7471}" done="0">
    <x18tc:text xml:space="preserve">04/11 req</x18tc:text>
  </x18tc:threadedComment>
  <x18tc:threadedComment ref="S64" dT="2024-04-09T15:53:06.00" personId="{d5498dd3-4a64-46ce-9a8a-c831885a0249}" id="{a89677b8-1ddc-4405-9fb8-2a5081634259}" done="0">
    <x18tc:text xml:space="preserve">04/09 REQ</x18tc:text>
  </x18tc:threadedComment>
  <x18tc:threadedComment ref="M115" dT="2024-06-11T16:50:02.00" personId="{d5498dd3-4a64-46ce-9a8a-c831885a0249}" id="{2eaa5dd5-1a44-45bf-be66-515e55bcb2f4}" done="0">
    <x18tc:text xml:space="preserve">06/11 asked Juan to confirm this estimate (JP)</x18tc:text>
  </x18tc:threadedComment>
  <x18tc:threadedComment ref="L117" dT="2024-06-11T16:53:33.00" personId="{d5498dd3-4a64-46ce-9a8a-c831885a0249}" id="{ac906061-59e0-4379-a7af-7d40f71eddf6}" done="0">
    <x18tc:text xml:space="preserve">06/11 standing by for Peter's decision</x18tc:text>
  </x18tc:threadedComment>
  <x18tc:threadedComment ref="O143" dT="2024-07-04T01:00:12.00" personId="{d5498dd3-4a64-46ce-9a8a-c831885a0249}" id="{5337bb6e-d504-4559-8aa1-7861cb93527f}" done="0">
    <x18tc:text xml:space="preserve">07/03 Received a denial letter, asked how to proceed next (CM)</x18tc:text>
  </x18tc:threadedComment>
  <x18tc:threadedComment ref="S54" dT="2024-05-09T17:31:27.00" personId="{d5498dd3-4a64-46ce-9a8a-c831885a0249}" id="{1ae8b6a3-0ed3-4962-8ce4-069bdb974420}" done="0">
    <x18tc:text xml:space="preserve">05/09 req</x18tc:text>
  </x18tc:threadedComment>
  <x18tc:threadedComment ref="S71" dT="2024-05-09T18:36:37.00" personId="{d5498dd3-4a64-46ce-9a8a-c831885a0249}" id="{bc662fe5-b912-4077-b443-2b4f7bd0e4ef}" done="0">
    <x18tc:text xml:space="preserve">05/09</x18tc:text>
  </x18tc:threadedComment>
  <x18tc:threadedComment ref="S83" dT="2024-05-09T18:50:03.00" personId="{d5498dd3-4a64-46ce-9a8a-c831885a0249}" id="{e5482cdd-5f6d-4b91-8a2f-d9c42b3e27d5}" done="0">
    <x18tc:text xml:space="preserve">05/09</x18tc:text>
  </x18tc:threadedComment>
  <x18tc:threadedComment ref="N103" dT="2024-05-08T04:25:10.00" personId="{d5498dd3-4a64-46ce-9a8a-c831885a0249}" id="{e5b29a55-b3ba-4313-80b5-f9f695207498}" done="0">
    <x18tc:text xml:space="preserve">05/02 Sent to client (CM)</x18tc:text>
  </x18tc:threadedComment>
  <x18tc:threadedComment ref="N106" dT="2024-05-08T04:25:39.00" personId="{d5498dd3-4a64-46ce-9a8a-c831885a0249}" id="{bce52e66-9f09-45a1-9c64-938c2565c892}" done="0">
    <x18tc:text xml:space="preserve">04/10 Sent to client (CM)</x18tc:text>
  </x18tc:threadedComment>
  <x18tc:threadedComment ref="N91" dT="2024-05-08T04:26:14.00" personId="{d5498dd3-4a64-46ce-9a8a-c831885a0249}" id="{41ecc8e8-7f48-42c3-a2b7-dd68a7f1a85a}" done="0">
    <x18tc:text xml:space="preserve">05/08 Sent to client (CM)</x18tc:text>
  </x18tc:threadedComment>
  <x18tc:threadedComment ref="S97" dT="2024-04-18T01:53:45.00" personId="{d5498dd3-4a64-46ce-9a8a-c831885a0249}" id="{0dd02fa7-9ab9-418b-b646-05907cbddd22}" done="0">
    <x18tc:text xml:space="preserve">04/18 REQ</x18tc:text>
  </x18tc:threadedComment>
  <x18tc:threadedComment ref="S98" dT="2024-05-09T13:15:41.00" personId="{d5498dd3-4a64-46ce-9a8a-c831885a0249}" id="{f2d3c063-896a-4029-b0c6-634df8fd9e5a}" done="0">
    <x18tc:text xml:space="preserve">05/09 REQ</x18tc:text>
  </x18tc:threadedComment>
  <x18tc:threadedComment ref="S84" dT="2024-05-09T13:18:56.00" personId="{d5498dd3-4a64-46ce-9a8a-c831885a0249}" id="{4f990af7-ace6-4a72-90cb-5a5469210898}" done="0">
    <x18tc:text xml:space="preserve">REQ</x18tc:text>
  </x18tc:threadedComment>
  <x18tc:threadedComment ref="S114" dT="2024-05-09T13:27:18.00" personId="{d5498dd3-4a64-46ce-9a8a-c831885a0249}" id="{1568c9ac-5b3a-477c-a2dc-448e0c556ce9}" done="0">
    <x18tc:text xml:space="preserve">05/09 REQ</x18tc:text>
  </x18tc:threadedComment>
  <x18tc:threadedComment ref="S103" dT="2024-05-03T18:47:19.00" personId="{d5498dd3-4a64-46ce-9a8a-c831885a0249}" id="{3e60e790-2a2b-46e2-b764-0cc969cfc170}" done="0">
    <x18tc:text xml:space="preserve">05/03 REQ</x18tc:text>
  </x18tc:threadedComment>
  <x18tc:threadedComment ref="N28" dT="2024-05-20T17:35:20.00" personId="{d5498dd3-4a64-46ce-9a8a-c831885a0249}" id="{53b8f285-48fb-45b3-8265-5a3ee31572c1}" done="0">
    <x18tc:text xml:space="preserve">06/11 asked Sarah to notarized (jp)</x18tc:text>
  </x18tc:threadedComment>
  <x18tc:threadedComment ref="S43" dT="2024-05-14T19:46:48.00" personId="{d5498dd3-4a64-46ce-9a8a-c831885a0249}" id="{a6cb5d7d-fdaf-4e8e-808a-121537633a3d}" done="0">
    <x18tc:text xml:space="preserve">5/14 requested mediation (CM)</x18tc:text>
  </x18tc:threadedComment>
  <x18tc:threadedComment ref="S108" dT="2024-05-16T21:32:23.00" personId="{d5498dd3-4a64-46ce-9a8a-c831885a0249}" id="{5b39d948-8093-4379-b3d4-12893867dc52}" done="0">
    <x18tc:text xml:space="preserve">05/16 REQ</x18tc:text>
  </x18tc:threadedComment>
  <x18tc:threadedComment ref="S113" dT="2024-05-16T14:57:44.00" personId="{d5498dd3-4a64-46ce-9a8a-c831885a0249}" id="{6d8237e9-2f9e-401f-bb65-93fd7c2cc2e6}" done="0">
    <x18tc:text xml:space="preserve">RQ 5/16 MEDIATION
06/10 REQ APPRAISAL</x18tc:text>
  </x18tc:threadedComment>
  <x18tc:threadedComment ref="N113" dT="2024-05-17T16:00:12.00" personId="{d5498dd3-4a64-46ce-9a8a-c831885a0249}" id="{837fa030-848f-40b9-97ad-d4b0426cd5aa}" done="0">
    <x18tc:text xml:space="preserve">5/16 sent spol to client
6/6 actualizar spol con valor nuevo
6/10 se actualizo el valor del SPOL y envie al cliente para q firme
6/13 ennviado el SPOL notarizado</x18tc:text>
  </x18tc:threadedComment>
  <x18tc:threadedComment ref="M69" dT="2024-05-17T16:38:05.00" personId="{d5498dd3-4a64-46ce-9a8a-c831885a0249}" id="{7a07d23e-279d-4590-be1b-0687aaf5deeb}" done="0">
    <x18tc:text xml:space="preserve">05/27 sent garage update to Juan (JP)</x18tc:text>
  </x18tc:threadedComment>
  <x18tc:threadedComment ref="S118" dT="2024-05-29T20:49:29.00" personId="{d5498dd3-4a64-46ce-9a8a-c831885a0249}" id="{12d2223a-cf6a-48a7-a23f-959b239d7f0e}" done="0">
    <x18tc:text xml:space="preserve">05/29 REQ.</x18tc:text>
  </x18tc:threadedComment>
  <x18tc:threadedComment ref="N143" dT="2024-06-29T14:20:11.00" personId="{d5498dd3-4a64-46ce-9a8a-c831885a0249}" id="{9ada38b6-2a9f-4fc6-8e0f-5389fa1b5c7f}" done="0">
    <x18tc:text xml:space="preserve">6/29 sent to client to sign</x18tc:text>
  </x18tc:threadedComment>
  <x18tc:threadedComment ref="N142" dT="2024-06-29T14:50:09.00" personId="{d5498dd3-4a64-46ce-9a8a-c831885a0249}" id="{c66f4c2d-6fce-4955-9a54-0ce12c1248e7}" done="0">
    <x18tc:text xml:space="preserve">6/29 requested</x18tc:text>
  </x18tc:threadedComment>
  <x18tc:threadedComment ref="N137" dT="2024-06-29T15:32:36.00" personId="{d5498dd3-4a64-46ce-9a8a-c831885a0249}" id="{99ff78c1-43c7-40c0-a5ac-aca5d8883e87}" done="0">
    <x18tc:text xml:space="preserve">6/29 se envio SPOL para q firme cliente</x18tc:text>
  </x18tc:threadedComment>
  <x18tc:threadedComment ref="M153" dT="2024-06-29T15:51:31.00" personId="{d5498dd3-4a64-46ce-9a8a-c831885a0249}" id="{52d36f34-0dfe-4ce6-9fbd-1f1773691a88}" done="0">
    <x18tc:text xml:space="preserve">6/29 sent Juan, request picture file</x18tc:text>
  </x18tc:threadedComment>
  <x18tc:threadedComment ref="M138" dT="2024-06-29T16:09:18.00" personId="{d5498dd3-4a64-46ce-9a8a-c831885a0249}" id="{6bc1a6c3-57b8-4346-b49a-fd2852866d2e}" done="0">
    <x18tc:text xml:space="preserve">6/04 sent estimate to Juan
6/29 request to review and approve</x18tc:text>
  </x18tc:threadedComment>
  <x18tc:threadedComment ref="N179" dT="2024-06-29T16:27:09.00" personId="{d5498dd3-4a64-46ce-9a8a-c831885a0249}" id="{18b77b2a-e6b6-499f-a2e5-aa7ddd5349be}" done="0">
    <x18tc:text xml:space="preserve">6/29 request blank SPOL (JP)</x18tc:text>
  </x18tc:threadedComment>
  <x18tc:threadedComment ref="M145" dT="2024-06-29T18:59:19.00" personId="{d5498dd3-4a64-46ce-9a8a-c831885a0249}" id="{05e1ea6d-f03e-42b9-83e8-0cbda548ab07}" done="0">
    <x18tc:text xml:space="preserve">6/29 son dos reclamos por huracan, falta estimado de 7/22</x18tc:text>
  </x18tc:threadedComment>
  <x18tc:threadedComment ref="M154" dT="2024-06-29T19:07:42.00" personId="{d5498dd3-4a64-46ce-9a8a-c831885a0249}" id="{4d9f5690-b43e-470e-b86c-b98d99968256}" done="0">
    <x18tc:text xml:space="preserve">6/29 este cliente esta en NO STRESS, confimar con Ivan que hacer</x18tc:text>
  </x18tc:threadedComment>
  <x18tc:threadedComment ref="S96" dT="2024-06-25T16:58:26.00" personId="{d5498dd3-4a64-46ce-9a8a-c831885a0249}" id="{bd886c45-64be-4bfa-a97b-fd05edfacf7c}" done="0">
    <x18tc:text xml:space="preserve">06/25 req</x18tc:text>
  </x18tc:threadedComment>
  <x18tc:threadedComment ref="M143" dT="2024-06-28T17:06:01.00" personId="{d5498dd3-4a64-46ce-9a8a-c831885a0249}" id="{233df827-c0d7-429c-9756-721447862f29}" done="0">
    <x18tc:text xml:space="preserve">6/28 enviado a Ivan
6/29 ivan approved</x18tc:text>
  </x18tc:threadedComment>
  <x18tc:threadedComment ref="M142" dT="2024-06-28T18:22:47.00" personId="{d5498dd3-4a64-46ce-9a8a-c831885a0249}" id="{c805eba4-0e19-4534-b022-ba72718c77a3}" done="0">
    <x18tc:text xml:space="preserve">6/28 enviado a Ivan
6/29 Ivan approved</x18tc:text>
  </x18tc:threadedComment>
  <x18tc:threadedComment ref="N132" dT="2024-07-01T21:30:53.00" personId="{d5498dd3-4a64-46ce-9a8a-c831885a0249}" id="{26e9930c-aaec-4626-b871-98fcf57065e9}" done="0">
    <x18tc:text xml:space="preserve">7/01 sent to client</x18tc:text>
  </x18tc:threadedComment>
  <x18tc:threadedComment ref="L144" dT="2024-07-01T21:52:50.00" personId="{d5498dd3-4a64-46ce-9a8a-c831885a0249}" id="{1d6a1403-636c-4600-a4fa-5eb7b8fac8e6}" done="0">
    <x18tc:text xml:space="preserve">7/01 sent to carrier with picture file (JP)</x18tc:text>
  </x18tc:threadedComment>
  <x18tc:threadedComment ref="L121" dT="2024-07-06T01:03:12.00" personId="{d5498dd3-4a64-46ce-9a8a-c831885a0249}" id="{0f40e554-bf9f-442f-aead-be8772dad381}" done="0">
    <x18tc:text xml:space="preserve">7/05 falta picture file para enviar al carrier</x18tc:text>
  </x18tc:threadedComment>
  <x18tc:threadedComment ref="L158" dT="2024-07-09T14:24:24.00" personId="{d5498dd3-4a64-46ce-9a8a-c831885a0249}" id="{7dbd895e-5e4d-4c38-95ea-4cf788fe2270}" done="0">
    <x18tc:text xml:space="preserve">7/09 sent to carrier</x18tc:text>
  </x18tc:threadedComment>
  <x18tc:threadedComment ref="N138" dT="2024-07-09T14:09:22.00" personId="{d5498dd3-4a64-46ce-9a8a-c831885a0249}" id="{3aaf7145-7d50-4b7e-afb7-da5f67f3aa2b}" done="0">
    <x18tc:text xml:space="preserve">7/09 tengo el formato, esperando el aprobado del estimado de Juan</x18tc:text>
  </x18tc:threadedComment>
  <x18tc:threadedComment ref="M105" dT="2024-06-13T14:51:39.00" personId="{d5498dd3-4a64-46ce-9a8a-c831885a0249}" id="{f2e965ac-8d01-4554-8688-d6284da110a2}" done="0">
    <x18tc:text xml:space="preserve">6/13 pedi a juan info del estimado</x18tc:text>
  </x18tc:threadedComment>
  <x18tc:threadedComment ref="L125" dT="2024-06-13T17:17:50.00" personId="{d5498dd3-4a64-46ce-9a8a-c831885a0249}" id="{d6c658c0-47e0-4fee-bebd-56d9d4e7738f}" done="0">
    <x18tc:text xml:space="preserve">6/13 se envio sin picture file (JP)</x18tc:text>
  </x18tc:threadedComment>
  <x18tc:threadedComment ref="N125" dT="2024-06-13T21:49:49.00" personId="{d5498dd3-4a64-46ce-9a8a-c831885a0249}" id="{79cee137-a9cf-4bfe-8952-dd5c604859d2}" done="0">
    <x18tc:text xml:space="preserve">6/13 se envio al cliente para q firme</x18tc:text>
  </x18tc:threadedComment>
  <x18tc:threadedComment ref="N128" dT="2024-06-13T22:12:42.00" personId="{d5498dd3-4a64-46ce-9a8a-c831885a0249}" id="{a87d8b0b-4997-4b87-be17-a66d104f6dd6}" done="0">
    <x18tc:text xml:space="preserve">6/13 se envio para q firme cliente</x18tc:text>
  </x18tc:threadedComment>
  <x18tc:threadedComment ref="N129" dT="2024-06-13T22:31:20.00" personId="{d5498dd3-4a64-46ce-9a8a-c831885a0249}" id="{b321d738-1111-4fd8-90dc-c2d9d0cf2a02}" done="0">
    <x18tc:text xml:space="preserve">6/13 se envio al cliente para q firme</x18tc:text>
  </x18tc:threadedComment>
  <x18tc:threadedComment ref="N131" dT="2024-06-13T22:58:45.00" personId="{d5498dd3-4a64-46ce-9a8a-c831885a0249}" id="{2e475fef-99a8-4fb5-9416-4368250d9495}" done="0">
    <x18tc:text xml:space="preserve">6/13 e envio al cliente para q firme, la poliza esta mal en la fecha, se pidio a PA q verifique</x18tc:text>
  </x18tc:threadedComment>
  <x18tc:threadedComment ref="N136" dT="2024-06-13T23:19:37.00" personId="{d5498dd3-4a64-46ce-9a8a-c831885a0249}" id="{86910a01-2f05-4fc2-abb4-02cde8c949ac}" done="0">
    <x18tc:text xml:space="preserve">6/13 se envio SPOL para q firme cliente</x18tc:text>
  </x18tc:threadedComment>
  <x18tc:threadedComment ref="S50" dT="2024-06-05T15:50:37.00" personId="{d5498dd3-4a64-46ce-9a8a-c831885a0249}" id="{4685b541-5bd6-43ac-8c1f-5ff6d70341c8}" done="0">
    <x18tc:text xml:space="preserve">06/05 REQ</x18tc:text>
  </x18tc:threadedComment>
  <x18tc:threadedComment ref="S94" dT="2024-06-05T16:03:00.00" personId="{d5498dd3-4a64-46ce-9a8a-c831885a0249}" id="{2c2dc604-fbd8-4e6c-a1a5-5e9185c49fbc}" done="0">
    <x18tc:text xml:space="preserve">06/05 REQ</x18tc:text>
  </x18tc:threadedComment>
  <x18tc:threadedComment ref="S77" dT="2024-06-06T02:08:16.00" personId="{d5498dd3-4a64-46ce-9a8a-c831885a0249}" id="{9f12e26f-a1c8-4ac1-9fb2-0b5e21e2ebc6}" done="0">
    <x18tc:text xml:space="preserve">06/06 req</x18tc:text>
  </x18tc:threadedComment>
  <x18tc:threadedComment ref="N188" dT="2024-06-11T16:20:45.00" personId="{d5498dd3-4a64-46ce-9a8a-c831885a0249}" id="{88eec200-07cc-4ec1-8817-b8fbd9ebea1b}" done="0">
    <x18tc:text xml:space="preserve">6/11 waiting for peter confirmation</x18tc:text>
  </x18tc:threadedComment>
  <x18tc:threadedComment ref="M121" dT="2024-06-11T14:46:57.00" personId="{d5498dd3-4a64-46ce-9a8a-c831885a0249}" id="{272b197c-3a49-46c4-9e7f-0ec52548a722}" done="0">
    <x18tc:text xml:space="preserve">06/10 aprobado</x18tc:text>
  </x18tc:threadedComment>
  <x18tc:threadedComment ref="N134" dT="2024-06-11T15:49:15.00" personId="{d5498dd3-4a64-46ce-9a8a-c831885a0249}" id="{86c21472-bcd2-475f-b246-e2b0f69b79dc}" done="0">
    <x18tc:text xml:space="preserve">6/11 request blank SPOL</x18tc:text>
  </x18tc:threadedComment>
  <x18tc:threadedComment ref="M188" dT="2024-06-11T16:17:57.00" personId="{d5498dd3-4a64-46ce-9a8a-c831885a0249}" id="{33bf950d-2584-4e2f-85f3-bbcba3e964bc}" done="0">
    <x18tc:text xml:space="preserve">stand by lender back</x18tc:text>
  </x18tc:threadedComment>
  <x18tc:threadedComment ref="N72" dT="2024-06-11T16:31:00.00" personId="{d5498dd3-4a64-46ce-9a8a-c831885a0249}" id="{bed6ad6d-ea13-470f-9962-f9a671bd9205}" done="0">
    <x18tc:text xml:space="preserve">05/23 sent to client (JP)</x18tc:text>
  </x18tc:threadedComment>
  <x18tc:threadedComment ref="L176" dT="2024-06-11T16:37:09.00" personId="{d5498dd3-4a64-46ce-9a8a-c831885a0249}" id="{30b63ab1-a762-4094-84b7-9fe8dc253dd7}" done="0">
    <x18tc:text xml:space="preserve">06/11 stand by for Ivan's decision</x18tc:text>
  </x18tc:threadedComment>
  <x18tc:threadedComment ref="L104" dT="2024-06-11T16:38:21.00" personId="{d5498dd3-4a64-46ce-9a8a-c831885a0249}" id="{dc604c59-db5d-49b6-8ed4-e344eb028ad7}" done="0">
    <x18tc:text xml:space="preserve">06/05 Joshua will do the estimate once the inspection performed (CM)</x18tc:text>
  </x18tc:threadedComment>
  <x18tc:threadedComment ref="L107" dT="2024-06-11T16:41:06.00" personId="{d5498dd3-4a64-46ce-9a8a-c831885a0249}" id="{40170a7e-7297-4ba6-bf8b-fa52bbd991a5}" done="0">
    <x18tc:text xml:space="preserve">06/05 Joshua will do the estimate once the inspection performed (CM)</x18tc:text>
  </x18tc:threadedComment>
  <x18tc:threadedComment ref="N112" dT="2024-06-11T16:43:38.00" personId="{d5498dd3-4a64-46ce-9a8a-c831885a0249}" id="{7114de04-1cce-4207-ad68-f2207ce66619}" done="0">
    <x18tc:text xml:space="preserve">05/22 sent SPOL to client (CM)</x18tc:text>
  </x18tc:threadedComment>
  <x18tc:threadedComment ref="S111" dT="2024-06-10T23:05:36.00" personId="{d5498dd3-4a64-46ce-9a8a-c831885a0249}" id="{0b8d4a52-6a32-4899-98e7-eaec037db645}" done="0">
    <x18tc:text xml:space="preserve">06/10 REQ</x18tc:text>
  </x18tc:threadedComment>
  <x18tc:threadedComment ref="O51" dT="2024-06-12T04:52:30.00" personId="{d5498dd3-4a64-46ce-9a8a-c831885a0249}" id="{4b81df39-6082-4202-9ea0-e657817e99b4}" done="0">
    <x18tc:text xml:space="preserve">04/16 received a letter, DA says claim will close if they don't receive the estimate (CM)</x18tc:text>
  </x18tc:threadedComment>
  <x18tc:threadedComment ref="O49" dT="2024-06-12T04:52:44.00" personId="{d5498dd3-4a64-46ce-9a8a-c831885a0249}" id="{daa8ea92-b521-43ee-a335-dc9490ef4b05}" done="0">
    <x18tc:text xml:space="preserve">03/12 received denial letter (CM)</x18tc:text>
  </x18tc:threadedComment>
  <x18tc:threadedComment ref="O32" dT="2024-06-12T04:53:06.00" personId="{d5498dd3-4a64-46ce-9a8a-c831885a0249}" id="{b737dcff-a103-4a0b-83cb-97518668ff43}" done="0">
    <x18tc:text xml:space="preserve">05/20 received a 10k offer, sent to PAs (CM)</x18tc:text>
  </x18tc:threadedComment>
  <x18tc:threadedComment ref="O6" dT="2024-06-12T04:53:22.00" personId="{d5498dd3-4a64-46ce-9a8a-c831885a0249}" id="{1c079713-4f9e-45d9-8cb1-923fc1dba348}" done="0">
    <x18tc:text xml:space="preserve">12/19 determination letter received (CM)</x18tc:text>
  </x18tc:threadedComment>
  <x18tc:threadedComment ref="O2" dT="2024-06-12T04:54:16.00" personId="{d5498dd3-4a64-46ce-9a8a-c831885a0249}" id="{71bd2c21-0466-4c54-8af3-2118941a57d8}" done="0">
    <x18tc:text xml:space="preserve">Blue: denial or determination letter, waiting for further actions
Green: DA makes an offer need PA response
Yellow: undisputed payment
Red: DA says is settled, pending for PA confirmation
Purple: Need to answer DA
Orange: claim closed by DA</x18tc:text>
  </x18tc:threadedComment>
  <x18tc:threadedComment ref="M157" dT="2024-07-05T13:15:26.00" personId="{d5498dd3-4a64-46ce-9a8a-c831885a0249}" id="{449661f8-bb2c-4a2b-bc44-245bdb6efa89}" done="0">
    <x18tc:text xml:space="preserve">7/05 enviado a ivan para aprobacion</x18tc:text>
  </x18tc:threadedComment>
  <x18tc:threadedComment ref="L150" dT="2024-07-05T23:24:29.00" personId="{d5498dd3-4a64-46ce-9a8a-c831885a0249}" id="{eff77a01-9ba7-42ee-a307-169458cca541}" done="0">
    <x18tc:text xml:space="preserve">7/05 aprobado el estimado, esperando el claim number de Caro</x18tc:text>
  </x18tc:threadedComment>
  <x18tc:threadedComment ref="M72" dT="2024-07-05T23:36:08.00" personId="{d5498dd3-4a64-46ce-9a8a-c831885a0249}" id="{84444153-d699-4766-8ea8-e6f909e2da65}" done="0">
    <x18tc:text xml:space="preserve">7/05 cliente dice q falta la piscina en el estimado, preguntamos a Juan</x18tc:text>
  </x18tc:threadedComment>
  <x18tc:threadedComment ref="L142" dT="2024-07-05T23:50:37.00" personId="{d5498dd3-4a64-46ce-9a8a-c831885a0249}" id="{391c1955-0ba7-4fa5-82f4-4a7691350993}" done="0">
    <x18tc:text xml:space="preserve">7/05 sent to carrier</x18tc:text>
  </x18tc:threadedComment>
  <x18tc:threadedComment ref="M158" dT="2024-07-05T17:43:38.00" personId="{d5498dd3-4a64-46ce-9a8a-c831885a0249}" id="{258bf485-2937-4f97-940d-ed4d5cbb89fc}" done="0">
    <x18tc:text xml:space="preserve">7/05 enviado a ivan</x18tc:text>
  </x18tc:threadedComment>
  <x18tc:threadedComment ref="M144" dT="2024-06-21T22:48:19.00" personId="{d5498dd3-4a64-46ce-9a8a-c831885a0249}" id="{acbae89a-e87d-4fdd-a09f-0a8ebbf2e825}" done="0">
    <x18tc:text xml:space="preserve">6/21 enviado a Joshua
6/29 joshua aprobo estimado</x18tc:text>
  </x18tc:threadedComment>
  <x18tc:threadedComment ref="M146" dT="2024-06-21T23:31:15.00" personId="{d5498dd3-4a64-46ce-9a8a-c831885a0249}" id="{425ac1c6-e46c-4892-a90b-b265ba4249d7}" done="1">
    <x18tc:text xml:space="preserve">06/21 enviado a david</x18tc:text>
  </x18tc:threadedComment>
  <x18tc:threadedComment ref="M122" dT="2024-06-21T23:39:48.00" personId="{d5498dd3-4a64-46ce-9a8a-c831885a0249}" id="{d56c3c0e-d612-4eaa-85d1-f099e2d7b50a}" done="0">
    <x18tc:text xml:space="preserve">06/21 david pidio agregar A/C se envio un update
6/21 aprobado el update, enviado  al carrier</x18tc:text>
  </x18tc:threadedComment>
  <x18tc:threadedComment ref="M149" dT="2024-06-22T00:13:49.00" personId="{d5498dd3-4a64-46ce-9a8a-c831885a0249}" id="{59be5868-5d26-4b7e-9768-9e372c83c89d}" done="0">
    <x18tc:text xml:space="preserve">6/21 enviado a david</x18tc:text>
  </x18tc:threadedComment>
  <x18tc:threadedComment ref="N127" dT="2024-07-02T13:19:20.00" personId="{d5498dd3-4a64-46ce-9a8a-c831885a0249}" id="{5549d410-3b31-4054-bf30-2f5b30a7e4d1}" done="0">
    <x18tc:text xml:space="preserve">7/02 request blank spol</x18tc:text>
  </x18tc:threadedComment>
  <x18tc:threadedComment ref="L74" dT="2024-07-02T13:43:27.00" personId="{d5498dd3-4a64-46ce-9a8a-c831885a0249}" id="{0a670df3-7616-44c9-8e53-48da84c60b55}" done="0">
    <x18tc:text xml:space="preserve">7/02 sent update estimate to DA (Luis)</x18tc:text>
  </x18tc:threadedComment>
  <x18tc:threadedComment ref="L139" dT="2024-07-01T16:37:10.00" personId="{d5498dd3-4a64-46ce-9a8a-c831885a0249}" id="{d64839be-3b05-449e-a4f6-38416c4de9b2}" done="0">
    <x18tc:text xml:space="preserve">7/01 reopen, enviado al carrier</x18tc:text>
  </x18tc:threadedComment>
  <x18tc:threadedComment ref="N139" dT="2024-07-01T16:45:21.00" personId="{d5498dd3-4a64-46ce-9a8a-c831885a0249}" id="{aedfe9fe-51b9-4325-b625-359c9c7efd77}" done="0">
    <x18tc:text xml:space="preserve">7/01 request blank spol</x18tc:text>
  </x18tc:threadedComment>
  <x18tc:threadedComment ref="M74" dT="2024-06-28T20:01:48.00" personId="{d5498dd3-4a64-46ce-9a8a-c831885a0249}" id="{6dfb09aa-f6ec-4a70-9611-2aa6fc981dc9}" done="0">
    <x18tc:text xml:space="preserve">6/28 Peter pidio update, a 77K, enviado para q revise
7/01 peter approved the update estimate for 77k</x18tc:text>
  </x18tc:threadedComment>
  <x18tc:threadedComment ref="M137" dT="2024-06-28T20:26:18.00" personId="{d5498dd3-4a64-46ce-9a8a-c831885a0249}" id="{1908db9a-f4d2-43f1-a3ea-c4bf5242ab12}" done="0">
    <x18tc:text xml:space="preserve">6/28 enviado a ivan
6/29 ivan approved the estimate</x18tc:text>
  </x18tc:threadedComment>
  <x18tc:threadedComment ref="M70" dT="2024-07-03T17:45:47.00" personId="{d5498dd3-4a64-46ce-9a8a-c831885a0249}" id="{61c9ad5a-60bb-4b02-a277-5e94bd114303}" done="0">
    <x18tc:text xml:space="preserve">7/03 preguntar a juan si el estimado con roof se pone el garage, ya se envio otro con leak incluido garage</x18tc:text>
  </x18tc:threadedComment>
  <x18tc:threadedComment ref="N75" dT="2024-07-03T17:58:42.00" personId="{d5498dd3-4a64-46ce-9a8a-c831885a0249}" id="{1411d428-ff39-48d4-ba00-68f2dd21ec93}" done="0">
    <x18tc:text xml:space="preserve">llenar en pag de FIGA</x18tc:text>
  </x18tc:threadedComment>
  <x18tc:threadedComment ref="N96" dT="2024-07-03T18:01:09.00" personId="{d5498dd3-4a64-46ce-9a8a-c831885a0249}" id="{b879a668-5d54-49f4-aa51-2f96b04d9d3d}" done="0">
    <x18tc:text xml:space="preserve">06/25 caro envio al cliente. no hay respuesta.</x18tc:text>
  </x18tc:threadedComment>
  <x18tc:threadedComment ref="N102" dT="2024-07-03T18:02:40.00" personId="{d5498dd3-4a64-46ce-9a8a-c831885a0249}" id="{79878e4c-032e-48ab-b453-9ec89c8de661}" done="0">
    <x18tc:text xml:space="preserve">Caro envio al cliente el 05/16, solicitar de nuevo</x18tc:text>
  </x18tc:threadedComment>
  <x18tc:threadedComment ref="P60" dT="2024-07-03T01:33:27.00" personId="{d5498dd3-4a64-46ce-9a8a-c831885a0249}" id="{cad3c88e-81fe-4ef0-8de7-8d6a50eac875}" done="0">
    <x18tc:text xml:space="preserve">llamar a preguntar por el DA</x18tc:text>
  </x18tc:threadedComment>
  <x18tc:threadedComment ref="M111" dT="2024-07-11T14:23:02.00" personId="{d5498dd3-4a64-46ce-9a8a-c831885a0249}" id="{c05c14bf-a736-4bf6-a2f6-6ab5d9bab3c5}" done="0">
    <x18tc:text xml:space="preserve">Enviado a peter 7/11</x18tc:text>
  </x18tc:threadedComment>
  <x18tc:threadedComment ref="H77" dT="2024-12-03T13:50:53.00" personId="{d5498dd3-4a64-46ce-9a8a-c831885a0249}" id="{a96c5eaf-c051-402e-8792-1cdaec7fbf4c}" done="0">
    <x18tc:text xml:space="preserve">@admin@ipadjustinggroup.com Joshue dice que el policy number es 11192122</x18tc:text>
    <x18tc:mentions>
      <x18tc:mention mentionpersonId="{1ffc25a2-3f83-4ed1-a701-edf0aba99522}" mentionId="{a5b7d8f4-0b5d-4660-9730-efa5d1c6d159}" startIndex="0" length="27"/>
    </x18tc:mentions>
  </x18tc:threadedComment>
  <x18tc:threadedComment ref="F77" dT="2024-12-03T13:51:41.00" personId="{d5498dd3-4a64-46ce-9a8a-c831885a0249}" id="{ce0d6a29-ae66-4b16-ae4a-8af20e3df073}" done="0">
    <x18tc:text xml:space="preserve">@admin@ipadjustinggroup.com Carito, Joshua dice que el carrier es Citizens</x18tc:text>
    <x18tc:mentions>
      <x18tc:mention mentionpersonId="{1ffc25a2-3f83-4ed1-a701-edf0aba99522}" mentionId="{dc4deb3c-95bc-4a55-8c28-f406e8ec31da}" startIndex="0" length="27"/>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28" dT="2024-07-10T19:23:49.00" personId="{610be7ce-9288-4df9-9aac-427cc105bbe1}" id="{4d896f46-a1bb-4f14-91e7-34c3f2138e01}" done="0">
    <x18tc:text xml:space="preserve">Pete informed me that we will wait for the attorneys</x18tc:text>
  </x18tc:threadedComment>
  <x18tc:threadedComment ref="AL18" dT="2024-07-15T05:15:24.00" personId="{610be7ce-9288-4df9-9aac-427cc105bbe1}" id="{fc60bdcc-ba44-4703-b751-394416a8be8a}" done="0">
    <x18tc:text xml:space="preserve">07/16 WAITING CASSANDRA TO SIGN THE DOC</x18tc:text>
  </x18tc:threadedComment>
  <x18tc:threadedComment ref="C18" dT="2024-07-15T05:21:13.00" personId="{610be7ce-9288-4df9-9aac-427cc105bbe1}" id="{a8b80a4d-3dd0-4308-a919-93133e953ff5}" done="0">
    <x18tc:text xml:space="preserve">07/16 WAITING DOC SIGNED FOR UMPIRE APPRAISAL</x18tc:text>
  </x18tc:threadedComment>
  <x18tc:threadedComment ref="T117" dT="2024-07-14T18:26:23.00" personId="{610be7ce-9288-4df9-9aac-427cc105bbe1}" id="{662e762e-735e-461e-94c4-ce8b4eb6863c}" done="0">
    <x18tc:text xml:space="preserve">07/08 Emailed to DA asking for OA info</x18tc:text>
  </x18tc:threadedComment>
  <x18tc:threadedComment ref="C123" dT="2024-07-14T18:29:27.00" personId="{610be7ce-9288-4df9-9aac-427cc105bbe1}" id="{17e7f4d0-b70d-411f-a27e-f25d051cfd8d}" done="0">
    <x18tc:text xml:space="preserve">06/13 ask Joshua about this claim and the other PA firm</x18tc:text>
  </x18tc:threadedComment>
  <x18tc:threadedComment ref="C124" dT="2024-07-14T18:30:13.00" personId="{610be7ce-9288-4df9-9aac-427cc105bbe1}" id="{2957083f-82c3-4151-a05a-f2c1e2588495}" done="0">
    <x18tc:text xml:space="preserve">06/27 Fw up on Reinsp-</x18tc:text>
  </x18tc:threadedComment>
  <x18tc:threadedComment ref="C107" dT="2024-07-14T18:16:16.00" personId="{610be7ce-9288-4df9-9aac-427cc105bbe1}" id="{8a7a432f-adfc-44df-a72e-f2a83231e0da}" done="0">
    <x18tc:text xml:space="preserve">Joshua needs to get the right policy, remind Ivan to call joshua on 6/20</x18tc:text>
  </x18tc:threadedComment>
  <x18tc:threadedComment ref="W107" dT="2024-07-14T18:18:11.00" personId="{610be7ce-9288-4df9-9aac-427cc105bbe1}" id="{7569d1af-94b8-4786-acb6-1cd0d78f55c0}" done="0">
    <x18tc:text xml:space="preserve">Waiting to engineering company to contact me</x18tc:text>
  </x18tc:threadedComment>
  <x18tc:threadedComment ref="C112" dT="2024-07-14T18:22:47.00" personId="{610be7ce-9288-4df9-9aac-427cc105bbe1}" id="{0a895fbb-f2c0-433e-b4b4-a34c278b9261}" done="0">
    <x18tc:text xml:space="preserve">07/11 DA offered 2k to settled, PA's are cc'd.</x18tc:text>
  </x18tc:threadedComment>
  <x18tc:threadedComment ref="N114" dT="2024-07-14T18:24:17.00" personId="{610be7ce-9288-4df9-9aac-427cc105bbe1}" id="{e2b73b49-6888-444d-ac94-7842eb401206}" done="0">
    <x18tc:text xml:space="preserve">06/11 DA informed that reinsp. is not needed for now</x18tc:text>
  </x18tc:threadedComment>
  <x18tc:threadedComment ref="N113" dT="2024-07-14T18:24:43.00" personId="{610be7ce-9288-4df9-9aac-427cc105bbe1}" id="{50b378b7-1bbd-440e-aaaa-b5fd8ff94105}" done="0">
    <x18tc:text xml:space="preserve">DA won't do a reinspec.</x18tc:text>
  </x18tc:threadedComment>
  <x18tc:threadedComment ref="C116" dT="2024-07-14T18:25:13.00" personId="{610be7ce-9288-4df9-9aac-427cc105bbe1}" id="{e0b8455c-4336-44ad-bd16-9a89c666e1dc}" done="0">
    <x18tc:text xml:space="preserve">FIGA</x18tc:text>
  </x18tc:threadedComment>
  <x18tc:threadedComment ref="C125" dT="2024-07-14T18:30:56.00" personId="{610be7ce-9288-4df9-9aac-427cc105bbe1}" id="{aed2ebd6-3c01-4351-a878-d57d93a542d2}" done="0">
    <x18tc:text xml:space="preserve">NEED TO FW UP ON REINSPEC.</x18tc:text>
  </x18tc:threadedComment>
  <x18tc:threadedComment ref="C126" dT="2024-07-14T18:31:37.00" personId="{610be7ce-9288-4df9-9aac-427cc105bbe1}" id="{b7803e92-b703-46a0-b4fc-1bad6be45767}" done="0">
    <x18tc:text xml:space="preserve">Universal / Reopen</x18tc:text>
  </x18tc:threadedComment>
  <x18tc:threadedComment ref="C128" dT="2024-07-14T18:32:18.00" personId="{610be7ce-9288-4df9-9aac-427cc105bbe1}" id="{215d3076-e893-4415-9044-70e3b7c4c01b}" done="0">
    <x18tc:text xml:space="preserve">Universal / Reopen</x18tc:text>
  </x18tc:threadedComment>
  <x18tc:threadedComment ref="C129" dT="2024-07-14T18:32:41.00" personId="{610be7ce-9288-4df9-9aac-427cc105bbe1}" id="{24334ea1-2485-432f-a94f-8e1153c8592f}" done="0">
    <x18tc:text xml:space="preserve">07/16 Carrier informs they won't do a reinspection so far.</x18tc:text>
  </x18tc:threadedComment>
  <x18tc:threadedComment ref="C130" dT="2024-07-14T18:32:50.00" personId="{610be7ce-9288-4df9-9aac-427cc105bbe1}" id="{e485aba8-2804-4b93-ac23-ee9591709197}" done="0">
    <x18tc:text xml:space="preserve">06/27 Fw up on resinpec.</x18tc:text>
  </x18tc:threadedComment>
  <x18tc:threadedComment ref="C131" dT="2024-07-14T18:33:14.00" personId="{610be7ce-9288-4df9-9aac-427cc105bbe1}" id="{493c3b1d-73b5-4fbd-b558-c8b82c37d12d}" done="0">
    <x18tc:text xml:space="preserve">Universal / Reopen</x18tc:text>
  </x18tc:threadedComment>
  <x18tc:threadedComment ref="C132" dT="2024-07-14T18:33:36.00" personId="{610be7ce-9288-4df9-9aac-427cc105bbe1}" id="{0d3c405f-efa1-4d07-ae1a-53da373c21c4}" done="0">
    <x18tc:text xml:space="preserve">06/27 Fw up on inspec.
NEED TO FOLLOW UP ON INSPEC.!!</x18tc:text>
  </x18tc:threadedComment>
  <x18tc:threadedComment ref="C133" dT="2024-07-14T18:35:05.00" personId="{610be7ce-9288-4df9-9aac-427cc105bbe1}" id="{55d45e76-e3ff-4838-8d39-1fe976431677}" done="0">
    <x18tc:text xml:space="preserve">Universal / Reopen</x18tc:text>
  </x18tc:threadedComment>
  <x18tc:threadedComment ref="C182" dT="2024-07-14T18:35:40.00" personId="{610be7ce-9288-4df9-9aac-427cc105bbe1}" id="{66f6c1e3-17b9-4a25-a23c-22e797ac8b47}" done="0">
    <x18tc:text xml:space="preserve">07/08 sent to closed claims, Ivan informed we can not represent the client</x18tc:text>
  </x18tc:threadedComment>
  <x18tc:threadedComment ref="C134" dT="2024-07-14T18:36:50.00" personId="{610be7ce-9288-4df9-9aac-427cc105bbe1}" id="{ffe8b8a3-6820-48db-8a41-7c700fb44eb0}" done="0">
    <x18tc:text xml:space="preserve">NEED TO FW UP ON REINSPEC.</x18tc:text>
  </x18tc:threadedComment>
  <x18tc:threadedComment ref="AC120" dT="2024-07-15T04:46:09.00" personId="{610be7ce-9288-4df9-9aac-427cc105bbe1}" id="{0d55b853-eed3-4cfb-9aea-4760d98c3ac0}" done="0">
    <x18tc:text xml:space="preserve">RESCHEDULE URG
07/16 Client confirmed for 07/18 / 9-11. Waiting roof conf.</x18tc:text>
  </x18tc:threadedComment>
  <x18tc:threadedComment ref="K47" dT="2024-07-13T22:23:33.00" personId="{610be7ce-9288-4df9-9aac-427cc105bbe1}" id="{b0f13d08-3581-4904-85af-26cc1dc588ed}" done="0">
    <x18tc:text xml:space="preserve">Policy issue</x18tc:text>
  </x18tc:threadedComment>
  <x18tc:threadedComment ref="C48" dT="2024-07-13T22:24:25.00" personId="{610be7ce-9288-4df9-9aac-427cc105bbe1}" id="{7f55f1f2-48ca-4942-92c7-2ee00547739a}" done="0">
    <x18tc:text xml:space="preserve">Windstorm</x18tc:text>
  </x18tc:threadedComment>
  <x18tc:threadedComment ref="C49" dT="2024-07-13T22:24:32.00" personId="{610be7ce-9288-4df9-9aac-427cc105bbe1}" id="{1de30a5b-878c-46c1-b275-596d74f3a407}" done="0">
    <x18tc:text xml:space="preserve">Hurricane</x18tc:text>
  </x18tc:threadedComment>
  <x18tc:threadedComment ref="AI49" dT="2024-07-13T22:27:58.00" personId="{610be7ce-9288-4df9-9aac-427cc105bbe1}" id="{a2960e63-87ba-4bfe-9343-c3403199cb0f}" done="0">
    <x18tc:text xml:space="preserve">3 Way Call</x18tc:text>
  </x18tc:threadedComment>
  <x18tc:threadedComment ref="C136" dT="2024-07-14T19:32:07.00" personId="{610be7ce-9288-4df9-9aac-427cc105bbe1}" id="{6ee480ab-24f1-4bb5-82bc-07162c52ff5a}" done="0">
    <x18tc:text xml:space="preserve">07/10 asked PAs to contact to DA</x18tc:text>
  </x18tc:threadedComment>
  <x18tc:threadedComment ref="N138" dT="2024-07-14T19:37:36.00" personId="{610be7ce-9288-4df9-9aac-427cc105bbe1}" id="{b752d58d-b965-4bd2-bb20-f288c080b20a}" done="0">
    <x18tc:text xml:space="preserve">Reinspection not requested</x18tc:text>
  </x18tc:threadedComment>
  <x18tc:threadedComment ref="C139" dT="2024-07-14T19:37:57.00" personId="{610be7ce-9288-4df9-9aac-427cc105bbe1}" id="{600f1cda-063c-466a-9df9-3d3ec48a8794}" done="0">
    <x18tc:text xml:space="preserve">Hurricane Ian</x18tc:text>
  </x18tc:threadedComment>
  <x18tc:threadedComment ref="C140" dT="2024-07-14T19:38:03.00" personId="{610be7ce-9288-4df9-9aac-427cc105bbe1}" id="{b1395a9a-1482-4a92-ac00-eeac682e6eb2}" done="0">
    <x18tc:text xml:space="preserve">AWD</x18tc:text>
  </x18tc:threadedComment>
  <x18tc:threadedComment ref="C141" dT="2024-07-14T19:40:43.00" personId="{610be7ce-9288-4df9-9aac-427cc105bbe1}" id="{bd1f6f43-f544-441a-9f92-f2b21071c554}" done="0">
    <x18tc:text xml:space="preserve">06/11 Call them back 866-940-9720</x18tc:text>
  </x18tc:threadedComment>
  <x18tc:threadedComment ref="AC151" dT="2024-07-14T19:43:30.00" personId="{610be7ce-9288-4df9-9aac-427cc105bbe1}" id="{e6346656-8ba9-45d6-987d-ad77c43eb371}" done="0">
    <x18tc:text xml:space="preserve">Project # 240-708-0380</x18tc:text>
  </x18tc:threadedComment>
  <x18tc:threadedComment ref="Z156" dT="2024-07-14T22:56:54.00" personId="{610be7ce-9288-4df9-9aac-427cc105bbe1}" id="{1d68863b-bd57-43bc-8619-52c6bcb4fcbf}" done="0">
    <x18tc:text xml:space="preserve">07/12 ORGANIZIG IT FOR 07/16</x18tc:text>
  </x18tc:threadedComment>
  <x18tc:threadedComment ref="C152" dT="2024-07-14T23:38:08.00" personId="{610be7ce-9288-4df9-9aac-427cc105bbe1}" id="{65eeb793-fe6f-41bc-b150-1e2b26842c4e}" done="0">
    <x18tc:text xml:space="preserve">Client is available on 07/15 week</x18tc:text>
  </x18tc:threadedComment>
  <x18tc:threadedComment ref="C180" dT="2024-07-14T14:31:54.00" personId="{610be7ce-9288-4df9-9aac-427cc105bbe1}" id="{56cd8ed3-3b06-4d7c-8aec-985ff2fcf6d4}" done="0">
    <x18tc:text xml:space="preserve">06/12 Stand by (Client didn't want to continue w/ claim.</x18tc:text>
  </x18tc:threadedComment>
  <x18tc:threadedComment ref="K180" dT="2024-07-14T14:32:21.00" personId="{610be7ce-9288-4df9-9aac-427cc105bbe1}" id="{eb59e95a-dd0a-4970-b550-3157a7834ee4}" done="0">
    <x18tc:text xml:space="preserve">Inspection was never completed</x18tc:text>
  </x18tc:threadedComment>
  <x18tc:threadedComment ref="C179" dT="2024-07-14T14:33:55.00" personId="{610be7ce-9288-4df9-9aac-427cc105bbe1}" id="{28c6ce69-64e2-4543-bc55-c886a4baf733}" done="0">
    <x18tc:text xml:space="preserve">06/12 Ivan says to stand by on this one.</x18tc:text>
  </x18tc:threadedComment>
  <x18tc:threadedComment ref="C75" dT="2024-07-14T13:50:18.00" personId="{610be7ce-9288-4df9-9aac-427cc105bbe1}" id="{4238c76d-1d72-4d05-9efb-e807d2018adf}" done="0">
    <x18tc:text xml:space="preserve">FIGA</x18tc:text>
  </x18tc:threadedComment>
  <x18tc:threadedComment ref="AO77" dT="2024-07-14T13:55:41.00" personId="{610be7ce-9288-4df9-9aac-427cc105bbe1}" id="{cce01032-463a-49f6-9767-ca7eb3cbb657}" done="0">
    <x18tc:text xml:space="preserve">06/24 Followed up on their reinspection req.</x18tc:text>
  </x18tc:threadedComment>
  <x18tc:threadedComment ref="T83" dT="2024-07-14T14:00:36.00" personId="{610be7ce-9288-4df9-9aac-427cc105bbe1}" id="{8d94a7b0-15dc-4fad-8800-c2a567e01c74}" done="0">
    <x18tc:text xml:space="preserve">NEED TO ASK TO PETE WHO WILL DO THE APPRAISAL</x18tc:text>
  </x18tc:threadedComment>
  <x18tc:threadedComment ref="C85" dT="2024-07-14T14:01:36.00" personId="{610be7ce-9288-4df9-9aac-427cc105bbe1}" id="{e10ff3a8-2daf-4292-9b53-33d3c48b6399}" done="0">
    <x18tc:text xml:space="preserve">07/08 Ivan informed they are working on this claim</x18tc:text>
  </x18tc:threadedComment>
  <x18tc:threadedComment ref="Z90" dT="2024-07-14T14:07:56.00" personId="{610be7ce-9288-4df9-9aac-427cc105bbe1}" id="{556ed2c2-49d0-463a-b0a1-d2c6ccb89124}" done="0">
    <x18tc:text xml:space="preserve">No need to schedule anymore</x18tc:text>
  </x18tc:threadedComment>
  <x18tc:threadedComment ref="C96" dT="2024-07-14T14:13:38.00" personId="{610be7ce-9288-4df9-9aac-427cc105bbe1}" id="{b3bdf4da-e148-45b5-a6e8-d69be9ea73cf}" done="0">
    <x18tc:text xml:space="preserve">NEED TO FOLLOW UP ON MED REQ</x18tc:text>
  </x18tc:threadedComment>
  <x18tc:threadedComment ref="Q96" dT="2024-07-14T14:22:49.00" personId="{610be7ce-9288-4df9-9aac-427cc105bbe1}" id="{41b59f37-283f-4dfd-92d6-b7cb05368fc0}" done="0">
    <x18tc:text xml:space="preserve">07/14 Asked a prompt confirmation to carrier for 08/13 at 12PM</x18tc:text>
  </x18tc:threadedComment>
  <x18tc:threadedComment ref="T59" dT="2024-07-14T03:07:42.00" personId="{610be7ce-9288-4df9-9aac-427cc105bbe1}" id="{66f14ae7-6b38-4199-b2eb-da833e7bdeab}" done="0">
    <x18tc:text xml:space="preserve">Attorneys will take care, nothing to do</x18tc:text>
  </x18tc:threadedComment>
  <x18tc:threadedComment ref="C69" dT="2024-07-14T03:26:00.00" personId="{610be7ce-9288-4df9-9aac-427cc105bbe1}" id="{11e30d07-bac5-4d87-9c36-303f2563e994}" done="0">
    <x18tc:text xml:space="preserve">Leak</x18tc:text>
  </x18tc:threadedComment>
  <x18tc:threadedComment ref="C70" dT="2024-07-14T03:26:09.00" personId="{610be7ce-9288-4df9-9aac-427cc105bbe1}" id="{e301e786-391c-41c5-be40-a9e150f521c2}" done="0">
    <x18tc:text xml:space="preserve">Hurricane</x18tc:text>
  </x18tc:threadedComment>
  <x18tc:threadedComment ref="C159" dT="2024-07-16T17:49:43.00" personId="{610be7ce-9288-4df9-9aac-427cc105bbe1}" id="{86c768ea-3dea-4c99-ad31-3574507997e8}" done="0">
    <x18tc:text xml:space="preserve">CONFIRM W/ CLIENT ASAP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russelchristopher@gmail.com" TargetMode="External"/><Relationship Id="rId11" Type="http://schemas.openxmlformats.org/officeDocument/2006/relationships/vmlDrawing" Target="../drawings/vmlDrawing1.vml"/><Relationship Id="rId10" Type="http://schemas.openxmlformats.org/officeDocument/2006/relationships/drawing" Target="../drawings/drawing1.xml"/><Relationship Id="rId13" Type="http://schemas.openxmlformats.org/officeDocument/2006/relationships/table" Target="../tables/table1.xml"/><Relationship Id="rId9" Type="http://schemas.openxmlformats.org/officeDocument/2006/relationships/hyperlink" Target="mailto:gabbibollman1215@gmail.com" TargetMode="External"/><Relationship Id="rId5" Type="http://schemas.openxmlformats.org/officeDocument/2006/relationships/hyperlink" Target="mailto:deaconblue1125@gmail.com" TargetMode="External"/><Relationship Id="rId6" Type="http://schemas.openxmlformats.org/officeDocument/2006/relationships/hyperlink" Target="mailto:yusyrealtor@gmail.com" TargetMode="External"/><Relationship Id="rId7" Type="http://schemas.openxmlformats.org/officeDocument/2006/relationships/hyperlink" Target="mailto:admin@ipadjustinggroup.com" TargetMode="External"/><Relationship Id="rId8" Type="http://schemas.openxmlformats.org/officeDocument/2006/relationships/hyperlink" Target="mailto:gabvelasquez228@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deaconblue1125@gmail.com" TargetMode="External"/><Relationship Id="rId10" Type="http://schemas.openxmlformats.org/officeDocument/2006/relationships/vmlDrawing" Target="../drawings/vmlDrawing2.vml"/><Relationship Id="rId9" Type="http://schemas.openxmlformats.org/officeDocument/2006/relationships/drawing" Target="../drawings/drawing8.xml"/><Relationship Id="rId5" Type="http://schemas.openxmlformats.org/officeDocument/2006/relationships/hyperlink" Target="mailto:yusyrealtor@gmail.com" TargetMode="External"/><Relationship Id="rId6" Type="http://schemas.openxmlformats.org/officeDocument/2006/relationships/hyperlink" Target="mailto:gabvelasquez228@gmail.com" TargetMode="External"/><Relationship Id="rId7" Type="http://schemas.openxmlformats.org/officeDocument/2006/relationships/hyperlink" Target="mailto:gabbibollman1215@gmail.com" TargetMode="External"/><Relationship Id="rId8" Type="http://schemas.openxmlformats.org/officeDocument/2006/relationships/hyperlink" Target="mailto:russelchristopher@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russelchristopher@gmail.com" TargetMode="External"/><Relationship Id="rId10" Type="http://schemas.openxmlformats.org/officeDocument/2006/relationships/vmlDrawing" Target="../drawings/vmlDrawing3.vml"/><Relationship Id="rId9" Type="http://schemas.openxmlformats.org/officeDocument/2006/relationships/drawing" Target="../drawings/drawing9.xml"/><Relationship Id="rId5" Type="http://schemas.openxmlformats.org/officeDocument/2006/relationships/hyperlink" Target="mailto:deaconblue1125@gmail.com" TargetMode="External"/><Relationship Id="rId6" Type="http://schemas.openxmlformats.org/officeDocument/2006/relationships/hyperlink" Target="mailto:yusyrealtor@gmail.com" TargetMode="External"/><Relationship Id="rId7" Type="http://schemas.openxmlformats.org/officeDocument/2006/relationships/hyperlink" Target="mailto:gabvelasquez228@gmail.com" TargetMode="External"/><Relationship Id="rId8" Type="http://schemas.openxmlformats.org/officeDocument/2006/relationships/hyperlink" Target="mailto:gabbibollman1215@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88"/>
    <col customWidth="1" min="2" max="2" width="16.25"/>
    <col customWidth="1" min="3" max="3" width="11.75"/>
    <col customWidth="1" min="4" max="4" width="38.88"/>
    <col customWidth="1" min="5" max="5" width="24.75"/>
    <col customWidth="1" min="6" max="6" width="28.38"/>
    <col customWidth="1" min="7" max="7" width="23.75"/>
    <col customWidth="1" min="8" max="8" width="43.75"/>
    <col customWidth="1" min="9" max="9" width="19.0"/>
    <col customWidth="1" min="10" max="10" width="20.0"/>
    <col customWidth="1" min="11" max="11" width="16.88"/>
    <col customWidth="1" min="12" max="12" width="16.0"/>
    <col customWidth="1" min="13" max="13" width="20.75"/>
    <col customWidth="1" min="14" max="14" width="17.38"/>
    <col customWidth="1" min="15" max="15" width="17.5"/>
    <col customWidth="1" min="16" max="16" width="19.38"/>
    <col customWidth="1" min="17" max="17" width="10.75"/>
    <col customWidth="1" min="18" max="18" width="114.25"/>
    <col customWidth="1" min="19" max="19" width="95.25"/>
    <col customWidth="1" min="20" max="20" width="18.13"/>
    <col customWidth="1" min="21" max="21" width="13.88"/>
    <col customWidth="1" min="22" max="22" width="15.13"/>
    <col customWidth="1" min="23" max="23" width="14.25"/>
    <col customWidth="1" min="24" max="25" width="17.5"/>
  </cols>
  <sheetData>
    <row r="1" ht="22.5" customHeight="1">
      <c r="A1" s="39" t="s">
        <v>769</v>
      </c>
      <c r="B1" s="39" t="s">
        <v>790</v>
      </c>
      <c r="C1" s="39" t="s">
        <v>800</v>
      </c>
      <c r="D1" s="39" t="s">
        <v>0</v>
      </c>
      <c r="E1" s="39" t="s">
        <v>1</v>
      </c>
      <c r="F1" s="39" t="s">
        <v>3</v>
      </c>
      <c r="G1" s="39" t="s">
        <v>5</v>
      </c>
      <c r="H1" s="39" t="s">
        <v>4</v>
      </c>
      <c r="I1" s="39" t="s">
        <v>857</v>
      </c>
      <c r="J1" s="39" t="s">
        <v>863</v>
      </c>
      <c r="K1" s="39" t="s">
        <v>869</v>
      </c>
      <c r="L1" s="39" t="s">
        <v>877</v>
      </c>
      <c r="M1" s="39" t="s">
        <v>892</v>
      </c>
      <c r="N1" s="39" t="s">
        <v>899</v>
      </c>
      <c r="O1" s="39" t="s">
        <v>907</v>
      </c>
      <c r="P1" s="39" t="s">
        <v>914</v>
      </c>
      <c r="Q1" s="43" t="s">
        <v>920</v>
      </c>
      <c r="R1" s="39" t="s">
        <v>937</v>
      </c>
      <c r="S1" s="39" t="s">
        <v>947</v>
      </c>
      <c r="T1" s="39" t="s">
        <v>950</v>
      </c>
      <c r="U1" s="39" t="s">
        <v>957</v>
      </c>
      <c r="V1" s="39" t="s">
        <v>966</v>
      </c>
      <c r="W1" s="44" t="s">
        <v>973</v>
      </c>
      <c r="X1" s="44" t="s">
        <v>984</v>
      </c>
      <c r="Y1" s="45" t="s">
        <v>993</v>
      </c>
    </row>
    <row r="2" ht="22.5" customHeight="1">
      <c r="A2" s="47" t="s">
        <v>1000</v>
      </c>
      <c r="B2" s="48" t="s">
        <v>1010</v>
      </c>
      <c r="C2" s="49" t="s">
        <v>1049</v>
      </c>
      <c r="D2" s="49" t="s">
        <v>1053</v>
      </c>
      <c r="E2" s="49" t="s">
        <v>1060</v>
      </c>
      <c r="F2" s="49" t="s">
        <v>1066</v>
      </c>
      <c r="G2" s="49" t="s">
        <v>123</v>
      </c>
      <c r="H2" s="49" t="s">
        <v>1073</v>
      </c>
      <c r="I2" s="49" t="s">
        <v>1079</v>
      </c>
      <c r="J2" s="49" t="s">
        <v>1085</v>
      </c>
      <c r="K2" s="49" t="s">
        <v>1091</v>
      </c>
      <c r="L2" s="49" t="s">
        <v>1093</v>
      </c>
      <c r="M2" s="50" t="s">
        <v>1098</v>
      </c>
      <c r="N2" s="50" t="s">
        <v>1108</v>
      </c>
      <c r="O2" s="51" t="s">
        <v>1115</v>
      </c>
      <c r="P2" s="50" t="s">
        <v>1129</v>
      </c>
      <c r="Q2" s="53" t="b">
        <v>0</v>
      </c>
      <c r="R2" s="48" t="s">
        <v>1146</v>
      </c>
      <c r="S2" s="48" t="s">
        <v>1151</v>
      </c>
      <c r="T2" s="56"/>
      <c r="U2" s="47" t="s">
        <v>1161</v>
      </c>
      <c r="V2" s="57" t="s">
        <v>1161</v>
      </c>
      <c r="W2" s="58"/>
      <c r="X2" s="58"/>
      <c r="Y2" s="60"/>
    </row>
    <row r="3" ht="22.5" customHeight="1">
      <c r="A3" s="47" t="s">
        <v>1000</v>
      </c>
      <c r="B3" s="65" t="s">
        <v>1311</v>
      </c>
      <c r="C3" s="65" t="s">
        <v>1316</v>
      </c>
      <c r="D3" s="65" t="s">
        <v>1320</v>
      </c>
      <c r="E3" s="65" t="s">
        <v>1322</v>
      </c>
      <c r="F3" s="65" t="s">
        <v>1325</v>
      </c>
      <c r="G3" s="65" t="s">
        <v>70</v>
      </c>
      <c r="H3" s="65" t="s">
        <v>1328</v>
      </c>
      <c r="I3" s="65" t="s">
        <v>1330</v>
      </c>
      <c r="J3" s="65" t="s">
        <v>1334</v>
      </c>
      <c r="K3" s="65" t="s">
        <v>1338</v>
      </c>
      <c r="L3" s="65" t="s">
        <v>1340</v>
      </c>
      <c r="M3" s="66"/>
      <c r="N3" s="67"/>
      <c r="O3" s="68"/>
      <c r="P3" s="70" t="s">
        <v>1129</v>
      </c>
      <c r="Q3" s="71" t="b">
        <v>0</v>
      </c>
      <c r="R3" s="72" t="s">
        <v>1352</v>
      </c>
      <c r="S3" s="65" t="s">
        <v>1353</v>
      </c>
      <c r="T3" s="47"/>
      <c r="U3" s="47" t="s">
        <v>1161</v>
      </c>
      <c r="V3" s="57" t="s">
        <v>1161</v>
      </c>
      <c r="W3" s="58"/>
      <c r="X3" s="58"/>
      <c r="Y3" s="60"/>
    </row>
    <row r="4" ht="22.5" customHeight="1">
      <c r="A4" s="47" t="s">
        <v>1000</v>
      </c>
      <c r="B4" s="75" t="s">
        <v>1391</v>
      </c>
      <c r="C4" s="75" t="s">
        <v>1393</v>
      </c>
      <c r="D4" s="75" t="s">
        <v>1394</v>
      </c>
      <c r="E4" s="75" t="s">
        <v>1395</v>
      </c>
      <c r="F4" s="75" t="s">
        <v>1396</v>
      </c>
      <c r="G4" s="75" t="s">
        <v>36</v>
      </c>
      <c r="H4" s="75" t="s">
        <v>1397</v>
      </c>
      <c r="I4" s="75" t="s">
        <v>1398</v>
      </c>
      <c r="J4" s="75" t="s">
        <v>1399</v>
      </c>
      <c r="K4" s="75" t="s">
        <v>1091</v>
      </c>
      <c r="L4" s="75" t="s">
        <v>1093</v>
      </c>
      <c r="M4" s="70" t="s">
        <v>1098</v>
      </c>
      <c r="N4" s="70" t="s">
        <v>1108</v>
      </c>
      <c r="O4" s="75" t="s">
        <v>1400</v>
      </c>
      <c r="P4" s="70" t="s">
        <v>1401</v>
      </c>
      <c r="Q4" s="71" t="b">
        <v>0</v>
      </c>
      <c r="R4" s="75" t="s">
        <v>1402</v>
      </c>
      <c r="S4" s="75" t="s">
        <v>1403</v>
      </c>
      <c r="T4" s="67"/>
      <c r="U4" s="47" t="s">
        <v>1161</v>
      </c>
      <c r="V4" s="57" t="s">
        <v>1161</v>
      </c>
      <c r="W4" s="58"/>
      <c r="X4" s="58"/>
      <c r="Y4" s="60"/>
    </row>
    <row r="5" ht="22.5" customHeight="1">
      <c r="A5" s="47" t="s">
        <v>1000</v>
      </c>
      <c r="B5" s="75" t="s">
        <v>1212</v>
      </c>
      <c r="C5" s="75" t="s">
        <v>1404</v>
      </c>
      <c r="D5" s="75" t="s">
        <v>1405</v>
      </c>
      <c r="E5" s="65" t="s">
        <v>1406</v>
      </c>
      <c r="F5" s="65" t="s">
        <v>1407</v>
      </c>
      <c r="G5" s="65" t="s">
        <v>480</v>
      </c>
      <c r="H5" s="65" t="s">
        <v>1408</v>
      </c>
      <c r="I5" s="65" t="s">
        <v>1409</v>
      </c>
      <c r="J5" s="65" t="s">
        <v>1410</v>
      </c>
      <c r="K5" s="65" t="s">
        <v>1091</v>
      </c>
      <c r="L5" s="65" t="s">
        <v>1093</v>
      </c>
      <c r="M5" s="66"/>
      <c r="N5" s="70" t="s">
        <v>1411</v>
      </c>
      <c r="O5" s="68"/>
      <c r="P5" s="70" t="s">
        <v>1129</v>
      </c>
      <c r="Q5" s="71" t="b">
        <v>0</v>
      </c>
      <c r="R5" s="79"/>
      <c r="S5" s="65" t="s">
        <v>1412</v>
      </c>
      <c r="T5" s="47"/>
      <c r="U5" s="47" t="s">
        <v>1161</v>
      </c>
      <c r="V5" s="57" t="s">
        <v>1161</v>
      </c>
      <c r="W5" s="58"/>
      <c r="X5" s="58"/>
      <c r="Y5" s="60"/>
    </row>
    <row r="6" ht="22.5" customHeight="1">
      <c r="A6" s="47" t="s">
        <v>1000</v>
      </c>
      <c r="B6" s="75" t="s">
        <v>1212</v>
      </c>
      <c r="C6" s="75" t="s">
        <v>1413</v>
      </c>
      <c r="D6" s="65" t="s">
        <v>1414</v>
      </c>
      <c r="E6" s="65" t="s">
        <v>1415</v>
      </c>
      <c r="F6" s="65" t="s">
        <v>1416</v>
      </c>
      <c r="G6" s="65" t="s">
        <v>123</v>
      </c>
      <c r="H6" s="65" t="s">
        <v>1417</v>
      </c>
      <c r="I6" s="65" t="s">
        <v>1418</v>
      </c>
      <c r="J6" s="65" t="s">
        <v>1419</v>
      </c>
      <c r="K6" s="65" t="s">
        <v>1091</v>
      </c>
      <c r="L6" s="65" t="s">
        <v>1093</v>
      </c>
      <c r="M6" s="70" t="s">
        <v>1098</v>
      </c>
      <c r="N6" s="70" t="s">
        <v>1108</v>
      </c>
      <c r="O6" s="75" t="s">
        <v>1115</v>
      </c>
      <c r="P6" s="70" t="s">
        <v>1401</v>
      </c>
      <c r="Q6" s="71" t="b">
        <v>0</v>
      </c>
      <c r="R6" s="65" t="s">
        <v>1420</v>
      </c>
      <c r="S6" s="65" t="s">
        <v>1421</v>
      </c>
      <c r="T6" s="47"/>
      <c r="U6" s="47" t="s">
        <v>1161</v>
      </c>
      <c r="V6" s="57" t="s">
        <v>1161</v>
      </c>
      <c r="W6" s="58"/>
      <c r="X6" s="58"/>
      <c r="Y6" s="60"/>
    </row>
    <row r="7" ht="22.5" customHeight="1">
      <c r="A7" s="47" t="s">
        <v>1000</v>
      </c>
      <c r="B7" s="75" t="s">
        <v>1212</v>
      </c>
      <c r="C7" s="75" t="s">
        <v>1422</v>
      </c>
      <c r="D7" s="65" t="s">
        <v>1423</v>
      </c>
      <c r="E7" s="65" t="s">
        <v>1424</v>
      </c>
      <c r="F7" s="80" t="s">
        <v>1425</v>
      </c>
      <c r="G7" s="65" t="s">
        <v>1016</v>
      </c>
      <c r="H7" s="65" t="s">
        <v>1426</v>
      </c>
      <c r="I7" s="65" t="s">
        <v>1427</v>
      </c>
      <c r="J7" s="65" t="s">
        <v>1428</v>
      </c>
      <c r="K7" s="65" t="s">
        <v>1091</v>
      </c>
      <c r="L7" s="65" t="s">
        <v>1429</v>
      </c>
      <c r="M7" s="70" t="s">
        <v>1098</v>
      </c>
      <c r="N7" s="70" t="s">
        <v>1108</v>
      </c>
      <c r="O7" s="75" t="s">
        <v>1430</v>
      </c>
      <c r="P7" s="70" t="s">
        <v>1401</v>
      </c>
      <c r="Q7" s="71" t="b">
        <v>0</v>
      </c>
      <c r="R7" s="65" t="s">
        <v>1431</v>
      </c>
      <c r="S7" s="65" t="s">
        <v>1432</v>
      </c>
      <c r="T7" s="47"/>
      <c r="U7" s="81" t="s">
        <v>1161</v>
      </c>
      <c r="V7" s="57" t="s">
        <v>1161</v>
      </c>
      <c r="W7" s="58"/>
      <c r="X7" s="58"/>
      <c r="Y7" s="60"/>
    </row>
    <row r="8" ht="22.5" customHeight="1">
      <c r="A8" s="47" t="s">
        <v>1000</v>
      </c>
      <c r="B8" s="65" t="s">
        <v>1311</v>
      </c>
      <c r="C8" s="65" t="s">
        <v>1440</v>
      </c>
      <c r="D8" s="65" t="s">
        <v>1446</v>
      </c>
      <c r="E8" s="65" t="s">
        <v>1449</v>
      </c>
      <c r="F8" s="79"/>
      <c r="G8" s="65" t="s">
        <v>278</v>
      </c>
      <c r="H8" s="65" t="s">
        <v>1450</v>
      </c>
      <c r="I8" s="65" t="s">
        <v>1451</v>
      </c>
      <c r="J8" s="65"/>
      <c r="K8" s="65" t="s">
        <v>1091</v>
      </c>
      <c r="L8" s="65" t="s">
        <v>1093</v>
      </c>
      <c r="M8" s="66"/>
      <c r="N8" s="67"/>
      <c r="O8" s="68"/>
      <c r="P8" s="70" t="s">
        <v>1129</v>
      </c>
      <c r="Q8" s="71" t="b">
        <v>0</v>
      </c>
      <c r="R8" s="79"/>
      <c r="S8" s="65" t="s">
        <v>1452</v>
      </c>
      <c r="T8" s="47"/>
      <c r="U8" s="81" t="s">
        <v>1161</v>
      </c>
      <c r="V8" s="57" t="s">
        <v>1161</v>
      </c>
      <c r="W8" s="58"/>
      <c r="X8" s="58"/>
      <c r="Y8" s="60"/>
    </row>
    <row r="9" ht="22.5" customHeight="1">
      <c r="A9" s="47" t="s">
        <v>1000</v>
      </c>
      <c r="B9" s="75" t="s">
        <v>219</v>
      </c>
      <c r="C9" s="75" t="s">
        <v>1453</v>
      </c>
      <c r="D9" s="65" t="s">
        <v>1454</v>
      </c>
      <c r="E9" s="65" t="s">
        <v>1455</v>
      </c>
      <c r="F9" s="65" t="s">
        <v>1457</v>
      </c>
      <c r="G9" s="65" t="s">
        <v>1458</v>
      </c>
      <c r="H9" s="65" t="s">
        <v>1459</v>
      </c>
      <c r="I9" s="65" t="s">
        <v>1460</v>
      </c>
      <c r="J9" s="65" t="s">
        <v>1461</v>
      </c>
      <c r="K9" s="65" t="s">
        <v>1091</v>
      </c>
      <c r="L9" s="65" t="s">
        <v>1093</v>
      </c>
      <c r="M9" s="70" t="s">
        <v>1098</v>
      </c>
      <c r="N9" s="70" t="s">
        <v>1108</v>
      </c>
      <c r="O9" s="75" t="s">
        <v>1466</v>
      </c>
      <c r="P9" s="70" t="s">
        <v>1129</v>
      </c>
      <c r="Q9" s="71" t="b">
        <v>0</v>
      </c>
      <c r="R9" s="65"/>
      <c r="S9" s="65" t="s">
        <v>1468</v>
      </c>
      <c r="T9" s="47"/>
      <c r="U9" s="81" t="s">
        <v>1161</v>
      </c>
      <c r="V9" s="57" t="s">
        <v>1161</v>
      </c>
      <c r="W9" s="58"/>
      <c r="X9" s="58"/>
      <c r="Y9" s="60"/>
    </row>
    <row r="10" ht="22.5" customHeight="1">
      <c r="A10" s="47" t="s">
        <v>1000</v>
      </c>
      <c r="B10" s="75" t="s">
        <v>1475</v>
      </c>
      <c r="C10" s="75" t="s">
        <v>1476</v>
      </c>
      <c r="D10" s="65" t="s">
        <v>1477</v>
      </c>
      <c r="E10" s="65" t="s">
        <v>1478</v>
      </c>
      <c r="F10" s="65" t="s">
        <v>1479</v>
      </c>
      <c r="G10" s="65" t="s">
        <v>695</v>
      </c>
      <c r="H10" s="65" t="s">
        <v>1480</v>
      </c>
      <c r="I10" s="65" t="s">
        <v>1481</v>
      </c>
      <c r="J10" s="65" t="s">
        <v>1482</v>
      </c>
      <c r="K10" s="65" t="s">
        <v>1091</v>
      </c>
      <c r="L10" s="65" t="s">
        <v>1093</v>
      </c>
      <c r="M10" s="70" t="s">
        <v>1483</v>
      </c>
      <c r="N10" s="70" t="s">
        <v>1108</v>
      </c>
      <c r="O10" s="75" t="s">
        <v>1484</v>
      </c>
      <c r="P10" s="70" t="s">
        <v>1161</v>
      </c>
      <c r="Q10" s="71" t="b">
        <v>0</v>
      </c>
      <c r="R10" s="65" t="s">
        <v>1485</v>
      </c>
      <c r="S10" s="95" t="s">
        <v>1486</v>
      </c>
      <c r="T10" s="47"/>
      <c r="U10" s="81" t="s">
        <v>1161</v>
      </c>
      <c r="V10" s="57" t="s">
        <v>1161</v>
      </c>
      <c r="W10" s="58"/>
      <c r="X10" s="58"/>
      <c r="Y10" s="60"/>
    </row>
    <row r="11" ht="22.5" customHeight="1">
      <c r="A11" s="47" t="s">
        <v>1000</v>
      </c>
      <c r="B11" s="65" t="s">
        <v>1311</v>
      </c>
      <c r="C11" s="65" t="s">
        <v>1489</v>
      </c>
      <c r="D11" s="65" t="s">
        <v>1490</v>
      </c>
      <c r="E11" s="65" t="s">
        <v>1491</v>
      </c>
      <c r="F11" s="65" t="s">
        <v>1492</v>
      </c>
      <c r="G11" s="65" t="s">
        <v>480</v>
      </c>
      <c r="H11" s="65" t="s">
        <v>1493</v>
      </c>
      <c r="I11" s="65" t="s">
        <v>1494</v>
      </c>
      <c r="J11" s="65" t="s">
        <v>1495</v>
      </c>
      <c r="K11" s="65" t="s">
        <v>1091</v>
      </c>
      <c r="L11" s="65" t="s">
        <v>1093</v>
      </c>
      <c r="M11" s="70" t="s">
        <v>1098</v>
      </c>
      <c r="N11" s="70" t="s">
        <v>1108</v>
      </c>
      <c r="O11" s="68"/>
      <c r="P11" s="70" t="s">
        <v>1129</v>
      </c>
      <c r="Q11" s="98" t="b">
        <v>0</v>
      </c>
      <c r="R11" s="95" t="s">
        <v>1496</v>
      </c>
      <c r="S11" s="65" t="s">
        <v>1497</v>
      </c>
      <c r="T11" s="47"/>
      <c r="U11" s="81" t="s">
        <v>1161</v>
      </c>
      <c r="V11" s="57" t="s">
        <v>1161</v>
      </c>
      <c r="W11" s="58"/>
      <c r="X11" s="58"/>
      <c r="Y11" s="60"/>
    </row>
    <row r="12" ht="22.5" customHeight="1">
      <c r="A12" s="47" t="s">
        <v>1000</v>
      </c>
      <c r="B12" s="65" t="s">
        <v>219</v>
      </c>
      <c r="C12" s="65" t="s">
        <v>1499</v>
      </c>
      <c r="D12" s="65" t="s">
        <v>1500</v>
      </c>
      <c r="E12" s="65" t="s">
        <v>1501</v>
      </c>
      <c r="F12" s="65" t="s">
        <v>1502</v>
      </c>
      <c r="G12" s="65" t="s">
        <v>36</v>
      </c>
      <c r="H12" s="65" t="s">
        <v>1503</v>
      </c>
      <c r="I12" s="65" t="s">
        <v>1504</v>
      </c>
      <c r="J12" s="65"/>
      <c r="K12" s="65" t="s">
        <v>1091</v>
      </c>
      <c r="L12" s="65" t="s">
        <v>1093</v>
      </c>
      <c r="M12" s="66"/>
      <c r="N12" s="67"/>
      <c r="O12" s="68"/>
      <c r="P12" s="70" t="s">
        <v>1129</v>
      </c>
      <c r="Q12" s="71" t="b">
        <v>0</v>
      </c>
      <c r="R12" s="79"/>
      <c r="S12" s="75" t="s">
        <v>1507</v>
      </c>
      <c r="T12" s="47"/>
      <c r="U12" s="81" t="s">
        <v>1161</v>
      </c>
      <c r="V12" s="57" t="s">
        <v>1161</v>
      </c>
      <c r="W12" s="58"/>
      <c r="X12" s="58"/>
      <c r="Y12" s="60"/>
    </row>
    <row r="13" ht="22.5" customHeight="1">
      <c r="A13" s="47" t="s">
        <v>1000</v>
      </c>
      <c r="B13" s="65" t="s">
        <v>1311</v>
      </c>
      <c r="C13" s="65" t="s">
        <v>1526</v>
      </c>
      <c r="D13" s="65" t="s">
        <v>1528</v>
      </c>
      <c r="E13" s="65" t="s">
        <v>1531</v>
      </c>
      <c r="F13" s="65" t="s">
        <v>1532</v>
      </c>
      <c r="G13" s="75" t="s">
        <v>1533</v>
      </c>
      <c r="H13" s="65" t="s">
        <v>1537</v>
      </c>
      <c r="I13" s="65" t="s">
        <v>1538</v>
      </c>
      <c r="J13" s="65" t="s">
        <v>1539</v>
      </c>
      <c r="K13" s="65" t="s">
        <v>1338</v>
      </c>
      <c r="L13" s="65" t="s">
        <v>1545</v>
      </c>
      <c r="M13" s="66"/>
      <c r="N13" s="70" t="s">
        <v>1549</v>
      </c>
      <c r="O13" s="68"/>
      <c r="P13" s="70" t="s">
        <v>1129</v>
      </c>
      <c r="Q13" s="71" t="b">
        <v>0</v>
      </c>
      <c r="R13" s="65" t="s">
        <v>1556</v>
      </c>
      <c r="S13" s="75" t="s">
        <v>1558</v>
      </c>
      <c r="T13" s="145"/>
      <c r="U13" s="81" t="s">
        <v>1161</v>
      </c>
      <c r="V13" s="57" t="s">
        <v>1161</v>
      </c>
      <c r="W13" s="58"/>
      <c r="X13" s="58"/>
      <c r="Y13" s="60"/>
    </row>
    <row r="14" ht="22.5" customHeight="1">
      <c r="A14" s="47" t="s">
        <v>1000</v>
      </c>
      <c r="B14" s="65" t="s">
        <v>1010</v>
      </c>
      <c r="C14" s="65" t="s">
        <v>1615</v>
      </c>
      <c r="D14" s="65" t="s">
        <v>1618</v>
      </c>
      <c r="E14" s="65" t="s">
        <v>1622</v>
      </c>
      <c r="F14" s="65" t="s">
        <v>1624</v>
      </c>
      <c r="G14" s="65" t="s">
        <v>278</v>
      </c>
      <c r="H14" s="65" t="s">
        <v>1629</v>
      </c>
      <c r="I14" s="65" t="s">
        <v>1630</v>
      </c>
      <c r="J14" s="65" t="s">
        <v>1632</v>
      </c>
      <c r="K14" s="65" t="s">
        <v>1091</v>
      </c>
      <c r="L14" s="65" t="s">
        <v>1093</v>
      </c>
      <c r="M14" s="70" t="s">
        <v>1639</v>
      </c>
      <c r="N14" s="70" t="s">
        <v>1108</v>
      </c>
      <c r="O14" s="75" t="s">
        <v>1430</v>
      </c>
      <c r="P14" s="70" t="s">
        <v>1401</v>
      </c>
      <c r="Q14" s="71" t="b">
        <v>0</v>
      </c>
      <c r="R14" s="65" t="s">
        <v>1650</v>
      </c>
      <c r="S14" s="75" t="s">
        <v>1654</v>
      </c>
      <c r="T14" s="47"/>
      <c r="U14" s="81" t="s">
        <v>1161</v>
      </c>
      <c r="V14" s="57" t="s">
        <v>1161</v>
      </c>
      <c r="W14" s="58"/>
      <c r="X14" s="58"/>
      <c r="Y14" s="60"/>
    </row>
    <row r="15" ht="22.5" customHeight="1">
      <c r="A15" s="47" t="s">
        <v>1000</v>
      </c>
      <c r="B15" s="75" t="s">
        <v>219</v>
      </c>
      <c r="C15" s="75" t="s">
        <v>1690</v>
      </c>
      <c r="D15" s="75" t="s">
        <v>1691</v>
      </c>
      <c r="E15" s="75" t="s">
        <v>1692</v>
      </c>
      <c r="F15" s="75" t="s">
        <v>1693</v>
      </c>
      <c r="G15" s="75" t="s">
        <v>174</v>
      </c>
      <c r="H15" s="65" t="s">
        <v>1694</v>
      </c>
      <c r="I15" s="75" t="s">
        <v>1696</v>
      </c>
      <c r="J15" s="75" t="s">
        <v>1697</v>
      </c>
      <c r="K15" s="75" t="s">
        <v>1338</v>
      </c>
      <c r="L15" s="75" t="s">
        <v>1698</v>
      </c>
      <c r="M15" s="66"/>
      <c r="N15" s="70" t="s">
        <v>1549</v>
      </c>
      <c r="O15" s="68"/>
      <c r="P15" s="70" t="s">
        <v>1129</v>
      </c>
      <c r="Q15" s="71" t="b">
        <v>0</v>
      </c>
      <c r="R15" s="75" t="s">
        <v>1699</v>
      </c>
      <c r="S15" s="65" t="s">
        <v>1700</v>
      </c>
      <c r="T15" s="47"/>
      <c r="U15" s="81" t="s">
        <v>1161</v>
      </c>
      <c r="V15" s="57" t="s">
        <v>1161</v>
      </c>
      <c r="W15" s="58"/>
      <c r="X15" s="58"/>
      <c r="Y15" s="60"/>
    </row>
    <row r="16" ht="22.5" customHeight="1">
      <c r="A16" s="47" t="s">
        <v>1000</v>
      </c>
      <c r="B16" s="75" t="s">
        <v>219</v>
      </c>
      <c r="C16" s="75" t="s">
        <v>1717</v>
      </c>
      <c r="D16" s="75" t="s">
        <v>1719</v>
      </c>
      <c r="E16" s="65" t="s">
        <v>1720</v>
      </c>
      <c r="F16" s="65" t="s">
        <v>1726</v>
      </c>
      <c r="G16" s="75" t="s">
        <v>1730</v>
      </c>
      <c r="H16" s="65" t="s">
        <v>1731</v>
      </c>
      <c r="I16" s="65" t="s">
        <v>1733</v>
      </c>
      <c r="J16" s="65" t="s">
        <v>1735</v>
      </c>
      <c r="K16" s="65" t="s">
        <v>1091</v>
      </c>
      <c r="L16" s="65" t="s">
        <v>1093</v>
      </c>
      <c r="M16" s="70" t="s">
        <v>1098</v>
      </c>
      <c r="N16" s="70" t="s">
        <v>1108</v>
      </c>
      <c r="O16" s="75" t="s">
        <v>1746</v>
      </c>
      <c r="P16" s="70" t="s">
        <v>1129</v>
      </c>
      <c r="Q16" s="71" t="b">
        <v>0</v>
      </c>
      <c r="R16" s="65" t="s">
        <v>1756</v>
      </c>
      <c r="S16" s="65" t="s">
        <v>1757</v>
      </c>
      <c r="T16" s="145"/>
      <c r="U16" s="81" t="s">
        <v>1161</v>
      </c>
      <c r="V16" s="57" t="s">
        <v>1161</v>
      </c>
      <c r="W16" s="58"/>
      <c r="X16" s="58"/>
      <c r="Y16" s="60"/>
    </row>
    <row r="17" ht="22.5" customHeight="1">
      <c r="A17" s="47" t="s">
        <v>1000</v>
      </c>
      <c r="B17" s="75" t="s">
        <v>1475</v>
      </c>
      <c r="C17" s="75" t="s">
        <v>1808</v>
      </c>
      <c r="D17" s="65" t="s">
        <v>1809</v>
      </c>
      <c r="E17" s="65" t="s">
        <v>1816</v>
      </c>
      <c r="F17" s="65" t="s">
        <v>1817</v>
      </c>
      <c r="G17" s="65" t="s">
        <v>1016</v>
      </c>
      <c r="H17" s="65" t="s">
        <v>1820</v>
      </c>
      <c r="I17" s="65" t="s">
        <v>1821</v>
      </c>
      <c r="J17" s="65" t="s">
        <v>1825</v>
      </c>
      <c r="K17" s="65" t="s">
        <v>1091</v>
      </c>
      <c r="L17" s="65" t="s">
        <v>1093</v>
      </c>
      <c r="M17" s="70" t="s">
        <v>1098</v>
      </c>
      <c r="N17" s="70" t="s">
        <v>1108</v>
      </c>
      <c r="O17" s="75" t="s">
        <v>1430</v>
      </c>
      <c r="P17" s="70" t="s">
        <v>1401</v>
      </c>
      <c r="Q17" s="71" t="b">
        <v>0</v>
      </c>
      <c r="R17" s="65" t="s">
        <v>1838</v>
      </c>
      <c r="S17" s="75" t="s">
        <v>1841</v>
      </c>
      <c r="T17" s="239" t="s">
        <v>1843</v>
      </c>
      <c r="U17" s="81" t="s">
        <v>1161</v>
      </c>
      <c r="V17" s="57" t="s">
        <v>1161</v>
      </c>
      <c r="W17" s="58"/>
      <c r="X17" s="58"/>
      <c r="Y17" s="60"/>
    </row>
    <row r="18" ht="22.5" customHeight="1">
      <c r="A18" s="47" t="s">
        <v>1000</v>
      </c>
      <c r="B18" s="75" t="s">
        <v>219</v>
      </c>
      <c r="C18" s="75" t="s">
        <v>1923</v>
      </c>
      <c r="D18" s="65" t="s">
        <v>1454</v>
      </c>
      <c r="E18" s="65" t="s">
        <v>1455</v>
      </c>
      <c r="F18" s="65" t="s">
        <v>1457</v>
      </c>
      <c r="G18" s="75" t="s">
        <v>1458</v>
      </c>
      <c r="H18" s="65" t="s">
        <v>1459</v>
      </c>
      <c r="I18" s="65" t="s">
        <v>1460</v>
      </c>
      <c r="J18" s="65" t="s">
        <v>1944</v>
      </c>
      <c r="K18" s="65" t="s">
        <v>1780</v>
      </c>
      <c r="L18" s="65" t="s">
        <v>1945</v>
      </c>
      <c r="M18" s="67"/>
      <c r="N18" s="70" t="s">
        <v>1549</v>
      </c>
      <c r="O18" s="68"/>
      <c r="P18" s="70" t="s">
        <v>1401</v>
      </c>
      <c r="Q18" s="71" t="b">
        <v>0</v>
      </c>
      <c r="R18" s="65" t="s">
        <v>1954</v>
      </c>
      <c r="S18" s="75" t="s">
        <v>1841</v>
      </c>
      <c r="T18" s="239" t="s">
        <v>1961</v>
      </c>
      <c r="U18" s="81" t="s">
        <v>1161</v>
      </c>
      <c r="V18" s="57" t="s">
        <v>1161</v>
      </c>
      <c r="W18" s="58"/>
      <c r="X18" s="58"/>
      <c r="Y18" s="60"/>
    </row>
    <row r="19" ht="22.5" customHeight="1">
      <c r="A19" s="47" t="s">
        <v>1000</v>
      </c>
      <c r="B19" s="65" t="s">
        <v>1311</v>
      </c>
      <c r="C19" s="65" t="s">
        <v>2006</v>
      </c>
      <c r="D19" s="65" t="s">
        <v>1559</v>
      </c>
      <c r="E19" s="65" t="s">
        <v>1560</v>
      </c>
      <c r="F19" s="65" t="s">
        <v>1561</v>
      </c>
      <c r="G19" s="65" t="s">
        <v>70</v>
      </c>
      <c r="H19" s="65" t="s">
        <v>1562</v>
      </c>
      <c r="I19" s="65" t="s">
        <v>1564</v>
      </c>
      <c r="J19" s="65" t="s">
        <v>1565</v>
      </c>
      <c r="K19" s="65" t="s">
        <v>1566</v>
      </c>
      <c r="L19" s="65" t="s">
        <v>2016</v>
      </c>
      <c r="M19" s="70" t="s">
        <v>1098</v>
      </c>
      <c r="N19" s="70" t="s">
        <v>1108</v>
      </c>
      <c r="O19" s="75" t="s">
        <v>2018</v>
      </c>
      <c r="P19" s="70" t="s">
        <v>2019</v>
      </c>
      <c r="Q19" s="71" t="b">
        <v>0</v>
      </c>
      <c r="R19" s="65" t="s">
        <v>1568</v>
      </c>
      <c r="S19" s="75" t="s">
        <v>2029</v>
      </c>
      <c r="T19" s="239" t="s">
        <v>1843</v>
      </c>
      <c r="U19" s="81" t="s">
        <v>1161</v>
      </c>
      <c r="V19" s="57" t="s">
        <v>1161</v>
      </c>
      <c r="W19" s="58"/>
      <c r="X19" s="58"/>
      <c r="Y19" s="60"/>
    </row>
    <row r="20" ht="22.5" customHeight="1">
      <c r="A20" s="47" t="s">
        <v>1000</v>
      </c>
      <c r="B20" s="75" t="s">
        <v>1010</v>
      </c>
      <c r="C20" s="65" t="s">
        <v>2094</v>
      </c>
      <c r="D20" s="65" t="s">
        <v>2095</v>
      </c>
      <c r="E20" s="65" t="s">
        <v>2098</v>
      </c>
      <c r="F20" s="65" t="s">
        <v>2101</v>
      </c>
      <c r="G20" s="65" t="s">
        <v>1016</v>
      </c>
      <c r="H20" s="65" t="s">
        <v>2102</v>
      </c>
      <c r="I20" s="65" t="s">
        <v>2103</v>
      </c>
      <c r="J20" s="65" t="s">
        <v>2107</v>
      </c>
      <c r="K20" s="65" t="s">
        <v>1091</v>
      </c>
      <c r="L20" s="65" t="s">
        <v>1093</v>
      </c>
      <c r="M20" s="66"/>
      <c r="N20" s="70" t="s">
        <v>1549</v>
      </c>
      <c r="O20" s="68"/>
      <c r="P20" s="70" t="s">
        <v>1401</v>
      </c>
      <c r="Q20" s="71" t="b">
        <v>0</v>
      </c>
      <c r="R20" s="65" t="s">
        <v>2126</v>
      </c>
      <c r="S20" s="75" t="s">
        <v>2129</v>
      </c>
      <c r="T20" s="239" t="s">
        <v>1843</v>
      </c>
      <c r="U20" s="81" t="s">
        <v>1161</v>
      </c>
      <c r="V20" s="57" t="s">
        <v>1161</v>
      </c>
      <c r="W20" s="58"/>
      <c r="X20" s="58"/>
      <c r="Y20" s="60"/>
    </row>
    <row r="21" ht="22.5" customHeight="1">
      <c r="A21" s="47" t="s">
        <v>1000</v>
      </c>
      <c r="B21" s="75" t="s">
        <v>219</v>
      </c>
      <c r="C21" s="75" t="s">
        <v>2203</v>
      </c>
      <c r="D21" s="75" t="s">
        <v>2204</v>
      </c>
      <c r="E21" s="75" t="s">
        <v>2205</v>
      </c>
      <c r="F21" s="75" t="s">
        <v>2206</v>
      </c>
      <c r="G21" s="65" t="s">
        <v>2140</v>
      </c>
      <c r="H21" s="75" t="s">
        <v>2208</v>
      </c>
      <c r="I21" s="75" t="s">
        <v>2210</v>
      </c>
      <c r="J21" s="75" t="s">
        <v>2211</v>
      </c>
      <c r="K21" s="75" t="s">
        <v>1338</v>
      </c>
      <c r="L21" s="75" t="s">
        <v>2217</v>
      </c>
      <c r="M21" s="70" t="s">
        <v>1098</v>
      </c>
      <c r="N21" s="70" t="s">
        <v>1108</v>
      </c>
      <c r="O21" s="75" t="s">
        <v>1466</v>
      </c>
      <c r="P21" s="70" t="s">
        <v>1401</v>
      </c>
      <c r="Q21" s="71" t="b">
        <v>0</v>
      </c>
      <c r="R21" s="75" t="s">
        <v>2224</v>
      </c>
      <c r="S21" s="75" t="s">
        <v>2228</v>
      </c>
      <c r="T21" s="70" t="s">
        <v>1843</v>
      </c>
      <c r="U21" s="81" t="s">
        <v>1161</v>
      </c>
      <c r="V21" s="57" t="s">
        <v>1161</v>
      </c>
      <c r="W21" s="58"/>
      <c r="X21" s="58"/>
      <c r="Y21" s="60"/>
    </row>
    <row r="22" ht="22.5" customHeight="1">
      <c r="A22" s="47" t="s">
        <v>1000</v>
      </c>
      <c r="B22" s="75" t="s">
        <v>1311</v>
      </c>
      <c r="C22" s="75" t="s">
        <v>2291</v>
      </c>
      <c r="D22" s="65" t="s">
        <v>2292</v>
      </c>
      <c r="E22" s="65" t="s">
        <v>2296</v>
      </c>
      <c r="F22" s="65" t="s">
        <v>2299</v>
      </c>
      <c r="G22" s="75" t="s">
        <v>2300</v>
      </c>
      <c r="H22" s="65" t="s">
        <v>2302</v>
      </c>
      <c r="I22" s="75" t="s">
        <v>2303</v>
      </c>
      <c r="J22" s="90">
        <v>2.02408003388E11</v>
      </c>
      <c r="K22" s="75" t="s">
        <v>1566</v>
      </c>
      <c r="L22" s="75" t="s">
        <v>2310</v>
      </c>
      <c r="M22" s="67"/>
      <c r="N22" s="67"/>
      <c r="O22" s="71"/>
      <c r="P22" s="284"/>
      <c r="Q22" s="71" t="b">
        <v>0</v>
      </c>
      <c r="R22" s="75" t="s">
        <v>2326</v>
      </c>
      <c r="S22" s="75" t="s">
        <v>2327</v>
      </c>
      <c r="T22" s="70" t="s">
        <v>1843</v>
      </c>
      <c r="U22" s="81" t="s">
        <v>1161</v>
      </c>
      <c r="V22" s="57" t="s">
        <v>1161</v>
      </c>
      <c r="W22" s="58"/>
      <c r="X22" s="58"/>
      <c r="Y22" s="60"/>
    </row>
    <row r="23" ht="22.5" customHeight="1">
      <c r="A23" s="47" t="s">
        <v>1000</v>
      </c>
      <c r="B23" s="75" t="s">
        <v>219</v>
      </c>
      <c r="C23" s="75" t="s">
        <v>2377</v>
      </c>
      <c r="D23" s="75" t="s">
        <v>2379</v>
      </c>
      <c r="E23" s="75" t="s">
        <v>2380</v>
      </c>
      <c r="F23" s="75" t="s">
        <v>2384</v>
      </c>
      <c r="G23" s="75" t="s">
        <v>2389</v>
      </c>
      <c r="H23" s="75" t="s">
        <v>2392</v>
      </c>
      <c r="I23" s="75" t="s">
        <v>2393</v>
      </c>
      <c r="J23" s="302"/>
      <c r="K23" s="75" t="s">
        <v>1091</v>
      </c>
      <c r="L23" s="75" t="s">
        <v>1093</v>
      </c>
      <c r="M23" s="66"/>
      <c r="N23" s="70" t="s">
        <v>1549</v>
      </c>
      <c r="O23" s="68"/>
      <c r="P23" s="70" t="s">
        <v>1401</v>
      </c>
      <c r="Q23" s="71" t="b">
        <v>0</v>
      </c>
      <c r="R23" s="302"/>
      <c r="S23" s="75" t="s">
        <v>2412</v>
      </c>
      <c r="T23" s="70" t="s">
        <v>1843</v>
      </c>
      <c r="U23" s="81" t="s">
        <v>1161</v>
      </c>
      <c r="V23" s="57" t="s">
        <v>1161</v>
      </c>
      <c r="W23" s="58"/>
      <c r="X23" s="58"/>
      <c r="Y23" s="60"/>
    </row>
    <row r="24" ht="22.5" customHeight="1">
      <c r="A24" s="47" t="s">
        <v>1000</v>
      </c>
      <c r="B24" s="75" t="s">
        <v>219</v>
      </c>
      <c r="C24" s="75" t="s">
        <v>2475</v>
      </c>
      <c r="D24" s="75" t="s">
        <v>2482</v>
      </c>
      <c r="E24" s="75" t="s">
        <v>2485</v>
      </c>
      <c r="F24" s="75" t="s">
        <v>2487</v>
      </c>
      <c r="G24" s="75" t="s">
        <v>695</v>
      </c>
      <c r="H24" s="75" t="s">
        <v>2492</v>
      </c>
      <c r="I24" s="304" t="s">
        <v>2495</v>
      </c>
      <c r="J24" s="305" t="s">
        <v>2500</v>
      </c>
      <c r="K24" s="75" t="s">
        <v>1091</v>
      </c>
      <c r="L24" s="75" t="s">
        <v>1093</v>
      </c>
      <c r="M24" s="70" t="s">
        <v>2508</v>
      </c>
      <c r="N24" s="70" t="s">
        <v>1108</v>
      </c>
      <c r="O24" s="75" t="s">
        <v>1430</v>
      </c>
      <c r="P24" s="70" t="s">
        <v>1401</v>
      </c>
      <c r="Q24" s="71" t="b">
        <v>0</v>
      </c>
      <c r="R24" s="75" t="s">
        <v>2515</v>
      </c>
      <c r="S24" s="75" t="s">
        <v>2519</v>
      </c>
      <c r="T24" s="70" t="s">
        <v>1961</v>
      </c>
      <c r="U24" s="81" t="s">
        <v>1161</v>
      </c>
      <c r="V24" s="57" t="s">
        <v>1161</v>
      </c>
      <c r="W24" s="58"/>
      <c r="X24" s="58"/>
      <c r="Y24" s="60"/>
    </row>
    <row r="25" ht="22.5" customHeight="1">
      <c r="A25" s="47" t="s">
        <v>1000</v>
      </c>
      <c r="B25" s="75" t="s">
        <v>1212</v>
      </c>
      <c r="C25" s="75" t="s">
        <v>2583</v>
      </c>
      <c r="D25" s="75" t="s">
        <v>1966</v>
      </c>
      <c r="E25" s="65" t="s">
        <v>1967</v>
      </c>
      <c r="F25" s="65" t="s">
        <v>1968</v>
      </c>
      <c r="G25" s="65" t="s">
        <v>1969</v>
      </c>
      <c r="H25" s="75" t="s">
        <v>1970</v>
      </c>
      <c r="I25" s="65" t="s">
        <v>1971</v>
      </c>
      <c r="J25" s="65"/>
      <c r="K25" s="65" t="s">
        <v>1091</v>
      </c>
      <c r="L25" s="65" t="s">
        <v>1093</v>
      </c>
      <c r="M25" s="70" t="s">
        <v>1746</v>
      </c>
      <c r="N25" s="70" t="s">
        <v>1549</v>
      </c>
      <c r="O25" s="68"/>
      <c r="P25" s="70" t="s">
        <v>1401</v>
      </c>
      <c r="Q25" s="71" t="b">
        <v>0</v>
      </c>
      <c r="R25" s="65"/>
      <c r="S25" s="75" t="s">
        <v>2614</v>
      </c>
      <c r="T25" s="239" t="s">
        <v>1843</v>
      </c>
      <c r="U25" s="81" t="s">
        <v>1161</v>
      </c>
      <c r="V25" s="57" t="s">
        <v>1161</v>
      </c>
      <c r="W25" s="58"/>
      <c r="X25" s="58"/>
      <c r="Y25" s="60"/>
    </row>
    <row r="26" ht="22.5" customHeight="1">
      <c r="A26" s="47" t="s">
        <v>1000</v>
      </c>
      <c r="B26" s="65" t="s">
        <v>1475</v>
      </c>
      <c r="C26" s="65" t="s">
        <v>2669</v>
      </c>
      <c r="D26" s="75" t="s">
        <v>2673</v>
      </c>
      <c r="E26" s="65" t="s">
        <v>2675</v>
      </c>
      <c r="F26" s="65" t="s">
        <v>2676</v>
      </c>
      <c r="G26" s="65" t="s">
        <v>2677</v>
      </c>
      <c r="H26" s="65" t="s">
        <v>2678</v>
      </c>
      <c r="I26" s="65" t="s">
        <v>2679</v>
      </c>
      <c r="J26" s="65" t="s">
        <v>2682</v>
      </c>
      <c r="K26" s="75" t="s">
        <v>2684</v>
      </c>
      <c r="L26" s="65" t="s">
        <v>2686</v>
      </c>
      <c r="M26" s="70" t="s">
        <v>1746</v>
      </c>
      <c r="N26" s="70" t="s">
        <v>1108</v>
      </c>
      <c r="O26" s="75" t="s">
        <v>1746</v>
      </c>
      <c r="P26" s="70" t="s">
        <v>1401</v>
      </c>
      <c r="Q26" s="71" t="b">
        <v>0</v>
      </c>
      <c r="R26" s="79"/>
      <c r="S26" s="75" t="s">
        <v>2697</v>
      </c>
      <c r="T26" s="239" t="s">
        <v>1843</v>
      </c>
      <c r="U26" s="81" t="s">
        <v>1161</v>
      </c>
      <c r="V26" s="57" t="s">
        <v>1161</v>
      </c>
      <c r="W26" s="58"/>
      <c r="X26" s="58"/>
      <c r="Y26" s="60"/>
    </row>
    <row r="27" ht="22.5" customHeight="1">
      <c r="A27" s="47" t="s">
        <v>1000</v>
      </c>
      <c r="B27" s="75" t="s">
        <v>1475</v>
      </c>
      <c r="C27" s="75" t="s">
        <v>2740</v>
      </c>
      <c r="D27" s="75" t="s">
        <v>2746</v>
      </c>
      <c r="E27" s="75" t="s">
        <v>2749</v>
      </c>
      <c r="F27" s="75" t="s">
        <v>2752</v>
      </c>
      <c r="G27" s="65" t="s">
        <v>2140</v>
      </c>
      <c r="H27" s="65" t="s">
        <v>2755</v>
      </c>
      <c r="I27" s="75" t="s">
        <v>2756</v>
      </c>
      <c r="J27" s="65" t="s">
        <v>2759</v>
      </c>
      <c r="K27" s="75" t="s">
        <v>1780</v>
      </c>
      <c r="L27" s="75" t="s">
        <v>2762</v>
      </c>
      <c r="M27" s="70" t="s">
        <v>1098</v>
      </c>
      <c r="N27" s="70" t="s">
        <v>1108</v>
      </c>
      <c r="O27" s="75" t="s">
        <v>1746</v>
      </c>
      <c r="P27" s="284"/>
      <c r="Q27" s="71" t="b">
        <v>0</v>
      </c>
      <c r="R27" s="75"/>
      <c r="S27" s="75" t="s">
        <v>2767</v>
      </c>
      <c r="T27" s="70" t="s">
        <v>1961</v>
      </c>
      <c r="U27" s="81" t="s">
        <v>1161</v>
      </c>
      <c r="V27" s="57" t="s">
        <v>1161</v>
      </c>
      <c r="W27" s="58"/>
      <c r="X27" s="58"/>
      <c r="Y27" s="60"/>
    </row>
    <row r="28" ht="22.5" customHeight="1">
      <c r="A28" s="47" t="s">
        <v>1000</v>
      </c>
      <c r="B28" s="65" t="s">
        <v>1311</v>
      </c>
      <c r="C28" s="65" t="s">
        <v>2804</v>
      </c>
      <c r="D28" s="65" t="s">
        <v>2413</v>
      </c>
      <c r="E28" s="65" t="s">
        <v>2414</v>
      </c>
      <c r="F28" s="65" t="s">
        <v>2415</v>
      </c>
      <c r="G28" s="75" t="s">
        <v>2023</v>
      </c>
      <c r="H28" s="65" t="s">
        <v>2416</v>
      </c>
      <c r="I28" s="65" t="s">
        <v>2417</v>
      </c>
      <c r="J28" s="65" t="s">
        <v>2418</v>
      </c>
      <c r="K28" s="65" t="s">
        <v>1091</v>
      </c>
      <c r="L28" s="65" t="s">
        <v>1093</v>
      </c>
      <c r="M28" s="70" t="s">
        <v>1098</v>
      </c>
      <c r="N28" s="70" t="s">
        <v>1108</v>
      </c>
      <c r="O28" s="75" t="s">
        <v>2018</v>
      </c>
      <c r="P28" s="70" t="s">
        <v>1161</v>
      </c>
      <c r="Q28" s="71" t="b">
        <v>0</v>
      </c>
      <c r="R28" s="65" t="s">
        <v>2419</v>
      </c>
      <c r="S28" s="75" t="s">
        <v>2827</v>
      </c>
      <c r="T28" s="239" t="s">
        <v>1843</v>
      </c>
      <c r="U28" s="81" t="s">
        <v>1161</v>
      </c>
      <c r="V28" s="57" t="s">
        <v>1161</v>
      </c>
      <c r="W28" s="58"/>
      <c r="X28" s="58"/>
      <c r="Y28" s="60"/>
    </row>
    <row r="29" ht="22.5" customHeight="1">
      <c r="A29" s="47" t="s">
        <v>1000</v>
      </c>
      <c r="B29" s="75" t="s">
        <v>2884</v>
      </c>
      <c r="C29" s="75" t="s">
        <v>2886</v>
      </c>
      <c r="D29" s="75" t="s">
        <v>2646</v>
      </c>
      <c r="E29" s="75" t="s">
        <v>2647</v>
      </c>
      <c r="F29" s="75" t="s">
        <v>2648</v>
      </c>
      <c r="G29" s="75" t="s">
        <v>2649</v>
      </c>
      <c r="H29" s="75" t="s">
        <v>2650</v>
      </c>
      <c r="I29" s="75" t="s">
        <v>2651</v>
      </c>
      <c r="J29" s="75" t="s">
        <v>2906</v>
      </c>
      <c r="K29" s="75" t="s">
        <v>1338</v>
      </c>
      <c r="L29" s="75" t="s">
        <v>2913</v>
      </c>
      <c r="M29" s="70" t="s">
        <v>1098</v>
      </c>
      <c r="N29" s="70" t="s">
        <v>1108</v>
      </c>
      <c r="O29" s="75" t="s">
        <v>1746</v>
      </c>
      <c r="P29" s="70" t="s">
        <v>1401</v>
      </c>
      <c r="Q29" s="71" t="b">
        <v>0</v>
      </c>
      <c r="R29" s="75" t="s">
        <v>2919</v>
      </c>
      <c r="S29" s="75" t="s">
        <v>2921</v>
      </c>
      <c r="T29" s="70" t="s">
        <v>1961</v>
      </c>
      <c r="U29" s="81" t="s">
        <v>1161</v>
      </c>
      <c r="V29" s="57" t="s">
        <v>1161</v>
      </c>
      <c r="W29" s="58"/>
      <c r="X29" s="58"/>
      <c r="Y29" s="60"/>
    </row>
    <row r="30" ht="22.5" customHeight="1">
      <c r="A30" s="47" t="s">
        <v>1000</v>
      </c>
      <c r="B30" s="75" t="s">
        <v>3013</v>
      </c>
      <c r="C30" s="65" t="s">
        <v>3014</v>
      </c>
      <c r="D30" s="352" t="s">
        <v>3015</v>
      </c>
      <c r="E30" s="353" t="s">
        <v>3016</v>
      </c>
      <c r="F30" s="65" t="s">
        <v>3017</v>
      </c>
      <c r="G30" s="65" t="s">
        <v>36</v>
      </c>
      <c r="H30" s="65" t="s">
        <v>3020</v>
      </c>
      <c r="I30" s="65" t="s">
        <v>3022</v>
      </c>
      <c r="J30" s="305" t="s">
        <v>3023</v>
      </c>
      <c r="K30" s="75" t="s">
        <v>2684</v>
      </c>
      <c r="L30" s="65" t="s">
        <v>2686</v>
      </c>
      <c r="M30" s="70" t="s">
        <v>1746</v>
      </c>
      <c r="N30" s="70" t="s">
        <v>1108</v>
      </c>
      <c r="O30" s="75" t="s">
        <v>1746</v>
      </c>
      <c r="P30" s="355"/>
      <c r="Q30" s="71" t="b">
        <v>0</v>
      </c>
      <c r="R30" s="65" t="s">
        <v>3035</v>
      </c>
      <c r="S30" s="75" t="s">
        <v>3036</v>
      </c>
      <c r="T30" s="70" t="s">
        <v>1843</v>
      </c>
      <c r="U30" s="81" t="s">
        <v>1161</v>
      </c>
      <c r="V30" s="57" t="s">
        <v>1161</v>
      </c>
      <c r="W30" s="58"/>
      <c r="X30" s="58"/>
      <c r="Y30" s="60"/>
    </row>
    <row r="31" ht="22.5" customHeight="1">
      <c r="A31" s="47" t="s">
        <v>1000</v>
      </c>
      <c r="B31" s="369" t="s">
        <v>1391</v>
      </c>
      <c r="C31" s="369" t="s">
        <v>3070</v>
      </c>
      <c r="D31" s="51" t="s">
        <v>3071</v>
      </c>
      <c r="E31" s="51" t="s">
        <v>3072</v>
      </c>
      <c r="F31" s="51" t="s">
        <v>3073</v>
      </c>
      <c r="G31" s="369" t="s">
        <v>70</v>
      </c>
      <c r="H31" s="49" t="s">
        <v>3074</v>
      </c>
      <c r="I31" s="51" t="s">
        <v>3077</v>
      </c>
      <c r="J31" s="371"/>
      <c r="K31" s="369" t="s">
        <v>1091</v>
      </c>
      <c r="L31" s="51" t="s">
        <v>1093</v>
      </c>
      <c r="M31" s="372"/>
      <c r="N31" s="373" t="s">
        <v>1411</v>
      </c>
      <c r="O31" s="29"/>
      <c r="P31" s="373" t="s">
        <v>1129</v>
      </c>
      <c r="Q31" s="374" t="b">
        <v>0</v>
      </c>
      <c r="R31" s="371"/>
      <c r="S31" s="369" t="s">
        <v>3081</v>
      </c>
      <c r="T31" s="376"/>
      <c r="U31" s="81" t="s">
        <v>1161</v>
      </c>
      <c r="V31" s="57" t="s">
        <v>1161</v>
      </c>
      <c r="W31" s="58"/>
      <c r="X31" s="58"/>
      <c r="Y31" s="60"/>
    </row>
    <row r="32" ht="22.5" customHeight="1">
      <c r="A32" s="47" t="s">
        <v>1000</v>
      </c>
      <c r="B32" s="369" t="s">
        <v>1391</v>
      </c>
      <c r="C32" s="369" t="s">
        <v>3109</v>
      </c>
      <c r="D32" s="51" t="s">
        <v>3111</v>
      </c>
      <c r="E32" s="51" t="s">
        <v>3113</v>
      </c>
      <c r="F32" s="51" t="s">
        <v>3125</v>
      </c>
      <c r="G32" s="369" t="s">
        <v>91</v>
      </c>
      <c r="H32" s="51" t="s">
        <v>3126</v>
      </c>
      <c r="I32" s="51" t="s">
        <v>3131</v>
      </c>
      <c r="J32" s="369" t="s">
        <v>3136</v>
      </c>
      <c r="K32" s="369" t="s">
        <v>1091</v>
      </c>
      <c r="L32" s="51" t="s">
        <v>1093</v>
      </c>
      <c r="M32" s="372"/>
      <c r="N32" s="373" t="s">
        <v>1411</v>
      </c>
      <c r="O32" s="29"/>
      <c r="P32" s="373" t="s">
        <v>1129</v>
      </c>
      <c r="Q32" s="374" t="b">
        <v>0</v>
      </c>
      <c r="R32" s="369" t="s">
        <v>3146</v>
      </c>
      <c r="S32" s="384" t="s">
        <v>3148</v>
      </c>
      <c r="T32" s="389"/>
      <c r="U32" s="81" t="s">
        <v>1161</v>
      </c>
      <c r="V32" s="57" t="s">
        <v>1161</v>
      </c>
      <c r="W32" s="58"/>
      <c r="X32" s="58"/>
      <c r="Y32" s="60"/>
    </row>
    <row r="33" ht="22.5" customHeight="1">
      <c r="A33" s="47" t="s">
        <v>1000</v>
      </c>
      <c r="B33" s="93" t="s">
        <v>3157</v>
      </c>
      <c r="C33" s="93" t="s">
        <v>3158</v>
      </c>
      <c r="D33" s="51" t="s">
        <v>3161</v>
      </c>
      <c r="E33" s="49" t="s">
        <v>3162</v>
      </c>
      <c r="F33" s="49" t="s">
        <v>3163</v>
      </c>
      <c r="G33" s="93" t="s">
        <v>3164</v>
      </c>
      <c r="H33" s="49" t="s">
        <v>3165</v>
      </c>
      <c r="I33" s="49" t="s">
        <v>3166</v>
      </c>
      <c r="J33" s="93" t="s">
        <v>3167</v>
      </c>
      <c r="K33" s="369" t="s">
        <v>2684</v>
      </c>
      <c r="L33" s="49" t="s">
        <v>2686</v>
      </c>
      <c r="M33" s="373" t="s">
        <v>1746</v>
      </c>
      <c r="N33" s="373" t="s">
        <v>2191</v>
      </c>
      <c r="O33" s="93" t="s">
        <v>3170</v>
      </c>
      <c r="P33" s="391"/>
      <c r="Q33" s="374" t="b">
        <v>0</v>
      </c>
      <c r="R33" s="369" t="s">
        <v>3171</v>
      </c>
      <c r="S33" s="392" t="s">
        <v>3172</v>
      </c>
      <c r="T33" s="373" t="s">
        <v>1843</v>
      </c>
      <c r="U33" s="81" t="s">
        <v>1161</v>
      </c>
      <c r="V33" s="57" t="s">
        <v>1161</v>
      </c>
      <c r="W33" s="58"/>
      <c r="X33" s="58"/>
      <c r="Y33" s="60"/>
    </row>
    <row r="34" ht="22.5" customHeight="1">
      <c r="A34" s="47" t="s">
        <v>1000</v>
      </c>
      <c r="B34" s="93" t="s">
        <v>3181</v>
      </c>
      <c r="C34" s="93" t="s">
        <v>3182</v>
      </c>
      <c r="D34" s="51" t="s">
        <v>3161</v>
      </c>
      <c r="E34" s="49" t="s">
        <v>3162</v>
      </c>
      <c r="F34" s="49" t="s">
        <v>3163</v>
      </c>
      <c r="G34" s="93" t="s">
        <v>3164</v>
      </c>
      <c r="H34" s="49" t="s">
        <v>3183</v>
      </c>
      <c r="I34" s="49" t="s">
        <v>3166</v>
      </c>
      <c r="J34" s="93" t="s">
        <v>3167</v>
      </c>
      <c r="K34" s="369" t="s">
        <v>2684</v>
      </c>
      <c r="L34" s="49" t="s">
        <v>2686</v>
      </c>
      <c r="M34" s="373" t="s">
        <v>1746</v>
      </c>
      <c r="N34" s="373" t="s">
        <v>2191</v>
      </c>
      <c r="O34" s="93" t="s">
        <v>3170</v>
      </c>
      <c r="P34" s="391"/>
      <c r="Q34" s="374" t="b">
        <v>0</v>
      </c>
      <c r="R34" s="371"/>
      <c r="S34" s="93" t="s">
        <v>3185</v>
      </c>
      <c r="T34" s="373" t="s">
        <v>1843</v>
      </c>
      <c r="U34" s="81" t="s">
        <v>1161</v>
      </c>
      <c r="V34" s="57" t="s">
        <v>1161</v>
      </c>
      <c r="W34" s="58"/>
      <c r="X34" s="58"/>
      <c r="Y34" s="60"/>
    </row>
    <row r="35" ht="22.5" customHeight="1">
      <c r="A35" s="47" t="s">
        <v>1000</v>
      </c>
      <c r="B35" s="65" t="s">
        <v>3194</v>
      </c>
      <c r="C35" s="65" t="s">
        <v>3195</v>
      </c>
      <c r="D35" s="65" t="s">
        <v>3196</v>
      </c>
      <c r="E35" s="65" t="s">
        <v>3197</v>
      </c>
      <c r="F35" s="65" t="s">
        <v>3198</v>
      </c>
      <c r="G35" s="65" t="s">
        <v>620</v>
      </c>
      <c r="H35" s="65" t="s">
        <v>3200</v>
      </c>
      <c r="I35" s="65" t="s">
        <v>3201</v>
      </c>
      <c r="J35" s="65" t="s">
        <v>3202</v>
      </c>
      <c r="K35" s="75" t="s">
        <v>2684</v>
      </c>
      <c r="L35" s="65" t="s">
        <v>2686</v>
      </c>
      <c r="M35" s="70" t="s">
        <v>1746</v>
      </c>
      <c r="N35" s="70" t="s">
        <v>2191</v>
      </c>
      <c r="O35" s="75" t="s">
        <v>3170</v>
      </c>
      <c r="P35" s="355"/>
      <c r="Q35" s="71" t="b">
        <v>0</v>
      </c>
      <c r="R35" s="65" t="s">
        <v>3204</v>
      </c>
      <c r="S35" s="65" t="s">
        <v>3205</v>
      </c>
      <c r="T35" s="239" t="s">
        <v>1843</v>
      </c>
      <c r="U35" s="81" t="s">
        <v>1161</v>
      </c>
      <c r="V35" s="57" t="s">
        <v>1161</v>
      </c>
      <c r="W35" s="58"/>
      <c r="X35" s="58"/>
      <c r="Y35" s="60"/>
    </row>
    <row r="36" ht="22.5" customHeight="1">
      <c r="A36" s="47" t="s">
        <v>1000</v>
      </c>
      <c r="B36" s="393" t="s">
        <v>3210</v>
      </c>
      <c r="C36" s="393" t="s">
        <v>3212</v>
      </c>
      <c r="D36" s="394" t="s">
        <v>1966</v>
      </c>
      <c r="E36" s="395" t="s">
        <v>3214</v>
      </c>
      <c r="F36" s="395" t="s">
        <v>3215</v>
      </c>
      <c r="G36" s="393" t="s">
        <v>732</v>
      </c>
      <c r="H36" s="396" t="s">
        <v>3216</v>
      </c>
      <c r="I36" s="395" t="s">
        <v>3218</v>
      </c>
      <c r="J36" s="393"/>
      <c r="K36" s="393" t="s">
        <v>2684</v>
      </c>
      <c r="L36" s="395" t="s">
        <v>2686</v>
      </c>
      <c r="M36" s="397" t="s">
        <v>1098</v>
      </c>
      <c r="N36" s="397" t="s">
        <v>1108</v>
      </c>
      <c r="O36" s="393" t="s">
        <v>3221</v>
      </c>
      <c r="P36" s="398" t="s">
        <v>1161</v>
      </c>
      <c r="Q36" s="399" t="b">
        <v>0</v>
      </c>
      <c r="R36" s="393" t="s">
        <v>3222</v>
      </c>
      <c r="S36" s="393" t="s">
        <v>3223</v>
      </c>
      <c r="T36" s="400" t="s">
        <v>1843</v>
      </c>
      <c r="U36" s="81" t="s">
        <v>1161</v>
      </c>
      <c r="V36" s="57" t="s">
        <v>1161</v>
      </c>
      <c r="W36" s="401"/>
      <c r="X36" s="401"/>
      <c r="Y36" s="60"/>
    </row>
    <row r="37" ht="22.5" customHeight="1">
      <c r="A37" s="47" t="s">
        <v>1000</v>
      </c>
      <c r="B37" s="402" t="s">
        <v>1212</v>
      </c>
      <c r="C37" s="402" t="s">
        <v>3234</v>
      </c>
      <c r="D37" s="396" t="s">
        <v>3235</v>
      </c>
      <c r="E37" s="396" t="s">
        <v>3236</v>
      </c>
      <c r="F37" s="396" t="s">
        <v>3237</v>
      </c>
      <c r="G37" s="402" t="s">
        <v>3239</v>
      </c>
      <c r="H37" s="396" t="s">
        <v>3240</v>
      </c>
      <c r="I37" s="396" t="s">
        <v>3241</v>
      </c>
      <c r="J37" s="402"/>
      <c r="K37" s="402" t="s">
        <v>2684</v>
      </c>
      <c r="L37" s="396" t="s">
        <v>2686</v>
      </c>
      <c r="M37" s="405" t="s">
        <v>1746</v>
      </c>
      <c r="N37" s="408" t="s">
        <v>2191</v>
      </c>
      <c r="O37" s="411" t="s">
        <v>1746</v>
      </c>
      <c r="P37" s="413"/>
      <c r="Q37" s="415" t="b">
        <v>0</v>
      </c>
      <c r="R37" s="422"/>
      <c r="S37" s="402" t="s">
        <v>3243</v>
      </c>
      <c r="T37" s="425" t="s">
        <v>1843</v>
      </c>
      <c r="U37" s="81" t="s">
        <v>1161</v>
      </c>
      <c r="V37" s="57" t="s">
        <v>1161</v>
      </c>
      <c r="W37" s="426"/>
      <c r="X37" s="426"/>
      <c r="Y37" s="60"/>
    </row>
    <row r="38" ht="22.5" customHeight="1">
      <c r="A38" s="47" t="s">
        <v>1437</v>
      </c>
      <c r="B38" s="75" t="s">
        <v>219</v>
      </c>
      <c r="C38" s="75" t="s">
        <v>3249</v>
      </c>
      <c r="D38" s="75" t="s">
        <v>3088</v>
      </c>
      <c r="E38" s="65" t="s">
        <v>3089</v>
      </c>
      <c r="F38" s="79"/>
      <c r="G38" s="65" t="s">
        <v>3090</v>
      </c>
      <c r="H38" s="65" t="s">
        <v>3091</v>
      </c>
      <c r="I38" s="65" t="s">
        <v>3092</v>
      </c>
      <c r="J38" s="65" t="s">
        <v>3093</v>
      </c>
      <c r="K38" s="65" t="s">
        <v>1091</v>
      </c>
      <c r="L38" s="65" t="s">
        <v>1093</v>
      </c>
      <c r="M38" s="70" t="s">
        <v>1098</v>
      </c>
      <c r="N38" s="70" t="s">
        <v>1108</v>
      </c>
      <c r="O38" s="75" t="s">
        <v>1466</v>
      </c>
      <c r="P38" s="70" t="s">
        <v>1129</v>
      </c>
      <c r="Q38" s="302" t="b">
        <v>0</v>
      </c>
      <c r="R38" s="79"/>
      <c r="S38" s="65" t="s">
        <v>3094</v>
      </c>
      <c r="T38" s="47"/>
      <c r="U38" s="427"/>
      <c r="V38" s="145"/>
      <c r="W38" s="428"/>
      <c r="X38" s="428"/>
      <c r="Y38" s="429"/>
    </row>
    <row r="39" ht="22.5" customHeight="1">
      <c r="A39" s="47" t="s">
        <v>1437</v>
      </c>
      <c r="B39" s="75" t="s">
        <v>1010</v>
      </c>
      <c r="C39" s="75" t="s">
        <v>3258</v>
      </c>
      <c r="D39" s="65" t="s">
        <v>3096</v>
      </c>
      <c r="E39" s="65" t="s">
        <v>3097</v>
      </c>
      <c r="F39" s="65" t="s">
        <v>3098</v>
      </c>
      <c r="G39" s="65" t="s">
        <v>3099</v>
      </c>
      <c r="H39" s="65" t="s">
        <v>3100</v>
      </c>
      <c r="I39" s="65" t="s">
        <v>3101</v>
      </c>
      <c r="J39" s="430"/>
      <c r="K39" s="65" t="s">
        <v>1091</v>
      </c>
      <c r="L39" s="65" t="s">
        <v>1093</v>
      </c>
      <c r="M39" s="70" t="s">
        <v>1098</v>
      </c>
      <c r="N39" s="70" t="s">
        <v>1108</v>
      </c>
      <c r="O39" s="68"/>
      <c r="P39" s="70" t="s">
        <v>1129</v>
      </c>
      <c r="Q39" s="302" t="b">
        <v>0</v>
      </c>
      <c r="R39" s="79"/>
      <c r="S39" s="65" t="s">
        <v>3102</v>
      </c>
      <c r="T39" s="47"/>
      <c r="U39" s="427"/>
      <c r="V39" s="145"/>
      <c r="W39" s="428"/>
      <c r="X39" s="428"/>
      <c r="Y39" s="429"/>
    </row>
    <row r="40" ht="22.5" customHeight="1">
      <c r="A40" s="47" t="s">
        <v>1437</v>
      </c>
      <c r="B40" s="65" t="s">
        <v>1212</v>
      </c>
      <c r="C40" s="65" t="s">
        <v>3266</v>
      </c>
      <c r="D40" s="65" t="s">
        <v>3104</v>
      </c>
      <c r="E40" s="65" t="s">
        <v>3105</v>
      </c>
      <c r="F40" s="65" t="s">
        <v>3106</v>
      </c>
      <c r="G40" s="65" t="s">
        <v>3107</v>
      </c>
      <c r="H40" s="65" t="s">
        <v>3108</v>
      </c>
      <c r="I40" s="65" t="s">
        <v>3110</v>
      </c>
      <c r="J40" s="79"/>
      <c r="K40" s="65" t="s">
        <v>1091</v>
      </c>
      <c r="L40" s="65" t="s">
        <v>1093</v>
      </c>
      <c r="M40" s="66"/>
      <c r="N40" s="70" t="s">
        <v>1746</v>
      </c>
      <c r="O40" s="68"/>
      <c r="P40" s="70" t="s">
        <v>1129</v>
      </c>
      <c r="Q40" s="75" t="b">
        <v>0</v>
      </c>
      <c r="R40" s="65"/>
      <c r="S40" s="65" t="s">
        <v>3112</v>
      </c>
      <c r="T40" s="145"/>
      <c r="U40" s="427"/>
      <c r="V40" s="145"/>
      <c r="W40" s="428"/>
      <c r="X40" s="428"/>
      <c r="Y40" s="429"/>
    </row>
    <row r="41" ht="22.5" customHeight="1">
      <c r="A41" s="47" t="s">
        <v>1437</v>
      </c>
      <c r="B41" s="75" t="s">
        <v>219</v>
      </c>
      <c r="C41" s="75" t="s">
        <v>3278</v>
      </c>
      <c r="D41" s="75" t="s">
        <v>3114</v>
      </c>
      <c r="E41" s="75" t="s">
        <v>3116</v>
      </c>
      <c r="F41" s="75" t="s">
        <v>3117</v>
      </c>
      <c r="G41" s="75" t="s">
        <v>3107</v>
      </c>
      <c r="H41" s="75" t="s">
        <v>3118</v>
      </c>
      <c r="I41" s="75" t="s">
        <v>3119</v>
      </c>
      <c r="J41" s="75" t="s">
        <v>3279</v>
      </c>
      <c r="K41" s="75" t="s">
        <v>1091</v>
      </c>
      <c r="L41" s="75" t="s">
        <v>1093</v>
      </c>
      <c r="M41" s="70" t="s">
        <v>1098</v>
      </c>
      <c r="N41" s="70" t="s">
        <v>1108</v>
      </c>
      <c r="O41" s="75" t="s">
        <v>1466</v>
      </c>
      <c r="P41" s="70" t="s">
        <v>1578</v>
      </c>
      <c r="Q41" s="75" t="b">
        <v>0</v>
      </c>
      <c r="R41" s="75" t="s">
        <v>3121</v>
      </c>
      <c r="S41" s="75" t="s">
        <v>3122</v>
      </c>
      <c r="T41" s="47"/>
      <c r="U41" s="431"/>
      <c r="V41" s="66"/>
      <c r="W41" s="428"/>
      <c r="X41" s="428"/>
      <c r="Y41" s="429"/>
    </row>
    <row r="42" ht="22.5" customHeight="1">
      <c r="A42" s="47" t="s">
        <v>1437</v>
      </c>
      <c r="B42" s="75" t="s">
        <v>1212</v>
      </c>
      <c r="C42" s="75" t="s">
        <v>3286</v>
      </c>
      <c r="D42" s="75" t="s">
        <v>3127</v>
      </c>
      <c r="E42" s="65" t="s">
        <v>3128</v>
      </c>
      <c r="F42" s="65" t="s">
        <v>3129</v>
      </c>
      <c r="G42" s="65" t="s">
        <v>3107</v>
      </c>
      <c r="H42" s="65" t="s">
        <v>3130</v>
      </c>
      <c r="I42" s="65" t="s">
        <v>3110</v>
      </c>
      <c r="J42" s="65" t="s">
        <v>3132</v>
      </c>
      <c r="K42" s="65" t="s">
        <v>1091</v>
      </c>
      <c r="L42" s="65" t="s">
        <v>1093</v>
      </c>
      <c r="M42" s="70" t="s">
        <v>1098</v>
      </c>
      <c r="N42" s="70" t="s">
        <v>1108</v>
      </c>
      <c r="O42" s="75" t="s">
        <v>1466</v>
      </c>
      <c r="P42" s="70" t="s">
        <v>1129</v>
      </c>
      <c r="Q42" s="75" t="b">
        <v>0</v>
      </c>
      <c r="R42" s="65" t="s">
        <v>3133</v>
      </c>
      <c r="S42" s="65" t="s">
        <v>3134</v>
      </c>
      <c r="T42" s="145"/>
      <c r="U42" s="427"/>
      <c r="V42" s="145"/>
      <c r="W42" s="428"/>
      <c r="X42" s="428"/>
      <c r="Y42" s="429"/>
    </row>
    <row r="43" ht="22.5" customHeight="1">
      <c r="A43" s="47" t="s">
        <v>1437</v>
      </c>
      <c r="B43" s="65" t="s">
        <v>1391</v>
      </c>
      <c r="C43" s="65" t="s">
        <v>3296</v>
      </c>
      <c r="D43" s="65" t="s">
        <v>3137</v>
      </c>
      <c r="E43" s="65" t="s">
        <v>3138</v>
      </c>
      <c r="F43" s="65"/>
      <c r="G43" s="65" t="s">
        <v>3139</v>
      </c>
      <c r="H43" s="65" t="s">
        <v>3140</v>
      </c>
      <c r="I43" s="65" t="s">
        <v>3141</v>
      </c>
      <c r="J43" s="65"/>
      <c r="K43" s="65" t="s">
        <v>1091</v>
      </c>
      <c r="L43" s="65" t="s">
        <v>1093</v>
      </c>
      <c r="M43" s="70" t="s">
        <v>2190</v>
      </c>
      <c r="N43" s="70" t="s">
        <v>1108</v>
      </c>
      <c r="O43" s="68"/>
      <c r="P43" s="70" t="s">
        <v>1129</v>
      </c>
      <c r="Q43" s="302" t="b">
        <v>0</v>
      </c>
      <c r="R43" s="79"/>
      <c r="S43" s="65" t="s">
        <v>3142</v>
      </c>
      <c r="T43" s="47"/>
      <c r="U43" s="427"/>
      <c r="V43" s="145"/>
      <c r="W43" s="428"/>
      <c r="X43" s="428"/>
      <c r="Y43" s="429"/>
    </row>
    <row r="44" ht="22.5" customHeight="1">
      <c r="A44" s="47" t="s">
        <v>1447</v>
      </c>
      <c r="B44" s="65" t="s">
        <v>219</v>
      </c>
      <c r="C44" s="65" t="s">
        <v>3300</v>
      </c>
      <c r="D44" s="65" t="s">
        <v>2156</v>
      </c>
      <c r="E44" s="75" t="s">
        <v>2157</v>
      </c>
      <c r="F44" s="65" t="s">
        <v>2158</v>
      </c>
      <c r="G44" s="65" t="s">
        <v>70</v>
      </c>
      <c r="H44" s="65" t="s">
        <v>2159</v>
      </c>
      <c r="I44" s="65" t="s">
        <v>2160</v>
      </c>
      <c r="J44" s="65" t="s">
        <v>2161</v>
      </c>
      <c r="K44" s="65" t="s">
        <v>2162</v>
      </c>
      <c r="L44" s="65" t="s">
        <v>3304</v>
      </c>
      <c r="M44" s="70" t="s">
        <v>1098</v>
      </c>
      <c r="N44" s="70" t="s">
        <v>1108</v>
      </c>
      <c r="O44" s="75" t="s">
        <v>2018</v>
      </c>
      <c r="P44" s="239" t="s">
        <v>1401</v>
      </c>
      <c r="Q44" s="75" t="b">
        <v>0</v>
      </c>
      <c r="R44" s="65" t="s">
        <v>2163</v>
      </c>
      <c r="S44" s="95" t="s">
        <v>3305</v>
      </c>
      <c r="T44" s="239" t="s">
        <v>1843</v>
      </c>
      <c r="U44" s="427"/>
      <c r="V44" s="239" t="s">
        <v>1161</v>
      </c>
      <c r="W44" s="428"/>
      <c r="X44" s="428"/>
      <c r="Y44" s="429"/>
    </row>
    <row r="45" ht="22.5" customHeight="1">
      <c r="A45" s="239" t="s">
        <v>1445</v>
      </c>
      <c r="B45" s="65" t="s">
        <v>3308</v>
      </c>
      <c r="C45" s="65" t="s">
        <v>3309</v>
      </c>
      <c r="D45" s="437" t="s">
        <v>1512</v>
      </c>
      <c r="E45" s="65" t="s">
        <v>1513</v>
      </c>
      <c r="F45" s="80" t="s">
        <v>1514</v>
      </c>
      <c r="G45" s="65" t="s">
        <v>560</v>
      </c>
      <c r="H45" s="65" t="s">
        <v>1515</v>
      </c>
      <c r="I45" s="65" t="s">
        <v>1516</v>
      </c>
      <c r="J45" s="438" t="s">
        <v>1517</v>
      </c>
      <c r="K45" s="65" t="s">
        <v>1091</v>
      </c>
      <c r="L45" s="65" t="s">
        <v>1093</v>
      </c>
      <c r="M45" s="70" t="s">
        <v>1098</v>
      </c>
      <c r="N45" s="70" t="s">
        <v>1108</v>
      </c>
      <c r="O45" s="75" t="s">
        <v>1161</v>
      </c>
      <c r="P45" s="70" t="s">
        <v>1161</v>
      </c>
      <c r="Q45" s="71" t="b">
        <v>1</v>
      </c>
      <c r="R45" s="65" t="s">
        <v>1518</v>
      </c>
      <c r="S45" s="65" t="s">
        <v>3313</v>
      </c>
      <c r="T45" s="239" t="s">
        <v>1843</v>
      </c>
      <c r="U45" s="47" t="s">
        <v>1161</v>
      </c>
      <c r="V45" s="439" t="s">
        <v>1161</v>
      </c>
      <c r="W45" s="440"/>
      <c r="X45" s="441" t="s">
        <v>3314</v>
      </c>
      <c r="Y45" s="60" t="s">
        <v>3315</v>
      </c>
    </row>
    <row r="46" ht="22.5" customHeight="1">
      <c r="A46" s="70" t="s">
        <v>1000</v>
      </c>
      <c r="B46" s="65" t="s">
        <v>1391</v>
      </c>
      <c r="C46" s="65" t="s">
        <v>3316</v>
      </c>
      <c r="D46" s="75" t="s">
        <v>1523</v>
      </c>
      <c r="E46" s="75" t="s">
        <v>1524</v>
      </c>
      <c r="F46" s="442" t="s">
        <v>1525</v>
      </c>
      <c r="G46" s="75" t="s">
        <v>70</v>
      </c>
      <c r="H46" s="75" t="s">
        <v>1527</v>
      </c>
      <c r="I46" s="75" t="s">
        <v>1529</v>
      </c>
      <c r="J46" s="75" t="s">
        <v>1530</v>
      </c>
      <c r="K46" s="75" t="s">
        <v>1091</v>
      </c>
      <c r="L46" s="75" t="s">
        <v>1093</v>
      </c>
      <c r="M46" s="70" t="s">
        <v>1098</v>
      </c>
      <c r="N46" s="70" t="s">
        <v>1108</v>
      </c>
      <c r="O46" s="75" t="s">
        <v>1161</v>
      </c>
      <c r="P46" s="70" t="s">
        <v>1161</v>
      </c>
      <c r="Q46" s="71" t="b">
        <v>1</v>
      </c>
      <c r="R46" s="75" t="s">
        <v>1534</v>
      </c>
      <c r="S46" s="75" t="s">
        <v>3318</v>
      </c>
      <c r="T46" s="239" t="s">
        <v>1843</v>
      </c>
      <c r="U46" s="47" t="s">
        <v>3319</v>
      </c>
      <c r="V46" s="439" t="s">
        <v>1161</v>
      </c>
      <c r="W46" s="441" t="s">
        <v>3321</v>
      </c>
      <c r="X46" s="440"/>
      <c r="Y46" s="60" t="s">
        <v>3315</v>
      </c>
    </row>
    <row r="47" ht="22.5" customHeight="1">
      <c r="A47" s="239" t="s">
        <v>1445</v>
      </c>
      <c r="B47" s="65" t="s">
        <v>219</v>
      </c>
      <c r="C47" s="65" t="s">
        <v>3323</v>
      </c>
      <c r="D47" s="65" t="s">
        <v>1873</v>
      </c>
      <c r="E47" s="65" t="s">
        <v>1542</v>
      </c>
      <c r="F47" s="65" t="s">
        <v>1543</v>
      </c>
      <c r="G47" s="65" t="s">
        <v>695</v>
      </c>
      <c r="H47" s="65" t="s">
        <v>1544</v>
      </c>
      <c r="I47" s="65" t="s">
        <v>1546</v>
      </c>
      <c r="J47" s="65" t="s">
        <v>1547</v>
      </c>
      <c r="K47" s="65" t="s">
        <v>1091</v>
      </c>
      <c r="L47" s="65" t="s">
        <v>1093</v>
      </c>
      <c r="M47" s="70" t="s">
        <v>3324</v>
      </c>
      <c r="N47" s="70" t="s">
        <v>1108</v>
      </c>
      <c r="O47" s="75" t="s">
        <v>1161</v>
      </c>
      <c r="P47" s="239" t="s">
        <v>1161</v>
      </c>
      <c r="Q47" s="71" t="b">
        <v>1</v>
      </c>
      <c r="R47" s="65" t="s">
        <v>1551</v>
      </c>
      <c r="S47" s="65" t="s">
        <v>1552</v>
      </c>
      <c r="T47" s="239" t="s">
        <v>1961</v>
      </c>
      <c r="U47" s="47" t="s">
        <v>1161</v>
      </c>
      <c r="V47" s="239" t="s">
        <v>1161</v>
      </c>
      <c r="W47" s="440"/>
      <c r="X47" s="441" t="s">
        <v>3314</v>
      </c>
      <c r="Y47" s="60" t="s">
        <v>3315</v>
      </c>
    </row>
    <row r="48" ht="18.75" customHeight="1">
      <c r="A48" s="239" t="s">
        <v>1445</v>
      </c>
      <c r="B48" s="65" t="s">
        <v>1391</v>
      </c>
      <c r="C48" s="65" t="s">
        <v>3327</v>
      </c>
      <c r="D48" s="65" t="s">
        <v>1572</v>
      </c>
      <c r="E48" s="65" t="s">
        <v>1573</v>
      </c>
      <c r="F48" s="65" t="s">
        <v>1574</v>
      </c>
      <c r="G48" s="65" t="s">
        <v>70</v>
      </c>
      <c r="H48" s="65" t="s">
        <v>1575</v>
      </c>
      <c r="I48" s="65" t="s">
        <v>1576</v>
      </c>
      <c r="J48" s="65" t="s">
        <v>1577</v>
      </c>
      <c r="K48" s="65" t="s">
        <v>1566</v>
      </c>
      <c r="L48" s="65" t="s">
        <v>3328</v>
      </c>
      <c r="M48" s="70" t="s">
        <v>1098</v>
      </c>
      <c r="N48" s="70" t="s">
        <v>1108</v>
      </c>
      <c r="O48" s="75" t="s">
        <v>1161</v>
      </c>
      <c r="P48" s="239" t="s">
        <v>1401</v>
      </c>
      <c r="Q48" s="71" t="b">
        <v>0</v>
      </c>
      <c r="R48" s="65" t="s">
        <v>1579</v>
      </c>
      <c r="S48" s="65" t="s">
        <v>1552</v>
      </c>
      <c r="T48" s="239" t="s">
        <v>1843</v>
      </c>
      <c r="U48" s="47" t="s">
        <v>1161</v>
      </c>
      <c r="V48" s="239" t="s">
        <v>1161</v>
      </c>
      <c r="W48" s="440"/>
      <c r="X48" s="441" t="s">
        <v>3314</v>
      </c>
      <c r="Y48" s="60" t="s">
        <v>3330</v>
      </c>
    </row>
    <row r="49" ht="22.5" customHeight="1">
      <c r="A49" s="239" t="s">
        <v>1000</v>
      </c>
      <c r="B49" s="65" t="s">
        <v>1391</v>
      </c>
      <c r="C49" s="65" t="s">
        <v>3334</v>
      </c>
      <c r="D49" s="75" t="s">
        <v>1581</v>
      </c>
      <c r="E49" s="65" t="s">
        <v>1582</v>
      </c>
      <c r="F49" s="65" t="s">
        <v>1583</v>
      </c>
      <c r="G49" s="65" t="s">
        <v>70</v>
      </c>
      <c r="H49" s="65" t="s">
        <v>1584</v>
      </c>
      <c r="I49" s="65" t="s">
        <v>1585</v>
      </c>
      <c r="J49" s="65" t="s">
        <v>1586</v>
      </c>
      <c r="K49" s="65" t="s">
        <v>1091</v>
      </c>
      <c r="L49" s="65" t="s">
        <v>1093</v>
      </c>
      <c r="M49" s="70" t="s">
        <v>1098</v>
      </c>
      <c r="N49" s="70" t="s">
        <v>1108</v>
      </c>
      <c r="O49" s="75" t="s">
        <v>1161</v>
      </c>
      <c r="P49" s="70" t="s">
        <v>1401</v>
      </c>
      <c r="Q49" s="71" t="b">
        <v>1</v>
      </c>
      <c r="R49" s="65" t="s">
        <v>1587</v>
      </c>
      <c r="S49" s="65" t="s">
        <v>3336</v>
      </c>
      <c r="T49" s="239" t="s">
        <v>1843</v>
      </c>
      <c r="U49" s="47" t="s">
        <v>3319</v>
      </c>
      <c r="V49" s="239" t="s">
        <v>1161</v>
      </c>
      <c r="W49" s="441"/>
      <c r="X49" s="457"/>
      <c r="Y49" s="460" t="s">
        <v>3337</v>
      </c>
    </row>
    <row r="50" ht="22.5" customHeight="1">
      <c r="A50" s="239" t="s">
        <v>1445</v>
      </c>
      <c r="B50" s="65" t="s">
        <v>1391</v>
      </c>
      <c r="C50" s="65" t="s">
        <v>3338</v>
      </c>
      <c r="D50" s="65" t="s">
        <v>1591</v>
      </c>
      <c r="E50" s="65" t="s">
        <v>1592</v>
      </c>
      <c r="F50" s="65" t="s">
        <v>1593</v>
      </c>
      <c r="G50" s="65" t="s">
        <v>695</v>
      </c>
      <c r="H50" s="65" t="s">
        <v>1594</v>
      </c>
      <c r="I50" s="65" t="s">
        <v>1595</v>
      </c>
      <c r="J50" s="65" t="s">
        <v>1596</v>
      </c>
      <c r="K50" s="65" t="s">
        <v>1091</v>
      </c>
      <c r="L50" s="65" t="s">
        <v>1093</v>
      </c>
      <c r="M50" s="70" t="s">
        <v>3324</v>
      </c>
      <c r="N50" s="70" t="s">
        <v>1108</v>
      </c>
      <c r="O50" s="75" t="s">
        <v>2018</v>
      </c>
      <c r="P50" s="70" t="s">
        <v>1401</v>
      </c>
      <c r="Q50" s="71" t="b">
        <v>1</v>
      </c>
      <c r="R50" s="65" t="s">
        <v>1599</v>
      </c>
      <c r="S50" s="65" t="s">
        <v>1600</v>
      </c>
      <c r="T50" s="239" t="s">
        <v>1843</v>
      </c>
      <c r="U50" s="47" t="s">
        <v>1161</v>
      </c>
      <c r="V50" s="239" t="s">
        <v>1161</v>
      </c>
      <c r="W50" s="440"/>
      <c r="X50" s="441" t="s">
        <v>3314</v>
      </c>
      <c r="Y50" s="60" t="s">
        <v>3337</v>
      </c>
    </row>
    <row r="51" ht="19.5" customHeight="1">
      <c r="A51" s="70" t="s">
        <v>1447</v>
      </c>
      <c r="B51" s="65" t="s">
        <v>1391</v>
      </c>
      <c r="C51" s="65" t="s">
        <v>3340</v>
      </c>
      <c r="D51" s="75" t="s">
        <v>1603</v>
      </c>
      <c r="E51" s="65" t="s">
        <v>1604</v>
      </c>
      <c r="F51" s="65" t="s">
        <v>1605</v>
      </c>
      <c r="G51" s="65" t="s">
        <v>70</v>
      </c>
      <c r="H51" s="65" t="s">
        <v>1606</v>
      </c>
      <c r="I51" s="65" t="s">
        <v>1607</v>
      </c>
      <c r="J51" s="65" t="s">
        <v>1608</v>
      </c>
      <c r="K51" s="65" t="s">
        <v>1091</v>
      </c>
      <c r="L51" s="65" t="s">
        <v>1093</v>
      </c>
      <c r="M51" s="70" t="s">
        <v>1098</v>
      </c>
      <c r="N51" s="70" t="s">
        <v>1108</v>
      </c>
      <c r="O51" s="75" t="s">
        <v>1161</v>
      </c>
      <c r="P51" s="239" t="s">
        <v>1401</v>
      </c>
      <c r="Q51" s="71" t="b">
        <v>1</v>
      </c>
      <c r="R51" s="65" t="s">
        <v>1610</v>
      </c>
      <c r="S51" s="461" t="s">
        <v>3341</v>
      </c>
      <c r="T51" s="239" t="s">
        <v>1843</v>
      </c>
      <c r="U51" s="47" t="s">
        <v>3319</v>
      </c>
      <c r="V51" s="239" t="s">
        <v>1161</v>
      </c>
      <c r="W51" s="462" t="s">
        <v>3342</v>
      </c>
      <c r="X51" s="457"/>
      <c r="Y51" s="460" t="s">
        <v>3337</v>
      </c>
    </row>
    <row r="52" ht="22.5" customHeight="1">
      <c r="A52" s="239" t="s">
        <v>1445</v>
      </c>
      <c r="B52" s="65" t="s">
        <v>1475</v>
      </c>
      <c r="C52" s="65" t="s">
        <v>3344</v>
      </c>
      <c r="D52" s="75" t="s">
        <v>1614</v>
      </c>
      <c r="E52" s="65" t="s">
        <v>1616</v>
      </c>
      <c r="F52" s="65" t="s">
        <v>1617</v>
      </c>
      <c r="G52" s="65" t="s">
        <v>695</v>
      </c>
      <c r="H52" s="75" t="s">
        <v>1619</v>
      </c>
      <c r="I52" s="65" t="s">
        <v>1620</v>
      </c>
      <c r="J52" s="65" t="s">
        <v>1621</v>
      </c>
      <c r="K52" s="65" t="s">
        <v>1091</v>
      </c>
      <c r="L52" s="65" t="s">
        <v>1093</v>
      </c>
      <c r="M52" s="70" t="s">
        <v>1098</v>
      </c>
      <c r="N52" s="70" t="s">
        <v>1108</v>
      </c>
      <c r="O52" s="75" t="s">
        <v>2018</v>
      </c>
      <c r="P52" s="70" t="s">
        <v>1161</v>
      </c>
      <c r="Q52" s="71" t="b">
        <v>1</v>
      </c>
      <c r="R52" s="75" t="s">
        <v>1625</v>
      </c>
      <c r="S52" s="65" t="s">
        <v>1626</v>
      </c>
      <c r="T52" s="239" t="s">
        <v>1843</v>
      </c>
      <c r="U52" s="47" t="s">
        <v>1161</v>
      </c>
      <c r="V52" s="239" t="s">
        <v>1161</v>
      </c>
      <c r="W52" s="440"/>
      <c r="X52" s="441" t="s">
        <v>3314</v>
      </c>
      <c r="Y52" s="60" t="s">
        <v>3337</v>
      </c>
    </row>
    <row r="53" ht="22.5" customHeight="1">
      <c r="A53" s="239" t="s">
        <v>1445</v>
      </c>
      <c r="B53" s="75" t="s">
        <v>1475</v>
      </c>
      <c r="C53" s="75" t="s">
        <v>3350</v>
      </c>
      <c r="D53" s="65" t="s">
        <v>1633</v>
      </c>
      <c r="E53" s="65" t="s">
        <v>1634</v>
      </c>
      <c r="F53" s="65" t="s">
        <v>1635</v>
      </c>
      <c r="G53" s="65" t="s">
        <v>123</v>
      </c>
      <c r="H53" s="65" t="s">
        <v>1636</v>
      </c>
      <c r="I53" s="65" t="s">
        <v>1637</v>
      </c>
      <c r="J53" s="75" t="s">
        <v>1638</v>
      </c>
      <c r="K53" s="65" t="s">
        <v>1091</v>
      </c>
      <c r="L53" s="65" t="s">
        <v>1093</v>
      </c>
      <c r="M53" s="70" t="s">
        <v>1098</v>
      </c>
      <c r="N53" s="70" t="s">
        <v>1108</v>
      </c>
      <c r="O53" s="75" t="s">
        <v>1161</v>
      </c>
      <c r="P53" s="239" t="s">
        <v>1161</v>
      </c>
      <c r="Q53" s="71" t="b">
        <v>0</v>
      </c>
      <c r="R53" s="75" t="s">
        <v>1641</v>
      </c>
      <c r="S53" s="65" t="s">
        <v>1642</v>
      </c>
      <c r="T53" s="239" t="s">
        <v>1843</v>
      </c>
      <c r="U53" s="47" t="s">
        <v>1161</v>
      </c>
      <c r="V53" s="239" t="s">
        <v>1161</v>
      </c>
      <c r="W53" s="440"/>
      <c r="X53" s="441" t="s">
        <v>3314</v>
      </c>
      <c r="Y53" s="60" t="s">
        <v>3337</v>
      </c>
    </row>
    <row r="54" ht="22.5" customHeight="1">
      <c r="A54" s="239" t="s">
        <v>1445</v>
      </c>
      <c r="B54" s="65" t="s">
        <v>1391</v>
      </c>
      <c r="C54" s="65" t="s">
        <v>3354</v>
      </c>
      <c r="D54" s="65" t="s">
        <v>1644</v>
      </c>
      <c r="E54" s="65" t="s">
        <v>1645</v>
      </c>
      <c r="F54" s="65" t="s">
        <v>1646</v>
      </c>
      <c r="G54" s="65" t="s">
        <v>695</v>
      </c>
      <c r="H54" s="65" t="s">
        <v>1647</v>
      </c>
      <c r="I54" s="65" t="s">
        <v>1648</v>
      </c>
      <c r="J54" s="75" t="s">
        <v>1649</v>
      </c>
      <c r="K54" s="65" t="s">
        <v>1091</v>
      </c>
      <c r="L54" s="65" t="s">
        <v>1093</v>
      </c>
      <c r="M54" s="70" t="s">
        <v>3324</v>
      </c>
      <c r="N54" s="70" t="s">
        <v>1108</v>
      </c>
      <c r="O54" s="75" t="s">
        <v>1161</v>
      </c>
      <c r="P54" s="239" t="s">
        <v>1161</v>
      </c>
      <c r="Q54" s="71" t="b">
        <v>1</v>
      </c>
      <c r="R54" s="65" t="s">
        <v>1651</v>
      </c>
      <c r="S54" s="65" t="s">
        <v>3355</v>
      </c>
      <c r="T54" s="239" t="s">
        <v>1843</v>
      </c>
      <c r="U54" s="47" t="s">
        <v>1161</v>
      </c>
      <c r="V54" s="466" t="s">
        <v>1161</v>
      </c>
      <c r="W54" s="440"/>
      <c r="X54" s="441" t="s">
        <v>3314</v>
      </c>
      <c r="Y54" s="60" t="s">
        <v>3337</v>
      </c>
    </row>
    <row r="55" ht="22.5" customHeight="1">
      <c r="A55" s="239" t="s">
        <v>1445</v>
      </c>
      <c r="B55" s="65" t="s">
        <v>1475</v>
      </c>
      <c r="C55" s="65" t="s">
        <v>3358</v>
      </c>
      <c r="D55" s="65" t="s">
        <v>1655</v>
      </c>
      <c r="E55" s="65" t="s">
        <v>1656</v>
      </c>
      <c r="F55" s="79"/>
      <c r="G55" s="65" t="s">
        <v>278</v>
      </c>
      <c r="H55" s="65" t="s">
        <v>1657</v>
      </c>
      <c r="I55" s="65" t="s">
        <v>1658</v>
      </c>
      <c r="J55" s="75" t="s">
        <v>3359</v>
      </c>
      <c r="K55" s="65" t="s">
        <v>1091</v>
      </c>
      <c r="L55" s="65" t="s">
        <v>1093</v>
      </c>
      <c r="M55" s="70" t="s">
        <v>1098</v>
      </c>
      <c r="N55" s="70" t="s">
        <v>1108</v>
      </c>
      <c r="O55" s="75" t="s">
        <v>1161</v>
      </c>
      <c r="P55" s="70" t="s">
        <v>1401</v>
      </c>
      <c r="Q55" s="71" t="b">
        <v>1</v>
      </c>
      <c r="R55" s="65" t="s">
        <v>1659</v>
      </c>
      <c r="S55" s="65" t="s">
        <v>1660</v>
      </c>
      <c r="T55" s="239" t="s">
        <v>1843</v>
      </c>
      <c r="U55" s="47" t="s">
        <v>1161</v>
      </c>
      <c r="V55" s="239" t="s">
        <v>1161</v>
      </c>
      <c r="W55" s="440"/>
      <c r="X55" s="441" t="s">
        <v>3314</v>
      </c>
      <c r="Y55" s="60" t="s">
        <v>3337</v>
      </c>
    </row>
    <row r="56" ht="22.5" customHeight="1">
      <c r="A56" s="239" t="s">
        <v>1435</v>
      </c>
      <c r="B56" s="65" t="s">
        <v>1475</v>
      </c>
      <c r="C56" s="468" t="s">
        <v>3362</v>
      </c>
      <c r="D56" s="65" t="s">
        <v>1662</v>
      </c>
      <c r="E56" s="65" t="s">
        <v>3363</v>
      </c>
      <c r="F56" s="65" t="s">
        <v>1664</v>
      </c>
      <c r="G56" s="65" t="s">
        <v>123</v>
      </c>
      <c r="H56" s="65" t="s">
        <v>1665</v>
      </c>
      <c r="I56" s="65" t="s">
        <v>1666</v>
      </c>
      <c r="J56" s="65" t="s">
        <v>1667</v>
      </c>
      <c r="K56" s="65" t="s">
        <v>1091</v>
      </c>
      <c r="L56" s="65" t="s">
        <v>1093</v>
      </c>
      <c r="M56" s="70" t="s">
        <v>1098</v>
      </c>
      <c r="N56" s="70" t="s">
        <v>1108</v>
      </c>
      <c r="O56" s="75" t="s">
        <v>1161</v>
      </c>
      <c r="P56" s="469" t="s">
        <v>1161</v>
      </c>
      <c r="Q56" s="71" t="b">
        <v>1</v>
      </c>
      <c r="R56" s="65" t="s">
        <v>1668</v>
      </c>
      <c r="S56" s="461" t="s">
        <v>3364</v>
      </c>
      <c r="T56" s="239" t="s">
        <v>1843</v>
      </c>
      <c r="U56" s="47" t="s">
        <v>3319</v>
      </c>
      <c r="V56" s="239" t="s">
        <v>1161</v>
      </c>
      <c r="W56" s="441" t="s">
        <v>3342</v>
      </c>
      <c r="X56" s="457"/>
      <c r="Y56" s="460" t="s">
        <v>3337</v>
      </c>
    </row>
    <row r="57" ht="21.0" customHeight="1">
      <c r="A57" s="471" t="s">
        <v>1445</v>
      </c>
      <c r="B57" s="352" t="s">
        <v>219</v>
      </c>
      <c r="C57" s="51" t="s">
        <v>3368</v>
      </c>
      <c r="D57" s="51" t="s">
        <v>1671</v>
      </c>
      <c r="E57" s="51" t="s">
        <v>1672</v>
      </c>
      <c r="F57" s="352" t="s">
        <v>1673</v>
      </c>
      <c r="G57" s="51" t="s">
        <v>1674</v>
      </c>
      <c r="H57" s="51" t="s">
        <v>1675</v>
      </c>
      <c r="I57" s="352" t="s">
        <v>1676</v>
      </c>
      <c r="J57" s="352" t="s">
        <v>1676</v>
      </c>
      <c r="K57" s="51" t="s">
        <v>1091</v>
      </c>
      <c r="L57" s="51" t="s">
        <v>1093</v>
      </c>
      <c r="M57" s="471" t="s">
        <v>1098</v>
      </c>
      <c r="N57" s="70" t="s">
        <v>1108</v>
      </c>
      <c r="O57" s="352" t="s">
        <v>1466</v>
      </c>
      <c r="P57" s="471" t="s">
        <v>1401</v>
      </c>
      <c r="Q57" s="71" t="b">
        <v>1</v>
      </c>
      <c r="R57" s="75" t="s">
        <v>1677</v>
      </c>
      <c r="S57" s="75" t="s">
        <v>3370</v>
      </c>
      <c r="T57" s="239" t="s">
        <v>1843</v>
      </c>
      <c r="U57" s="472" t="s">
        <v>3371</v>
      </c>
      <c r="V57" s="471"/>
      <c r="W57" s="441"/>
      <c r="X57" s="473"/>
      <c r="Y57" s="474" t="s">
        <v>3337</v>
      </c>
    </row>
    <row r="58" ht="22.5" customHeight="1">
      <c r="A58" s="239" t="s">
        <v>1445</v>
      </c>
      <c r="B58" s="65" t="s">
        <v>1311</v>
      </c>
      <c r="C58" s="65" t="s">
        <v>3373</v>
      </c>
      <c r="D58" s="65" t="s">
        <v>1671</v>
      </c>
      <c r="E58" s="483" t="s">
        <v>1672</v>
      </c>
      <c r="F58" s="352" t="s">
        <v>1673</v>
      </c>
      <c r="G58" s="65" t="s">
        <v>123</v>
      </c>
      <c r="H58" s="65" t="s">
        <v>1680</v>
      </c>
      <c r="I58" s="65" t="s">
        <v>1681</v>
      </c>
      <c r="J58" s="65" t="s">
        <v>1682</v>
      </c>
      <c r="K58" s="65" t="s">
        <v>1091</v>
      </c>
      <c r="L58" s="65" t="s">
        <v>1093</v>
      </c>
      <c r="M58" s="70" t="s">
        <v>1098</v>
      </c>
      <c r="N58" s="70" t="s">
        <v>1108</v>
      </c>
      <c r="O58" s="75" t="s">
        <v>1161</v>
      </c>
      <c r="P58" s="239" t="s">
        <v>1401</v>
      </c>
      <c r="Q58" s="71" t="b">
        <v>1</v>
      </c>
      <c r="R58" s="65" t="s">
        <v>1683</v>
      </c>
      <c r="S58" s="65" t="s">
        <v>3375</v>
      </c>
      <c r="T58" s="239" t="s">
        <v>1961</v>
      </c>
      <c r="U58" s="47" t="s">
        <v>3371</v>
      </c>
      <c r="V58" s="239" t="s">
        <v>1161</v>
      </c>
      <c r="W58" s="457"/>
      <c r="X58" s="457"/>
      <c r="Y58" s="460" t="s">
        <v>3337</v>
      </c>
    </row>
    <row r="59" ht="24.0" customHeight="1">
      <c r="A59" s="239" t="s">
        <v>1445</v>
      </c>
      <c r="B59" s="65" t="s">
        <v>1311</v>
      </c>
      <c r="C59" s="65" t="s">
        <v>3376</v>
      </c>
      <c r="D59" s="65" t="s">
        <v>1671</v>
      </c>
      <c r="E59" s="65" t="s">
        <v>1672</v>
      </c>
      <c r="F59" s="352" t="s">
        <v>1673</v>
      </c>
      <c r="G59" s="65" t="s">
        <v>91</v>
      </c>
      <c r="H59" s="65" t="s">
        <v>1686</v>
      </c>
      <c r="I59" s="65" t="s">
        <v>1687</v>
      </c>
      <c r="J59" s="65" t="s">
        <v>3377</v>
      </c>
      <c r="K59" s="65" t="s">
        <v>1091</v>
      </c>
      <c r="L59" s="65" t="s">
        <v>1093</v>
      </c>
      <c r="M59" s="70" t="s">
        <v>1098</v>
      </c>
      <c r="N59" s="70" t="s">
        <v>1108</v>
      </c>
      <c r="O59" s="75" t="s">
        <v>1161</v>
      </c>
      <c r="P59" s="70" t="s">
        <v>1161</v>
      </c>
      <c r="Q59" s="71" t="b">
        <v>1</v>
      </c>
      <c r="R59" s="65" t="s">
        <v>1688</v>
      </c>
      <c r="S59" s="75" t="s">
        <v>3378</v>
      </c>
      <c r="T59" s="239" t="s">
        <v>1961</v>
      </c>
      <c r="U59" s="47" t="s">
        <v>1161</v>
      </c>
      <c r="V59" s="239" t="s">
        <v>1161</v>
      </c>
      <c r="W59" s="440"/>
      <c r="X59" s="441" t="s">
        <v>3314</v>
      </c>
      <c r="Y59" s="60" t="s">
        <v>3337</v>
      </c>
    </row>
    <row r="60" ht="21.0" customHeight="1">
      <c r="A60" s="70" t="s">
        <v>1445</v>
      </c>
      <c r="B60" s="65" t="s">
        <v>1311</v>
      </c>
      <c r="C60" s="75" t="s">
        <v>3379</v>
      </c>
      <c r="D60" s="75" t="s">
        <v>1671</v>
      </c>
      <c r="E60" s="75" t="s">
        <v>1672</v>
      </c>
      <c r="F60" s="352" t="s">
        <v>1673</v>
      </c>
      <c r="G60" s="75" t="s">
        <v>278</v>
      </c>
      <c r="H60" s="75" t="s">
        <v>1701</v>
      </c>
      <c r="I60" s="75" t="s">
        <v>1702</v>
      </c>
      <c r="J60" s="75" t="s">
        <v>1702</v>
      </c>
      <c r="K60" s="75" t="s">
        <v>1091</v>
      </c>
      <c r="L60" s="75" t="s">
        <v>1093</v>
      </c>
      <c r="M60" s="70" t="s">
        <v>1098</v>
      </c>
      <c r="N60" s="70" t="s">
        <v>1108</v>
      </c>
      <c r="O60" s="75" t="s">
        <v>1161</v>
      </c>
      <c r="P60" s="70" t="s">
        <v>1401</v>
      </c>
      <c r="Q60" s="71" t="b">
        <v>0</v>
      </c>
      <c r="R60" s="75" t="s">
        <v>1703</v>
      </c>
      <c r="S60" s="75" t="s">
        <v>1704</v>
      </c>
      <c r="T60" s="70" t="s">
        <v>1843</v>
      </c>
      <c r="U60" s="47" t="s">
        <v>1161</v>
      </c>
      <c r="V60" s="70" t="s">
        <v>1161</v>
      </c>
      <c r="W60" s="440"/>
      <c r="X60" s="441" t="s">
        <v>3314</v>
      </c>
      <c r="Y60" s="60" t="s">
        <v>3337</v>
      </c>
    </row>
    <row r="61" ht="22.5" customHeight="1">
      <c r="A61" s="70" t="s">
        <v>1000</v>
      </c>
      <c r="B61" s="65" t="s">
        <v>1311</v>
      </c>
      <c r="C61" s="75" t="s">
        <v>3380</v>
      </c>
      <c r="D61" s="75" t="s">
        <v>1671</v>
      </c>
      <c r="E61" s="75" t="s">
        <v>1672</v>
      </c>
      <c r="F61" s="352" t="s">
        <v>1673</v>
      </c>
      <c r="G61" s="75" t="s">
        <v>70</v>
      </c>
      <c r="H61" s="75" t="s">
        <v>1706</v>
      </c>
      <c r="I61" s="75" t="s">
        <v>1707</v>
      </c>
      <c r="J61" s="75" t="s">
        <v>1708</v>
      </c>
      <c r="K61" s="75" t="s">
        <v>1091</v>
      </c>
      <c r="L61" s="75" t="s">
        <v>1093</v>
      </c>
      <c r="M61" s="70" t="s">
        <v>1098</v>
      </c>
      <c r="N61" s="70" t="s">
        <v>1108</v>
      </c>
      <c r="O61" s="75" t="s">
        <v>1161</v>
      </c>
      <c r="P61" s="70" t="s">
        <v>1401</v>
      </c>
      <c r="Q61" s="71" t="b">
        <v>1</v>
      </c>
      <c r="R61" s="65" t="s">
        <v>1709</v>
      </c>
      <c r="S61" s="75" t="s">
        <v>3382</v>
      </c>
      <c r="T61" s="70" t="s">
        <v>1843</v>
      </c>
      <c r="U61" s="47" t="s">
        <v>3319</v>
      </c>
      <c r="V61" s="70" t="s">
        <v>1161</v>
      </c>
      <c r="W61" s="441"/>
      <c r="X61" s="511"/>
      <c r="Y61" s="512" t="s">
        <v>3337</v>
      </c>
    </row>
    <row r="62" ht="22.5" customHeight="1">
      <c r="A62" s="239" t="s">
        <v>1000</v>
      </c>
      <c r="B62" s="65" t="s">
        <v>1311</v>
      </c>
      <c r="C62" s="65" t="s">
        <v>3383</v>
      </c>
      <c r="D62" s="75" t="s">
        <v>1671</v>
      </c>
      <c r="E62" s="65" t="s">
        <v>1672</v>
      </c>
      <c r="F62" s="352" t="s">
        <v>1673</v>
      </c>
      <c r="G62" s="65" t="s">
        <v>70</v>
      </c>
      <c r="H62" s="65" t="s">
        <v>1711</v>
      </c>
      <c r="I62" s="65" t="s">
        <v>1712</v>
      </c>
      <c r="J62" s="65" t="s">
        <v>1714</v>
      </c>
      <c r="K62" s="65" t="s">
        <v>1091</v>
      </c>
      <c r="L62" s="65" t="s">
        <v>1093</v>
      </c>
      <c r="M62" s="70" t="s">
        <v>1098</v>
      </c>
      <c r="N62" s="70" t="s">
        <v>1108</v>
      </c>
      <c r="O62" s="75" t="s">
        <v>1161</v>
      </c>
      <c r="P62" s="239" t="s">
        <v>1401</v>
      </c>
      <c r="Q62" s="71" t="b">
        <v>1</v>
      </c>
      <c r="R62" s="65" t="s">
        <v>1715</v>
      </c>
      <c r="S62" s="65" t="s">
        <v>3382</v>
      </c>
      <c r="T62" s="70" t="s">
        <v>1843</v>
      </c>
      <c r="U62" s="47" t="s">
        <v>3319</v>
      </c>
      <c r="V62" s="70" t="s">
        <v>1161</v>
      </c>
      <c r="W62" s="441"/>
      <c r="X62" s="511"/>
      <c r="Y62" s="512" t="s">
        <v>3337</v>
      </c>
    </row>
    <row r="63" ht="22.5" customHeight="1">
      <c r="A63" s="239" t="s">
        <v>1445</v>
      </c>
      <c r="B63" s="65" t="s">
        <v>2884</v>
      </c>
      <c r="C63" s="65" t="s">
        <v>3385</v>
      </c>
      <c r="D63" s="75" t="s">
        <v>1723</v>
      </c>
      <c r="E63" s="65" t="s">
        <v>1724</v>
      </c>
      <c r="F63" s="65" t="s">
        <v>1725</v>
      </c>
      <c r="G63" s="65" t="s">
        <v>1727</v>
      </c>
      <c r="H63" s="65" t="s">
        <v>1728</v>
      </c>
      <c r="I63" s="65" t="s">
        <v>1729</v>
      </c>
      <c r="J63" s="65" t="s">
        <v>3386</v>
      </c>
      <c r="K63" s="65" t="s">
        <v>1091</v>
      </c>
      <c r="L63" s="65" t="s">
        <v>1093</v>
      </c>
      <c r="M63" s="70" t="s">
        <v>1098</v>
      </c>
      <c r="N63" s="70" t="s">
        <v>1108</v>
      </c>
      <c r="O63" s="75" t="s">
        <v>2018</v>
      </c>
      <c r="P63" s="239" t="s">
        <v>1161</v>
      </c>
      <c r="Q63" s="71" t="b">
        <v>1</v>
      </c>
      <c r="R63" s="65" t="s">
        <v>1732</v>
      </c>
      <c r="S63" s="65" t="s">
        <v>1734</v>
      </c>
      <c r="T63" s="239" t="s">
        <v>1843</v>
      </c>
      <c r="U63" s="47" t="s">
        <v>1161</v>
      </c>
      <c r="V63" s="70" t="s">
        <v>1161</v>
      </c>
      <c r="W63" s="440"/>
      <c r="X63" s="441" t="s">
        <v>3314</v>
      </c>
      <c r="Y63" s="60" t="s">
        <v>3337</v>
      </c>
    </row>
    <row r="64" ht="22.5" customHeight="1">
      <c r="A64" s="239" t="s">
        <v>1445</v>
      </c>
      <c r="B64" s="75" t="s">
        <v>1475</v>
      </c>
      <c r="C64" s="75" t="s">
        <v>3387</v>
      </c>
      <c r="D64" s="65" t="s">
        <v>1737</v>
      </c>
      <c r="E64" s="65" t="s">
        <v>1738</v>
      </c>
      <c r="F64" s="65" t="s">
        <v>1739</v>
      </c>
      <c r="G64" s="65" t="s">
        <v>2140</v>
      </c>
      <c r="H64" s="65" t="s">
        <v>1740</v>
      </c>
      <c r="I64" s="65" t="s">
        <v>1741</v>
      </c>
      <c r="J64" s="65" t="s">
        <v>1742</v>
      </c>
      <c r="K64" s="65" t="s">
        <v>1091</v>
      </c>
      <c r="L64" s="65" t="s">
        <v>1093</v>
      </c>
      <c r="M64" s="70" t="s">
        <v>1098</v>
      </c>
      <c r="N64" s="70" t="s">
        <v>1108</v>
      </c>
      <c r="O64" s="75" t="s">
        <v>2018</v>
      </c>
      <c r="P64" s="239" t="s">
        <v>1401</v>
      </c>
      <c r="Q64" s="71" t="b">
        <v>0</v>
      </c>
      <c r="R64" s="65" t="s">
        <v>1743</v>
      </c>
      <c r="S64" s="65" t="s">
        <v>1744</v>
      </c>
      <c r="T64" s="239" t="s">
        <v>1843</v>
      </c>
      <c r="U64" s="47" t="s">
        <v>1161</v>
      </c>
      <c r="V64" s="70" t="s">
        <v>1161</v>
      </c>
      <c r="W64" s="440"/>
      <c r="X64" s="441" t="s">
        <v>3314</v>
      </c>
      <c r="Y64" s="60" t="s">
        <v>3337</v>
      </c>
    </row>
    <row r="65" ht="22.5" customHeight="1">
      <c r="A65" s="239" t="s">
        <v>1445</v>
      </c>
      <c r="B65" s="75" t="s">
        <v>2884</v>
      </c>
      <c r="C65" s="75" t="s">
        <v>3388</v>
      </c>
      <c r="D65" s="65" t="s">
        <v>1747</v>
      </c>
      <c r="E65" s="65" t="s">
        <v>1748</v>
      </c>
      <c r="F65" s="65" t="s">
        <v>1749</v>
      </c>
      <c r="G65" s="65" t="s">
        <v>51</v>
      </c>
      <c r="H65" s="75" t="s">
        <v>1750</v>
      </c>
      <c r="I65" s="65" t="s">
        <v>1751</v>
      </c>
      <c r="J65" s="65" t="s">
        <v>1752</v>
      </c>
      <c r="K65" s="65" t="s">
        <v>1091</v>
      </c>
      <c r="L65" s="65" t="s">
        <v>1093</v>
      </c>
      <c r="M65" s="70" t="s">
        <v>1098</v>
      </c>
      <c r="N65" s="70" t="s">
        <v>1108</v>
      </c>
      <c r="O65" s="75" t="s">
        <v>2018</v>
      </c>
      <c r="P65" s="70" t="s">
        <v>1401</v>
      </c>
      <c r="Q65" s="71" t="b">
        <v>1</v>
      </c>
      <c r="R65" s="65" t="s">
        <v>1753</v>
      </c>
      <c r="S65" s="65" t="s">
        <v>1754</v>
      </c>
      <c r="T65" s="239" t="s">
        <v>1843</v>
      </c>
      <c r="U65" s="47" t="s">
        <v>1161</v>
      </c>
      <c r="V65" s="70" t="s">
        <v>1161</v>
      </c>
      <c r="W65" s="440"/>
      <c r="X65" s="441" t="s">
        <v>3314</v>
      </c>
      <c r="Y65" s="60" t="s">
        <v>3337</v>
      </c>
    </row>
    <row r="66" ht="22.5" customHeight="1">
      <c r="A66" s="239" t="s">
        <v>1445</v>
      </c>
      <c r="B66" s="75" t="s">
        <v>2884</v>
      </c>
      <c r="C66" s="75" t="s">
        <v>3389</v>
      </c>
      <c r="D66" s="65" t="s">
        <v>1758</v>
      </c>
      <c r="E66" s="65" t="s">
        <v>1759</v>
      </c>
      <c r="F66" s="65" t="s">
        <v>1760</v>
      </c>
      <c r="G66" s="65" t="s">
        <v>278</v>
      </c>
      <c r="H66" s="65" t="s">
        <v>1761</v>
      </c>
      <c r="I66" s="65" t="s">
        <v>1762</v>
      </c>
      <c r="J66" s="65" t="s">
        <v>3390</v>
      </c>
      <c r="K66" s="65" t="s">
        <v>1091</v>
      </c>
      <c r="L66" s="65" t="s">
        <v>1093</v>
      </c>
      <c r="M66" s="70" t="s">
        <v>1098</v>
      </c>
      <c r="N66" s="70" t="s">
        <v>1108</v>
      </c>
      <c r="O66" s="75" t="s">
        <v>2018</v>
      </c>
      <c r="P66" s="239" t="s">
        <v>1401</v>
      </c>
      <c r="Q66" s="71" t="b">
        <v>1</v>
      </c>
      <c r="R66" s="65" t="s">
        <v>1763</v>
      </c>
      <c r="S66" s="65" t="s">
        <v>1764</v>
      </c>
      <c r="T66" s="239" t="s">
        <v>1961</v>
      </c>
      <c r="U66" s="47" t="s">
        <v>1161</v>
      </c>
      <c r="V66" s="70" t="s">
        <v>1161</v>
      </c>
      <c r="W66" s="440"/>
      <c r="X66" s="441" t="s">
        <v>3314</v>
      </c>
      <c r="Y66" s="60"/>
    </row>
    <row r="67" ht="22.5" customHeight="1">
      <c r="A67" s="239" t="s">
        <v>1445</v>
      </c>
      <c r="B67" s="75" t="s">
        <v>219</v>
      </c>
      <c r="C67" s="75" t="s">
        <v>3391</v>
      </c>
      <c r="D67" s="75" t="s">
        <v>1766</v>
      </c>
      <c r="E67" s="65" t="s">
        <v>1767</v>
      </c>
      <c r="F67" s="65" t="s">
        <v>1768</v>
      </c>
      <c r="G67" s="65" t="s">
        <v>2140</v>
      </c>
      <c r="H67" s="65" t="s">
        <v>1769</v>
      </c>
      <c r="I67" s="65" t="s">
        <v>1770</v>
      </c>
      <c r="J67" s="65" t="s">
        <v>1771</v>
      </c>
      <c r="K67" s="65" t="s">
        <v>1091</v>
      </c>
      <c r="L67" s="65" t="s">
        <v>1093</v>
      </c>
      <c r="M67" s="70" t="s">
        <v>1098</v>
      </c>
      <c r="N67" s="70" t="s">
        <v>1108</v>
      </c>
      <c r="O67" s="75" t="s">
        <v>2018</v>
      </c>
      <c r="P67" s="469" t="s">
        <v>1161</v>
      </c>
      <c r="Q67" s="71" t="b">
        <v>1</v>
      </c>
      <c r="R67" s="65" t="s">
        <v>1773</v>
      </c>
      <c r="S67" s="514" t="s">
        <v>3392</v>
      </c>
      <c r="T67" s="239" t="s">
        <v>1843</v>
      </c>
      <c r="U67" s="47" t="s">
        <v>1161</v>
      </c>
      <c r="V67" s="70" t="s">
        <v>1161</v>
      </c>
      <c r="W67" s="440"/>
      <c r="X67" s="441" t="s">
        <v>3314</v>
      </c>
      <c r="Y67" s="60"/>
    </row>
    <row r="68" ht="22.5" customHeight="1">
      <c r="A68" s="70" t="s">
        <v>1000</v>
      </c>
      <c r="B68" s="75" t="s">
        <v>1311</v>
      </c>
      <c r="C68" s="75" t="s">
        <v>3393</v>
      </c>
      <c r="D68" s="65" t="s">
        <v>1465</v>
      </c>
      <c r="E68" s="65" t="s">
        <v>1776</v>
      </c>
      <c r="F68" s="65" t="s">
        <v>1777</v>
      </c>
      <c r="G68" s="65" t="s">
        <v>70</v>
      </c>
      <c r="H68" s="65" t="s">
        <v>1778</v>
      </c>
      <c r="I68" s="65" t="s">
        <v>1779</v>
      </c>
      <c r="J68" s="65" t="s">
        <v>1467</v>
      </c>
      <c r="K68" s="65" t="s">
        <v>1780</v>
      </c>
      <c r="L68" s="65" t="s">
        <v>3394</v>
      </c>
      <c r="M68" s="70" t="s">
        <v>1098</v>
      </c>
      <c r="N68" s="70" t="s">
        <v>1108</v>
      </c>
      <c r="O68" s="75" t="s">
        <v>1161</v>
      </c>
      <c r="P68" s="239" t="s">
        <v>1401</v>
      </c>
      <c r="Q68" s="71" t="b">
        <v>1</v>
      </c>
      <c r="R68" s="65" t="s">
        <v>1781</v>
      </c>
      <c r="S68" s="75" t="s">
        <v>3395</v>
      </c>
      <c r="T68" s="239" t="s">
        <v>1843</v>
      </c>
      <c r="U68" s="47" t="s">
        <v>3319</v>
      </c>
      <c r="V68" s="70" t="s">
        <v>1161</v>
      </c>
      <c r="W68" s="441"/>
      <c r="X68" s="511"/>
      <c r="Y68" s="515"/>
    </row>
    <row r="69" ht="22.5" customHeight="1">
      <c r="A69" s="239" t="s">
        <v>1445</v>
      </c>
      <c r="B69" s="75" t="s">
        <v>1212</v>
      </c>
      <c r="C69" s="75" t="s">
        <v>3396</v>
      </c>
      <c r="D69" s="65" t="s">
        <v>1784</v>
      </c>
      <c r="E69" s="65" t="s">
        <v>1785</v>
      </c>
      <c r="F69" s="65" t="s">
        <v>1786</v>
      </c>
      <c r="G69" s="65" t="s">
        <v>70</v>
      </c>
      <c r="H69" s="65" t="s">
        <v>1787</v>
      </c>
      <c r="I69" s="65" t="s">
        <v>1788</v>
      </c>
      <c r="J69" s="65" t="s">
        <v>1789</v>
      </c>
      <c r="K69" s="65" t="s">
        <v>1091</v>
      </c>
      <c r="L69" s="65" t="s">
        <v>1093</v>
      </c>
      <c r="M69" s="70" t="s">
        <v>1098</v>
      </c>
      <c r="N69" s="70" t="s">
        <v>1108</v>
      </c>
      <c r="O69" s="75" t="s">
        <v>2018</v>
      </c>
      <c r="P69" s="239" t="s">
        <v>1161</v>
      </c>
      <c r="Q69" s="71" t="b">
        <v>1</v>
      </c>
      <c r="R69" s="65" t="s">
        <v>1790</v>
      </c>
      <c r="S69" s="65" t="s">
        <v>3397</v>
      </c>
      <c r="T69" s="239" t="s">
        <v>1843</v>
      </c>
      <c r="U69" s="47" t="s">
        <v>1161</v>
      </c>
      <c r="V69" s="70" t="s">
        <v>1161</v>
      </c>
      <c r="W69" s="440"/>
      <c r="X69" s="441" t="s">
        <v>3314</v>
      </c>
      <c r="Y69" s="60"/>
    </row>
    <row r="70" ht="22.5" customHeight="1">
      <c r="A70" s="239" t="s">
        <v>1445</v>
      </c>
      <c r="B70" s="75" t="s">
        <v>2884</v>
      </c>
      <c r="C70" s="75" t="s">
        <v>3398</v>
      </c>
      <c r="D70" s="75" t="s">
        <v>1793</v>
      </c>
      <c r="E70" s="65" t="s">
        <v>1794</v>
      </c>
      <c r="F70" s="65" t="s">
        <v>1795</v>
      </c>
      <c r="G70" s="65" t="s">
        <v>1016</v>
      </c>
      <c r="H70" s="65" t="s">
        <v>1796</v>
      </c>
      <c r="I70" s="65" t="s">
        <v>1797</v>
      </c>
      <c r="J70" s="65" t="s">
        <v>1798</v>
      </c>
      <c r="K70" s="65" t="s">
        <v>1091</v>
      </c>
      <c r="L70" s="65" t="s">
        <v>1093</v>
      </c>
      <c r="M70" s="70" t="s">
        <v>1098</v>
      </c>
      <c r="N70" s="70" t="s">
        <v>1108</v>
      </c>
      <c r="O70" s="75" t="s">
        <v>1161</v>
      </c>
      <c r="P70" s="239" t="s">
        <v>1401</v>
      </c>
      <c r="Q70" s="71" t="b">
        <v>1</v>
      </c>
      <c r="R70" s="65" t="s">
        <v>1799</v>
      </c>
      <c r="S70" s="75" t="s">
        <v>3399</v>
      </c>
      <c r="T70" s="239" t="s">
        <v>1843</v>
      </c>
      <c r="U70" s="47" t="s">
        <v>3371</v>
      </c>
      <c r="V70" s="70" t="s">
        <v>1161</v>
      </c>
      <c r="W70" s="511"/>
      <c r="X70" s="511"/>
      <c r="Y70" s="515"/>
    </row>
    <row r="71" ht="22.5" customHeight="1">
      <c r="A71" s="70" t="s">
        <v>1445</v>
      </c>
      <c r="B71" s="75" t="s">
        <v>1391</v>
      </c>
      <c r="C71" s="75" t="s">
        <v>3400</v>
      </c>
      <c r="D71" s="65" t="s">
        <v>1801</v>
      </c>
      <c r="E71" s="65" t="s">
        <v>1802</v>
      </c>
      <c r="F71" s="65" t="s">
        <v>3401</v>
      </c>
      <c r="G71" s="65" t="s">
        <v>1185</v>
      </c>
      <c r="H71" s="65" t="s">
        <v>3402</v>
      </c>
      <c r="I71" s="65" t="s">
        <v>1805</v>
      </c>
      <c r="J71" s="65" t="s">
        <v>3403</v>
      </c>
      <c r="K71" s="65" t="s">
        <v>1091</v>
      </c>
      <c r="L71" s="65" t="s">
        <v>1093</v>
      </c>
      <c r="M71" s="70" t="s">
        <v>1098</v>
      </c>
      <c r="N71" s="70" t="s">
        <v>1108</v>
      </c>
      <c r="O71" s="75" t="s">
        <v>1161</v>
      </c>
      <c r="P71" s="70" t="s">
        <v>1401</v>
      </c>
      <c r="Q71" s="71" t="b">
        <v>1</v>
      </c>
      <c r="R71" s="65" t="s">
        <v>1806</v>
      </c>
      <c r="S71" s="75" t="s">
        <v>3404</v>
      </c>
      <c r="T71" s="239" t="s">
        <v>1843</v>
      </c>
      <c r="U71" s="47" t="s">
        <v>3371</v>
      </c>
      <c r="V71" s="70" t="s">
        <v>1161</v>
      </c>
      <c r="W71" s="516"/>
      <c r="X71" s="511"/>
      <c r="Y71" s="515"/>
    </row>
    <row r="72" ht="22.5" customHeight="1">
      <c r="A72" s="239" t="s">
        <v>1000</v>
      </c>
      <c r="B72" s="75" t="s">
        <v>1391</v>
      </c>
      <c r="C72" s="352" t="s">
        <v>3405</v>
      </c>
      <c r="D72" s="75" t="s">
        <v>1810</v>
      </c>
      <c r="E72" s="65" t="s">
        <v>1811</v>
      </c>
      <c r="F72" s="65" t="s">
        <v>1812</v>
      </c>
      <c r="G72" s="65" t="s">
        <v>70</v>
      </c>
      <c r="H72" s="65" t="s">
        <v>1813</v>
      </c>
      <c r="I72" s="65" t="s">
        <v>1814</v>
      </c>
      <c r="J72" s="65" t="s">
        <v>1815</v>
      </c>
      <c r="K72" s="65" t="s">
        <v>1091</v>
      </c>
      <c r="L72" s="65" t="s">
        <v>1093</v>
      </c>
      <c r="M72" s="70" t="s">
        <v>1098</v>
      </c>
      <c r="N72" s="70" t="s">
        <v>1108</v>
      </c>
      <c r="O72" s="75" t="s">
        <v>2018</v>
      </c>
      <c r="P72" s="239" t="s">
        <v>1401</v>
      </c>
      <c r="Q72" s="71" t="b">
        <v>1</v>
      </c>
      <c r="R72" s="65" t="s">
        <v>1818</v>
      </c>
      <c r="S72" s="65" t="s">
        <v>3336</v>
      </c>
      <c r="T72" s="239" t="s">
        <v>1843</v>
      </c>
      <c r="U72" s="47" t="s">
        <v>3319</v>
      </c>
      <c r="V72" s="70" t="s">
        <v>1161</v>
      </c>
      <c r="W72" s="441"/>
      <c r="X72" s="511"/>
      <c r="Y72" s="515"/>
    </row>
    <row r="73" ht="22.5" customHeight="1">
      <c r="A73" s="239" t="s">
        <v>1445</v>
      </c>
      <c r="B73" s="75" t="s">
        <v>1212</v>
      </c>
      <c r="C73" s="75" t="s">
        <v>3406</v>
      </c>
      <c r="D73" s="65" t="s">
        <v>1822</v>
      </c>
      <c r="E73" s="65" t="s">
        <v>1823</v>
      </c>
      <c r="F73" s="65" t="s">
        <v>1824</v>
      </c>
      <c r="G73" s="65" t="s">
        <v>1826</v>
      </c>
      <c r="H73" s="65" t="s">
        <v>1827</v>
      </c>
      <c r="I73" s="65" t="s">
        <v>1828</v>
      </c>
      <c r="J73" s="65" t="s">
        <v>1829</v>
      </c>
      <c r="K73" s="65" t="s">
        <v>1091</v>
      </c>
      <c r="L73" s="65" t="s">
        <v>1093</v>
      </c>
      <c r="M73" s="70" t="s">
        <v>1098</v>
      </c>
      <c r="N73" s="70" t="s">
        <v>1108</v>
      </c>
      <c r="O73" s="75" t="s">
        <v>1161</v>
      </c>
      <c r="P73" s="70" t="s">
        <v>1161</v>
      </c>
      <c r="Q73" s="71" t="b">
        <v>1</v>
      </c>
      <c r="R73" s="75" t="s">
        <v>1830</v>
      </c>
      <c r="S73" s="75" t="s">
        <v>3407</v>
      </c>
      <c r="T73" s="239" t="s">
        <v>1843</v>
      </c>
      <c r="U73" s="47" t="s">
        <v>1161</v>
      </c>
      <c r="V73" s="239" t="s">
        <v>1161</v>
      </c>
      <c r="W73" s="440"/>
      <c r="X73" s="441" t="s">
        <v>3314</v>
      </c>
      <c r="Y73" s="60"/>
    </row>
    <row r="74" ht="17.25" customHeight="1">
      <c r="A74" s="239" t="s">
        <v>1445</v>
      </c>
      <c r="B74" s="75" t="s">
        <v>2884</v>
      </c>
      <c r="C74" s="75" t="s">
        <v>3408</v>
      </c>
      <c r="D74" s="65" t="s">
        <v>1835</v>
      </c>
      <c r="E74" s="65" t="s">
        <v>1836</v>
      </c>
      <c r="F74" s="65" t="s">
        <v>1837</v>
      </c>
      <c r="G74" s="65" t="s">
        <v>278</v>
      </c>
      <c r="H74" s="65" t="s">
        <v>1839</v>
      </c>
      <c r="I74" s="65" t="s">
        <v>1840</v>
      </c>
      <c r="J74" s="65" t="s">
        <v>3409</v>
      </c>
      <c r="K74" s="65" t="s">
        <v>1091</v>
      </c>
      <c r="L74" s="65" t="s">
        <v>1093</v>
      </c>
      <c r="M74" s="70" t="s">
        <v>1098</v>
      </c>
      <c r="N74" s="70" t="s">
        <v>1108</v>
      </c>
      <c r="O74" s="75" t="s">
        <v>2018</v>
      </c>
      <c r="P74" s="70" t="s">
        <v>1401</v>
      </c>
      <c r="Q74" s="71" t="b">
        <v>1</v>
      </c>
      <c r="R74" s="65" t="s">
        <v>1844</v>
      </c>
      <c r="S74" s="65" t="s">
        <v>3410</v>
      </c>
      <c r="T74" s="239" t="s">
        <v>1843</v>
      </c>
      <c r="U74" s="47" t="s">
        <v>3371</v>
      </c>
      <c r="V74" s="239" t="s">
        <v>1161</v>
      </c>
      <c r="W74" s="440"/>
      <c r="X74" s="441" t="s">
        <v>3314</v>
      </c>
      <c r="Y74" s="60"/>
    </row>
    <row r="75" ht="18.75" customHeight="1">
      <c r="A75" s="239" t="s">
        <v>1445</v>
      </c>
      <c r="B75" s="75" t="s">
        <v>1212</v>
      </c>
      <c r="C75" s="75" t="s">
        <v>3411</v>
      </c>
      <c r="D75" s="65" t="s">
        <v>1847</v>
      </c>
      <c r="E75" s="65" t="s">
        <v>1848</v>
      </c>
      <c r="F75" s="65" t="s">
        <v>1849</v>
      </c>
      <c r="G75" s="65" t="s">
        <v>28</v>
      </c>
      <c r="H75" s="65" t="s">
        <v>1850</v>
      </c>
      <c r="I75" s="65" t="s">
        <v>1851</v>
      </c>
      <c r="J75" s="65" t="s">
        <v>1852</v>
      </c>
      <c r="K75" s="65" t="s">
        <v>1091</v>
      </c>
      <c r="L75" s="65" t="s">
        <v>1093</v>
      </c>
      <c r="M75" s="70" t="s">
        <v>1098</v>
      </c>
      <c r="N75" s="70" t="s">
        <v>1108</v>
      </c>
      <c r="O75" s="75" t="s">
        <v>1161</v>
      </c>
      <c r="P75" s="70" t="s">
        <v>1161</v>
      </c>
      <c r="Q75" s="71" t="b">
        <v>1</v>
      </c>
      <c r="R75" s="437" t="s">
        <v>1853</v>
      </c>
      <c r="S75" s="65" t="s">
        <v>1854</v>
      </c>
      <c r="T75" s="239" t="s">
        <v>1843</v>
      </c>
      <c r="U75" s="47" t="s">
        <v>1161</v>
      </c>
      <c r="V75" s="239" t="s">
        <v>1161</v>
      </c>
      <c r="W75" s="440"/>
      <c r="X75" s="441" t="s">
        <v>3314</v>
      </c>
      <c r="Y75" s="60"/>
    </row>
    <row r="76" ht="22.5" customHeight="1">
      <c r="A76" s="239" t="s">
        <v>1435</v>
      </c>
      <c r="B76" s="75" t="s">
        <v>1475</v>
      </c>
      <c r="C76" s="75" t="s">
        <v>3412</v>
      </c>
      <c r="D76" s="75" t="s">
        <v>1856</v>
      </c>
      <c r="E76" s="65" t="s">
        <v>1857</v>
      </c>
      <c r="F76" s="65" t="s">
        <v>1858</v>
      </c>
      <c r="G76" s="65" t="s">
        <v>1016</v>
      </c>
      <c r="H76" s="65" t="s">
        <v>1859</v>
      </c>
      <c r="I76" s="65" t="s">
        <v>1860</v>
      </c>
      <c r="J76" s="65" t="s">
        <v>1861</v>
      </c>
      <c r="K76" s="65" t="s">
        <v>1091</v>
      </c>
      <c r="L76" s="65" t="s">
        <v>1093</v>
      </c>
      <c r="M76" s="70" t="s">
        <v>1098</v>
      </c>
      <c r="N76" s="70" t="s">
        <v>1108</v>
      </c>
      <c r="O76" s="75" t="s">
        <v>2018</v>
      </c>
      <c r="P76" s="239" t="s">
        <v>1401</v>
      </c>
      <c r="Q76" s="71" t="b">
        <v>1</v>
      </c>
      <c r="R76" s="65" t="s">
        <v>1862</v>
      </c>
      <c r="S76" s="461" t="s">
        <v>3364</v>
      </c>
      <c r="T76" s="239" t="s">
        <v>1843</v>
      </c>
      <c r="U76" s="47" t="s">
        <v>3319</v>
      </c>
      <c r="V76" s="239" t="s">
        <v>1161</v>
      </c>
      <c r="W76" s="441" t="s">
        <v>3413</v>
      </c>
      <c r="X76" s="457"/>
      <c r="Y76" s="517"/>
    </row>
    <row r="77" ht="22.5" customHeight="1">
      <c r="A77" s="239" t="s">
        <v>1435</v>
      </c>
      <c r="B77" s="75" t="s">
        <v>1391</v>
      </c>
      <c r="C77" s="468" t="s">
        <v>3414</v>
      </c>
      <c r="D77" s="75" t="s">
        <v>1864</v>
      </c>
      <c r="E77" s="65" t="s">
        <v>1865</v>
      </c>
      <c r="F77" s="65" t="s">
        <v>1866</v>
      </c>
      <c r="G77" s="65" t="s">
        <v>70</v>
      </c>
      <c r="H77" s="65" t="s">
        <v>3415</v>
      </c>
      <c r="I77" s="65" t="s">
        <v>1868</v>
      </c>
      <c r="J77" s="65" t="s">
        <v>1869</v>
      </c>
      <c r="K77" s="65" t="s">
        <v>1091</v>
      </c>
      <c r="L77" s="65" t="s">
        <v>1093</v>
      </c>
      <c r="M77" s="70" t="s">
        <v>1098</v>
      </c>
      <c r="N77" s="70" t="s">
        <v>1108</v>
      </c>
      <c r="O77" s="75" t="s">
        <v>1161</v>
      </c>
      <c r="P77" s="239" t="s">
        <v>1401</v>
      </c>
      <c r="Q77" s="71" t="b">
        <v>1</v>
      </c>
      <c r="R77" s="65" t="s">
        <v>1870</v>
      </c>
      <c r="S77" s="75" t="s">
        <v>3416</v>
      </c>
      <c r="T77" s="239" t="s">
        <v>1843</v>
      </c>
      <c r="U77" s="47" t="s">
        <v>3319</v>
      </c>
      <c r="V77" s="239" t="s">
        <v>1161</v>
      </c>
      <c r="W77" s="462" t="s">
        <v>3413</v>
      </c>
      <c r="X77" s="457"/>
      <c r="Y77" s="517"/>
    </row>
    <row r="78" ht="22.5" customHeight="1">
      <c r="A78" s="70" t="s">
        <v>1445</v>
      </c>
      <c r="B78" s="75" t="s">
        <v>1311</v>
      </c>
      <c r="C78" s="75" t="s">
        <v>3417</v>
      </c>
      <c r="D78" s="75" t="s">
        <v>1873</v>
      </c>
      <c r="E78" s="75" t="s">
        <v>1874</v>
      </c>
      <c r="F78" s="75" t="s">
        <v>1875</v>
      </c>
      <c r="G78" s="75" t="s">
        <v>695</v>
      </c>
      <c r="H78" s="75" t="s">
        <v>1877</v>
      </c>
      <c r="I78" s="75" t="s">
        <v>1878</v>
      </c>
      <c r="J78" s="75" t="s">
        <v>1879</v>
      </c>
      <c r="K78" s="75" t="s">
        <v>1091</v>
      </c>
      <c r="L78" s="75" t="s">
        <v>1093</v>
      </c>
      <c r="M78" s="70" t="s">
        <v>3324</v>
      </c>
      <c r="N78" s="70" t="s">
        <v>1108</v>
      </c>
      <c r="O78" s="75" t="s">
        <v>2018</v>
      </c>
      <c r="P78" s="70" t="s">
        <v>1161</v>
      </c>
      <c r="Q78" s="71" t="b">
        <v>1</v>
      </c>
      <c r="R78" s="75" t="s">
        <v>1880</v>
      </c>
      <c r="S78" s="75" t="s">
        <v>3418</v>
      </c>
      <c r="T78" s="239" t="s">
        <v>1843</v>
      </c>
      <c r="U78" s="47" t="s">
        <v>1161</v>
      </c>
      <c r="V78" s="239" t="s">
        <v>1161</v>
      </c>
      <c r="W78" s="440"/>
      <c r="X78" s="441" t="s">
        <v>3314</v>
      </c>
      <c r="Y78" s="60"/>
    </row>
    <row r="79" ht="22.5" customHeight="1">
      <c r="A79" s="239" t="s">
        <v>1445</v>
      </c>
      <c r="B79" s="75" t="s">
        <v>1475</v>
      </c>
      <c r="C79" s="75" t="s">
        <v>3419</v>
      </c>
      <c r="D79" s="65" t="s">
        <v>1883</v>
      </c>
      <c r="E79" s="65" t="s">
        <v>1884</v>
      </c>
      <c r="F79" s="65" t="s">
        <v>1885</v>
      </c>
      <c r="G79" s="65" t="s">
        <v>2677</v>
      </c>
      <c r="H79" s="65" t="s">
        <v>1887</v>
      </c>
      <c r="I79" s="65" t="s">
        <v>1888</v>
      </c>
      <c r="J79" s="65" t="s">
        <v>1889</v>
      </c>
      <c r="K79" s="65" t="s">
        <v>1091</v>
      </c>
      <c r="L79" s="65" t="s">
        <v>1093</v>
      </c>
      <c r="M79" s="70" t="s">
        <v>1098</v>
      </c>
      <c r="N79" s="70" t="s">
        <v>1108</v>
      </c>
      <c r="O79" s="75" t="s">
        <v>1161</v>
      </c>
      <c r="P79" s="239" t="s">
        <v>1401</v>
      </c>
      <c r="Q79" s="71" t="b">
        <v>1</v>
      </c>
      <c r="R79" s="65" t="s">
        <v>1890</v>
      </c>
      <c r="S79" s="65" t="s">
        <v>3420</v>
      </c>
      <c r="T79" s="239" t="s">
        <v>1843</v>
      </c>
      <c r="U79" s="47" t="s">
        <v>3371</v>
      </c>
      <c r="V79" s="239" t="s">
        <v>1161</v>
      </c>
      <c r="W79" s="457"/>
      <c r="X79" s="457"/>
      <c r="Y79" s="517"/>
    </row>
    <row r="80" ht="22.5" customHeight="1">
      <c r="A80" s="239" t="s">
        <v>1445</v>
      </c>
      <c r="B80" s="75" t="s">
        <v>1212</v>
      </c>
      <c r="C80" s="75" t="s">
        <v>3421</v>
      </c>
      <c r="D80" s="75" t="s">
        <v>1893</v>
      </c>
      <c r="E80" s="65" t="s">
        <v>1894</v>
      </c>
      <c r="F80" s="65" t="s">
        <v>1895</v>
      </c>
      <c r="G80" s="65" t="s">
        <v>123</v>
      </c>
      <c r="H80" s="65" t="s">
        <v>1896</v>
      </c>
      <c r="I80" s="65" t="s">
        <v>1897</v>
      </c>
      <c r="J80" s="75" t="s">
        <v>1898</v>
      </c>
      <c r="K80" s="65" t="s">
        <v>1091</v>
      </c>
      <c r="L80" s="65" t="s">
        <v>1093</v>
      </c>
      <c r="M80" s="70" t="s">
        <v>1098</v>
      </c>
      <c r="N80" s="70" t="s">
        <v>1108</v>
      </c>
      <c r="O80" s="75" t="s">
        <v>1161</v>
      </c>
      <c r="P80" s="239" t="s">
        <v>1161</v>
      </c>
      <c r="Q80" s="71" t="b">
        <v>1</v>
      </c>
      <c r="R80" s="65" t="s">
        <v>3422</v>
      </c>
      <c r="S80" s="65" t="s">
        <v>3423</v>
      </c>
      <c r="T80" s="239" t="s">
        <v>1843</v>
      </c>
      <c r="U80" s="47" t="s">
        <v>3371</v>
      </c>
      <c r="V80" s="239" t="s">
        <v>1161</v>
      </c>
      <c r="W80" s="457"/>
      <c r="X80" s="457"/>
      <c r="Y80" s="517"/>
    </row>
    <row r="81" ht="22.5" customHeight="1">
      <c r="A81" s="239" t="s">
        <v>1445</v>
      </c>
      <c r="B81" s="75" t="s">
        <v>1475</v>
      </c>
      <c r="C81" s="75" t="s">
        <v>3424</v>
      </c>
      <c r="D81" s="65" t="s">
        <v>1906</v>
      </c>
      <c r="E81" s="65" t="s">
        <v>1907</v>
      </c>
      <c r="F81" s="65" t="s">
        <v>1908</v>
      </c>
      <c r="G81" s="75" t="s">
        <v>695</v>
      </c>
      <c r="H81" s="65" t="s">
        <v>1909</v>
      </c>
      <c r="I81" s="65" t="s">
        <v>1910</v>
      </c>
      <c r="J81" s="65" t="s">
        <v>1911</v>
      </c>
      <c r="K81" s="65" t="s">
        <v>1091</v>
      </c>
      <c r="L81" s="65" t="s">
        <v>1093</v>
      </c>
      <c r="M81" s="70" t="s">
        <v>1098</v>
      </c>
      <c r="N81" s="70" t="s">
        <v>1108</v>
      </c>
      <c r="O81" s="75" t="s">
        <v>1161</v>
      </c>
      <c r="P81" s="239" t="s">
        <v>1161</v>
      </c>
      <c r="Q81" s="71" t="b">
        <v>1</v>
      </c>
      <c r="R81" s="95" t="s">
        <v>1912</v>
      </c>
      <c r="S81" s="65" t="s">
        <v>1913</v>
      </c>
      <c r="T81" s="239" t="s">
        <v>1843</v>
      </c>
      <c r="U81" s="47" t="s">
        <v>1161</v>
      </c>
      <c r="V81" s="239" t="s">
        <v>1161</v>
      </c>
      <c r="W81" s="440"/>
      <c r="X81" s="441" t="s">
        <v>3314</v>
      </c>
      <c r="Y81" s="60"/>
    </row>
    <row r="82" ht="22.5" customHeight="1">
      <c r="A82" s="239" t="s">
        <v>1000</v>
      </c>
      <c r="B82" s="75" t="s">
        <v>1212</v>
      </c>
      <c r="C82" s="75" t="s">
        <v>3425</v>
      </c>
      <c r="D82" s="75" t="s">
        <v>1915</v>
      </c>
      <c r="E82" s="65" t="s">
        <v>1916</v>
      </c>
      <c r="F82" s="65" t="s">
        <v>1917</v>
      </c>
      <c r="G82" s="65" t="s">
        <v>1016</v>
      </c>
      <c r="H82" s="65" t="s">
        <v>1919</v>
      </c>
      <c r="I82" s="65" t="s">
        <v>1920</v>
      </c>
      <c r="J82" s="65" t="s">
        <v>1921</v>
      </c>
      <c r="K82" s="65" t="s">
        <v>1091</v>
      </c>
      <c r="L82" s="65" t="s">
        <v>1093</v>
      </c>
      <c r="M82" s="70" t="s">
        <v>1098</v>
      </c>
      <c r="N82" s="70" t="s">
        <v>1108</v>
      </c>
      <c r="O82" s="75" t="s">
        <v>2018</v>
      </c>
      <c r="P82" s="70" t="s">
        <v>1401</v>
      </c>
      <c r="Q82" s="71" t="b">
        <v>0</v>
      </c>
      <c r="R82" s="65" t="s">
        <v>1922</v>
      </c>
      <c r="S82" s="65" t="s">
        <v>3336</v>
      </c>
      <c r="T82" s="239" t="s">
        <v>1961</v>
      </c>
      <c r="U82" s="47" t="s">
        <v>3319</v>
      </c>
      <c r="V82" s="239" t="s">
        <v>1161</v>
      </c>
      <c r="W82" s="441"/>
      <c r="X82" s="457"/>
      <c r="Y82" s="517"/>
    </row>
    <row r="83" ht="22.5" customHeight="1">
      <c r="A83" s="239" t="s">
        <v>1445</v>
      </c>
      <c r="B83" s="65" t="s">
        <v>1926</v>
      </c>
      <c r="C83" s="75" t="s">
        <v>3426</v>
      </c>
      <c r="D83" s="65" t="s">
        <v>1927</v>
      </c>
      <c r="E83" s="65" t="s">
        <v>1928</v>
      </c>
      <c r="F83" s="65" t="s">
        <v>1929</v>
      </c>
      <c r="G83" s="65" t="s">
        <v>174</v>
      </c>
      <c r="H83" s="65" t="s">
        <v>1930</v>
      </c>
      <c r="I83" s="65" t="s">
        <v>1931</v>
      </c>
      <c r="J83" s="65" t="s">
        <v>3427</v>
      </c>
      <c r="K83" s="65" t="s">
        <v>1091</v>
      </c>
      <c r="L83" s="65" t="s">
        <v>1093</v>
      </c>
      <c r="M83" s="70" t="s">
        <v>1098</v>
      </c>
      <c r="N83" s="70" t="s">
        <v>1108</v>
      </c>
      <c r="O83" s="75" t="s">
        <v>2018</v>
      </c>
      <c r="P83" s="239" t="s">
        <v>1161</v>
      </c>
      <c r="Q83" s="71" t="b">
        <v>1</v>
      </c>
      <c r="R83" s="75" t="s">
        <v>1933</v>
      </c>
      <c r="S83" s="75" t="s">
        <v>3428</v>
      </c>
      <c r="T83" s="239" t="s">
        <v>1961</v>
      </c>
      <c r="U83" s="47" t="s">
        <v>3371</v>
      </c>
      <c r="V83" s="239" t="s">
        <v>1161</v>
      </c>
      <c r="W83" s="462"/>
      <c r="X83" s="457"/>
      <c r="Y83" s="517"/>
    </row>
    <row r="84" ht="22.5" customHeight="1">
      <c r="A84" s="70" t="s">
        <v>1445</v>
      </c>
      <c r="B84" s="75" t="s">
        <v>2884</v>
      </c>
      <c r="C84" s="75" t="s">
        <v>3429</v>
      </c>
      <c r="D84" s="65" t="s">
        <v>1936</v>
      </c>
      <c r="E84" s="65" t="s">
        <v>1937</v>
      </c>
      <c r="F84" s="65" t="s">
        <v>1938</v>
      </c>
      <c r="G84" s="65" t="s">
        <v>123</v>
      </c>
      <c r="H84" s="65" t="s">
        <v>3430</v>
      </c>
      <c r="I84" s="65" t="s">
        <v>1940</v>
      </c>
      <c r="J84" s="65" t="s">
        <v>1941</v>
      </c>
      <c r="K84" s="65" t="s">
        <v>1091</v>
      </c>
      <c r="L84" s="65" t="s">
        <v>1093</v>
      </c>
      <c r="M84" s="70" t="s">
        <v>1098</v>
      </c>
      <c r="N84" s="70" t="s">
        <v>1108</v>
      </c>
      <c r="O84" s="75" t="s">
        <v>1161</v>
      </c>
      <c r="P84" s="239" t="s">
        <v>1161</v>
      </c>
      <c r="Q84" s="71" t="b">
        <v>1</v>
      </c>
      <c r="R84" s="65" t="s">
        <v>3431</v>
      </c>
      <c r="S84" s="65" t="s">
        <v>3410</v>
      </c>
      <c r="T84" s="239" t="s">
        <v>1843</v>
      </c>
      <c r="U84" s="47" t="s">
        <v>1161</v>
      </c>
      <c r="V84" s="239" t="s">
        <v>1161</v>
      </c>
      <c r="W84" s="440"/>
      <c r="X84" s="441" t="s">
        <v>3314</v>
      </c>
      <c r="Y84" s="60"/>
    </row>
    <row r="85" ht="22.5" customHeight="1">
      <c r="A85" s="239" t="s">
        <v>1445</v>
      </c>
      <c r="B85" s="75" t="s">
        <v>1391</v>
      </c>
      <c r="C85" s="75" t="s">
        <v>3432</v>
      </c>
      <c r="D85" s="65" t="s">
        <v>1946</v>
      </c>
      <c r="E85" s="65" t="s">
        <v>1947</v>
      </c>
      <c r="F85" s="65" t="s">
        <v>1948</v>
      </c>
      <c r="G85" s="65" t="s">
        <v>620</v>
      </c>
      <c r="H85" s="65" t="s">
        <v>1949</v>
      </c>
      <c r="I85" s="65" t="s">
        <v>1950</v>
      </c>
      <c r="J85" s="65" t="s">
        <v>1951</v>
      </c>
      <c r="K85" s="65" t="s">
        <v>1091</v>
      </c>
      <c r="L85" s="65" t="s">
        <v>1093</v>
      </c>
      <c r="M85" s="70" t="s">
        <v>1098</v>
      </c>
      <c r="N85" s="70" t="s">
        <v>1108</v>
      </c>
      <c r="O85" s="75" t="s">
        <v>1161</v>
      </c>
      <c r="P85" s="239" t="s">
        <v>1161</v>
      </c>
      <c r="Q85" s="71" t="b">
        <v>1</v>
      </c>
      <c r="R85" s="65" t="s">
        <v>1952</v>
      </c>
      <c r="S85" s="75" t="s">
        <v>3433</v>
      </c>
      <c r="T85" s="239" t="s">
        <v>1843</v>
      </c>
      <c r="U85" s="47" t="s">
        <v>3371</v>
      </c>
      <c r="V85" s="239" t="s">
        <v>1161</v>
      </c>
      <c r="W85" s="457"/>
      <c r="X85" s="457"/>
      <c r="Y85" s="517"/>
    </row>
    <row r="86" ht="22.5" customHeight="1">
      <c r="A86" s="239" t="s">
        <v>1445</v>
      </c>
      <c r="B86" s="75" t="s">
        <v>1475</v>
      </c>
      <c r="C86" s="75" t="s">
        <v>3434</v>
      </c>
      <c r="D86" s="65" t="s">
        <v>1956</v>
      </c>
      <c r="E86" s="65" t="s">
        <v>1957</v>
      </c>
      <c r="F86" s="65" t="s">
        <v>3435</v>
      </c>
      <c r="G86" s="65" t="s">
        <v>278</v>
      </c>
      <c r="H86" s="65" t="s">
        <v>1959</v>
      </c>
      <c r="I86" s="65" t="s">
        <v>1960</v>
      </c>
      <c r="J86" s="65" t="s">
        <v>1960</v>
      </c>
      <c r="K86" s="65" t="s">
        <v>1091</v>
      </c>
      <c r="L86" s="65" t="s">
        <v>1093</v>
      </c>
      <c r="M86" s="70" t="s">
        <v>1098</v>
      </c>
      <c r="N86" s="70" t="s">
        <v>1108</v>
      </c>
      <c r="O86" s="75" t="s">
        <v>1161</v>
      </c>
      <c r="P86" s="70" t="s">
        <v>1161</v>
      </c>
      <c r="Q86" s="71" t="b">
        <v>1</v>
      </c>
      <c r="R86" s="65" t="s">
        <v>1963</v>
      </c>
      <c r="S86" s="75" t="s">
        <v>3436</v>
      </c>
      <c r="T86" s="239" t="s">
        <v>1843</v>
      </c>
      <c r="U86" s="47" t="s">
        <v>3371</v>
      </c>
      <c r="V86" s="239" t="s">
        <v>1161</v>
      </c>
      <c r="W86" s="440"/>
      <c r="X86" s="441" t="s">
        <v>3314</v>
      </c>
      <c r="Y86" s="60"/>
    </row>
    <row r="87" ht="22.5" customHeight="1">
      <c r="A87" s="239" t="s">
        <v>1445</v>
      </c>
      <c r="B87" s="75" t="s">
        <v>1212</v>
      </c>
      <c r="C87" s="75" t="s">
        <v>3437</v>
      </c>
      <c r="D87" s="75" t="s">
        <v>1973</v>
      </c>
      <c r="E87" s="518" t="s">
        <v>1974</v>
      </c>
      <c r="F87" s="65" t="s">
        <v>1975</v>
      </c>
      <c r="G87" s="65" t="s">
        <v>695</v>
      </c>
      <c r="H87" s="65" t="s">
        <v>1977</v>
      </c>
      <c r="I87" s="65" t="s">
        <v>1978</v>
      </c>
      <c r="J87" s="65" t="s">
        <v>1980</v>
      </c>
      <c r="K87" s="65" t="s">
        <v>1338</v>
      </c>
      <c r="L87" s="65" t="s">
        <v>3438</v>
      </c>
      <c r="M87" s="70" t="s">
        <v>1628</v>
      </c>
      <c r="N87" s="70" t="s">
        <v>1628</v>
      </c>
      <c r="O87" s="75" t="s">
        <v>1746</v>
      </c>
      <c r="P87" s="70" t="s">
        <v>1161</v>
      </c>
      <c r="Q87" s="71" t="b">
        <v>1</v>
      </c>
      <c r="R87" s="75" t="s">
        <v>3439</v>
      </c>
      <c r="S87" s="75" t="s">
        <v>3440</v>
      </c>
      <c r="T87" s="239" t="s">
        <v>1843</v>
      </c>
      <c r="U87" s="47" t="s">
        <v>3371</v>
      </c>
      <c r="V87" s="239"/>
      <c r="W87" s="440"/>
      <c r="X87" s="441" t="s">
        <v>3314</v>
      </c>
      <c r="Y87" s="60"/>
    </row>
    <row r="88" ht="22.5" customHeight="1">
      <c r="A88" s="70" t="s">
        <v>1445</v>
      </c>
      <c r="B88" s="75" t="s">
        <v>1212</v>
      </c>
      <c r="C88" s="75" t="s">
        <v>3441</v>
      </c>
      <c r="D88" s="75" t="s">
        <v>1973</v>
      </c>
      <c r="E88" s="518" t="s">
        <v>1974</v>
      </c>
      <c r="F88" s="65" t="s">
        <v>1975</v>
      </c>
      <c r="G88" s="65" t="s">
        <v>695</v>
      </c>
      <c r="H88" s="65" t="s">
        <v>3442</v>
      </c>
      <c r="I88" s="65" t="s">
        <v>1978</v>
      </c>
      <c r="J88" s="65" t="s">
        <v>1985</v>
      </c>
      <c r="K88" s="65" t="s">
        <v>1091</v>
      </c>
      <c r="L88" s="65" t="s">
        <v>1093</v>
      </c>
      <c r="M88" s="70" t="s">
        <v>3324</v>
      </c>
      <c r="N88" s="70" t="s">
        <v>1108</v>
      </c>
      <c r="O88" s="75" t="s">
        <v>1746</v>
      </c>
      <c r="P88" s="70" t="s">
        <v>2019</v>
      </c>
      <c r="Q88" s="71" t="b">
        <v>1</v>
      </c>
      <c r="R88" s="75" t="s">
        <v>3439</v>
      </c>
      <c r="S88" s="75" t="s">
        <v>3440</v>
      </c>
      <c r="T88" s="239" t="s">
        <v>1843</v>
      </c>
      <c r="U88" s="47" t="s">
        <v>3371</v>
      </c>
      <c r="V88" s="239"/>
      <c r="W88" s="440"/>
      <c r="X88" s="441" t="s">
        <v>3314</v>
      </c>
      <c r="Y88" s="60"/>
    </row>
    <row r="89" ht="22.5" customHeight="1">
      <c r="A89" s="239" t="s">
        <v>1000</v>
      </c>
      <c r="B89" s="75" t="s">
        <v>2884</v>
      </c>
      <c r="C89" s="75" t="s">
        <v>3443</v>
      </c>
      <c r="D89" s="75" t="s">
        <v>1988</v>
      </c>
      <c r="E89" s="65" t="s">
        <v>1989</v>
      </c>
      <c r="F89" s="65" t="s">
        <v>1990</v>
      </c>
      <c r="G89" s="65" t="s">
        <v>1991</v>
      </c>
      <c r="H89" s="65" t="s">
        <v>1992</v>
      </c>
      <c r="I89" s="65" t="s">
        <v>1993</v>
      </c>
      <c r="J89" s="65" t="s">
        <v>1994</v>
      </c>
      <c r="K89" s="65" t="s">
        <v>1091</v>
      </c>
      <c r="L89" s="65" t="s">
        <v>3444</v>
      </c>
      <c r="M89" s="70" t="s">
        <v>1098</v>
      </c>
      <c r="N89" s="70" t="s">
        <v>1108</v>
      </c>
      <c r="O89" s="75" t="s">
        <v>1161</v>
      </c>
      <c r="P89" s="70" t="s">
        <v>1161</v>
      </c>
      <c r="Q89" s="71" t="b">
        <v>1</v>
      </c>
      <c r="R89" s="65" t="s">
        <v>1995</v>
      </c>
      <c r="S89" s="65" t="s">
        <v>3336</v>
      </c>
      <c r="T89" s="239" t="s">
        <v>1843</v>
      </c>
      <c r="U89" s="47" t="s">
        <v>3319</v>
      </c>
      <c r="V89" s="239" t="s">
        <v>1161</v>
      </c>
      <c r="W89" s="441"/>
      <c r="X89" s="457"/>
      <c r="Y89" s="517"/>
    </row>
    <row r="90" ht="22.5" customHeight="1">
      <c r="A90" s="239" t="s">
        <v>1445</v>
      </c>
      <c r="B90" s="75" t="s">
        <v>1391</v>
      </c>
      <c r="C90" s="75" t="s">
        <v>3445</v>
      </c>
      <c r="D90" s="65" t="s">
        <v>1999</v>
      </c>
      <c r="E90" s="65" t="s">
        <v>2000</v>
      </c>
      <c r="F90" s="65" t="s">
        <v>3446</v>
      </c>
      <c r="G90" s="65" t="s">
        <v>695</v>
      </c>
      <c r="H90" s="65" t="s">
        <v>2002</v>
      </c>
      <c r="I90" s="65" t="s">
        <v>2003</v>
      </c>
      <c r="J90" s="65" t="s">
        <v>2004</v>
      </c>
      <c r="K90" s="65" t="s">
        <v>1566</v>
      </c>
      <c r="L90" s="65" t="s">
        <v>3447</v>
      </c>
      <c r="M90" s="70" t="s">
        <v>1098</v>
      </c>
      <c r="N90" s="70" t="s">
        <v>1108</v>
      </c>
      <c r="O90" s="75" t="s">
        <v>2018</v>
      </c>
      <c r="P90" s="70" t="s">
        <v>1401</v>
      </c>
      <c r="Q90" s="71" t="b">
        <v>1</v>
      </c>
      <c r="R90" s="75" t="s">
        <v>3448</v>
      </c>
      <c r="S90" s="75" t="s">
        <v>3436</v>
      </c>
      <c r="T90" s="239" t="s">
        <v>1843</v>
      </c>
      <c r="U90" s="67" t="s">
        <v>3371</v>
      </c>
      <c r="V90" s="239" t="s">
        <v>1161</v>
      </c>
      <c r="W90" s="440"/>
      <c r="X90" s="441" t="s">
        <v>3314</v>
      </c>
      <c r="Y90" s="60"/>
    </row>
    <row r="91" ht="22.5" customHeight="1">
      <c r="A91" s="239" t="s">
        <v>1445</v>
      </c>
      <c r="B91" s="75" t="s">
        <v>1212</v>
      </c>
      <c r="C91" s="75" t="s">
        <v>3449</v>
      </c>
      <c r="D91" s="65" t="s">
        <v>2010</v>
      </c>
      <c r="E91" s="75" t="s">
        <v>2011</v>
      </c>
      <c r="F91" s="65" t="s">
        <v>2012</v>
      </c>
      <c r="G91" s="65" t="s">
        <v>695</v>
      </c>
      <c r="H91" s="65" t="s">
        <v>2013</v>
      </c>
      <c r="I91" s="65" t="s">
        <v>2014</v>
      </c>
      <c r="J91" s="65" t="s">
        <v>2015</v>
      </c>
      <c r="K91" s="65" t="s">
        <v>1091</v>
      </c>
      <c r="L91" s="65" t="s">
        <v>1093</v>
      </c>
      <c r="M91" s="70" t="s">
        <v>3324</v>
      </c>
      <c r="N91" s="70" t="s">
        <v>1108</v>
      </c>
      <c r="O91" s="75" t="s">
        <v>1161</v>
      </c>
      <c r="P91" s="239" t="s">
        <v>1161</v>
      </c>
      <c r="Q91" s="71" t="b">
        <v>1</v>
      </c>
      <c r="R91" s="65" t="s">
        <v>1986</v>
      </c>
      <c r="S91" s="65" t="s">
        <v>2017</v>
      </c>
      <c r="T91" s="239" t="s">
        <v>1843</v>
      </c>
      <c r="U91" s="47" t="s">
        <v>1161</v>
      </c>
      <c r="V91" s="239" t="s">
        <v>1161</v>
      </c>
      <c r="W91" s="440"/>
      <c r="X91" s="441" t="s">
        <v>3314</v>
      </c>
      <c r="Y91" s="60"/>
    </row>
    <row r="92" ht="22.5" customHeight="1">
      <c r="A92" s="70" t="s">
        <v>1000</v>
      </c>
      <c r="B92" s="75" t="s">
        <v>1311</v>
      </c>
      <c r="C92" s="75" t="s">
        <v>3450</v>
      </c>
      <c r="D92" s="75" t="s">
        <v>2020</v>
      </c>
      <c r="E92" s="75" t="s">
        <v>2021</v>
      </c>
      <c r="F92" s="65" t="s">
        <v>2022</v>
      </c>
      <c r="G92" s="65" t="s">
        <v>2023</v>
      </c>
      <c r="H92" s="65" t="s">
        <v>2024</v>
      </c>
      <c r="I92" s="65" t="s">
        <v>2025</v>
      </c>
      <c r="J92" s="65" t="s">
        <v>2026</v>
      </c>
      <c r="K92" s="65" t="s">
        <v>1091</v>
      </c>
      <c r="L92" s="65" t="s">
        <v>1093</v>
      </c>
      <c r="M92" s="70" t="s">
        <v>1098</v>
      </c>
      <c r="N92" s="70" t="s">
        <v>1108</v>
      </c>
      <c r="O92" s="75" t="s">
        <v>1161</v>
      </c>
      <c r="P92" s="70" t="s">
        <v>1161</v>
      </c>
      <c r="Q92" s="71" t="b">
        <v>1</v>
      </c>
      <c r="R92" s="65" t="s">
        <v>2028</v>
      </c>
      <c r="S92" s="65" t="s">
        <v>3382</v>
      </c>
      <c r="T92" s="239" t="s">
        <v>1843</v>
      </c>
      <c r="U92" s="47" t="s">
        <v>3319</v>
      </c>
      <c r="V92" s="239" t="s">
        <v>1161</v>
      </c>
      <c r="W92" s="441"/>
      <c r="X92" s="457"/>
      <c r="Y92" s="517"/>
    </row>
    <row r="93" ht="22.5" customHeight="1">
      <c r="A93" s="70" t="s">
        <v>1445</v>
      </c>
      <c r="B93" s="75" t="s">
        <v>1391</v>
      </c>
      <c r="C93" s="75" t="s">
        <v>3451</v>
      </c>
      <c r="D93" s="65" t="s">
        <v>1473</v>
      </c>
      <c r="E93" s="75" t="s">
        <v>2032</v>
      </c>
      <c r="F93" s="65" t="s">
        <v>2033</v>
      </c>
      <c r="G93" s="65" t="s">
        <v>620</v>
      </c>
      <c r="H93" s="65" t="s">
        <v>2034</v>
      </c>
      <c r="I93" s="65" t="s">
        <v>2035</v>
      </c>
      <c r="J93" s="65" t="s">
        <v>1474</v>
      </c>
      <c r="K93" s="65" t="s">
        <v>1091</v>
      </c>
      <c r="L93" s="65" t="s">
        <v>1093</v>
      </c>
      <c r="M93" s="70" t="s">
        <v>1098</v>
      </c>
      <c r="N93" s="70" t="s">
        <v>1108</v>
      </c>
      <c r="O93" s="75" t="s">
        <v>1161</v>
      </c>
      <c r="P93" s="70" t="s">
        <v>1161</v>
      </c>
      <c r="Q93" s="71" t="b">
        <v>1</v>
      </c>
      <c r="R93" s="65" t="s">
        <v>2037</v>
      </c>
      <c r="S93" s="75" t="s">
        <v>3452</v>
      </c>
      <c r="T93" s="239" t="s">
        <v>1843</v>
      </c>
      <c r="U93" s="47" t="s">
        <v>3371</v>
      </c>
      <c r="V93" s="239" t="s">
        <v>1161</v>
      </c>
      <c r="W93" s="441" t="s">
        <v>3413</v>
      </c>
      <c r="X93" s="457"/>
      <c r="Y93" s="517"/>
    </row>
    <row r="94" ht="22.5" customHeight="1">
      <c r="A94" s="239" t="s">
        <v>1436</v>
      </c>
      <c r="B94" s="75" t="s">
        <v>3308</v>
      </c>
      <c r="C94" s="75" t="s">
        <v>3453</v>
      </c>
      <c r="D94" s="75" t="s">
        <v>2041</v>
      </c>
      <c r="E94" s="75" t="s">
        <v>2042</v>
      </c>
      <c r="F94" s="65" t="s">
        <v>2043</v>
      </c>
      <c r="G94" s="65" t="s">
        <v>2677</v>
      </c>
      <c r="H94" s="65" t="s">
        <v>2045</v>
      </c>
      <c r="I94" s="65" t="s">
        <v>2046</v>
      </c>
      <c r="J94" s="65" t="s">
        <v>2047</v>
      </c>
      <c r="K94" s="65" t="s">
        <v>1091</v>
      </c>
      <c r="L94" s="65" t="s">
        <v>1093</v>
      </c>
      <c r="M94" s="70" t="s">
        <v>1098</v>
      </c>
      <c r="N94" s="70" t="s">
        <v>1108</v>
      </c>
      <c r="O94" s="75" t="s">
        <v>1161</v>
      </c>
      <c r="P94" s="239" t="s">
        <v>1161</v>
      </c>
      <c r="Q94" s="71" t="b">
        <v>1</v>
      </c>
      <c r="R94" s="65" t="s">
        <v>2048</v>
      </c>
      <c r="S94" s="75" t="s">
        <v>3454</v>
      </c>
      <c r="T94" s="239" t="s">
        <v>1843</v>
      </c>
      <c r="U94" s="47" t="s">
        <v>3455</v>
      </c>
      <c r="V94" s="239" t="s">
        <v>1161</v>
      </c>
      <c r="W94" s="462" t="s">
        <v>3413</v>
      </c>
      <c r="X94" s="457"/>
      <c r="Y94" s="517"/>
    </row>
    <row r="95" ht="22.5" customHeight="1">
      <c r="A95" s="239" t="s">
        <v>1000</v>
      </c>
      <c r="B95" s="75" t="s">
        <v>2884</v>
      </c>
      <c r="C95" s="75" t="s">
        <v>3456</v>
      </c>
      <c r="D95" s="75" t="s">
        <v>2051</v>
      </c>
      <c r="E95" s="75" t="s">
        <v>2052</v>
      </c>
      <c r="F95" s="75" t="s">
        <v>2053</v>
      </c>
      <c r="G95" s="75" t="s">
        <v>1016</v>
      </c>
      <c r="H95" s="75" t="s">
        <v>2054</v>
      </c>
      <c r="I95" s="75" t="s">
        <v>2055</v>
      </c>
      <c r="J95" s="75" t="s">
        <v>2056</v>
      </c>
      <c r="K95" s="75" t="s">
        <v>1091</v>
      </c>
      <c r="L95" s="75" t="s">
        <v>1093</v>
      </c>
      <c r="M95" s="70" t="s">
        <v>1098</v>
      </c>
      <c r="N95" s="70" t="s">
        <v>1108</v>
      </c>
      <c r="O95" s="75" t="s">
        <v>1161</v>
      </c>
      <c r="P95" s="70" t="s">
        <v>1401</v>
      </c>
      <c r="Q95" s="71" t="b">
        <v>1</v>
      </c>
      <c r="R95" s="75" t="s">
        <v>2057</v>
      </c>
      <c r="S95" s="75" t="s">
        <v>3318</v>
      </c>
      <c r="T95" s="239" t="s">
        <v>1843</v>
      </c>
      <c r="U95" s="47" t="s">
        <v>3319</v>
      </c>
      <c r="V95" s="239" t="s">
        <v>1161</v>
      </c>
      <c r="W95" s="441" t="s">
        <v>3321</v>
      </c>
      <c r="X95" s="457"/>
      <c r="Y95" s="517"/>
    </row>
    <row r="96" ht="22.5" customHeight="1">
      <c r="A96" s="239" t="s">
        <v>1445</v>
      </c>
      <c r="B96" s="75" t="s">
        <v>2884</v>
      </c>
      <c r="C96" s="75" t="s">
        <v>3457</v>
      </c>
      <c r="D96" s="75" t="s">
        <v>2060</v>
      </c>
      <c r="E96" s="75" t="s">
        <v>2061</v>
      </c>
      <c r="F96" s="65" t="s">
        <v>2063</v>
      </c>
      <c r="G96" s="65" t="s">
        <v>75</v>
      </c>
      <c r="H96" s="65" t="s">
        <v>2064</v>
      </c>
      <c r="I96" s="65" t="s">
        <v>2065</v>
      </c>
      <c r="J96" s="65" t="s">
        <v>3458</v>
      </c>
      <c r="K96" s="65" t="s">
        <v>1091</v>
      </c>
      <c r="L96" s="65" t="s">
        <v>1093</v>
      </c>
      <c r="M96" s="70" t="s">
        <v>1098</v>
      </c>
      <c r="N96" s="70" t="s">
        <v>1108</v>
      </c>
      <c r="O96" s="75" t="s">
        <v>1161</v>
      </c>
      <c r="P96" s="70" t="s">
        <v>1401</v>
      </c>
      <c r="Q96" s="71" t="b">
        <v>1</v>
      </c>
      <c r="R96" s="65" t="s">
        <v>2066</v>
      </c>
      <c r="S96" s="461" t="s">
        <v>3459</v>
      </c>
      <c r="T96" s="239" t="s">
        <v>1843</v>
      </c>
      <c r="U96" s="47" t="s">
        <v>3371</v>
      </c>
      <c r="V96" s="239" t="s">
        <v>1161</v>
      </c>
      <c r="W96" s="441" t="s">
        <v>3342</v>
      </c>
      <c r="X96" s="457"/>
      <c r="Y96" s="517"/>
    </row>
    <row r="97" ht="22.5" customHeight="1">
      <c r="A97" s="519" t="s">
        <v>1435</v>
      </c>
      <c r="B97" s="75" t="s">
        <v>1475</v>
      </c>
      <c r="C97" s="75" t="s">
        <v>3460</v>
      </c>
      <c r="D97" s="65" t="s">
        <v>2068</v>
      </c>
      <c r="E97" s="75" t="s">
        <v>2069</v>
      </c>
      <c r="F97" s="65" t="s">
        <v>2070</v>
      </c>
      <c r="G97" s="65" t="s">
        <v>2071</v>
      </c>
      <c r="H97" s="65" t="s">
        <v>2072</v>
      </c>
      <c r="I97" s="65" t="s">
        <v>2073</v>
      </c>
      <c r="J97" s="65" t="s">
        <v>2074</v>
      </c>
      <c r="K97" s="65" t="s">
        <v>1091</v>
      </c>
      <c r="L97" s="65" t="s">
        <v>1093</v>
      </c>
      <c r="M97" s="70" t="s">
        <v>1098</v>
      </c>
      <c r="N97" s="70" t="s">
        <v>1108</v>
      </c>
      <c r="O97" s="75" t="s">
        <v>1161</v>
      </c>
      <c r="P97" s="70" t="s">
        <v>1161</v>
      </c>
      <c r="Q97" s="71" t="b">
        <v>1</v>
      </c>
      <c r="R97" s="65" t="s">
        <v>2075</v>
      </c>
      <c r="S97" s="75" t="s">
        <v>3461</v>
      </c>
      <c r="T97" s="239" t="s">
        <v>1843</v>
      </c>
      <c r="U97" s="520" t="s">
        <v>1161</v>
      </c>
      <c r="V97" s="239" t="s">
        <v>1161</v>
      </c>
      <c r="W97" s="462" t="s">
        <v>3321</v>
      </c>
      <c r="X97" s="457"/>
      <c r="Y97" s="517"/>
    </row>
    <row r="98" ht="22.5" customHeight="1">
      <c r="A98" s="239" t="s">
        <v>1445</v>
      </c>
      <c r="B98" s="75" t="s">
        <v>1475</v>
      </c>
      <c r="C98" s="65" t="s">
        <v>3462</v>
      </c>
      <c r="D98" s="65" t="s">
        <v>2078</v>
      </c>
      <c r="E98" s="75" t="s">
        <v>2079</v>
      </c>
      <c r="F98" s="65" t="s">
        <v>2080</v>
      </c>
      <c r="G98" s="65" t="s">
        <v>1016</v>
      </c>
      <c r="H98" s="65" t="s">
        <v>3463</v>
      </c>
      <c r="I98" s="65" t="s">
        <v>2083</v>
      </c>
      <c r="J98" s="65" t="s">
        <v>2084</v>
      </c>
      <c r="K98" s="65" t="s">
        <v>1091</v>
      </c>
      <c r="L98" s="65" t="s">
        <v>1093</v>
      </c>
      <c r="M98" s="70" t="s">
        <v>1098</v>
      </c>
      <c r="N98" s="70" t="s">
        <v>1108</v>
      </c>
      <c r="O98" s="75" t="s">
        <v>2018</v>
      </c>
      <c r="P98" s="239" t="s">
        <v>1401</v>
      </c>
      <c r="Q98" s="71" t="b">
        <v>1</v>
      </c>
      <c r="R98" s="65" t="s">
        <v>2085</v>
      </c>
      <c r="S98" s="75" t="s">
        <v>3436</v>
      </c>
      <c r="T98" s="239" t="s">
        <v>1843</v>
      </c>
      <c r="U98" s="47" t="s">
        <v>3371</v>
      </c>
      <c r="V98" s="239" t="s">
        <v>1161</v>
      </c>
      <c r="W98" s="440"/>
      <c r="X98" s="441" t="s">
        <v>3314</v>
      </c>
      <c r="Y98" s="60"/>
    </row>
    <row r="99" ht="22.5" customHeight="1">
      <c r="A99" s="519" t="s">
        <v>1442</v>
      </c>
      <c r="B99" s="75" t="s">
        <v>1475</v>
      </c>
      <c r="C99" s="65" t="s">
        <v>3464</v>
      </c>
      <c r="D99" s="65" t="s">
        <v>2088</v>
      </c>
      <c r="E99" s="75" t="s">
        <v>2089</v>
      </c>
      <c r="F99" s="65" t="s">
        <v>2090</v>
      </c>
      <c r="G99" s="65" t="s">
        <v>325</v>
      </c>
      <c r="H99" s="65" t="s">
        <v>2091</v>
      </c>
      <c r="I99" s="65" t="s">
        <v>2092</v>
      </c>
      <c r="J99" s="65" t="s">
        <v>2093</v>
      </c>
      <c r="K99" s="65" t="s">
        <v>1091</v>
      </c>
      <c r="L99" s="65" t="s">
        <v>1093</v>
      </c>
      <c r="M99" s="70" t="s">
        <v>1098</v>
      </c>
      <c r="N99" s="70" t="s">
        <v>1108</v>
      </c>
      <c r="O99" s="75" t="s">
        <v>1161</v>
      </c>
      <c r="P99" s="70" t="s">
        <v>1161</v>
      </c>
      <c r="Q99" s="71" t="b">
        <v>1</v>
      </c>
      <c r="R99" s="75" t="s">
        <v>3465</v>
      </c>
      <c r="S99" s="75" t="s">
        <v>3466</v>
      </c>
      <c r="T99" s="239" t="s">
        <v>1961</v>
      </c>
      <c r="U99" s="520" t="s">
        <v>3371</v>
      </c>
      <c r="V99" s="239" t="s">
        <v>1161</v>
      </c>
      <c r="W99" s="462" t="s">
        <v>3321</v>
      </c>
      <c r="X99" s="457"/>
      <c r="Y99" s="517"/>
    </row>
    <row r="100" ht="22.5" customHeight="1">
      <c r="A100" s="519" t="s">
        <v>1442</v>
      </c>
      <c r="B100" s="75" t="s">
        <v>1212</v>
      </c>
      <c r="C100" s="65" t="s">
        <v>3467</v>
      </c>
      <c r="D100" s="65" t="s">
        <v>2104</v>
      </c>
      <c r="E100" s="75" t="s">
        <v>2105</v>
      </c>
      <c r="F100" s="65" t="s">
        <v>2106</v>
      </c>
      <c r="G100" s="65" t="s">
        <v>2108</v>
      </c>
      <c r="H100" s="65" t="s">
        <v>2109</v>
      </c>
      <c r="I100" s="65" t="s">
        <v>2110</v>
      </c>
      <c r="J100" s="65" t="s">
        <v>2111</v>
      </c>
      <c r="K100" s="65" t="s">
        <v>1091</v>
      </c>
      <c r="L100" s="65" t="s">
        <v>1093</v>
      </c>
      <c r="M100" s="70" t="s">
        <v>1098</v>
      </c>
      <c r="N100" s="70" t="s">
        <v>1108</v>
      </c>
      <c r="O100" s="75" t="s">
        <v>1161</v>
      </c>
      <c r="P100" s="70" t="s">
        <v>1161</v>
      </c>
      <c r="Q100" s="71" t="b">
        <v>1</v>
      </c>
      <c r="R100" s="65" t="s">
        <v>2112</v>
      </c>
      <c r="S100" s="75" t="s">
        <v>3468</v>
      </c>
      <c r="T100" s="239" t="s">
        <v>1961</v>
      </c>
      <c r="U100" s="47" t="s">
        <v>3371</v>
      </c>
      <c r="V100" s="70" t="s">
        <v>1161</v>
      </c>
      <c r="W100" s="462" t="s">
        <v>3321</v>
      </c>
      <c r="X100" s="511"/>
      <c r="Y100" s="515"/>
    </row>
    <row r="101" ht="22.5" customHeight="1">
      <c r="A101" s="239" t="s">
        <v>1447</v>
      </c>
      <c r="B101" s="65" t="s">
        <v>1391</v>
      </c>
      <c r="C101" s="65" t="s">
        <v>3469</v>
      </c>
      <c r="D101" s="65" t="s">
        <v>2118</v>
      </c>
      <c r="E101" s="75" t="s">
        <v>2119</v>
      </c>
      <c r="F101" s="65" t="s">
        <v>1803</v>
      </c>
      <c r="G101" s="65" t="s">
        <v>70</v>
      </c>
      <c r="H101" s="65" t="s">
        <v>2120</v>
      </c>
      <c r="I101" s="65" t="s">
        <v>2121</v>
      </c>
      <c r="J101" s="65" t="s">
        <v>2122</v>
      </c>
      <c r="K101" s="65" t="s">
        <v>1091</v>
      </c>
      <c r="L101" s="65" t="s">
        <v>1093</v>
      </c>
      <c r="M101" s="70" t="s">
        <v>1098</v>
      </c>
      <c r="N101" s="70" t="s">
        <v>1108</v>
      </c>
      <c r="O101" s="75" t="s">
        <v>1161</v>
      </c>
      <c r="P101" s="70" t="s">
        <v>1401</v>
      </c>
      <c r="Q101" s="71" t="b">
        <v>1</v>
      </c>
      <c r="R101" s="65" t="s">
        <v>2123</v>
      </c>
      <c r="S101" s="75" t="s">
        <v>3470</v>
      </c>
      <c r="T101" s="239" t="s">
        <v>1843</v>
      </c>
      <c r="U101" s="47" t="s">
        <v>3319</v>
      </c>
      <c r="V101" s="239" t="s">
        <v>1161</v>
      </c>
      <c r="W101" s="441" t="s">
        <v>3342</v>
      </c>
      <c r="X101" s="457"/>
      <c r="Y101" s="517"/>
    </row>
    <row r="102" ht="22.5" customHeight="1">
      <c r="A102" s="239" t="s">
        <v>1445</v>
      </c>
      <c r="B102" s="65" t="s">
        <v>1391</v>
      </c>
      <c r="C102" s="65" t="s">
        <v>3471</v>
      </c>
      <c r="D102" s="65" t="s">
        <v>2127</v>
      </c>
      <c r="E102" s="75" t="s">
        <v>2128</v>
      </c>
      <c r="F102" s="65" t="s">
        <v>2130</v>
      </c>
      <c r="G102" s="65" t="s">
        <v>123</v>
      </c>
      <c r="H102" s="65" t="s">
        <v>3472</v>
      </c>
      <c r="I102" s="65" t="s">
        <v>2132</v>
      </c>
      <c r="J102" s="65" t="s">
        <v>2133</v>
      </c>
      <c r="K102" s="65" t="s">
        <v>1091</v>
      </c>
      <c r="L102" s="65" t="s">
        <v>1093</v>
      </c>
      <c r="M102" s="70" t="s">
        <v>1098</v>
      </c>
      <c r="N102" s="70" t="s">
        <v>1108</v>
      </c>
      <c r="O102" s="75" t="s">
        <v>1161</v>
      </c>
      <c r="P102" s="70" t="s">
        <v>1161</v>
      </c>
      <c r="Q102" s="71" t="b">
        <v>1</v>
      </c>
      <c r="R102" s="65" t="s">
        <v>2134</v>
      </c>
      <c r="S102" s="75" t="s">
        <v>3473</v>
      </c>
      <c r="T102" s="239" t="s">
        <v>1843</v>
      </c>
      <c r="U102" s="47" t="s">
        <v>3371</v>
      </c>
      <c r="V102" s="239" t="s">
        <v>1161</v>
      </c>
      <c r="W102" s="462"/>
      <c r="X102" s="457"/>
      <c r="Y102" s="517"/>
    </row>
    <row r="103" ht="22.5" customHeight="1">
      <c r="A103" s="239" t="s">
        <v>1445</v>
      </c>
      <c r="B103" s="65" t="s">
        <v>1212</v>
      </c>
      <c r="C103" s="65" t="s">
        <v>3474</v>
      </c>
      <c r="D103" s="75" t="s">
        <v>2137</v>
      </c>
      <c r="E103" s="75" t="s">
        <v>2138</v>
      </c>
      <c r="F103" s="65" t="s">
        <v>2139</v>
      </c>
      <c r="G103" s="65" t="s">
        <v>2140</v>
      </c>
      <c r="H103" s="65" t="s">
        <v>2141</v>
      </c>
      <c r="I103" s="65" t="s">
        <v>2142</v>
      </c>
      <c r="J103" s="65" t="s">
        <v>2143</v>
      </c>
      <c r="K103" s="65" t="s">
        <v>1091</v>
      </c>
      <c r="L103" s="65" t="s">
        <v>1093</v>
      </c>
      <c r="M103" s="70" t="s">
        <v>1098</v>
      </c>
      <c r="N103" s="70" t="s">
        <v>1108</v>
      </c>
      <c r="O103" s="75" t="s">
        <v>1161</v>
      </c>
      <c r="P103" s="70" t="s">
        <v>1401</v>
      </c>
      <c r="Q103" s="71" t="b">
        <v>0</v>
      </c>
      <c r="R103" s="65" t="s">
        <v>1743</v>
      </c>
      <c r="S103" s="65" t="s">
        <v>2144</v>
      </c>
      <c r="T103" s="239" t="s">
        <v>1843</v>
      </c>
      <c r="U103" s="47" t="s">
        <v>1161</v>
      </c>
      <c r="V103" s="239" t="s">
        <v>1161</v>
      </c>
      <c r="W103" s="440"/>
      <c r="X103" s="441" t="s">
        <v>3314</v>
      </c>
      <c r="Y103" s="60"/>
    </row>
    <row r="104" ht="22.5" customHeight="1">
      <c r="A104" s="239" t="s">
        <v>1445</v>
      </c>
      <c r="B104" s="65" t="s">
        <v>1212</v>
      </c>
      <c r="C104" s="65" t="s">
        <v>3475</v>
      </c>
      <c r="D104" s="65" t="s">
        <v>2146</v>
      </c>
      <c r="E104" s="75" t="s">
        <v>2147</v>
      </c>
      <c r="F104" s="65" t="s">
        <v>2148</v>
      </c>
      <c r="G104" s="65" t="s">
        <v>620</v>
      </c>
      <c r="H104" s="65" t="s">
        <v>2149</v>
      </c>
      <c r="I104" s="65" t="s">
        <v>2150</v>
      </c>
      <c r="J104" s="65" t="s">
        <v>2151</v>
      </c>
      <c r="K104" s="65" t="s">
        <v>1091</v>
      </c>
      <c r="L104" s="65" t="s">
        <v>1093</v>
      </c>
      <c r="M104" s="70" t="s">
        <v>1098</v>
      </c>
      <c r="N104" s="70" t="s">
        <v>1108</v>
      </c>
      <c r="O104" s="75" t="s">
        <v>1161</v>
      </c>
      <c r="P104" s="239" t="s">
        <v>1161</v>
      </c>
      <c r="Q104" s="71" t="b">
        <v>1</v>
      </c>
      <c r="R104" s="65" t="s">
        <v>2152</v>
      </c>
      <c r="S104" s="65" t="s">
        <v>2153</v>
      </c>
      <c r="T104" s="239" t="s">
        <v>1843</v>
      </c>
      <c r="U104" s="47" t="s">
        <v>1161</v>
      </c>
      <c r="V104" s="239" t="s">
        <v>1161</v>
      </c>
      <c r="W104" s="440"/>
      <c r="X104" s="441" t="s">
        <v>3314</v>
      </c>
      <c r="Y104" s="60"/>
    </row>
    <row r="105" ht="22.5" customHeight="1">
      <c r="A105" s="239" t="s">
        <v>1445</v>
      </c>
      <c r="B105" s="65" t="s">
        <v>219</v>
      </c>
      <c r="C105" s="65" t="s">
        <v>3476</v>
      </c>
      <c r="D105" s="75" t="s">
        <v>2167</v>
      </c>
      <c r="E105" s="75" t="s">
        <v>2168</v>
      </c>
      <c r="F105" s="65" t="s">
        <v>2169</v>
      </c>
      <c r="G105" s="65" t="s">
        <v>2140</v>
      </c>
      <c r="H105" s="65" t="s">
        <v>2170</v>
      </c>
      <c r="I105" s="65" t="s">
        <v>2171</v>
      </c>
      <c r="J105" s="65" t="s">
        <v>2172</v>
      </c>
      <c r="K105" s="65" t="s">
        <v>1091</v>
      </c>
      <c r="L105" s="65" t="s">
        <v>1093</v>
      </c>
      <c r="M105" s="70" t="s">
        <v>1098</v>
      </c>
      <c r="N105" s="70" t="s">
        <v>1108</v>
      </c>
      <c r="O105" s="75" t="s">
        <v>1161</v>
      </c>
      <c r="P105" s="70" t="s">
        <v>1161</v>
      </c>
      <c r="Q105" s="71" t="b">
        <v>0</v>
      </c>
      <c r="R105" s="65" t="s">
        <v>1743</v>
      </c>
      <c r="S105" s="65" t="s">
        <v>2173</v>
      </c>
      <c r="T105" s="239" t="s">
        <v>1843</v>
      </c>
      <c r="U105" s="47" t="s">
        <v>1161</v>
      </c>
      <c r="V105" s="239" t="s">
        <v>1161</v>
      </c>
      <c r="W105" s="440"/>
      <c r="X105" s="441" t="s">
        <v>3314</v>
      </c>
      <c r="Y105" s="60"/>
    </row>
    <row r="106" ht="22.5" customHeight="1">
      <c r="A106" s="70" t="s">
        <v>1445</v>
      </c>
      <c r="B106" s="65" t="s">
        <v>219</v>
      </c>
      <c r="C106" s="65" t="s">
        <v>3477</v>
      </c>
      <c r="D106" s="65" t="s">
        <v>2174</v>
      </c>
      <c r="E106" s="75" t="s">
        <v>2175</v>
      </c>
      <c r="F106" s="65" t="s">
        <v>2176</v>
      </c>
      <c r="G106" s="65" t="s">
        <v>28</v>
      </c>
      <c r="H106" s="65" t="s">
        <v>3478</v>
      </c>
      <c r="I106" s="65" t="s">
        <v>2178</v>
      </c>
      <c r="J106" s="65" t="s">
        <v>2179</v>
      </c>
      <c r="K106" s="65" t="s">
        <v>1091</v>
      </c>
      <c r="L106" s="65" t="s">
        <v>1093</v>
      </c>
      <c r="M106" s="70" t="s">
        <v>1098</v>
      </c>
      <c r="N106" s="70" t="s">
        <v>1108</v>
      </c>
      <c r="O106" s="75" t="s">
        <v>1161</v>
      </c>
      <c r="P106" s="239" t="s">
        <v>1161</v>
      </c>
      <c r="Q106" s="71" t="b">
        <v>1</v>
      </c>
      <c r="R106" s="95" t="s">
        <v>1485</v>
      </c>
      <c r="S106" s="75" t="s">
        <v>3479</v>
      </c>
      <c r="T106" s="239" t="s">
        <v>1961</v>
      </c>
      <c r="U106" s="47" t="s">
        <v>3371</v>
      </c>
      <c r="V106" s="239" t="s">
        <v>1161</v>
      </c>
      <c r="W106" s="440"/>
      <c r="X106" s="441" t="s">
        <v>3314</v>
      </c>
      <c r="Y106" s="60"/>
    </row>
    <row r="107" ht="22.5" customHeight="1">
      <c r="A107" s="239" t="s">
        <v>1000</v>
      </c>
      <c r="B107" s="65" t="s">
        <v>1212</v>
      </c>
      <c r="C107" s="65" t="s">
        <v>3480</v>
      </c>
      <c r="D107" s="75" t="s">
        <v>3481</v>
      </c>
      <c r="E107" s="75" t="s">
        <v>2183</v>
      </c>
      <c r="F107" s="75" t="s">
        <v>2184</v>
      </c>
      <c r="G107" s="75" t="s">
        <v>2185</v>
      </c>
      <c r="H107" s="75" t="s">
        <v>2186</v>
      </c>
      <c r="I107" s="75" t="s">
        <v>2187</v>
      </c>
      <c r="J107" s="75" t="s">
        <v>2188</v>
      </c>
      <c r="K107" s="75" t="s">
        <v>2189</v>
      </c>
      <c r="L107" s="75" t="s">
        <v>3482</v>
      </c>
      <c r="M107" s="70" t="s">
        <v>1098</v>
      </c>
      <c r="N107" s="70" t="s">
        <v>1108</v>
      </c>
      <c r="O107" s="75" t="s">
        <v>1746</v>
      </c>
      <c r="P107" s="70" t="s">
        <v>1161</v>
      </c>
      <c r="Q107" s="71" t="b">
        <v>1</v>
      </c>
      <c r="R107" s="75" t="s">
        <v>2193</v>
      </c>
      <c r="S107" s="75" t="s">
        <v>3483</v>
      </c>
      <c r="T107" s="239" t="s">
        <v>1843</v>
      </c>
      <c r="U107" s="47" t="s">
        <v>1161</v>
      </c>
      <c r="V107" s="239" t="s">
        <v>3484</v>
      </c>
      <c r="W107" s="457"/>
      <c r="X107" s="457"/>
      <c r="Y107" s="517"/>
    </row>
    <row r="108" ht="22.5" customHeight="1">
      <c r="A108" s="239" t="s">
        <v>1438</v>
      </c>
      <c r="B108" s="65" t="s">
        <v>1212</v>
      </c>
      <c r="C108" s="65" t="s">
        <v>3485</v>
      </c>
      <c r="D108" s="65" t="s">
        <v>3481</v>
      </c>
      <c r="E108" s="75" t="s">
        <v>2183</v>
      </c>
      <c r="F108" s="65" t="s">
        <v>2184</v>
      </c>
      <c r="G108" s="65" t="s">
        <v>2185</v>
      </c>
      <c r="H108" s="65" t="s">
        <v>2186</v>
      </c>
      <c r="I108" s="65" t="s">
        <v>2187</v>
      </c>
      <c r="J108" s="65" t="s">
        <v>2198</v>
      </c>
      <c r="K108" s="65" t="s">
        <v>1091</v>
      </c>
      <c r="L108" s="65" t="s">
        <v>1093</v>
      </c>
      <c r="M108" s="70" t="s">
        <v>1098</v>
      </c>
      <c r="N108" s="70" t="s">
        <v>1108</v>
      </c>
      <c r="O108" s="75" t="s">
        <v>1746</v>
      </c>
      <c r="P108" s="70" t="s">
        <v>1161</v>
      </c>
      <c r="Q108" s="71" t="b">
        <v>0</v>
      </c>
      <c r="R108" s="65" t="s">
        <v>2200</v>
      </c>
      <c r="S108" s="75" t="s">
        <v>3486</v>
      </c>
      <c r="T108" s="239" t="s">
        <v>1843</v>
      </c>
      <c r="U108" s="47" t="s">
        <v>3319</v>
      </c>
      <c r="V108" s="239"/>
      <c r="W108" s="441" t="s">
        <v>3342</v>
      </c>
      <c r="X108" s="457"/>
      <c r="Y108" s="517"/>
    </row>
    <row r="109" ht="22.5" customHeight="1">
      <c r="A109" s="70" t="s">
        <v>1445</v>
      </c>
      <c r="B109" s="75" t="s">
        <v>1311</v>
      </c>
      <c r="C109" s="65" t="s">
        <v>3487</v>
      </c>
      <c r="D109" s="65" t="s">
        <v>1490</v>
      </c>
      <c r="E109" s="75" t="s">
        <v>1491</v>
      </c>
      <c r="F109" s="65" t="s">
        <v>1492</v>
      </c>
      <c r="G109" s="65" t="s">
        <v>480</v>
      </c>
      <c r="H109" s="65" t="s">
        <v>1493</v>
      </c>
      <c r="I109" s="65" t="s">
        <v>1494</v>
      </c>
      <c r="J109" s="65" t="s">
        <v>2207</v>
      </c>
      <c r="K109" s="65" t="s">
        <v>1091</v>
      </c>
      <c r="L109" s="65" t="s">
        <v>3488</v>
      </c>
      <c r="M109" s="70" t="s">
        <v>1098</v>
      </c>
      <c r="N109" s="70" t="s">
        <v>1108</v>
      </c>
      <c r="O109" s="75" t="s">
        <v>1161</v>
      </c>
      <c r="P109" s="239" t="s">
        <v>1161</v>
      </c>
      <c r="Q109" s="71" t="b">
        <v>1</v>
      </c>
      <c r="R109" s="65" t="s">
        <v>1496</v>
      </c>
      <c r="S109" s="75" t="s">
        <v>3489</v>
      </c>
      <c r="T109" s="239" t="s">
        <v>1843</v>
      </c>
      <c r="U109" s="47" t="s">
        <v>1161</v>
      </c>
      <c r="V109" s="239" t="s">
        <v>1161</v>
      </c>
      <c r="W109" s="462"/>
      <c r="X109" s="457"/>
      <c r="Y109" s="517"/>
    </row>
    <row r="110" ht="22.5" customHeight="1">
      <c r="A110" s="239" t="s">
        <v>1445</v>
      </c>
      <c r="B110" s="65" t="s">
        <v>1212</v>
      </c>
      <c r="C110" s="65" t="s">
        <v>3490</v>
      </c>
      <c r="D110" s="75" t="s">
        <v>3491</v>
      </c>
      <c r="E110" s="75" t="s">
        <v>2213</v>
      </c>
      <c r="F110" s="65" t="s">
        <v>2214</v>
      </c>
      <c r="G110" s="65" t="s">
        <v>1016</v>
      </c>
      <c r="H110" s="65" t="s">
        <v>2215</v>
      </c>
      <c r="I110" s="65" t="s">
        <v>2216</v>
      </c>
      <c r="J110" s="65" t="s">
        <v>2218</v>
      </c>
      <c r="K110" s="65" t="s">
        <v>1091</v>
      </c>
      <c r="L110" s="65" t="s">
        <v>1093</v>
      </c>
      <c r="M110" s="70" t="s">
        <v>1098</v>
      </c>
      <c r="N110" s="70" t="s">
        <v>1108</v>
      </c>
      <c r="O110" s="75" t="s">
        <v>2018</v>
      </c>
      <c r="P110" s="239" t="s">
        <v>1161</v>
      </c>
      <c r="Q110" s="71" t="b">
        <v>1</v>
      </c>
      <c r="R110" s="65" t="s">
        <v>3492</v>
      </c>
      <c r="S110" s="461" t="s">
        <v>3493</v>
      </c>
      <c r="T110" s="239" t="s">
        <v>1961</v>
      </c>
      <c r="U110" s="47" t="s">
        <v>3371</v>
      </c>
      <c r="V110" s="239" t="s">
        <v>1161</v>
      </c>
      <c r="W110" s="441" t="s">
        <v>3413</v>
      </c>
      <c r="X110" s="457"/>
      <c r="Y110" s="517"/>
    </row>
    <row r="111" ht="22.5" customHeight="1">
      <c r="A111" s="70" t="s">
        <v>1445</v>
      </c>
      <c r="B111" s="65" t="s">
        <v>1212</v>
      </c>
      <c r="C111" s="65" t="s">
        <v>3494</v>
      </c>
      <c r="D111" s="65" t="s">
        <v>3495</v>
      </c>
      <c r="E111" s="75" t="s">
        <v>2226</v>
      </c>
      <c r="F111" s="65" t="s">
        <v>2227</v>
      </c>
      <c r="G111" s="75" t="s">
        <v>641</v>
      </c>
      <c r="H111" s="65" t="s">
        <v>2229</v>
      </c>
      <c r="I111" s="65" t="s">
        <v>2230</v>
      </c>
      <c r="J111" s="65" t="s">
        <v>3496</v>
      </c>
      <c r="K111" s="65" t="s">
        <v>1091</v>
      </c>
      <c r="L111" s="65" t="s">
        <v>1093</v>
      </c>
      <c r="M111" s="70" t="s">
        <v>1098</v>
      </c>
      <c r="N111" s="70" t="s">
        <v>1108</v>
      </c>
      <c r="O111" s="75" t="s">
        <v>2018</v>
      </c>
      <c r="P111" s="70" t="s">
        <v>1401</v>
      </c>
      <c r="Q111" s="71" t="b">
        <v>1</v>
      </c>
      <c r="R111" s="65" t="s">
        <v>2232</v>
      </c>
      <c r="S111" s="65" t="s">
        <v>2233</v>
      </c>
      <c r="T111" s="239" t="s">
        <v>1961</v>
      </c>
      <c r="U111" s="47" t="s">
        <v>1161</v>
      </c>
      <c r="V111" s="239" t="s">
        <v>1161</v>
      </c>
      <c r="W111" s="440"/>
      <c r="X111" s="441" t="s">
        <v>3314</v>
      </c>
      <c r="Y111" s="60"/>
    </row>
    <row r="112" ht="22.5" customHeight="1">
      <c r="A112" s="239" t="s">
        <v>1445</v>
      </c>
      <c r="B112" s="75" t="s">
        <v>219</v>
      </c>
      <c r="C112" s="65" t="s">
        <v>3497</v>
      </c>
      <c r="D112" s="65" t="s">
        <v>2236</v>
      </c>
      <c r="E112" s="75" t="s">
        <v>2237</v>
      </c>
      <c r="F112" s="65" t="s">
        <v>2238</v>
      </c>
      <c r="G112" s="65" t="s">
        <v>1991</v>
      </c>
      <c r="H112" s="65" t="s">
        <v>2240</v>
      </c>
      <c r="I112" s="65" t="s">
        <v>2241</v>
      </c>
      <c r="J112" s="65" t="s">
        <v>2242</v>
      </c>
      <c r="K112" s="65" t="s">
        <v>1091</v>
      </c>
      <c r="L112" s="65" t="s">
        <v>1093</v>
      </c>
      <c r="M112" s="70" t="s">
        <v>1098</v>
      </c>
      <c r="N112" s="70" t="s">
        <v>1108</v>
      </c>
      <c r="O112" s="75" t="s">
        <v>1161</v>
      </c>
      <c r="P112" s="70" t="s">
        <v>1161</v>
      </c>
      <c r="Q112" s="71" t="b">
        <v>0</v>
      </c>
      <c r="R112" s="65" t="s">
        <v>2243</v>
      </c>
      <c r="S112" s="75" t="s">
        <v>3410</v>
      </c>
      <c r="T112" s="239" t="s">
        <v>1843</v>
      </c>
      <c r="U112" s="47" t="s">
        <v>3371</v>
      </c>
      <c r="V112" s="239" t="s">
        <v>1161</v>
      </c>
      <c r="W112" s="440"/>
      <c r="X112" s="441" t="s">
        <v>3314</v>
      </c>
      <c r="Y112" s="60"/>
    </row>
    <row r="113" ht="22.5" customHeight="1">
      <c r="A113" s="239" t="s">
        <v>1443</v>
      </c>
      <c r="B113" s="65" t="s">
        <v>2884</v>
      </c>
      <c r="C113" s="65" t="s">
        <v>3498</v>
      </c>
      <c r="D113" s="65" t="s">
        <v>2249</v>
      </c>
      <c r="E113" s="75" t="s">
        <v>2250</v>
      </c>
      <c r="F113" s="65" t="s">
        <v>2251</v>
      </c>
      <c r="G113" s="75" t="s">
        <v>2252</v>
      </c>
      <c r="H113" s="65" t="s">
        <v>2253</v>
      </c>
      <c r="I113" s="65" t="s">
        <v>2254</v>
      </c>
      <c r="J113" s="65" t="s">
        <v>3499</v>
      </c>
      <c r="K113" s="65" t="s">
        <v>1091</v>
      </c>
      <c r="L113" s="65" t="s">
        <v>1093</v>
      </c>
      <c r="M113" s="70" t="s">
        <v>1098</v>
      </c>
      <c r="N113" s="70" t="s">
        <v>1108</v>
      </c>
      <c r="O113" s="75" t="s">
        <v>2018</v>
      </c>
      <c r="P113" s="239" t="s">
        <v>1161</v>
      </c>
      <c r="Q113" s="71" t="b">
        <v>1</v>
      </c>
      <c r="R113" s="65" t="s">
        <v>2255</v>
      </c>
      <c r="S113" s="75" t="s">
        <v>3500</v>
      </c>
      <c r="T113" s="239" t="s">
        <v>1843</v>
      </c>
      <c r="U113" s="47" t="s">
        <v>3319</v>
      </c>
      <c r="V113" s="239" t="s">
        <v>1161</v>
      </c>
      <c r="W113" s="441" t="s">
        <v>3342</v>
      </c>
      <c r="X113" s="457"/>
      <c r="Y113" s="517"/>
    </row>
    <row r="114" ht="22.5" customHeight="1">
      <c r="A114" s="70" t="s">
        <v>1445</v>
      </c>
      <c r="B114" s="65" t="s">
        <v>219</v>
      </c>
      <c r="C114" s="65" t="s">
        <v>3501</v>
      </c>
      <c r="D114" s="521" t="s">
        <v>2257</v>
      </c>
      <c r="E114" s="75" t="s">
        <v>2259</v>
      </c>
      <c r="F114" s="65" t="s">
        <v>2260</v>
      </c>
      <c r="G114" s="75" t="s">
        <v>349</v>
      </c>
      <c r="H114" s="65" t="s">
        <v>2261</v>
      </c>
      <c r="I114" s="65" t="s">
        <v>2262</v>
      </c>
      <c r="J114" s="65" t="s">
        <v>2263</v>
      </c>
      <c r="K114" s="65" t="s">
        <v>1091</v>
      </c>
      <c r="L114" s="65" t="s">
        <v>1093</v>
      </c>
      <c r="M114" s="70" t="s">
        <v>3324</v>
      </c>
      <c r="N114" s="70" t="s">
        <v>1108</v>
      </c>
      <c r="O114" s="75" t="s">
        <v>2018</v>
      </c>
      <c r="P114" s="239" t="s">
        <v>1161</v>
      </c>
      <c r="Q114" s="71" t="b">
        <v>1</v>
      </c>
      <c r="R114" s="65" t="s">
        <v>2264</v>
      </c>
      <c r="S114" s="75" t="s">
        <v>3502</v>
      </c>
      <c r="T114" s="239" t="s">
        <v>1843</v>
      </c>
      <c r="U114" s="47" t="s">
        <v>3371</v>
      </c>
      <c r="V114" s="70" t="s">
        <v>1161</v>
      </c>
      <c r="W114" s="441"/>
      <c r="X114" s="511"/>
      <c r="Y114" s="515"/>
    </row>
    <row r="115" ht="22.5" customHeight="1">
      <c r="A115" s="239" t="s">
        <v>1438</v>
      </c>
      <c r="B115" s="65" t="s">
        <v>1475</v>
      </c>
      <c r="C115" s="65" t="s">
        <v>3503</v>
      </c>
      <c r="D115" s="522" t="s">
        <v>2267</v>
      </c>
      <c r="E115" s="75" t="s">
        <v>2268</v>
      </c>
      <c r="F115" s="65" t="s">
        <v>2269</v>
      </c>
      <c r="G115" s="75" t="s">
        <v>174</v>
      </c>
      <c r="H115" s="65" t="s">
        <v>2270</v>
      </c>
      <c r="I115" s="65" t="s">
        <v>2271</v>
      </c>
      <c r="J115" s="65" t="s">
        <v>3504</v>
      </c>
      <c r="K115" s="65" t="s">
        <v>1091</v>
      </c>
      <c r="L115" s="65" t="s">
        <v>1093</v>
      </c>
      <c r="M115" s="70" t="s">
        <v>1098</v>
      </c>
      <c r="N115" s="70" t="s">
        <v>1108</v>
      </c>
      <c r="O115" s="75" t="s">
        <v>1161</v>
      </c>
      <c r="P115" s="70" t="s">
        <v>1401</v>
      </c>
      <c r="Q115" s="71" t="b">
        <v>1</v>
      </c>
      <c r="R115" s="65" t="s">
        <v>2272</v>
      </c>
      <c r="S115" s="75" t="s">
        <v>3505</v>
      </c>
      <c r="T115" s="239" t="s">
        <v>1843</v>
      </c>
      <c r="U115" s="47" t="s">
        <v>3319</v>
      </c>
      <c r="V115" s="239" t="s">
        <v>1161</v>
      </c>
      <c r="W115" s="441" t="s">
        <v>3342</v>
      </c>
      <c r="X115" s="457"/>
      <c r="Y115" s="517"/>
    </row>
    <row r="116" ht="22.5" customHeight="1">
      <c r="A116" s="239" t="s">
        <v>1447</v>
      </c>
      <c r="B116" s="65" t="s">
        <v>1311</v>
      </c>
      <c r="C116" s="65" t="s">
        <v>3506</v>
      </c>
      <c r="D116" s="522" t="s">
        <v>2274</v>
      </c>
      <c r="E116" s="75" t="s">
        <v>2275</v>
      </c>
      <c r="F116" s="65" t="s">
        <v>2276</v>
      </c>
      <c r="G116" s="65" t="s">
        <v>1016</v>
      </c>
      <c r="H116" s="65" t="s">
        <v>2277</v>
      </c>
      <c r="I116" s="65" t="s">
        <v>2278</v>
      </c>
      <c r="J116" s="65" t="s">
        <v>2279</v>
      </c>
      <c r="K116" s="65" t="s">
        <v>1091</v>
      </c>
      <c r="L116" s="65" t="s">
        <v>1093</v>
      </c>
      <c r="M116" s="70" t="s">
        <v>1098</v>
      </c>
      <c r="N116" s="70" t="s">
        <v>1108</v>
      </c>
      <c r="O116" s="75" t="s">
        <v>1161</v>
      </c>
      <c r="P116" s="70" t="s">
        <v>1401</v>
      </c>
      <c r="Q116" s="71" t="b">
        <v>1</v>
      </c>
      <c r="R116" s="65" t="s">
        <v>2280</v>
      </c>
      <c r="S116" s="65" t="s">
        <v>3507</v>
      </c>
      <c r="T116" s="239" t="s">
        <v>1843</v>
      </c>
      <c r="U116" s="47" t="s">
        <v>1441</v>
      </c>
      <c r="V116" s="239" t="s">
        <v>1161</v>
      </c>
      <c r="W116" s="457"/>
      <c r="X116" s="457"/>
      <c r="Y116" s="517"/>
    </row>
    <row r="117" ht="22.5" customHeight="1">
      <c r="A117" s="239" t="s">
        <v>1445</v>
      </c>
      <c r="B117" s="65" t="s">
        <v>1475</v>
      </c>
      <c r="C117" s="65" t="s">
        <v>3508</v>
      </c>
      <c r="D117" s="522" t="s">
        <v>2283</v>
      </c>
      <c r="E117" s="75" t="s">
        <v>3509</v>
      </c>
      <c r="F117" s="65" t="s">
        <v>2285</v>
      </c>
      <c r="G117" s="75" t="s">
        <v>2286</v>
      </c>
      <c r="H117" s="65" t="s">
        <v>2287</v>
      </c>
      <c r="I117" s="65" t="s">
        <v>2288</v>
      </c>
      <c r="J117" s="65" t="s">
        <v>3510</v>
      </c>
      <c r="K117" s="65" t="s">
        <v>1091</v>
      </c>
      <c r="L117" s="65" t="s">
        <v>1093</v>
      </c>
      <c r="M117" s="70" t="s">
        <v>1098</v>
      </c>
      <c r="N117" s="70" t="s">
        <v>1108</v>
      </c>
      <c r="O117" s="75" t="s">
        <v>1161</v>
      </c>
      <c r="P117" s="239" t="s">
        <v>1401</v>
      </c>
      <c r="Q117" s="71" t="b">
        <v>1</v>
      </c>
      <c r="R117" s="65" t="s">
        <v>1703</v>
      </c>
      <c r="S117" s="75" t="s">
        <v>3511</v>
      </c>
      <c r="T117" s="239" t="s">
        <v>1843</v>
      </c>
      <c r="U117" s="47" t="s">
        <v>1161</v>
      </c>
      <c r="V117" s="239" t="s">
        <v>1161</v>
      </c>
      <c r="W117" s="440"/>
      <c r="X117" s="441" t="s">
        <v>3314</v>
      </c>
      <c r="Y117" s="60"/>
    </row>
    <row r="118" ht="22.5" customHeight="1">
      <c r="A118" s="239" t="s">
        <v>1445</v>
      </c>
      <c r="B118" s="65" t="s">
        <v>1311</v>
      </c>
      <c r="C118" s="65" t="s">
        <v>3512</v>
      </c>
      <c r="D118" s="521" t="s">
        <v>2293</v>
      </c>
      <c r="E118" s="75" t="s">
        <v>2294</v>
      </c>
      <c r="F118" s="65" t="s">
        <v>2295</v>
      </c>
      <c r="G118" s="75" t="s">
        <v>641</v>
      </c>
      <c r="H118" s="65" t="s">
        <v>2297</v>
      </c>
      <c r="I118" s="65" t="s">
        <v>2298</v>
      </c>
      <c r="J118" s="75" t="s">
        <v>3513</v>
      </c>
      <c r="K118" s="65" t="s">
        <v>1338</v>
      </c>
      <c r="L118" s="65" t="s">
        <v>3514</v>
      </c>
      <c r="M118" s="70" t="s">
        <v>1098</v>
      </c>
      <c r="N118" s="70" t="s">
        <v>1108</v>
      </c>
      <c r="O118" s="75" t="s">
        <v>1161</v>
      </c>
      <c r="P118" s="70" t="s">
        <v>1401</v>
      </c>
      <c r="Q118" s="71" t="b">
        <v>1</v>
      </c>
      <c r="R118" s="65" t="s">
        <v>2301</v>
      </c>
      <c r="S118" s="75" t="s">
        <v>3515</v>
      </c>
      <c r="T118" s="239" t="s">
        <v>1843</v>
      </c>
      <c r="U118" s="47" t="s">
        <v>3371</v>
      </c>
      <c r="V118" s="239" t="s">
        <v>1161</v>
      </c>
      <c r="W118" s="457"/>
      <c r="X118" s="457"/>
      <c r="Y118" s="517"/>
    </row>
    <row r="119" ht="22.5" customHeight="1">
      <c r="A119" s="239" t="s">
        <v>1445</v>
      </c>
      <c r="B119" s="65" t="s">
        <v>1475</v>
      </c>
      <c r="C119" s="65" t="s">
        <v>3516</v>
      </c>
      <c r="D119" s="523" t="s">
        <v>2304</v>
      </c>
      <c r="E119" s="75" t="s">
        <v>2305</v>
      </c>
      <c r="F119" s="65" t="s">
        <v>2306</v>
      </c>
      <c r="G119" s="65" t="s">
        <v>2140</v>
      </c>
      <c r="H119" s="65" t="s">
        <v>2307</v>
      </c>
      <c r="I119" s="65" t="s">
        <v>2308</v>
      </c>
      <c r="J119" s="65" t="s">
        <v>2309</v>
      </c>
      <c r="K119" s="65" t="s">
        <v>1091</v>
      </c>
      <c r="L119" s="65" t="s">
        <v>1093</v>
      </c>
      <c r="M119" s="70" t="s">
        <v>1098</v>
      </c>
      <c r="N119" s="70" t="s">
        <v>1108</v>
      </c>
      <c r="O119" s="75" t="s">
        <v>1161</v>
      </c>
      <c r="P119" s="469" t="s">
        <v>1401</v>
      </c>
      <c r="Q119" s="71" t="b">
        <v>1</v>
      </c>
      <c r="R119" s="65" t="s">
        <v>2311</v>
      </c>
      <c r="S119" s="65" t="s">
        <v>2312</v>
      </c>
      <c r="T119" s="239" t="s">
        <v>1961</v>
      </c>
      <c r="U119" s="47" t="s">
        <v>1161</v>
      </c>
      <c r="V119" s="239" t="s">
        <v>1161</v>
      </c>
      <c r="W119" s="440"/>
      <c r="X119" s="441" t="s">
        <v>3314</v>
      </c>
      <c r="Y119" s="60"/>
    </row>
    <row r="120" ht="22.5" customHeight="1">
      <c r="A120" s="239" t="s">
        <v>1445</v>
      </c>
      <c r="B120" s="65" t="s">
        <v>2884</v>
      </c>
      <c r="C120" s="65" t="s">
        <v>3517</v>
      </c>
      <c r="D120" s="522" t="s">
        <v>1053</v>
      </c>
      <c r="E120" s="75" t="s">
        <v>1060</v>
      </c>
      <c r="F120" s="65" t="s">
        <v>1066</v>
      </c>
      <c r="G120" s="75" t="s">
        <v>123</v>
      </c>
      <c r="H120" s="65" t="s">
        <v>1073</v>
      </c>
      <c r="I120" s="65" t="s">
        <v>1079</v>
      </c>
      <c r="J120" s="65" t="s">
        <v>2314</v>
      </c>
      <c r="K120" s="65" t="s">
        <v>2315</v>
      </c>
      <c r="L120" s="65" t="s">
        <v>3518</v>
      </c>
      <c r="M120" s="70" t="s">
        <v>1098</v>
      </c>
      <c r="N120" s="70" t="s">
        <v>1108</v>
      </c>
      <c r="O120" s="75" t="s">
        <v>2018</v>
      </c>
      <c r="P120" s="70" t="s">
        <v>1401</v>
      </c>
      <c r="Q120" s="71" t="b">
        <v>1</v>
      </c>
      <c r="R120" s="65" t="s">
        <v>2316</v>
      </c>
      <c r="S120" s="65" t="s">
        <v>3410</v>
      </c>
      <c r="T120" s="239" t="s">
        <v>1961</v>
      </c>
      <c r="U120" s="47" t="s">
        <v>3371</v>
      </c>
      <c r="V120" s="239" t="s">
        <v>1161</v>
      </c>
      <c r="W120" s="440"/>
      <c r="X120" s="441" t="s">
        <v>3314</v>
      </c>
      <c r="Y120" s="60"/>
    </row>
    <row r="121" ht="22.5" customHeight="1">
      <c r="A121" s="239" t="s">
        <v>1435</v>
      </c>
      <c r="B121" s="65" t="s">
        <v>2884</v>
      </c>
      <c r="C121" s="65" t="s">
        <v>3519</v>
      </c>
      <c r="D121" s="521" t="s">
        <v>2320</v>
      </c>
      <c r="E121" s="75"/>
      <c r="F121" s="65" t="s">
        <v>3520</v>
      </c>
      <c r="G121" s="75" t="s">
        <v>2071</v>
      </c>
      <c r="H121" s="65" t="s">
        <v>2323</v>
      </c>
      <c r="I121" s="65" t="s">
        <v>2324</v>
      </c>
      <c r="J121" s="65" t="s">
        <v>2325</v>
      </c>
      <c r="K121" s="65" t="s">
        <v>1091</v>
      </c>
      <c r="L121" s="65" t="s">
        <v>1093</v>
      </c>
      <c r="M121" s="70" t="s">
        <v>1098</v>
      </c>
      <c r="N121" s="70" t="s">
        <v>1108</v>
      </c>
      <c r="O121" s="75" t="s">
        <v>1161</v>
      </c>
      <c r="P121" s="70" t="s">
        <v>1161</v>
      </c>
      <c r="Q121" s="71" t="b">
        <v>1</v>
      </c>
      <c r="R121" s="65" t="s">
        <v>2328</v>
      </c>
      <c r="S121" s="75" t="s">
        <v>3521</v>
      </c>
      <c r="T121" s="239" t="s">
        <v>1843</v>
      </c>
      <c r="U121" s="47" t="s">
        <v>3455</v>
      </c>
      <c r="V121" s="239" t="s">
        <v>1161</v>
      </c>
      <c r="W121" s="462" t="s">
        <v>3413</v>
      </c>
      <c r="X121" s="457"/>
      <c r="Y121" s="517"/>
    </row>
    <row r="122" ht="22.5" customHeight="1">
      <c r="A122" s="239" t="s">
        <v>1000</v>
      </c>
      <c r="B122" s="65" t="s">
        <v>2884</v>
      </c>
      <c r="C122" s="65" t="s">
        <v>3522</v>
      </c>
      <c r="D122" s="521" t="s">
        <v>2331</v>
      </c>
      <c r="E122" s="75" t="s">
        <v>2332</v>
      </c>
      <c r="F122" s="65" t="s">
        <v>2333</v>
      </c>
      <c r="G122" s="75" t="s">
        <v>132</v>
      </c>
      <c r="H122" s="65" t="s">
        <v>2334</v>
      </c>
      <c r="I122" s="65" t="s">
        <v>2335</v>
      </c>
      <c r="J122" s="65" t="s">
        <v>2336</v>
      </c>
      <c r="K122" s="65" t="s">
        <v>1091</v>
      </c>
      <c r="L122" s="65" t="s">
        <v>1093</v>
      </c>
      <c r="M122" s="70" t="s">
        <v>1098</v>
      </c>
      <c r="N122" s="70" t="s">
        <v>1108</v>
      </c>
      <c r="O122" s="75" t="s">
        <v>1161</v>
      </c>
      <c r="P122" s="70" t="s">
        <v>2019</v>
      </c>
      <c r="Q122" s="71" t="b">
        <v>1</v>
      </c>
      <c r="R122" s="75" t="s">
        <v>3523</v>
      </c>
      <c r="S122" s="65" t="s">
        <v>3382</v>
      </c>
      <c r="T122" s="239" t="s">
        <v>1961</v>
      </c>
      <c r="U122" s="47" t="s">
        <v>3319</v>
      </c>
      <c r="V122" s="239" t="s">
        <v>1161</v>
      </c>
      <c r="W122" s="441"/>
      <c r="X122" s="457"/>
      <c r="Y122" s="517"/>
    </row>
    <row r="123" ht="22.5" customHeight="1">
      <c r="A123" s="239" t="s">
        <v>1445</v>
      </c>
      <c r="B123" s="65" t="s">
        <v>1475</v>
      </c>
      <c r="C123" s="65" t="s">
        <v>3524</v>
      </c>
      <c r="D123" s="65" t="s">
        <v>2340</v>
      </c>
      <c r="E123" s="65" t="s">
        <v>2341</v>
      </c>
      <c r="F123" s="65" t="s">
        <v>2342</v>
      </c>
      <c r="G123" s="75" t="s">
        <v>70</v>
      </c>
      <c r="H123" s="65" t="s">
        <v>2344</v>
      </c>
      <c r="I123" s="65" t="s">
        <v>2345</v>
      </c>
      <c r="J123" s="65" t="s">
        <v>2346</v>
      </c>
      <c r="K123" s="65" t="s">
        <v>1338</v>
      </c>
      <c r="L123" s="65" t="s">
        <v>3525</v>
      </c>
      <c r="M123" s="70" t="s">
        <v>1098</v>
      </c>
      <c r="N123" s="70" t="s">
        <v>1108</v>
      </c>
      <c r="O123" s="75" t="s">
        <v>2018</v>
      </c>
      <c r="P123" s="70" t="s">
        <v>1401</v>
      </c>
      <c r="Q123" s="71" t="b">
        <v>1</v>
      </c>
      <c r="R123" s="75" t="s">
        <v>2347</v>
      </c>
      <c r="S123" s="75" t="s">
        <v>3433</v>
      </c>
      <c r="T123" s="239" t="s">
        <v>1843</v>
      </c>
      <c r="U123" s="47" t="s">
        <v>3371</v>
      </c>
      <c r="V123" s="239" t="s">
        <v>1161</v>
      </c>
      <c r="W123" s="457"/>
      <c r="X123" s="457"/>
      <c r="Y123" s="517"/>
    </row>
    <row r="124" ht="22.5" customHeight="1">
      <c r="A124" s="239" t="s">
        <v>1445</v>
      </c>
      <c r="B124" s="65" t="s">
        <v>2884</v>
      </c>
      <c r="C124" s="65" t="s">
        <v>3526</v>
      </c>
      <c r="D124" s="65" t="s">
        <v>2350</v>
      </c>
      <c r="E124" s="65" t="s">
        <v>2351</v>
      </c>
      <c r="F124" s="65" t="s">
        <v>2352</v>
      </c>
      <c r="G124" s="75" t="s">
        <v>28</v>
      </c>
      <c r="H124" s="65" t="s">
        <v>2353</v>
      </c>
      <c r="I124" s="65" t="s">
        <v>2354</v>
      </c>
      <c r="J124" s="65" t="s">
        <v>2355</v>
      </c>
      <c r="K124" s="65" t="s">
        <v>1091</v>
      </c>
      <c r="L124" s="65" t="s">
        <v>1093</v>
      </c>
      <c r="M124" s="70" t="s">
        <v>3324</v>
      </c>
      <c r="N124" s="70" t="s">
        <v>1108</v>
      </c>
      <c r="O124" s="75" t="s">
        <v>2018</v>
      </c>
      <c r="P124" s="70" t="s">
        <v>1161</v>
      </c>
      <c r="Q124" s="71" t="b">
        <v>1</v>
      </c>
      <c r="R124" s="65" t="s">
        <v>2356</v>
      </c>
      <c r="S124" s="65" t="s">
        <v>2357</v>
      </c>
      <c r="T124" s="239" t="s">
        <v>1843</v>
      </c>
      <c r="U124" s="47" t="s">
        <v>1161</v>
      </c>
      <c r="V124" s="239" t="s">
        <v>1161</v>
      </c>
      <c r="W124" s="440"/>
      <c r="X124" s="441" t="s">
        <v>3314</v>
      </c>
      <c r="Y124" s="60"/>
    </row>
    <row r="125" ht="22.5" customHeight="1">
      <c r="A125" s="239" t="s">
        <v>1445</v>
      </c>
      <c r="B125" s="65" t="s">
        <v>1475</v>
      </c>
      <c r="C125" s="65" t="s">
        <v>3527</v>
      </c>
      <c r="D125" s="75" t="s">
        <v>2359</v>
      </c>
      <c r="E125" s="65" t="s">
        <v>2360</v>
      </c>
      <c r="F125" s="65" t="s">
        <v>2361</v>
      </c>
      <c r="G125" s="65" t="s">
        <v>2140</v>
      </c>
      <c r="H125" s="65" t="s">
        <v>2362</v>
      </c>
      <c r="I125" s="65" t="s">
        <v>2363</v>
      </c>
      <c r="J125" s="65" t="s">
        <v>2364</v>
      </c>
      <c r="K125" s="65" t="s">
        <v>1091</v>
      </c>
      <c r="L125" s="65" t="s">
        <v>1093</v>
      </c>
      <c r="M125" s="70" t="s">
        <v>1098</v>
      </c>
      <c r="N125" s="70" t="s">
        <v>1108</v>
      </c>
      <c r="O125" s="75" t="s">
        <v>1161</v>
      </c>
      <c r="P125" s="70" t="s">
        <v>1401</v>
      </c>
      <c r="Q125" s="71" t="b">
        <v>0</v>
      </c>
      <c r="R125" s="75" t="s">
        <v>2365</v>
      </c>
      <c r="S125" s="75" t="s">
        <v>3436</v>
      </c>
      <c r="T125" s="239" t="s">
        <v>1843</v>
      </c>
      <c r="U125" s="47" t="s">
        <v>3371</v>
      </c>
      <c r="V125" s="239" t="s">
        <v>1161</v>
      </c>
      <c r="W125" s="440"/>
      <c r="X125" s="441" t="s">
        <v>3314</v>
      </c>
      <c r="Y125" s="60"/>
    </row>
    <row r="126" ht="20.25" customHeight="1">
      <c r="A126" s="70" t="s">
        <v>1435</v>
      </c>
      <c r="B126" s="65" t="s">
        <v>1475</v>
      </c>
      <c r="C126" s="468" t="s">
        <v>3528</v>
      </c>
      <c r="D126" s="75" t="s">
        <v>2368</v>
      </c>
      <c r="E126" s="65" t="s">
        <v>2369</v>
      </c>
      <c r="F126" s="65" t="s">
        <v>2370</v>
      </c>
      <c r="G126" s="75" t="s">
        <v>123</v>
      </c>
      <c r="H126" s="65" t="s">
        <v>2371</v>
      </c>
      <c r="I126" s="65" t="s">
        <v>2372</v>
      </c>
      <c r="J126" s="65" t="s">
        <v>2373</v>
      </c>
      <c r="K126" s="65" t="s">
        <v>1091</v>
      </c>
      <c r="L126" s="65" t="s">
        <v>1093</v>
      </c>
      <c r="M126" s="70" t="s">
        <v>1098</v>
      </c>
      <c r="N126" s="70" t="s">
        <v>1108</v>
      </c>
      <c r="O126" s="75" t="s">
        <v>1161</v>
      </c>
      <c r="P126" s="469" t="s">
        <v>1161</v>
      </c>
      <c r="Q126" s="71" t="b">
        <v>1</v>
      </c>
      <c r="R126" s="65" t="s">
        <v>3431</v>
      </c>
      <c r="S126" s="461" t="s">
        <v>3364</v>
      </c>
      <c r="T126" s="239" t="s">
        <v>1843</v>
      </c>
      <c r="U126" s="47" t="s">
        <v>3371</v>
      </c>
      <c r="V126" s="239" t="s">
        <v>1161</v>
      </c>
      <c r="W126" s="441" t="s">
        <v>3342</v>
      </c>
      <c r="X126" s="441" t="s">
        <v>3314</v>
      </c>
      <c r="Y126" s="60"/>
    </row>
    <row r="127" ht="21.75" customHeight="1">
      <c r="A127" s="239" t="s">
        <v>1000</v>
      </c>
      <c r="B127" s="65" t="s">
        <v>2884</v>
      </c>
      <c r="C127" s="65" t="s">
        <v>3529</v>
      </c>
      <c r="D127" s="65" t="s">
        <v>2381</v>
      </c>
      <c r="E127" s="65" t="s">
        <v>2382</v>
      </c>
      <c r="F127" s="65" t="s">
        <v>2383</v>
      </c>
      <c r="G127" s="75" t="s">
        <v>2385</v>
      </c>
      <c r="H127" s="65" t="s">
        <v>2386</v>
      </c>
      <c r="I127" s="65" t="s">
        <v>2387</v>
      </c>
      <c r="J127" s="65" t="s">
        <v>2388</v>
      </c>
      <c r="K127" s="65" t="s">
        <v>1091</v>
      </c>
      <c r="L127" s="65" t="s">
        <v>1093</v>
      </c>
      <c r="M127" s="70" t="s">
        <v>1098</v>
      </c>
      <c r="N127" s="70" t="s">
        <v>1108</v>
      </c>
      <c r="O127" s="75" t="s">
        <v>1161</v>
      </c>
      <c r="P127" s="70" t="s">
        <v>1161</v>
      </c>
      <c r="Q127" s="71" t="b">
        <v>1</v>
      </c>
      <c r="R127" s="65" t="s">
        <v>2390</v>
      </c>
      <c r="S127" s="65" t="s">
        <v>3530</v>
      </c>
      <c r="T127" s="239" t="s">
        <v>1843</v>
      </c>
      <c r="U127" s="47" t="s">
        <v>1441</v>
      </c>
      <c r="V127" s="239" t="s">
        <v>1161</v>
      </c>
      <c r="W127" s="457"/>
      <c r="X127" s="457"/>
      <c r="Y127" s="517"/>
    </row>
    <row r="128" ht="22.5" customHeight="1">
      <c r="A128" s="239" t="s">
        <v>1445</v>
      </c>
      <c r="B128" s="65" t="s">
        <v>1311</v>
      </c>
      <c r="C128" s="65" t="s">
        <v>3531</v>
      </c>
      <c r="D128" s="437" t="s">
        <v>2394</v>
      </c>
      <c r="E128" s="65" t="s">
        <v>2395</v>
      </c>
      <c r="F128" s="65" t="s">
        <v>2396</v>
      </c>
      <c r="G128" s="75" t="s">
        <v>70</v>
      </c>
      <c r="H128" s="65" t="s">
        <v>2397</v>
      </c>
      <c r="I128" s="65" t="s">
        <v>2398</v>
      </c>
      <c r="J128" s="65" t="s">
        <v>1471</v>
      </c>
      <c r="K128" s="65" t="s">
        <v>1338</v>
      </c>
      <c r="L128" s="65" t="s">
        <v>3532</v>
      </c>
      <c r="M128" s="70" t="s">
        <v>1098</v>
      </c>
      <c r="N128" s="70" t="s">
        <v>1108</v>
      </c>
      <c r="O128" s="75" t="s">
        <v>1161</v>
      </c>
      <c r="P128" s="70" t="s">
        <v>1401</v>
      </c>
      <c r="Q128" s="71" t="b">
        <v>1</v>
      </c>
      <c r="R128" s="65" t="s">
        <v>3533</v>
      </c>
      <c r="S128" s="75" t="s">
        <v>3534</v>
      </c>
      <c r="T128" s="239" t="s">
        <v>1843</v>
      </c>
      <c r="U128" s="47" t="s">
        <v>3371</v>
      </c>
      <c r="V128" s="239" t="s">
        <v>1161</v>
      </c>
      <c r="W128" s="462"/>
      <c r="X128" s="457"/>
      <c r="Y128" s="517"/>
    </row>
    <row r="129" ht="22.5" customHeight="1">
      <c r="A129" s="239" t="s">
        <v>1445</v>
      </c>
      <c r="B129" s="75" t="s">
        <v>2884</v>
      </c>
      <c r="C129" s="65" t="s">
        <v>3535</v>
      </c>
      <c r="D129" s="65" t="s">
        <v>2401</v>
      </c>
      <c r="E129" s="65" t="s">
        <v>2402</v>
      </c>
      <c r="F129" s="65" t="s">
        <v>2403</v>
      </c>
      <c r="G129" s="75" t="s">
        <v>325</v>
      </c>
      <c r="H129" s="65" t="s">
        <v>3536</v>
      </c>
      <c r="I129" s="65" t="s">
        <v>2406</v>
      </c>
      <c r="J129" s="65" t="s">
        <v>2407</v>
      </c>
      <c r="K129" s="65" t="s">
        <v>1091</v>
      </c>
      <c r="L129" s="65" t="s">
        <v>1093</v>
      </c>
      <c r="M129" s="70" t="s">
        <v>1098</v>
      </c>
      <c r="N129" s="70" t="s">
        <v>1108</v>
      </c>
      <c r="O129" s="75" t="s">
        <v>1161</v>
      </c>
      <c r="P129" s="70" t="s">
        <v>1161</v>
      </c>
      <c r="Q129" s="71" t="b">
        <v>1</v>
      </c>
      <c r="R129" s="75" t="s">
        <v>2408</v>
      </c>
      <c r="S129" s="75" t="s">
        <v>3537</v>
      </c>
      <c r="T129" s="239" t="s">
        <v>1843</v>
      </c>
      <c r="U129" s="520" t="s">
        <v>1161</v>
      </c>
      <c r="V129" s="239" t="s">
        <v>1161</v>
      </c>
      <c r="W129" s="440"/>
      <c r="X129" s="441" t="s">
        <v>3314</v>
      </c>
      <c r="Y129" s="60"/>
    </row>
    <row r="130" ht="22.5" customHeight="1">
      <c r="A130" s="70" t="s">
        <v>1435</v>
      </c>
      <c r="B130" s="65" t="s">
        <v>219</v>
      </c>
      <c r="C130" s="65" t="s">
        <v>3538</v>
      </c>
      <c r="D130" s="65" t="s">
        <v>2421</v>
      </c>
      <c r="E130" s="65" t="s">
        <v>2422</v>
      </c>
      <c r="F130" s="65" t="s">
        <v>2423</v>
      </c>
      <c r="G130" s="65" t="s">
        <v>1016</v>
      </c>
      <c r="H130" s="65" t="s">
        <v>2424</v>
      </c>
      <c r="I130" s="65" t="s">
        <v>2425</v>
      </c>
      <c r="J130" s="65" t="s">
        <v>2426</v>
      </c>
      <c r="K130" s="65" t="s">
        <v>1091</v>
      </c>
      <c r="L130" s="65" t="s">
        <v>1093</v>
      </c>
      <c r="M130" s="70" t="s">
        <v>1098</v>
      </c>
      <c r="N130" s="70" t="s">
        <v>1108</v>
      </c>
      <c r="O130" s="75" t="s">
        <v>1161</v>
      </c>
      <c r="P130" s="70" t="s">
        <v>1401</v>
      </c>
      <c r="Q130" s="71" t="b">
        <v>1</v>
      </c>
      <c r="R130" s="65" t="s">
        <v>2427</v>
      </c>
      <c r="S130" s="461" t="s">
        <v>3539</v>
      </c>
      <c r="T130" s="239" t="s">
        <v>1843</v>
      </c>
      <c r="U130" s="47" t="s">
        <v>3319</v>
      </c>
      <c r="V130" s="239" t="s">
        <v>1161</v>
      </c>
      <c r="W130" s="441" t="s">
        <v>3342</v>
      </c>
      <c r="X130" s="457"/>
      <c r="Y130" s="517"/>
    </row>
    <row r="131" ht="22.5" customHeight="1">
      <c r="A131" s="239" t="s">
        <v>1443</v>
      </c>
      <c r="B131" s="65" t="s">
        <v>2884</v>
      </c>
      <c r="C131" s="65" t="s">
        <v>3540</v>
      </c>
      <c r="D131" s="75" t="s">
        <v>2430</v>
      </c>
      <c r="E131" s="65" t="s">
        <v>2431</v>
      </c>
      <c r="F131" s="65" t="s">
        <v>2432</v>
      </c>
      <c r="G131" s="75" t="s">
        <v>174</v>
      </c>
      <c r="H131" s="65" t="s">
        <v>2433</v>
      </c>
      <c r="I131" s="65" t="s">
        <v>2434</v>
      </c>
      <c r="J131" s="65" t="s">
        <v>3541</v>
      </c>
      <c r="K131" s="65" t="s">
        <v>1091</v>
      </c>
      <c r="L131" s="65" t="s">
        <v>1093</v>
      </c>
      <c r="M131" s="70" t="s">
        <v>1098</v>
      </c>
      <c r="N131" s="70" t="s">
        <v>1108</v>
      </c>
      <c r="O131" s="75" t="s">
        <v>1746</v>
      </c>
      <c r="P131" s="70" t="s">
        <v>1401</v>
      </c>
      <c r="Q131" s="71" t="b">
        <v>1</v>
      </c>
      <c r="R131" s="65" t="s">
        <v>2435</v>
      </c>
      <c r="S131" s="65" t="s">
        <v>3542</v>
      </c>
      <c r="T131" s="239" t="s">
        <v>1843</v>
      </c>
      <c r="U131" s="47" t="s">
        <v>3319</v>
      </c>
      <c r="V131" s="239" t="s">
        <v>1161</v>
      </c>
      <c r="W131" s="441"/>
      <c r="X131" s="457"/>
      <c r="Y131" s="517"/>
    </row>
    <row r="132" ht="22.5" customHeight="1">
      <c r="A132" s="70" t="s">
        <v>1445</v>
      </c>
      <c r="B132" s="65" t="s">
        <v>2884</v>
      </c>
      <c r="C132" s="65" t="s">
        <v>3543</v>
      </c>
      <c r="D132" s="65" t="s">
        <v>2438</v>
      </c>
      <c r="E132" s="65" t="s">
        <v>2439</v>
      </c>
      <c r="F132" s="65" t="s">
        <v>3544</v>
      </c>
      <c r="G132" s="75" t="s">
        <v>695</v>
      </c>
      <c r="H132" s="65" t="s">
        <v>3545</v>
      </c>
      <c r="I132" s="65" t="s">
        <v>2442</v>
      </c>
      <c r="J132" s="75" t="s">
        <v>2443</v>
      </c>
      <c r="K132" s="65" t="s">
        <v>1091</v>
      </c>
      <c r="L132" s="65" t="s">
        <v>1093</v>
      </c>
      <c r="M132" s="70" t="s">
        <v>1098</v>
      </c>
      <c r="N132" s="70" t="s">
        <v>1108</v>
      </c>
      <c r="O132" s="75" t="s">
        <v>2018</v>
      </c>
      <c r="P132" s="239" t="s">
        <v>1401</v>
      </c>
      <c r="Q132" s="71" t="b">
        <v>1</v>
      </c>
      <c r="R132" s="95" t="s">
        <v>3546</v>
      </c>
      <c r="S132" s="75" t="s">
        <v>3547</v>
      </c>
      <c r="T132" s="239" t="s">
        <v>1843</v>
      </c>
      <c r="U132" s="47" t="s">
        <v>1161</v>
      </c>
      <c r="V132" s="239" t="s">
        <v>1161</v>
      </c>
      <c r="W132" s="440"/>
      <c r="X132" s="441" t="s">
        <v>3314</v>
      </c>
      <c r="Y132" s="60"/>
    </row>
    <row r="133" ht="22.5" customHeight="1">
      <c r="A133" s="70" t="s">
        <v>1445</v>
      </c>
      <c r="B133" s="65" t="s">
        <v>1475</v>
      </c>
      <c r="C133" s="65" t="s">
        <v>3548</v>
      </c>
      <c r="D133" s="65" t="s">
        <v>2449</v>
      </c>
      <c r="E133" s="65" t="s">
        <v>2450</v>
      </c>
      <c r="F133" s="65" t="s">
        <v>2451</v>
      </c>
      <c r="G133" s="75" t="s">
        <v>695</v>
      </c>
      <c r="H133" s="65" t="s">
        <v>3549</v>
      </c>
      <c r="I133" s="65" t="s">
        <v>2453</v>
      </c>
      <c r="J133" s="65" t="s">
        <v>2454</v>
      </c>
      <c r="K133" s="65" t="s">
        <v>1091</v>
      </c>
      <c r="L133" s="65" t="s">
        <v>1093</v>
      </c>
      <c r="M133" s="70" t="s">
        <v>1098</v>
      </c>
      <c r="N133" s="70" t="s">
        <v>1108</v>
      </c>
      <c r="O133" s="75" t="s">
        <v>2018</v>
      </c>
      <c r="P133" s="239" t="s">
        <v>1161</v>
      </c>
      <c r="Q133" s="71" t="b">
        <v>1</v>
      </c>
      <c r="R133" s="65" t="s">
        <v>2456</v>
      </c>
      <c r="S133" s="75" t="s">
        <v>3550</v>
      </c>
      <c r="T133" s="239" t="s">
        <v>1843</v>
      </c>
      <c r="U133" s="47" t="s">
        <v>1161</v>
      </c>
      <c r="V133" s="239" t="s">
        <v>1161</v>
      </c>
      <c r="W133" s="440"/>
      <c r="X133" s="441" t="s">
        <v>3314</v>
      </c>
      <c r="Y133" s="60"/>
    </row>
    <row r="134" ht="22.5" customHeight="1">
      <c r="A134" s="519" t="s">
        <v>1442</v>
      </c>
      <c r="B134" s="75" t="s">
        <v>1475</v>
      </c>
      <c r="C134" s="65" t="s">
        <v>3551</v>
      </c>
      <c r="D134" s="65" t="s">
        <v>2459</v>
      </c>
      <c r="E134" s="65" t="s">
        <v>2460</v>
      </c>
      <c r="F134" s="65" t="s">
        <v>2461</v>
      </c>
      <c r="G134" s="75" t="s">
        <v>1260</v>
      </c>
      <c r="H134" s="65" t="s">
        <v>2462</v>
      </c>
      <c r="I134" s="65" t="s">
        <v>2463</v>
      </c>
      <c r="J134" s="65" t="s">
        <v>3552</v>
      </c>
      <c r="K134" s="65" t="s">
        <v>1091</v>
      </c>
      <c r="L134" s="65" t="s">
        <v>1093</v>
      </c>
      <c r="M134" s="70" t="s">
        <v>1098</v>
      </c>
      <c r="N134" s="70" t="s">
        <v>1108</v>
      </c>
      <c r="O134" s="75" t="s">
        <v>1161</v>
      </c>
      <c r="P134" s="239" t="s">
        <v>1161</v>
      </c>
      <c r="Q134" s="71" t="b">
        <v>1</v>
      </c>
      <c r="R134" s="75" t="s">
        <v>3553</v>
      </c>
      <c r="S134" s="75" t="s">
        <v>3461</v>
      </c>
      <c r="T134" s="239" t="s">
        <v>1843</v>
      </c>
      <c r="U134" s="47" t="s">
        <v>3371</v>
      </c>
      <c r="V134" s="239" t="s">
        <v>1161</v>
      </c>
      <c r="W134" s="462" t="s">
        <v>3321</v>
      </c>
      <c r="X134" s="457"/>
      <c r="Y134" s="517"/>
    </row>
    <row r="135" ht="22.5" customHeight="1">
      <c r="A135" s="70" t="s">
        <v>1445</v>
      </c>
      <c r="B135" s="65" t="s">
        <v>2884</v>
      </c>
      <c r="C135" s="65" t="s">
        <v>3554</v>
      </c>
      <c r="D135" s="65" t="s">
        <v>2467</v>
      </c>
      <c r="E135" s="65" t="s">
        <v>2468</v>
      </c>
      <c r="F135" s="65" t="s">
        <v>2469</v>
      </c>
      <c r="G135" s="75" t="s">
        <v>695</v>
      </c>
      <c r="H135" s="65" t="s">
        <v>2470</v>
      </c>
      <c r="I135" s="65" t="s">
        <v>2471</v>
      </c>
      <c r="J135" s="65" t="s">
        <v>2472</v>
      </c>
      <c r="K135" s="65" t="s">
        <v>1091</v>
      </c>
      <c r="L135" s="65" t="s">
        <v>1093</v>
      </c>
      <c r="M135" s="70" t="s">
        <v>3324</v>
      </c>
      <c r="N135" s="70" t="s">
        <v>1108</v>
      </c>
      <c r="O135" s="75" t="s">
        <v>2018</v>
      </c>
      <c r="P135" s="239" t="s">
        <v>1161</v>
      </c>
      <c r="Q135" s="71" t="b">
        <v>1</v>
      </c>
      <c r="R135" s="65" t="s">
        <v>2456</v>
      </c>
      <c r="S135" s="65" t="s">
        <v>2473</v>
      </c>
      <c r="T135" s="239" t="s">
        <v>1843</v>
      </c>
      <c r="U135" s="47" t="s">
        <v>1161</v>
      </c>
      <c r="V135" s="239" t="s">
        <v>1161</v>
      </c>
      <c r="W135" s="440"/>
      <c r="X135" s="441" t="s">
        <v>3314</v>
      </c>
      <c r="Y135" s="60"/>
    </row>
    <row r="136" ht="22.5" customHeight="1">
      <c r="A136" s="70" t="s">
        <v>1000</v>
      </c>
      <c r="B136" s="65" t="s">
        <v>2884</v>
      </c>
      <c r="C136" s="65" t="s">
        <v>3555</v>
      </c>
      <c r="D136" s="75" t="s">
        <v>2476</v>
      </c>
      <c r="E136" s="65" t="s">
        <v>2477</v>
      </c>
      <c r="F136" s="65" t="s">
        <v>2478</v>
      </c>
      <c r="G136" s="75" t="s">
        <v>70</v>
      </c>
      <c r="H136" s="65" t="s">
        <v>2479</v>
      </c>
      <c r="I136" s="65" t="s">
        <v>2480</v>
      </c>
      <c r="J136" s="65" t="s">
        <v>2481</v>
      </c>
      <c r="K136" s="65" t="s">
        <v>1091</v>
      </c>
      <c r="L136" s="65" t="s">
        <v>1093</v>
      </c>
      <c r="M136" s="70" t="s">
        <v>1098</v>
      </c>
      <c r="N136" s="70" t="s">
        <v>1108</v>
      </c>
      <c r="O136" s="75" t="s">
        <v>2018</v>
      </c>
      <c r="P136" s="70" t="s">
        <v>1401</v>
      </c>
      <c r="Q136" s="71" t="b">
        <v>1</v>
      </c>
      <c r="R136" s="65" t="s">
        <v>2483</v>
      </c>
      <c r="S136" s="65" t="s">
        <v>3336</v>
      </c>
      <c r="T136" s="239" t="s">
        <v>1843</v>
      </c>
      <c r="U136" s="47" t="s">
        <v>3319</v>
      </c>
      <c r="V136" s="239" t="s">
        <v>1161</v>
      </c>
      <c r="W136" s="462"/>
      <c r="X136" s="457"/>
      <c r="Y136" s="517"/>
    </row>
    <row r="137" ht="22.5" customHeight="1">
      <c r="A137" s="239" t="s">
        <v>1000</v>
      </c>
      <c r="B137" s="65" t="s">
        <v>1475</v>
      </c>
      <c r="C137" s="65" t="s">
        <v>3556</v>
      </c>
      <c r="D137" s="75" t="s">
        <v>2488</v>
      </c>
      <c r="E137" s="75" t="s">
        <v>2489</v>
      </c>
      <c r="F137" s="75" t="s">
        <v>2490</v>
      </c>
      <c r="G137" s="75" t="s">
        <v>620</v>
      </c>
      <c r="H137" s="75" t="s">
        <v>2491</v>
      </c>
      <c r="I137" s="75" t="s">
        <v>2493</v>
      </c>
      <c r="J137" s="75" t="s">
        <v>2494</v>
      </c>
      <c r="K137" s="75" t="s">
        <v>1091</v>
      </c>
      <c r="L137" s="75" t="s">
        <v>1093</v>
      </c>
      <c r="M137" s="70" t="s">
        <v>1098</v>
      </c>
      <c r="N137" s="70" t="s">
        <v>1108</v>
      </c>
      <c r="O137" s="75" t="s">
        <v>1161</v>
      </c>
      <c r="P137" s="70" t="s">
        <v>1401</v>
      </c>
      <c r="Q137" s="71" t="b">
        <v>1</v>
      </c>
      <c r="R137" s="75" t="s">
        <v>2496</v>
      </c>
      <c r="S137" s="75" t="s">
        <v>3318</v>
      </c>
      <c r="T137" s="239" t="s">
        <v>1843</v>
      </c>
      <c r="U137" s="47" t="s">
        <v>3319</v>
      </c>
      <c r="V137" s="239" t="s">
        <v>1161</v>
      </c>
      <c r="W137" s="441" t="s">
        <v>3321</v>
      </c>
      <c r="X137" s="457"/>
      <c r="Y137" s="517"/>
    </row>
    <row r="138" ht="22.5" customHeight="1">
      <c r="A138" s="519" t="s">
        <v>1445</v>
      </c>
      <c r="B138" s="75" t="s">
        <v>1311</v>
      </c>
      <c r="C138" s="65" t="s">
        <v>3557</v>
      </c>
      <c r="D138" s="65" t="s">
        <v>2501</v>
      </c>
      <c r="E138" s="65" t="s">
        <v>2502</v>
      </c>
      <c r="F138" s="65" t="s">
        <v>2503</v>
      </c>
      <c r="G138" s="75" t="s">
        <v>70</v>
      </c>
      <c r="H138" s="65" t="s">
        <v>2504</v>
      </c>
      <c r="I138" s="65" t="s">
        <v>2505</v>
      </c>
      <c r="J138" s="65" t="s">
        <v>2506</v>
      </c>
      <c r="K138" s="65" t="s">
        <v>2507</v>
      </c>
      <c r="L138" s="65" t="s">
        <v>3558</v>
      </c>
      <c r="M138" s="70" t="s">
        <v>1098</v>
      </c>
      <c r="N138" s="70" t="s">
        <v>1108</v>
      </c>
      <c r="O138" s="75" t="s">
        <v>1161</v>
      </c>
      <c r="P138" s="70" t="s">
        <v>1161</v>
      </c>
      <c r="Q138" s="71" t="b">
        <v>1</v>
      </c>
      <c r="R138" s="65" t="s">
        <v>3559</v>
      </c>
      <c r="S138" s="75" t="s">
        <v>3560</v>
      </c>
      <c r="T138" s="239" t="s">
        <v>1843</v>
      </c>
      <c r="U138" s="47" t="s">
        <v>1161</v>
      </c>
      <c r="V138" s="239" t="s">
        <v>1161</v>
      </c>
      <c r="W138" s="462" t="s">
        <v>3321</v>
      </c>
      <c r="X138" s="457"/>
      <c r="Y138" s="517"/>
    </row>
    <row r="139" ht="22.5" customHeight="1">
      <c r="A139" s="70" t="s">
        <v>1445</v>
      </c>
      <c r="B139" s="65" t="s">
        <v>219</v>
      </c>
      <c r="C139" s="65" t="s">
        <v>3561</v>
      </c>
      <c r="D139" s="65" t="s">
        <v>2513</v>
      </c>
      <c r="E139" s="65" t="s">
        <v>2514</v>
      </c>
      <c r="F139" s="65" t="s">
        <v>2516</v>
      </c>
      <c r="G139" s="75" t="s">
        <v>695</v>
      </c>
      <c r="H139" s="65" t="s">
        <v>2517</v>
      </c>
      <c r="I139" s="65" t="s">
        <v>2518</v>
      </c>
      <c r="J139" s="65" t="s">
        <v>2520</v>
      </c>
      <c r="K139" s="65" t="s">
        <v>1091</v>
      </c>
      <c r="L139" s="65" t="s">
        <v>1093</v>
      </c>
      <c r="M139" s="70" t="s">
        <v>1098</v>
      </c>
      <c r="N139" s="70" t="s">
        <v>1108</v>
      </c>
      <c r="O139" s="75" t="s">
        <v>1161</v>
      </c>
      <c r="P139" s="70" t="s">
        <v>1161</v>
      </c>
      <c r="Q139" s="71" t="b">
        <v>1</v>
      </c>
      <c r="R139" s="65" t="s">
        <v>2456</v>
      </c>
      <c r="S139" s="65" t="s">
        <v>2521</v>
      </c>
      <c r="T139" s="239" t="s">
        <v>1843</v>
      </c>
      <c r="U139" s="47" t="s">
        <v>1161</v>
      </c>
      <c r="V139" s="239" t="s">
        <v>1161</v>
      </c>
      <c r="W139" s="440"/>
      <c r="X139" s="441" t="s">
        <v>3314</v>
      </c>
      <c r="Y139" s="60"/>
    </row>
    <row r="140" ht="22.5" customHeight="1">
      <c r="A140" s="70" t="s">
        <v>1000</v>
      </c>
      <c r="B140" s="65" t="s">
        <v>219</v>
      </c>
      <c r="C140" s="65" t="s">
        <v>3562</v>
      </c>
      <c r="D140" s="65" t="s">
        <v>2523</v>
      </c>
      <c r="E140" s="65" t="s">
        <v>2524</v>
      </c>
      <c r="F140" s="65" t="s">
        <v>3563</v>
      </c>
      <c r="G140" s="65" t="s">
        <v>1016</v>
      </c>
      <c r="H140" s="65" t="s">
        <v>2525</v>
      </c>
      <c r="I140" s="65" t="s">
        <v>2526</v>
      </c>
      <c r="J140" s="65" t="s">
        <v>2527</v>
      </c>
      <c r="K140" s="65" t="s">
        <v>1091</v>
      </c>
      <c r="L140" s="65" t="s">
        <v>1093</v>
      </c>
      <c r="M140" s="70" t="s">
        <v>1098</v>
      </c>
      <c r="N140" s="70" t="s">
        <v>1108</v>
      </c>
      <c r="O140" s="75" t="s">
        <v>1430</v>
      </c>
      <c r="P140" s="70" t="s">
        <v>1161</v>
      </c>
      <c r="Q140" s="71" t="b">
        <v>1</v>
      </c>
      <c r="R140" s="65" t="s">
        <v>3492</v>
      </c>
      <c r="S140" s="95" t="s">
        <v>3564</v>
      </c>
      <c r="T140" s="239" t="s">
        <v>1843</v>
      </c>
      <c r="U140" s="81" t="s">
        <v>1161</v>
      </c>
      <c r="V140" s="524"/>
      <c r="W140" s="525"/>
      <c r="X140" s="525"/>
      <c r="Y140" s="526"/>
    </row>
    <row r="141" ht="22.5" customHeight="1">
      <c r="A141" s="70" t="s">
        <v>1444</v>
      </c>
      <c r="B141" s="65" t="s">
        <v>1212</v>
      </c>
      <c r="C141" s="65" t="s">
        <v>3565</v>
      </c>
      <c r="D141" s="75" t="s">
        <v>2531</v>
      </c>
      <c r="E141" s="65" t="s">
        <v>2532</v>
      </c>
      <c r="F141" s="65" t="s">
        <v>2533</v>
      </c>
      <c r="G141" s="75" t="s">
        <v>2535</v>
      </c>
      <c r="H141" s="65" t="s">
        <v>2536</v>
      </c>
      <c r="I141" s="65" t="s">
        <v>2537</v>
      </c>
      <c r="J141" s="65" t="s">
        <v>2538</v>
      </c>
      <c r="K141" s="65" t="s">
        <v>1091</v>
      </c>
      <c r="L141" s="65" t="s">
        <v>1093</v>
      </c>
      <c r="M141" s="70" t="s">
        <v>1098</v>
      </c>
      <c r="N141" s="70" t="s">
        <v>1108</v>
      </c>
      <c r="O141" s="75" t="s">
        <v>1161</v>
      </c>
      <c r="P141" s="70" t="s">
        <v>2019</v>
      </c>
      <c r="Q141" s="71" t="b">
        <v>1</v>
      </c>
      <c r="R141" s="65" t="s">
        <v>2539</v>
      </c>
      <c r="S141" s="75" t="s">
        <v>3566</v>
      </c>
      <c r="T141" s="239" t="s">
        <v>1843</v>
      </c>
      <c r="U141" s="47" t="s">
        <v>1441</v>
      </c>
      <c r="V141" s="239" t="s">
        <v>3567</v>
      </c>
      <c r="W141" s="457"/>
      <c r="X141" s="457"/>
      <c r="Y141" s="517"/>
    </row>
    <row r="142" ht="22.5" customHeight="1">
      <c r="A142" s="70" t="s">
        <v>1445</v>
      </c>
      <c r="B142" s="65" t="s">
        <v>3568</v>
      </c>
      <c r="C142" s="65" t="s">
        <v>3569</v>
      </c>
      <c r="D142" s="65" t="s">
        <v>2543</v>
      </c>
      <c r="E142" s="65" t="s">
        <v>2544</v>
      </c>
      <c r="F142" s="65" t="s">
        <v>2545</v>
      </c>
      <c r="G142" s="75" t="s">
        <v>70</v>
      </c>
      <c r="H142" s="65" t="s">
        <v>2546</v>
      </c>
      <c r="I142" s="65" t="s">
        <v>2547</v>
      </c>
      <c r="J142" s="65" t="s">
        <v>2548</v>
      </c>
      <c r="K142" s="65" t="s">
        <v>1091</v>
      </c>
      <c r="L142" s="65" t="s">
        <v>1093</v>
      </c>
      <c r="M142" s="70" t="s">
        <v>1098</v>
      </c>
      <c r="N142" s="70" t="s">
        <v>1108</v>
      </c>
      <c r="O142" s="75" t="s">
        <v>1161</v>
      </c>
      <c r="P142" s="239" t="s">
        <v>1401</v>
      </c>
      <c r="Q142" s="71" t="b">
        <v>1</v>
      </c>
      <c r="R142" s="65" t="s">
        <v>2549</v>
      </c>
      <c r="S142" s="65" t="s">
        <v>2550</v>
      </c>
      <c r="T142" s="239" t="s">
        <v>1961</v>
      </c>
      <c r="U142" s="47" t="s">
        <v>1161</v>
      </c>
      <c r="V142" s="239" t="s">
        <v>1161</v>
      </c>
      <c r="W142" s="440"/>
      <c r="X142" s="441" t="s">
        <v>3314</v>
      </c>
      <c r="Y142" s="60"/>
    </row>
    <row r="143" ht="22.5" customHeight="1">
      <c r="A143" s="70" t="s">
        <v>1435</v>
      </c>
      <c r="B143" s="65" t="s">
        <v>1311</v>
      </c>
      <c r="C143" s="65" t="s">
        <v>3570</v>
      </c>
      <c r="D143" s="75" t="s">
        <v>2554</v>
      </c>
      <c r="E143" s="65" t="s">
        <v>2555</v>
      </c>
      <c r="F143" s="65" t="s">
        <v>2556</v>
      </c>
      <c r="G143" s="75" t="s">
        <v>70</v>
      </c>
      <c r="H143" s="65" t="s">
        <v>2557</v>
      </c>
      <c r="I143" s="65" t="s">
        <v>2558</v>
      </c>
      <c r="J143" s="65" t="s">
        <v>2559</v>
      </c>
      <c r="K143" s="65" t="s">
        <v>2560</v>
      </c>
      <c r="L143" s="65" t="s">
        <v>3571</v>
      </c>
      <c r="M143" s="70" t="s">
        <v>1098</v>
      </c>
      <c r="N143" s="70" t="s">
        <v>1108</v>
      </c>
      <c r="O143" s="75" t="s">
        <v>2018</v>
      </c>
      <c r="P143" s="70" t="s">
        <v>2019</v>
      </c>
      <c r="Q143" s="71" t="b">
        <v>1</v>
      </c>
      <c r="R143" s="65" t="s">
        <v>2562</v>
      </c>
      <c r="S143" s="75" t="s">
        <v>3572</v>
      </c>
      <c r="T143" s="239" t="s">
        <v>1843</v>
      </c>
      <c r="U143" s="355"/>
      <c r="V143" s="239" t="s">
        <v>1161</v>
      </c>
      <c r="W143" s="462" t="s">
        <v>3573</v>
      </c>
      <c r="X143" s="457"/>
      <c r="Y143" s="517"/>
    </row>
    <row r="144" ht="22.5" customHeight="1">
      <c r="A144" s="70" t="s">
        <v>1445</v>
      </c>
      <c r="B144" s="65" t="s">
        <v>1475</v>
      </c>
      <c r="C144" s="65" t="s">
        <v>3574</v>
      </c>
      <c r="D144" s="523" t="s">
        <v>2304</v>
      </c>
      <c r="E144" s="65" t="s">
        <v>2305</v>
      </c>
      <c r="F144" s="65" t="s">
        <v>2306</v>
      </c>
      <c r="G144" s="65" t="s">
        <v>2140</v>
      </c>
      <c r="H144" s="65" t="s">
        <v>2307</v>
      </c>
      <c r="I144" s="65" t="s">
        <v>2565</v>
      </c>
      <c r="J144" s="65" t="s">
        <v>2566</v>
      </c>
      <c r="K144" s="65" t="s">
        <v>2567</v>
      </c>
      <c r="L144" s="65" t="s">
        <v>3575</v>
      </c>
      <c r="M144" s="70" t="s">
        <v>1098</v>
      </c>
      <c r="N144" s="70" t="s">
        <v>1108</v>
      </c>
      <c r="O144" s="75" t="s">
        <v>1161</v>
      </c>
      <c r="P144" s="70" t="s">
        <v>1401</v>
      </c>
      <c r="Q144" s="71" t="b">
        <v>0</v>
      </c>
      <c r="R144" s="65" t="s">
        <v>2365</v>
      </c>
      <c r="S144" s="65" t="s">
        <v>2568</v>
      </c>
      <c r="T144" s="239" t="s">
        <v>1961</v>
      </c>
      <c r="U144" s="47" t="s">
        <v>1161</v>
      </c>
      <c r="V144" s="239" t="s">
        <v>1161</v>
      </c>
      <c r="W144" s="440"/>
      <c r="X144" s="441" t="s">
        <v>3314</v>
      </c>
      <c r="Y144" s="60"/>
    </row>
    <row r="145" ht="22.5" customHeight="1">
      <c r="A145" s="239" t="s">
        <v>1443</v>
      </c>
      <c r="B145" s="65" t="s">
        <v>1391</v>
      </c>
      <c r="C145" s="65" t="s">
        <v>3576</v>
      </c>
      <c r="D145" s="65" t="s">
        <v>2570</v>
      </c>
      <c r="E145" s="65" t="s">
        <v>2571</v>
      </c>
      <c r="F145" s="65" t="s">
        <v>2572</v>
      </c>
      <c r="G145" s="75" t="s">
        <v>70</v>
      </c>
      <c r="H145" s="65" t="s">
        <v>2573</v>
      </c>
      <c r="I145" s="65" t="s">
        <v>2574</v>
      </c>
      <c r="J145" s="65" t="s">
        <v>2575</v>
      </c>
      <c r="K145" s="65" t="s">
        <v>2576</v>
      </c>
      <c r="L145" s="65" t="s">
        <v>3577</v>
      </c>
      <c r="M145" s="70" t="s">
        <v>1098</v>
      </c>
      <c r="N145" s="70" t="s">
        <v>1108</v>
      </c>
      <c r="O145" s="75" t="s">
        <v>1161</v>
      </c>
      <c r="P145" s="70" t="s">
        <v>2019</v>
      </c>
      <c r="Q145" s="71" t="b">
        <v>1</v>
      </c>
      <c r="R145" s="75" t="s">
        <v>2577</v>
      </c>
      <c r="S145" s="461" t="s">
        <v>3578</v>
      </c>
      <c r="T145" s="239" t="s">
        <v>1843</v>
      </c>
      <c r="U145" s="47" t="s">
        <v>3455</v>
      </c>
      <c r="V145" s="239" t="s">
        <v>1161</v>
      </c>
      <c r="W145" s="441"/>
      <c r="X145" s="457"/>
      <c r="Y145" s="517"/>
    </row>
    <row r="146" ht="22.5" customHeight="1">
      <c r="A146" s="239" t="s">
        <v>1438</v>
      </c>
      <c r="B146" s="65" t="s">
        <v>1391</v>
      </c>
      <c r="C146" s="65" t="s">
        <v>3579</v>
      </c>
      <c r="D146" s="75" t="s">
        <v>1572</v>
      </c>
      <c r="E146" s="65" t="s">
        <v>1573</v>
      </c>
      <c r="F146" s="65" t="s">
        <v>1574</v>
      </c>
      <c r="G146" s="75" t="s">
        <v>70</v>
      </c>
      <c r="H146" s="65" t="s">
        <v>3580</v>
      </c>
      <c r="I146" s="65" t="s">
        <v>1576</v>
      </c>
      <c r="J146" s="65" t="s">
        <v>2581</v>
      </c>
      <c r="K146" s="65" t="s">
        <v>2576</v>
      </c>
      <c r="L146" s="65" t="s">
        <v>3581</v>
      </c>
      <c r="M146" s="70" t="s">
        <v>1098</v>
      </c>
      <c r="N146" s="70" t="s">
        <v>1108</v>
      </c>
      <c r="O146" s="75" t="s">
        <v>1430</v>
      </c>
      <c r="P146" s="70" t="s">
        <v>2019</v>
      </c>
      <c r="Q146" s="71" t="b">
        <v>1</v>
      </c>
      <c r="R146" s="65" t="s">
        <v>2582</v>
      </c>
      <c r="S146" s="65" t="s">
        <v>3582</v>
      </c>
      <c r="T146" s="239" t="s">
        <v>1843</v>
      </c>
      <c r="U146" s="67" t="s">
        <v>3319</v>
      </c>
      <c r="V146" s="70"/>
      <c r="W146" s="441" t="s">
        <v>3573</v>
      </c>
      <c r="X146" s="511"/>
      <c r="Y146" s="515"/>
    </row>
    <row r="147" ht="22.5" customHeight="1">
      <c r="A147" s="239" t="s">
        <v>1445</v>
      </c>
      <c r="B147" s="65" t="s">
        <v>1391</v>
      </c>
      <c r="C147" s="65" t="s">
        <v>3583</v>
      </c>
      <c r="D147" s="65" t="s">
        <v>2586</v>
      </c>
      <c r="E147" s="65" t="s">
        <v>2587</v>
      </c>
      <c r="F147" s="65" t="s">
        <v>2588</v>
      </c>
      <c r="G147" s="75" t="s">
        <v>36</v>
      </c>
      <c r="H147" s="65" t="s">
        <v>2589</v>
      </c>
      <c r="I147" s="65" t="s">
        <v>2590</v>
      </c>
      <c r="J147" s="65" t="s">
        <v>2591</v>
      </c>
      <c r="K147" s="65" t="s">
        <v>2576</v>
      </c>
      <c r="L147" s="65" t="s">
        <v>3584</v>
      </c>
      <c r="M147" s="70" t="s">
        <v>1098</v>
      </c>
      <c r="N147" s="70" t="s">
        <v>1108</v>
      </c>
      <c r="O147" s="75" t="s">
        <v>1161</v>
      </c>
      <c r="P147" s="239" t="s">
        <v>1161</v>
      </c>
      <c r="Q147" s="71" t="b">
        <v>1</v>
      </c>
      <c r="R147" s="65" t="s">
        <v>2593</v>
      </c>
      <c r="S147" s="75" t="s">
        <v>3410</v>
      </c>
      <c r="T147" s="239" t="s">
        <v>1961</v>
      </c>
      <c r="U147" s="47" t="s">
        <v>3371</v>
      </c>
      <c r="V147" s="239" t="s">
        <v>1161</v>
      </c>
      <c r="W147" s="440"/>
      <c r="X147" s="441" t="s">
        <v>3314</v>
      </c>
      <c r="Y147" s="60"/>
    </row>
    <row r="148" ht="22.5" customHeight="1">
      <c r="A148" s="70" t="s">
        <v>1445</v>
      </c>
      <c r="B148" s="75" t="s">
        <v>1475</v>
      </c>
      <c r="C148" s="65" t="s">
        <v>3585</v>
      </c>
      <c r="D148" s="65" t="s">
        <v>2596</v>
      </c>
      <c r="E148" s="65" t="s">
        <v>2597</v>
      </c>
      <c r="F148" s="65" t="s">
        <v>2598</v>
      </c>
      <c r="G148" s="65" t="s">
        <v>1016</v>
      </c>
      <c r="H148" s="65" t="s">
        <v>2599</v>
      </c>
      <c r="I148" s="65" t="s">
        <v>2600</v>
      </c>
      <c r="J148" s="65" t="s">
        <v>2601</v>
      </c>
      <c r="K148" s="65" t="s">
        <v>1091</v>
      </c>
      <c r="L148" s="65" t="s">
        <v>1093</v>
      </c>
      <c r="M148" s="70" t="s">
        <v>1098</v>
      </c>
      <c r="N148" s="70" t="s">
        <v>1108</v>
      </c>
      <c r="O148" s="75" t="s">
        <v>2018</v>
      </c>
      <c r="P148" s="70" t="s">
        <v>1401</v>
      </c>
      <c r="Q148" s="71" t="b">
        <v>1</v>
      </c>
      <c r="R148" s="65" t="s">
        <v>2603</v>
      </c>
      <c r="S148" s="75" t="s">
        <v>3461</v>
      </c>
      <c r="T148" s="239" t="s">
        <v>1961</v>
      </c>
      <c r="U148" s="47" t="s">
        <v>1161</v>
      </c>
      <c r="V148" s="239" t="s">
        <v>1161</v>
      </c>
      <c r="W148" s="462" t="s">
        <v>3321</v>
      </c>
      <c r="X148" s="441" t="s">
        <v>3314</v>
      </c>
      <c r="Y148" s="60"/>
    </row>
    <row r="149" ht="22.5" customHeight="1">
      <c r="A149" s="239" t="s">
        <v>1445</v>
      </c>
      <c r="B149" s="65" t="s">
        <v>3568</v>
      </c>
      <c r="C149" s="65" t="s">
        <v>3586</v>
      </c>
      <c r="D149" s="65" t="s">
        <v>2605</v>
      </c>
      <c r="E149" s="65" t="s">
        <v>2606</v>
      </c>
      <c r="F149" s="65" t="s">
        <v>2607</v>
      </c>
      <c r="G149" s="75" t="s">
        <v>480</v>
      </c>
      <c r="H149" s="65" t="s">
        <v>2608</v>
      </c>
      <c r="I149" s="65" t="s">
        <v>2609</v>
      </c>
      <c r="J149" s="65" t="s">
        <v>3587</v>
      </c>
      <c r="K149" s="65" t="s">
        <v>1091</v>
      </c>
      <c r="L149" s="65" t="s">
        <v>1093</v>
      </c>
      <c r="M149" s="70" t="s">
        <v>1098</v>
      </c>
      <c r="N149" s="70" t="s">
        <v>1108</v>
      </c>
      <c r="O149" s="75" t="s">
        <v>1161</v>
      </c>
      <c r="P149" s="239" t="s">
        <v>1401</v>
      </c>
      <c r="Q149" s="71" t="b">
        <v>1</v>
      </c>
      <c r="R149" s="75" t="s">
        <v>2611</v>
      </c>
      <c r="S149" s="442" t="s">
        <v>3588</v>
      </c>
      <c r="T149" s="239" t="s">
        <v>1961</v>
      </c>
      <c r="U149" s="47" t="s">
        <v>3371</v>
      </c>
      <c r="V149" s="239" t="s">
        <v>1161</v>
      </c>
      <c r="W149" s="440"/>
      <c r="X149" s="441" t="s">
        <v>3314</v>
      </c>
      <c r="Y149" s="60"/>
    </row>
    <row r="150" ht="22.5" customHeight="1">
      <c r="A150" s="70" t="s">
        <v>1445</v>
      </c>
      <c r="B150" s="65" t="s">
        <v>1212</v>
      </c>
      <c r="C150" s="65" t="s">
        <v>3589</v>
      </c>
      <c r="D150" s="75" t="s">
        <v>3590</v>
      </c>
      <c r="E150" s="65" t="s">
        <v>2616</v>
      </c>
      <c r="F150" s="65" t="s">
        <v>2617</v>
      </c>
      <c r="G150" s="75" t="s">
        <v>2618</v>
      </c>
      <c r="H150" s="65" t="s">
        <v>3591</v>
      </c>
      <c r="I150" s="65" t="s">
        <v>2620</v>
      </c>
      <c r="J150" s="75" t="s">
        <v>2621</v>
      </c>
      <c r="K150" s="65" t="s">
        <v>1091</v>
      </c>
      <c r="L150" s="65" t="s">
        <v>1093</v>
      </c>
      <c r="M150" s="70" t="s">
        <v>1098</v>
      </c>
      <c r="N150" s="70" t="s">
        <v>1108</v>
      </c>
      <c r="O150" s="75" t="s">
        <v>1430</v>
      </c>
      <c r="P150" s="239" t="s">
        <v>1161</v>
      </c>
      <c r="Q150" s="71" t="b">
        <v>1</v>
      </c>
      <c r="R150" s="65" t="s">
        <v>3592</v>
      </c>
      <c r="S150" s="75" t="s">
        <v>3593</v>
      </c>
      <c r="T150" s="239" t="s">
        <v>1961</v>
      </c>
      <c r="U150" s="47" t="s">
        <v>3371</v>
      </c>
      <c r="V150" s="239"/>
      <c r="W150" s="462"/>
      <c r="X150" s="457"/>
      <c r="Y150" s="517"/>
    </row>
    <row r="151" ht="22.5" customHeight="1">
      <c r="A151" s="70" t="s">
        <v>1445</v>
      </c>
      <c r="B151" s="65" t="s">
        <v>1212</v>
      </c>
      <c r="C151" s="65" t="s">
        <v>3594</v>
      </c>
      <c r="D151" s="75" t="s">
        <v>2628</v>
      </c>
      <c r="E151" s="65" t="s">
        <v>2629</v>
      </c>
      <c r="F151" s="65" t="s">
        <v>2630</v>
      </c>
      <c r="G151" s="75" t="s">
        <v>695</v>
      </c>
      <c r="H151" s="65" t="s">
        <v>3595</v>
      </c>
      <c r="I151" s="65" t="s">
        <v>2632</v>
      </c>
      <c r="J151" s="65" t="s">
        <v>2633</v>
      </c>
      <c r="K151" s="65" t="s">
        <v>1091</v>
      </c>
      <c r="L151" s="65" t="s">
        <v>1093</v>
      </c>
      <c r="M151" s="70" t="s">
        <v>1098</v>
      </c>
      <c r="N151" s="70" t="s">
        <v>1108</v>
      </c>
      <c r="O151" s="75" t="s">
        <v>2018</v>
      </c>
      <c r="P151" s="70" t="s">
        <v>1161</v>
      </c>
      <c r="Q151" s="71" t="b">
        <v>1</v>
      </c>
      <c r="R151" s="65" t="s">
        <v>1599</v>
      </c>
      <c r="S151" s="75" t="s">
        <v>3596</v>
      </c>
      <c r="T151" s="239" t="s">
        <v>1961</v>
      </c>
      <c r="U151" s="47" t="s">
        <v>3371</v>
      </c>
      <c r="V151" s="239" t="s">
        <v>1161</v>
      </c>
      <c r="W151" s="462"/>
      <c r="X151" s="457"/>
      <c r="Y151" s="517"/>
    </row>
    <row r="152" ht="22.5" customHeight="1">
      <c r="A152" s="239" t="s">
        <v>1445</v>
      </c>
      <c r="B152" s="65" t="s">
        <v>1212</v>
      </c>
      <c r="C152" s="65" t="s">
        <v>3597</v>
      </c>
      <c r="D152" s="65" t="s">
        <v>2638</v>
      </c>
      <c r="E152" s="65" t="s">
        <v>2639</v>
      </c>
      <c r="F152" s="65" t="s">
        <v>2640</v>
      </c>
      <c r="G152" s="75" t="s">
        <v>91</v>
      </c>
      <c r="H152" s="65" t="s">
        <v>2641</v>
      </c>
      <c r="I152" s="65" t="s">
        <v>2642</v>
      </c>
      <c r="J152" s="65" t="s">
        <v>3598</v>
      </c>
      <c r="K152" s="65" t="s">
        <v>1091</v>
      </c>
      <c r="L152" s="65" t="s">
        <v>1093</v>
      </c>
      <c r="M152" s="70" t="s">
        <v>1628</v>
      </c>
      <c r="N152" s="70" t="s">
        <v>1628</v>
      </c>
      <c r="O152" s="75" t="s">
        <v>1161</v>
      </c>
      <c r="P152" s="70" t="s">
        <v>1161</v>
      </c>
      <c r="Q152" s="71" t="b">
        <v>1</v>
      </c>
      <c r="R152" s="65" t="s">
        <v>2643</v>
      </c>
      <c r="S152" s="95" t="s">
        <v>3599</v>
      </c>
      <c r="T152" s="239" t="s">
        <v>1961</v>
      </c>
      <c r="U152" s="47" t="s">
        <v>1161</v>
      </c>
      <c r="V152" s="239" t="s">
        <v>1161</v>
      </c>
      <c r="W152" s="440"/>
      <c r="X152" s="441" t="s">
        <v>3314</v>
      </c>
      <c r="Y152" s="60"/>
    </row>
    <row r="153" ht="22.5" customHeight="1">
      <c r="A153" s="70" t="s">
        <v>1445</v>
      </c>
      <c r="B153" s="75" t="s">
        <v>3600</v>
      </c>
      <c r="C153" s="75" t="s">
        <v>3601</v>
      </c>
      <c r="D153" s="75" t="s">
        <v>2646</v>
      </c>
      <c r="E153" s="75" t="s">
        <v>2647</v>
      </c>
      <c r="F153" s="75" t="s">
        <v>2648</v>
      </c>
      <c r="G153" s="75" t="s">
        <v>2649</v>
      </c>
      <c r="H153" s="75" t="s">
        <v>2650</v>
      </c>
      <c r="I153" s="75" t="s">
        <v>2651</v>
      </c>
      <c r="J153" s="75" t="s">
        <v>2652</v>
      </c>
      <c r="K153" s="75" t="s">
        <v>1566</v>
      </c>
      <c r="L153" s="75" t="s">
        <v>3602</v>
      </c>
      <c r="M153" s="70" t="s">
        <v>1098</v>
      </c>
      <c r="N153" s="70" t="s">
        <v>1108</v>
      </c>
      <c r="O153" s="75" t="s">
        <v>2018</v>
      </c>
      <c r="P153" s="70" t="s">
        <v>1161</v>
      </c>
      <c r="Q153" s="71" t="b">
        <v>1</v>
      </c>
      <c r="R153" s="75" t="s">
        <v>3603</v>
      </c>
      <c r="S153" s="75" t="s">
        <v>3604</v>
      </c>
      <c r="T153" s="70" t="s">
        <v>1843</v>
      </c>
      <c r="U153" s="67" t="s">
        <v>3371</v>
      </c>
      <c r="V153" s="70" t="s">
        <v>1161</v>
      </c>
      <c r="W153" s="511"/>
      <c r="X153" s="511"/>
      <c r="Y153" s="515"/>
    </row>
    <row r="154" ht="22.5" customHeight="1">
      <c r="A154" s="239" t="s">
        <v>1445</v>
      </c>
      <c r="B154" s="65" t="s">
        <v>2884</v>
      </c>
      <c r="C154" s="65" t="s">
        <v>3605</v>
      </c>
      <c r="D154" s="65" t="s">
        <v>2658</v>
      </c>
      <c r="E154" s="527" t="s">
        <v>3606</v>
      </c>
      <c r="F154" s="65" t="s">
        <v>2660</v>
      </c>
      <c r="G154" s="75" t="s">
        <v>695</v>
      </c>
      <c r="H154" s="65" t="s">
        <v>2661</v>
      </c>
      <c r="I154" s="65" t="s">
        <v>2662</v>
      </c>
      <c r="J154" s="65" t="s">
        <v>2663</v>
      </c>
      <c r="K154" s="65" t="s">
        <v>1091</v>
      </c>
      <c r="L154" s="65" t="s">
        <v>1093</v>
      </c>
      <c r="M154" s="70" t="s">
        <v>1098</v>
      </c>
      <c r="N154" s="70" t="s">
        <v>1108</v>
      </c>
      <c r="O154" s="75" t="s">
        <v>2018</v>
      </c>
      <c r="P154" s="239" t="s">
        <v>1161</v>
      </c>
      <c r="Q154" s="71" t="b">
        <v>1</v>
      </c>
      <c r="R154" s="95" t="s">
        <v>1912</v>
      </c>
      <c r="S154" s="75" t="s">
        <v>3410</v>
      </c>
      <c r="T154" s="70" t="s">
        <v>1843</v>
      </c>
      <c r="U154" s="67" t="s">
        <v>3371</v>
      </c>
      <c r="V154" s="239" t="s">
        <v>1161</v>
      </c>
      <c r="W154" s="440"/>
      <c r="X154" s="441" t="s">
        <v>3314</v>
      </c>
      <c r="Y154" s="60"/>
    </row>
    <row r="155" ht="22.5" customHeight="1">
      <c r="A155" s="70" t="s">
        <v>1438</v>
      </c>
      <c r="B155" s="75" t="s">
        <v>1212</v>
      </c>
      <c r="C155" s="75" t="s">
        <v>3607</v>
      </c>
      <c r="D155" s="75" t="s">
        <v>2666</v>
      </c>
      <c r="E155" s="75" t="s">
        <v>2667</v>
      </c>
      <c r="F155" s="75" t="s">
        <v>2668</v>
      </c>
      <c r="G155" s="75" t="s">
        <v>2670</v>
      </c>
      <c r="H155" s="75" t="s">
        <v>3608</v>
      </c>
      <c r="I155" s="75" t="s">
        <v>2672</v>
      </c>
      <c r="J155" s="75" t="s">
        <v>2674</v>
      </c>
      <c r="K155" s="75" t="s">
        <v>1091</v>
      </c>
      <c r="L155" s="75" t="s">
        <v>1093</v>
      </c>
      <c r="M155" s="70" t="s">
        <v>1098</v>
      </c>
      <c r="N155" s="70" t="s">
        <v>1108</v>
      </c>
      <c r="O155" s="75" t="s">
        <v>2018</v>
      </c>
      <c r="P155" s="70" t="s">
        <v>1161</v>
      </c>
      <c r="Q155" s="71" t="b">
        <v>1</v>
      </c>
      <c r="R155" s="75" t="s">
        <v>3609</v>
      </c>
      <c r="S155" s="75" t="s">
        <v>3610</v>
      </c>
      <c r="T155" s="70" t="s">
        <v>1843</v>
      </c>
      <c r="U155" s="472" t="s">
        <v>3319</v>
      </c>
      <c r="V155" s="70"/>
      <c r="W155" s="441" t="s">
        <v>3342</v>
      </c>
      <c r="X155" s="511"/>
      <c r="Y155" s="515"/>
    </row>
    <row r="156" ht="22.5" customHeight="1">
      <c r="A156" s="70" t="s">
        <v>1445</v>
      </c>
      <c r="B156" s="75" t="s">
        <v>1212</v>
      </c>
      <c r="C156" s="75" t="s">
        <v>3611</v>
      </c>
      <c r="D156" s="75" t="s">
        <v>2689</v>
      </c>
      <c r="E156" s="75" t="s">
        <v>2690</v>
      </c>
      <c r="F156" s="75" t="s">
        <v>2691</v>
      </c>
      <c r="G156" s="75" t="s">
        <v>2692</v>
      </c>
      <c r="H156" s="75" t="s">
        <v>3612</v>
      </c>
      <c r="I156" s="75" t="s">
        <v>2694</v>
      </c>
      <c r="J156" s="75" t="s">
        <v>2695</v>
      </c>
      <c r="K156" s="75" t="s">
        <v>1091</v>
      </c>
      <c r="L156" s="75" t="s">
        <v>1093</v>
      </c>
      <c r="M156" s="70" t="s">
        <v>1098</v>
      </c>
      <c r="N156" s="70" t="s">
        <v>1108</v>
      </c>
      <c r="O156" s="75" t="s">
        <v>1466</v>
      </c>
      <c r="P156" s="70" t="s">
        <v>1161</v>
      </c>
      <c r="Q156" s="71" t="b">
        <v>1</v>
      </c>
      <c r="R156" s="75" t="s">
        <v>3613</v>
      </c>
      <c r="S156" s="75" t="s">
        <v>3614</v>
      </c>
      <c r="T156" s="70" t="s">
        <v>1843</v>
      </c>
      <c r="U156" s="67" t="s">
        <v>3371</v>
      </c>
      <c r="V156" s="239" t="s">
        <v>1161</v>
      </c>
      <c r="W156" s="440"/>
      <c r="X156" s="441" t="s">
        <v>3314</v>
      </c>
      <c r="Y156" s="60"/>
    </row>
    <row r="157" ht="22.5" customHeight="1">
      <c r="A157" s="70" t="s">
        <v>1435</v>
      </c>
      <c r="B157" s="75" t="s">
        <v>2884</v>
      </c>
      <c r="C157" s="75" t="s">
        <v>3615</v>
      </c>
      <c r="D157" s="75" t="s">
        <v>2700</v>
      </c>
      <c r="E157" s="75" t="s">
        <v>2701</v>
      </c>
      <c r="F157" s="75" t="s">
        <v>2702</v>
      </c>
      <c r="G157" s="75" t="s">
        <v>1260</v>
      </c>
      <c r="H157" s="75" t="s">
        <v>3616</v>
      </c>
      <c r="I157" s="75" t="s">
        <v>2704</v>
      </c>
      <c r="J157" s="75" t="s">
        <v>3617</v>
      </c>
      <c r="K157" s="65" t="s">
        <v>1091</v>
      </c>
      <c r="L157" s="65" t="s">
        <v>1093</v>
      </c>
      <c r="M157" s="70" t="s">
        <v>1098</v>
      </c>
      <c r="N157" s="70" t="s">
        <v>1108</v>
      </c>
      <c r="O157" s="75" t="s">
        <v>1161</v>
      </c>
      <c r="P157" s="70" t="s">
        <v>2019</v>
      </c>
      <c r="Q157" s="71" t="b">
        <v>1</v>
      </c>
      <c r="R157" s="75" t="s">
        <v>2707</v>
      </c>
      <c r="S157" s="461" t="s">
        <v>3364</v>
      </c>
      <c r="T157" s="239" t="s">
        <v>1961</v>
      </c>
      <c r="U157" s="47" t="s">
        <v>3455</v>
      </c>
      <c r="V157" s="70" t="s">
        <v>1161</v>
      </c>
      <c r="W157" s="516" t="s">
        <v>3413</v>
      </c>
      <c r="X157" s="511"/>
      <c r="Y157" s="515"/>
    </row>
    <row r="158" ht="22.5" customHeight="1">
      <c r="A158" s="70" t="s">
        <v>1445</v>
      </c>
      <c r="B158" s="65" t="s">
        <v>1212</v>
      </c>
      <c r="C158" s="65" t="s">
        <v>3618</v>
      </c>
      <c r="D158" s="65" t="s">
        <v>3619</v>
      </c>
      <c r="E158" s="65" t="s">
        <v>2713</v>
      </c>
      <c r="F158" s="65" t="s">
        <v>3620</v>
      </c>
      <c r="G158" s="75" t="s">
        <v>2670</v>
      </c>
      <c r="H158" s="65" t="s">
        <v>3621</v>
      </c>
      <c r="I158" s="65" t="s">
        <v>2716</v>
      </c>
      <c r="J158" s="65" t="s">
        <v>2717</v>
      </c>
      <c r="K158" s="65" t="s">
        <v>1091</v>
      </c>
      <c r="L158" s="65" t="s">
        <v>1093</v>
      </c>
      <c r="M158" s="70" t="s">
        <v>1098</v>
      </c>
      <c r="N158" s="70" t="s">
        <v>1108</v>
      </c>
      <c r="O158" s="75" t="s">
        <v>2018</v>
      </c>
      <c r="P158" s="239" t="s">
        <v>1401</v>
      </c>
      <c r="Q158" s="71" t="b">
        <v>1</v>
      </c>
      <c r="R158" s="75" t="s">
        <v>3622</v>
      </c>
      <c r="S158" s="75" t="s">
        <v>3436</v>
      </c>
      <c r="T158" s="239" t="s">
        <v>1961</v>
      </c>
      <c r="U158" s="67" t="s">
        <v>3371</v>
      </c>
      <c r="V158" s="239" t="s">
        <v>1161</v>
      </c>
      <c r="W158" s="440"/>
      <c r="X158" s="441" t="s">
        <v>3314</v>
      </c>
      <c r="Y158" s="60"/>
    </row>
    <row r="159" ht="22.5" customHeight="1">
      <c r="A159" s="519" t="s">
        <v>1442</v>
      </c>
      <c r="B159" s="75" t="s">
        <v>1212</v>
      </c>
      <c r="C159" s="65" t="s">
        <v>3623</v>
      </c>
      <c r="D159" s="65" t="s">
        <v>2723</v>
      </c>
      <c r="E159" s="65" t="s">
        <v>2724</v>
      </c>
      <c r="F159" s="65" t="s">
        <v>2725</v>
      </c>
      <c r="G159" s="65" t="s">
        <v>1016</v>
      </c>
      <c r="H159" s="65" t="s">
        <v>3624</v>
      </c>
      <c r="I159" s="65" t="s">
        <v>2727</v>
      </c>
      <c r="J159" s="75" t="s">
        <v>3625</v>
      </c>
      <c r="K159" s="65" t="s">
        <v>1091</v>
      </c>
      <c r="L159" s="65" t="s">
        <v>1093</v>
      </c>
      <c r="M159" s="70" t="s">
        <v>1098</v>
      </c>
      <c r="N159" s="70" t="s">
        <v>1108</v>
      </c>
      <c r="O159" s="75" t="s">
        <v>1430</v>
      </c>
      <c r="P159" s="239" t="s">
        <v>1161</v>
      </c>
      <c r="Q159" s="71" t="b">
        <v>1</v>
      </c>
      <c r="R159" s="65" t="s">
        <v>2729</v>
      </c>
      <c r="S159" s="75" t="s">
        <v>3468</v>
      </c>
      <c r="T159" s="239" t="s">
        <v>1961</v>
      </c>
      <c r="U159" s="67" t="s">
        <v>3371</v>
      </c>
      <c r="V159" s="239" t="s">
        <v>1161</v>
      </c>
      <c r="W159" s="462" t="s">
        <v>3321</v>
      </c>
      <c r="X159" s="457"/>
      <c r="Y159" s="517"/>
    </row>
    <row r="160" ht="22.5" customHeight="1">
      <c r="A160" s="70" t="s">
        <v>1445</v>
      </c>
      <c r="B160" s="65" t="s">
        <v>1212</v>
      </c>
      <c r="C160" s="65" t="s">
        <v>3626</v>
      </c>
      <c r="D160" s="65" t="s">
        <v>2733</v>
      </c>
      <c r="E160" s="65" t="s">
        <v>2734</v>
      </c>
      <c r="F160" s="65" t="s">
        <v>2735</v>
      </c>
      <c r="G160" s="75" t="s">
        <v>695</v>
      </c>
      <c r="H160" s="65" t="s">
        <v>2736</v>
      </c>
      <c r="I160" s="65" t="s">
        <v>2737</v>
      </c>
      <c r="J160" s="304" t="s">
        <v>2738</v>
      </c>
      <c r="K160" s="65" t="s">
        <v>1091</v>
      </c>
      <c r="L160" s="65" t="s">
        <v>1093</v>
      </c>
      <c r="M160" s="70" t="s">
        <v>3324</v>
      </c>
      <c r="N160" s="70" t="s">
        <v>1108</v>
      </c>
      <c r="O160" s="75" t="s">
        <v>1161</v>
      </c>
      <c r="P160" s="239" t="s">
        <v>1161</v>
      </c>
      <c r="Q160" s="71" t="b">
        <v>1</v>
      </c>
      <c r="R160" s="65" t="s">
        <v>1485</v>
      </c>
      <c r="S160" s="75" t="s">
        <v>3627</v>
      </c>
      <c r="T160" s="239" t="s">
        <v>1961</v>
      </c>
      <c r="U160" s="47" t="s">
        <v>1161</v>
      </c>
      <c r="V160" s="239" t="s">
        <v>1161</v>
      </c>
      <c r="W160" s="440"/>
      <c r="X160" s="441" t="s">
        <v>3314</v>
      </c>
      <c r="Y160" s="60"/>
    </row>
    <row r="161" ht="22.5" customHeight="1">
      <c r="A161" s="519" t="s">
        <v>1435</v>
      </c>
      <c r="B161" s="75" t="s">
        <v>2884</v>
      </c>
      <c r="C161" s="468" t="s">
        <v>3628</v>
      </c>
      <c r="D161" s="65" t="s">
        <v>2747</v>
      </c>
      <c r="E161" s="65" t="s">
        <v>2748</v>
      </c>
      <c r="F161" s="65" t="s">
        <v>2750</v>
      </c>
      <c r="G161" s="75" t="s">
        <v>560</v>
      </c>
      <c r="H161" s="65" t="s">
        <v>3629</v>
      </c>
      <c r="I161" s="65" t="s">
        <v>2753</v>
      </c>
      <c r="J161" s="75" t="s">
        <v>2754</v>
      </c>
      <c r="K161" s="65" t="s">
        <v>1091</v>
      </c>
      <c r="L161" s="65" t="s">
        <v>1093</v>
      </c>
      <c r="M161" s="70" t="s">
        <v>1098</v>
      </c>
      <c r="N161" s="70" t="s">
        <v>1108</v>
      </c>
      <c r="O161" s="75" t="s">
        <v>1466</v>
      </c>
      <c r="P161" s="239" t="s">
        <v>1161</v>
      </c>
      <c r="Q161" s="71" t="b">
        <v>1</v>
      </c>
      <c r="R161" s="75" t="s">
        <v>2757</v>
      </c>
      <c r="S161" s="521" t="s">
        <v>3630</v>
      </c>
      <c r="T161" s="239" t="s">
        <v>1843</v>
      </c>
      <c r="U161" s="81" t="s">
        <v>3455</v>
      </c>
      <c r="V161" s="239"/>
      <c r="W161" s="462" t="s">
        <v>3321</v>
      </c>
      <c r="X161" s="457"/>
      <c r="Y161" s="517"/>
    </row>
    <row r="162" ht="22.5" customHeight="1">
      <c r="A162" s="70" t="s">
        <v>1445</v>
      </c>
      <c r="B162" s="65" t="s">
        <v>2884</v>
      </c>
      <c r="C162" s="65" t="s">
        <v>3631</v>
      </c>
      <c r="D162" s="65" t="s">
        <v>2761</v>
      </c>
      <c r="E162" s="65" t="s">
        <v>2763</v>
      </c>
      <c r="F162" s="80" t="s">
        <v>2764</v>
      </c>
      <c r="G162" s="75" t="s">
        <v>695</v>
      </c>
      <c r="H162" s="65" t="s">
        <v>3632</v>
      </c>
      <c r="I162" s="65" t="s">
        <v>2772</v>
      </c>
      <c r="J162" s="304" t="s">
        <v>2773</v>
      </c>
      <c r="K162" s="65" t="s">
        <v>1091</v>
      </c>
      <c r="L162" s="65" t="s">
        <v>1093</v>
      </c>
      <c r="M162" s="70" t="s">
        <v>3324</v>
      </c>
      <c r="N162" s="70" t="s">
        <v>1108</v>
      </c>
      <c r="O162" s="75" t="s">
        <v>2018</v>
      </c>
      <c r="P162" s="239" t="s">
        <v>1161</v>
      </c>
      <c r="Q162" s="71" t="b">
        <v>1</v>
      </c>
      <c r="R162" s="65" t="s">
        <v>1599</v>
      </c>
      <c r="S162" s="75" t="s">
        <v>3633</v>
      </c>
      <c r="T162" s="239" t="s">
        <v>1961</v>
      </c>
      <c r="U162" s="520" t="s">
        <v>1161</v>
      </c>
      <c r="V162" s="239" t="s">
        <v>1161</v>
      </c>
      <c r="W162" s="440"/>
      <c r="X162" s="441" t="s">
        <v>3314</v>
      </c>
      <c r="Y162" s="60"/>
    </row>
    <row r="163" ht="22.5" customHeight="1">
      <c r="A163" s="70" t="s">
        <v>1438</v>
      </c>
      <c r="B163" s="65" t="s">
        <v>1212</v>
      </c>
      <c r="C163" s="65" t="s">
        <v>3634</v>
      </c>
      <c r="D163" s="75" t="s">
        <v>2775</v>
      </c>
      <c r="E163" s="65" t="s">
        <v>2776</v>
      </c>
      <c r="F163" s="65" t="s">
        <v>2777</v>
      </c>
      <c r="G163" s="75" t="s">
        <v>51</v>
      </c>
      <c r="H163" s="65" t="s">
        <v>2778</v>
      </c>
      <c r="I163" s="65" t="s">
        <v>2779</v>
      </c>
      <c r="J163" s="65" t="s">
        <v>2780</v>
      </c>
      <c r="K163" s="65" t="s">
        <v>1091</v>
      </c>
      <c r="L163" s="65" t="s">
        <v>1093</v>
      </c>
      <c r="M163" s="70" t="s">
        <v>1098</v>
      </c>
      <c r="N163" s="70" t="s">
        <v>1108</v>
      </c>
      <c r="O163" s="75" t="s">
        <v>1161</v>
      </c>
      <c r="P163" s="70" t="s">
        <v>1161</v>
      </c>
      <c r="Q163" s="71" t="b">
        <v>1</v>
      </c>
      <c r="R163" s="75" t="s">
        <v>3635</v>
      </c>
      <c r="S163" s="75" t="s">
        <v>3636</v>
      </c>
      <c r="T163" s="239" t="s">
        <v>1961</v>
      </c>
      <c r="U163" s="47" t="s">
        <v>3319</v>
      </c>
      <c r="V163" s="70" t="s">
        <v>1161</v>
      </c>
      <c r="W163" s="441" t="s">
        <v>3342</v>
      </c>
      <c r="X163" s="511"/>
      <c r="Y163" s="515"/>
    </row>
    <row r="164" ht="22.5" customHeight="1">
      <c r="A164" s="70" t="s">
        <v>1445</v>
      </c>
      <c r="B164" s="65" t="s">
        <v>1475</v>
      </c>
      <c r="C164" s="65" t="s">
        <v>3637</v>
      </c>
      <c r="D164" s="65" t="s">
        <v>2795</v>
      </c>
      <c r="E164" s="65" t="s">
        <v>2796</v>
      </c>
      <c r="F164" s="65" t="s">
        <v>2797</v>
      </c>
      <c r="G164" s="75" t="s">
        <v>695</v>
      </c>
      <c r="H164" s="65" t="s">
        <v>3638</v>
      </c>
      <c r="I164" s="65" t="s">
        <v>2799</v>
      </c>
      <c r="J164" s="65" t="s">
        <v>2800</v>
      </c>
      <c r="K164" s="65" t="s">
        <v>1091</v>
      </c>
      <c r="L164" s="65" t="s">
        <v>1093</v>
      </c>
      <c r="M164" s="70" t="s">
        <v>3324</v>
      </c>
      <c r="N164" s="70" t="s">
        <v>1108</v>
      </c>
      <c r="O164" s="75" t="s">
        <v>2018</v>
      </c>
      <c r="P164" s="239" t="s">
        <v>1401</v>
      </c>
      <c r="Q164" s="71" t="b">
        <v>1</v>
      </c>
      <c r="R164" s="65" t="s">
        <v>1599</v>
      </c>
      <c r="S164" s="75" t="s">
        <v>3639</v>
      </c>
      <c r="T164" s="239" t="s">
        <v>1961</v>
      </c>
      <c r="U164" s="47" t="s">
        <v>3371</v>
      </c>
      <c r="V164" s="239" t="s">
        <v>1161</v>
      </c>
      <c r="W164" s="457"/>
      <c r="X164" s="457"/>
      <c r="Y164" s="517"/>
    </row>
    <row r="165" ht="22.5" customHeight="1">
      <c r="A165" s="70" t="s">
        <v>1445</v>
      </c>
      <c r="B165" s="65" t="s">
        <v>219</v>
      </c>
      <c r="C165" s="65" t="s">
        <v>3640</v>
      </c>
      <c r="D165" s="65" t="s">
        <v>1500</v>
      </c>
      <c r="E165" s="65" t="s">
        <v>1501</v>
      </c>
      <c r="F165" s="65" t="s">
        <v>1502</v>
      </c>
      <c r="G165" s="75" t="s">
        <v>36</v>
      </c>
      <c r="H165" s="65" t="s">
        <v>2805</v>
      </c>
      <c r="I165" s="65" t="s">
        <v>1504</v>
      </c>
      <c r="J165" s="65" t="s">
        <v>2806</v>
      </c>
      <c r="K165" s="65" t="s">
        <v>1566</v>
      </c>
      <c r="L165" s="65" t="s">
        <v>3641</v>
      </c>
      <c r="M165" s="70" t="s">
        <v>1098</v>
      </c>
      <c r="N165" s="70" t="s">
        <v>1108</v>
      </c>
      <c r="O165" s="75" t="s">
        <v>1161</v>
      </c>
      <c r="P165" s="239" t="s">
        <v>2019</v>
      </c>
      <c r="Q165" s="71" t="b">
        <v>1</v>
      </c>
      <c r="R165" s="65" t="s">
        <v>2807</v>
      </c>
      <c r="S165" s="65" t="s">
        <v>3642</v>
      </c>
      <c r="T165" s="239" t="s">
        <v>1843</v>
      </c>
      <c r="U165" s="520" t="s">
        <v>3371</v>
      </c>
      <c r="V165" s="239" t="s">
        <v>1161</v>
      </c>
      <c r="W165" s="440"/>
      <c r="X165" s="441" t="s">
        <v>3314</v>
      </c>
      <c r="Y165" s="60"/>
    </row>
    <row r="166" ht="22.5" customHeight="1">
      <c r="A166" s="70" t="s">
        <v>1445</v>
      </c>
      <c r="B166" s="65" t="s">
        <v>1212</v>
      </c>
      <c r="C166" s="65" t="s">
        <v>3643</v>
      </c>
      <c r="D166" s="75" t="s">
        <v>2810</v>
      </c>
      <c r="E166" s="65" t="s">
        <v>2811</v>
      </c>
      <c r="F166" s="65" t="s">
        <v>2812</v>
      </c>
      <c r="G166" s="75" t="s">
        <v>349</v>
      </c>
      <c r="H166" s="65" t="s">
        <v>3644</v>
      </c>
      <c r="I166" s="65" t="s">
        <v>2814</v>
      </c>
      <c r="J166" s="65" t="s">
        <v>2815</v>
      </c>
      <c r="K166" s="65" t="s">
        <v>1091</v>
      </c>
      <c r="L166" s="65" t="s">
        <v>1093</v>
      </c>
      <c r="M166" s="70" t="s">
        <v>1098</v>
      </c>
      <c r="N166" s="70" t="s">
        <v>1108</v>
      </c>
      <c r="O166" s="75" t="s">
        <v>2018</v>
      </c>
      <c r="P166" s="239" t="s">
        <v>3645</v>
      </c>
      <c r="Q166" s="71" t="b">
        <v>1</v>
      </c>
      <c r="R166" s="65" t="s">
        <v>3646</v>
      </c>
      <c r="S166" s="75" t="s">
        <v>3647</v>
      </c>
      <c r="T166" s="239" t="s">
        <v>1961</v>
      </c>
      <c r="U166" s="47" t="s">
        <v>3371</v>
      </c>
      <c r="V166" s="239" t="s">
        <v>1161</v>
      </c>
      <c r="W166" s="440"/>
      <c r="X166" s="441" t="s">
        <v>3314</v>
      </c>
      <c r="Y166" s="60"/>
    </row>
    <row r="167" ht="22.5" customHeight="1">
      <c r="A167" s="70" t="s">
        <v>1445</v>
      </c>
      <c r="B167" s="65" t="s">
        <v>1475</v>
      </c>
      <c r="C167" s="65" t="s">
        <v>3648</v>
      </c>
      <c r="D167" s="65" t="s">
        <v>2821</v>
      </c>
      <c r="E167" s="65" t="s">
        <v>2822</v>
      </c>
      <c r="F167" s="65" t="s">
        <v>3649</v>
      </c>
      <c r="G167" s="75" t="s">
        <v>560</v>
      </c>
      <c r="H167" s="65" t="s">
        <v>2824</v>
      </c>
      <c r="I167" s="65" t="s">
        <v>2825</v>
      </c>
      <c r="J167" s="65" t="s">
        <v>2826</v>
      </c>
      <c r="K167" s="65" t="s">
        <v>1091</v>
      </c>
      <c r="L167" s="65" t="s">
        <v>1093</v>
      </c>
      <c r="M167" s="70" t="s">
        <v>1098</v>
      </c>
      <c r="N167" s="70" t="s">
        <v>1108</v>
      </c>
      <c r="O167" s="75" t="s">
        <v>1161</v>
      </c>
      <c r="P167" s="239" t="s">
        <v>1161</v>
      </c>
      <c r="Q167" s="71" t="b">
        <v>1</v>
      </c>
      <c r="R167" s="65" t="s">
        <v>3650</v>
      </c>
      <c r="S167" s="75" t="s">
        <v>3651</v>
      </c>
      <c r="T167" s="239" t="s">
        <v>1961</v>
      </c>
      <c r="U167" s="47" t="s">
        <v>1161</v>
      </c>
      <c r="V167" s="239" t="s">
        <v>1161</v>
      </c>
      <c r="W167" s="440"/>
      <c r="X167" s="441" t="s">
        <v>3314</v>
      </c>
      <c r="Y167" s="60"/>
    </row>
    <row r="168" ht="22.5" customHeight="1">
      <c r="A168" s="70" t="s">
        <v>1444</v>
      </c>
      <c r="B168" s="65" t="s">
        <v>1475</v>
      </c>
      <c r="C168" s="65" t="s">
        <v>3652</v>
      </c>
      <c r="D168" s="65" t="s">
        <v>2821</v>
      </c>
      <c r="E168" s="65" t="s">
        <v>2822</v>
      </c>
      <c r="F168" s="65" t="s">
        <v>3649</v>
      </c>
      <c r="G168" s="75" t="s">
        <v>560</v>
      </c>
      <c r="H168" s="65" t="s">
        <v>2824</v>
      </c>
      <c r="I168" s="65" t="s">
        <v>2825</v>
      </c>
      <c r="J168" s="65" t="s">
        <v>2832</v>
      </c>
      <c r="K168" s="65" t="s">
        <v>1566</v>
      </c>
      <c r="L168" s="65" t="s">
        <v>3653</v>
      </c>
      <c r="M168" s="70" t="s">
        <v>1098</v>
      </c>
      <c r="N168" s="70" t="s">
        <v>1108</v>
      </c>
      <c r="O168" s="75" t="s">
        <v>1161</v>
      </c>
      <c r="P168" s="239" t="s">
        <v>2019</v>
      </c>
      <c r="Q168" s="71" t="b">
        <v>1</v>
      </c>
      <c r="R168" s="65" t="s">
        <v>2833</v>
      </c>
      <c r="S168" s="75" t="s">
        <v>3654</v>
      </c>
      <c r="T168" s="239" t="s">
        <v>1843</v>
      </c>
      <c r="U168" s="47" t="s">
        <v>3319</v>
      </c>
      <c r="V168" s="70" t="s">
        <v>1161</v>
      </c>
      <c r="W168" s="511"/>
      <c r="X168" s="511"/>
      <c r="Y168" s="515"/>
    </row>
    <row r="169" ht="22.5" customHeight="1">
      <c r="A169" s="239" t="s">
        <v>1445</v>
      </c>
      <c r="B169" s="75" t="s">
        <v>2884</v>
      </c>
      <c r="C169" s="75" t="s">
        <v>3655</v>
      </c>
      <c r="D169" s="75" t="s">
        <v>2836</v>
      </c>
      <c r="E169" s="65" t="s">
        <v>2837</v>
      </c>
      <c r="F169" s="65" t="s">
        <v>2838</v>
      </c>
      <c r="G169" s="75" t="s">
        <v>70</v>
      </c>
      <c r="H169" s="65" t="s">
        <v>2839</v>
      </c>
      <c r="I169" s="65" t="s">
        <v>2840</v>
      </c>
      <c r="J169" s="65" t="s">
        <v>2841</v>
      </c>
      <c r="K169" s="65" t="s">
        <v>1091</v>
      </c>
      <c r="L169" s="65" t="s">
        <v>1093</v>
      </c>
      <c r="M169" s="70" t="s">
        <v>1098</v>
      </c>
      <c r="N169" s="70" t="s">
        <v>1108</v>
      </c>
      <c r="O169" s="75" t="s">
        <v>1161</v>
      </c>
      <c r="P169" s="239" t="s">
        <v>1401</v>
      </c>
      <c r="Q169" s="71" t="b">
        <v>1</v>
      </c>
      <c r="R169" s="65" t="s">
        <v>2842</v>
      </c>
      <c r="S169" s="75" t="s">
        <v>3633</v>
      </c>
      <c r="T169" s="239" t="s">
        <v>1961</v>
      </c>
      <c r="U169" s="520" t="s">
        <v>1161</v>
      </c>
      <c r="V169" s="239" t="s">
        <v>1161</v>
      </c>
      <c r="W169" s="440"/>
      <c r="X169" s="441" t="s">
        <v>3314</v>
      </c>
      <c r="Y169" s="60"/>
    </row>
    <row r="170" ht="22.5" customHeight="1">
      <c r="A170" s="70" t="s">
        <v>1000</v>
      </c>
      <c r="B170" s="75" t="s">
        <v>1311</v>
      </c>
      <c r="C170" s="75" t="s">
        <v>3656</v>
      </c>
      <c r="D170" s="75" t="s">
        <v>2844</v>
      </c>
      <c r="E170" s="65" t="s">
        <v>2845</v>
      </c>
      <c r="F170" s="65" t="s">
        <v>2846</v>
      </c>
      <c r="G170" s="75" t="s">
        <v>91</v>
      </c>
      <c r="H170" s="65" t="s">
        <v>2847</v>
      </c>
      <c r="I170" s="65" t="s">
        <v>2848</v>
      </c>
      <c r="J170" s="65" t="s">
        <v>3657</v>
      </c>
      <c r="K170" s="65" t="s">
        <v>2507</v>
      </c>
      <c r="L170" s="65" t="s">
        <v>3658</v>
      </c>
      <c r="M170" s="70" t="s">
        <v>1098</v>
      </c>
      <c r="N170" s="70" t="s">
        <v>1108</v>
      </c>
      <c r="O170" s="75" t="s">
        <v>2018</v>
      </c>
      <c r="P170" s="239" t="s">
        <v>2019</v>
      </c>
      <c r="Q170" s="71" t="b">
        <v>1</v>
      </c>
      <c r="R170" s="65" t="s">
        <v>3659</v>
      </c>
      <c r="S170" s="75" t="s">
        <v>3660</v>
      </c>
      <c r="T170" s="239" t="s">
        <v>1843</v>
      </c>
      <c r="U170" s="427"/>
      <c r="V170" s="70" t="s">
        <v>1161</v>
      </c>
      <c r="W170" s="511"/>
      <c r="X170" s="511"/>
      <c r="Y170" s="515"/>
    </row>
    <row r="171" ht="22.5" customHeight="1">
      <c r="A171" s="70" t="s">
        <v>1445</v>
      </c>
      <c r="B171" s="75" t="s">
        <v>1212</v>
      </c>
      <c r="C171" s="75" t="s">
        <v>3661</v>
      </c>
      <c r="D171" s="75" t="s">
        <v>3662</v>
      </c>
      <c r="E171" s="65" t="s">
        <v>2854</v>
      </c>
      <c r="F171" s="65" t="s">
        <v>2855</v>
      </c>
      <c r="G171" s="65" t="s">
        <v>2140</v>
      </c>
      <c r="H171" s="65" t="s">
        <v>2856</v>
      </c>
      <c r="I171" s="65" t="s">
        <v>2857</v>
      </c>
      <c r="J171" s="75" t="s">
        <v>2858</v>
      </c>
      <c r="K171" s="65" t="s">
        <v>1091</v>
      </c>
      <c r="L171" s="65" t="s">
        <v>1093</v>
      </c>
      <c r="M171" s="70" t="s">
        <v>1098</v>
      </c>
      <c r="N171" s="70" t="s">
        <v>1108</v>
      </c>
      <c r="O171" s="75" t="s">
        <v>1161</v>
      </c>
      <c r="P171" s="239" t="s">
        <v>1161</v>
      </c>
      <c r="Q171" s="71" t="b">
        <v>1</v>
      </c>
      <c r="R171" s="65" t="s">
        <v>2859</v>
      </c>
      <c r="S171" s="75" t="s">
        <v>3436</v>
      </c>
      <c r="T171" s="239" t="s">
        <v>1843</v>
      </c>
      <c r="U171" s="47" t="s">
        <v>3371</v>
      </c>
      <c r="V171" s="239" t="s">
        <v>1161</v>
      </c>
      <c r="W171" s="440"/>
      <c r="X171" s="441" t="s">
        <v>3314</v>
      </c>
      <c r="Y171" s="60"/>
    </row>
    <row r="172" ht="22.5" customHeight="1">
      <c r="A172" s="67" t="s">
        <v>1447</v>
      </c>
      <c r="B172" s="75" t="s">
        <v>1475</v>
      </c>
      <c r="C172" s="75" t="s">
        <v>3663</v>
      </c>
      <c r="D172" s="75" t="s">
        <v>2862</v>
      </c>
      <c r="E172" s="65" t="s">
        <v>3664</v>
      </c>
      <c r="F172" s="65" t="s">
        <v>2864</v>
      </c>
      <c r="G172" s="75" t="s">
        <v>2865</v>
      </c>
      <c r="H172" s="65" t="s">
        <v>2866</v>
      </c>
      <c r="I172" s="65" t="s">
        <v>2867</v>
      </c>
      <c r="J172" s="75" t="s">
        <v>2868</v>
      </c>
      <c r="K172" s="65" t="s">
        <v>1091</v>
      </c>
      <c r="L172" s="65" t="s">
        <v>1093</v>
      </c>
      <c r="M172" s="70" t="s">
        <v>1098</v>
      </c>
      <c r="N172" s="70" t="s">
        <v>1108</v>
      </c>
      <c r="O172" s="75" t="s">
        <v>2018</v>
      </c>
      <c r="P172" s="70" t="s">
        <v>3645</v>
      </c>
      <c r="Q172" s="71" t="b">
        <v>1</v>
      </c>
      <c r="R172" s="75" t="s">
        <v>2869</v>
      </c>
      <c r="S172" s="75" t="s">
        <v>3665</v>
      </c>
      <c r="T172" s="239" t="s">
        <v>1961</v>
      </c>
      <c r="U172" s="472" t="s">
        <v>3666</v>
      </c>
      <c r="V172" s="70"/>
      <c r="W172" s="511"/>
      <c r="X172" s="511"/>
      <c r="Y172" s="515"/>
    </row>
    <row r="173" ht="20.25" customHeight="1">
      <c r="A173" s="70" t="s">
        <v>1445</v>
      </c>
      <c r="B173" s="75" t="s">
        <v>1475</v>
      </c>
      <c r="C173" s="75" t="s">
        <v>3667</v>
      </c>
      <c r="D173" s="75" t="s">
        <v>2862</v>
      </c>
      <c r="E173" s="65" t="s">
        <v>2863</v>
      </c>
      <c r="F173" s="65" t="s">
        <v>2864</v>
      </c>
      <c r="G173" s="75" t="s">
        <v>2865</v>
      </c>
      <c r="H173" s="65" t="s">
        <v>2866</v>
      </c>
      <c r="I173" s="65" t="s">
        <v>2867</v>
      </c>
      <c r="J173" s="75" t="s">
        <v>2873</v>
      </c>
      <c r="K173" s="65" t="s">
        <v>1566</v>
      </c>
      <c r="L173" s="65" t="s">
        <v>3653</v>
      </c>
      <c r="M173" s="70" t="s">
        <v>1098</v>
      </c>
      <c r="N173" s="70" t="s">
        <v>1108</v>
      </c>
      <c r="O173" s="75" t="s">
        <v>2018</v>
      </c>
      <c r="P173" s="70" t="s">
        <v>1401</v>
      </c>
      <c r="Q173" s="71" t="b">
        <v>1</v>
      </c>
      <c r="R173" s="75" t="s">
        <v>2869</v>
      </c>
      <c r="S173" s="75" t="s">
        <v>3668</v>
      </c>
      <c r="T173" s="239" t="s">
        <v>1843</v>
      </c>
      <c r="U173" s="47" t="s">
        <v>1161</v>
      </c>
      <c r="V173" s="239" t="s">
        <v>1161</v>
      </c>
      <c r="W173" s="440"/>
      <c r="X173" s="441" t="s">
        <v>3314</v>
      </c>
      <c r="Y173" s="60"/>
    </row>
    <row r="174" ht="19.5" customHeight="1">
      <c r="A174" s="70" t="s">
        <v>1444</v>
      </c>
      <c r="B174" s="75" t="s">
        <v>1391</v>
      </c>
      <c r="C174" s="75" t="s">
        <v>3669</v>
      </c>
      <c r="D174" s="75" t="s">
        <v>2876</v>
      </c>
      <c r="E174" s="65" t="s">
        <v>2877</v>
      </c>
      <c r="F174" s="65" t="s">
        <v>2878</v>
      </c>
      <c r="G174" s="75" t="s">
        <v>480</v>
      </c>
      <c r="H174" s="65" t="s">
        <v>2879</v>
      </c>
      <c r="I174" s="65" t="s">
        <v>2880</v>
      </c>
      <c r="J174" s="65" t="s">
        <v>2881</v>
      </c>
      <c r="K174" s="65" t="s">
        <v>2507</v>
      </c>
      <c r="L174" s="65" t="s">
        <v>3658</v>
      </c>
      <c r="M174" s="70" t="s">
        <v>1098</v>
      </c>
      <c r="N174" s="70" t="s">
        <v>1108</v>
      </c>
      <c r="O174" s="75" t="s">
        <v>3670</v>
      </c>
      <c r="P174" s="70" t="s">
        <v>1161</v>
      </c>
      <c r="Q174" s="71" t="b">
        <v>1</v>
      </c>
      <c r="R174" s="75" t="s">
        <v>3671</v>
      </c>
      <c r="S174" s="75" t="s">
        <v>3672</v>
      </c>
      <c r="T174" s="239" t="s">
        <v>1843</v>
      </c>
      <c r="U174" s="47" t="s">
        <v>3673</v>
      </c>
      <c r="V174" s="70"/>
      <c r="W174" s="511"/>
      <c r="X174" s="511"/>
      <c r="Y174" s="515"/>
    </row>
    <row r="175" ht="23.25" customHeight="1">
      <c r="A175" s="239" t="s">
        <v>1445</v>
      </c>
      <c r="B175" s="75" t="s">
        <v>1311</v>
      </c>
      <c r="C175" s="75" t="s">
        <v>3674</v>
      </c>
      <c r="D175" s="75" t="s">
        <v>2887</v>
      </c>
      <c r="E175" s="65" t="s">
        <v>2888</v>
      </c>
      <c r="F175" s="65" t="s">
        <v>2889</v>
      </c>
      <c r="G175" s="75" t="s">
        <v>2891</v>
      </c>
      <c r="H175" s="65" t="s">
        <v>2892</v>
      </c>
      <c r="I175" s="65" t="s">
        <v>2893</v>
      </c>
      <c r="J175" s="65" t="s">
        <v>2894</v>
      </c>
      <c r="K175" s="65" t="s">
        <v>1566</v>
      </c>
      <c r="L175" s="65" t="s">
        <v>3675</v>
      </c>
      <c r="M175" s="70" t="s">
        <v>1098</v>
      </c>
      <c r="N175" s="70" t="s">
        <v>1108</v>
      </c>
      <c r="O175" s="75" t="s">
        <v>1161</v>
      </c>
      <c r="P175" s="70" t="s">
        <v>1161</v>
      </c>
      <c r="Q175" s="71" t="b">
        <v>1</v>
      </c>
      <c r="R175" s="65" t="s">
        <v>2895</v>
      </c>
      <c r="S175" s="75" t="s">
        <v>3668</v>
      </c>
      <c r="T175" s="239" t="s">
        <v>1843</v>
      </c>
      <c r="U175" s="47" t="s">
        <v>1161</v>
      </c>
      <c r="V175" s="239" t="s">
        <v>1161</v>
      </c>
      <c r="W175" s="440"/>
      <c r="X175" s="441" t="s">
        <v>3314</v>
      </c>
      <c r="Y175" s="60"/>
    </row>
    <row r="176" ht="22.5" customHeight="1">
      <c r="A176" s="239" t="s">
        <v>1438</v>
      </c>
      <c r="B176" s="75" t="s">
        <v>3676</v>
      </c>
      <c r="C176" s="75" t="s">
        <v>3677</v>
      </c>
      <c r="D176" s="75" t="s">
        <v>2898</v>
      </c>
      <c r="E176" s="65" t="s">
        <v>2899</v>
      </c>
      <c r="F176" s="65" t="s">
        <v>2900</v>
      </c>
      <c r="G176" s="75" t="s">
        <v>174</v>
      </c>
      <c r="H176" s="65" t="s">
        <v>2901</v>
      </c>
      <c r="I176" s="65" t="s">
        <v>2902</v>
      </c>
      <c r="J176" s="65" t="s">
        <v>3678</v>
      </c>
      <c r="K176" s="65" t="s">
        <v>1780</v>
      </c>
      <c r="L176" s="65" t="s">
        <v>3679</v>
      </c>
      <c r="M176" s="70" t="s">
        <v>1098</v>
      </c>
      <c r="N176" s="70" t="s">
        <v>1108</v>
      </c>
      <c r="O176" s="75" t="s">
        <v>1161</v>
      </c>
      <c r="P176" s="70" t="s">
        <v>2019</v>
      </c>
      <c r="Q176" s="71" t="b">
        <v>1</v>
      </c>
      <c r="R176" s="65" t="s">
        <v>2903</v>
      </c>
      <c r="S176" s="75" t="s">
        <v>3680</v>
      </c>
      <c r="T176" s="239" t="s">
        <v>1843</v>
      </c>
      <c r="U176" s="47" t="s">
        <v>3319</v>
      </c>
      <c r="V176" s="239" t="s">
        <v>1161</v>
      </c>
      <c r="W176" s="441" t="s">
        <v>3342</v>
      </c>
      <c r="X176" s="457"/>
      <c r="Y176" s="517"/>
    </row>
    <row r="177" ht="22.5" customHeight="1">
      <c r="A177" s="70" t="s">
        <v>1445</v>
      </c>
      <c r="B177" s="75" t="s">
        <v>1475</v>
      </c>
      <c r="C177" s="75" t="s">
        <v>3681</v>
      </c>
      <c r="D177" s="75" t="s">
        <v>2907</v>
      </c>
      <c r="E177" s="65" t="s">
        <v>2908</v>
      </c>
      <c r="F177" s="65" t="s">
        <v>2909</v>
      </c>
      <c r="G177" s="75" t="s">
        <v>2185</v>
      </c>
      <c r="H177" s="65" t="s">
        <v>3682</v>
      </c>
      <c r="I177" s="65" t="s">
        <v>2911</v>
      </c>
      <c r="J177" s="75" t="s">
        <v>2912</v>
      </c>
      <c r="K177" s="65" t="s">
        <v>1091</v>
      </c>
      <c r="L177" s="65" t="s">
        <v>1093</v>
      </c>
      <c r="M177" s="70" t="s">
        <v>1098</v>
      </c>
      <c r="N177" s="70" t="s">
        <v>1108</v>
      </c>
      <c r="O177" s="75" t="s">
        <v>1161</v>
      </c>
      <c r="P177" s="70" t="s">
        <v>2019</v>
      </c>
      <c r="Q177" s="71" t="b">
        <v>1</v>
      </c>
      <c r="R177" s="528" t="s">
        <v>2914</v>
      </c>
      <c r="S177" s="75" t="s">
        <v>3668</v>
      </c>
      <c r="T177" s="239" t="s">
        <v>1961</v>
      </c>
      <c r="U177" s="47" t="s">
        <v>1161</v>
      </c>
      <c r="V177" s="239" t="s">
        <v>1161</v>
      </c>
      <c r="W177" s="440"/>
      <c r="X177" s="441" t="s">
        <v>3314</v>
      </c>
      <c r="Y177" s="60"/>
    </row>
    <row r="178" ht="22.5" customHeight="1">
      <c r="A178" s="70" t="s">
        <v>1438</v>
      </c>
      <c r="B178" s="75" t="s">
        <v>2884</v>
      </c>
      <c r="C178" s="75" t="s">
        <v>3683</v>
      </c>
      <c r="D178" s="65" t="s">
        <v>2922</v>
      </c>
      <c r="E178" s="65" t="s">
        <v>2923</v>
      </c>
      <c r="F178" s="65" t="s">
        <v>2924</v>
      </c>
      <c r="G178" s="65" t="s">
        <v>36</v>
      </c>
      <c r="H178" s="65" t="s">
        <v>3684</v>
      </c>
      <c r="I178" s="65" t="s">
        <v>2926</v>
      </c>
      <c r="J178" s="75" t="s">
        <v>3685</v>
      </c>
      <c r="K178" s="65" t="s">
        <v>1091</v>
      </c>
      <c r="L178" s="65" t="s">
        <v>1093</v>
      </c>
      <c r="M178" s="70" t="s">
        <v>1098</v>
      </c>
      <c r="N178" s="70" t="s">
        <v>1108</v>
      </c>
      <c r="O178" s="75" t="s">
        <v>2018</v>
      </c>
      <c r="P178" s="239" t="s">
        <v>2019</v>
      </c>
      <c r="Q178" s="71" t="b">
        <v>1</v>
      </c>
      <c r="R178" s="65" t="s">
        <v>3686</v>
      </c>
      <c r="S178" s="75" t="s">
        <v>3687</v>
      </c>
      <c r="T178" s="239" t="s">
        <v>1843</v>
      </c>
      <c r="U178" s="47" t="s">
        <v>3319</v>
      </c>
      <c r="V178" s="239" t="s">
        <v>1161</v>
      </c>
      <c r="W178" s="441" t="s">
        <v>3573</v>
      </c>
      <c r="X178" s="457"/>
      <c r="Y178" s="517"/>
    </row>
    <row r="179" ht="22.5" customHeight="1">
      <c r="A179" s="519" t="s">
        <v>1442</v>
      </c>
      <c r="B179" s="75" t="s">
        <v>1212</v>
      </c>
      <c r="C179" s="75" t="s">
        <v>3688</v>
      </c>
      <c r="D179" s="75" t="s">
        <v>1048</v>
      </c>
      <c r="E179" s="65" t="s">
        <v>2931</v>
      </c>
      <c r="F179" s="65" t="s">
        <v>2932</v>
      </c>
      <c r="G179" s="65" t="s">
        <v>70</v>
      </c>
      <c r="H179" s="65" t="s">
        <v>2933</v>
      </c>
      <c r="I179" s="65" t="s">
        <v>2934</v>
      </c>
      <c r="J179" s="65" t="s">
        <v>1056</v>
      </c>
      <c r="K179" s="65" t="s">
        <v>1091</v>
      </c>
      <c r="L179" s="65" t="s">
        <v>1093</v>
      </c>
      <c r="M179" s="70" t="s">
        <v>1098</v>
      </c>
      <c r="N179" s="70" t="s">
        <v>1108</v>
      </c>
      <c r="O179" s="75" t="s">
        <v>1430</v>
      </c>
      <c r="P179" s="239" t="s">
        <v>1161</v>
      </c>
      <c r="Q179" s="71" t="b">
        <v>1</v>
      </c>
      <c r="R179" s="65" t="s">
        <v>3689</v>
      </c>
      <c r="S179" s="75" t="s">
        <v>3468</v>
      </c>
      <c r="T179" s="239" t="s">
        <v>1961</v>
      </c>
      <c r="U179" s="81" t="s">
        <v>3371</v>
      </c>
      <c r="V179" s="239" t="s">
        <v>1161</v>
      </c>
      <c r="W179" s="462" t="s">
        <v>3321</v>
      </c>
      <c r="X179" s="457"/>
      <c r="Y179" s="517"/>
    </row>
    <row r="180" ht="22.5" customHeight="1">
      <c r="A180" s="70" t="s">
        <v>1445</v>
      </c>
      <c r="B180" s="75" t="s">
        <v>1212</v>
      </c>
      <c r="C180" s="75" t="s">
        <v>3690</v>
      </c>
      <c r="D180" s="71" t="s">
        <v>3691</v>
      </c>
      <c r="E180" s="75" t="s">
        <v>2939</v>
      </c>
      <c r="F180" s="75" t="s">
        <v>2940</v>
      </c>
      <c r="G180" s="65" t="s">
        <v>1016</v>
      </c>
      <c r="H180" s="75" t="s">
        <v>2941</v>
      </c>
      <c r="I180" s="75" t="s">
        <v>2942</v>
      </c>
      <c r="J180" s="75" t="s">
        <v>2943</v>
      </c>
      <c r="K180" s="75" t="s">
        <v>1091</v>
      </c>
      <c r="L180" s="75" t="s">
        <v>1093</v>
      </c>
      <c r="M180" s="70" t="s">
        <v>1098</v>
      </c>
      <c r="N180" s="70" t="s">
        <v>1108</v>
      </c>
      <c r="O180" s="75" t="s">
        <v>2018</v>
      </c>
      <c r="P180" s="239" t="s">
        <v>1161</v>
      </c>
      <c r="Q180" s="71" t="b">
        <v>1</v>
      </c>
      <c r="R180" s="65" t="s">
        <v>1799</v>
      </c>
      <c r="S180" s="461" t="s">
        <v>3692</v>
      </c>
      <c r="T180" s="239" t="s">
        <v>1961</v>
      </c>
      <c r="U180" s="47" t="s">
        <v>3371</v>
      </c>
      <c r="V180" s="70" t="s">
        <v>1161</v>
      </c>
      <c r="W180" s="441" t="s">
        <v>3342</v>
      </c>
      <c r="X180" s="511"/>
      <c r="Y180" s="515"/>
    </row>
    <row r="181" ht="22.5" customHeight="1">
      <c r="A181" s="70" t="s">
        <v>1445</v>
      </c>
      <c r="B181" s="75" t="s">
        <v>2884</v>
      </c>
      <c r="C181" s="75" t="s">
        <v>3693</v>
      </c>
      <c r="D181" s="75" t="s">
        <v>2946</v>
      </c>
      <c r="E181" s="75" t="s">
        <v>2947</v>
      </c>
      <c r="F181" s="75" t="s">
        <v>2948</v>
      </c>
      <c r="G181" s="75" t="s">
        <v>695</v>
      </c>
      <c r="H181" s="75" t="s">
        <v>2949</v>
      </c>
      <c r="I181" s="75" t="s">
        <v>2950</v>
      </c>
      <c r="J181" s="75" t="s">
        <v>2951</v>
      </c>
      <c r="K181" s="75" t="s">
        <v>1091</v>
      </c>
      <c r="L181" s="75" t="s">
        <v>1093</v>
      </c>
      <c r="M181" s="70" t="s">
        <v>1098</v>
      </c>
      <c r="N181" s="70" t="s">
        <v>1108</v>
      </c>
      <c r="O181" s="75" t="s">
        <v>2018</v>
      </c>
      <c r="P181" s="70" t="s">
        <v>2019</v>
      </c>
      <c r="Q181" s="71" t="b">
        <v>1</v>
      </c>
      <c r="R181" s="529" t="s">
        <v>3694</v>
      </c>
      <c r="S181" s="75" t="s">
        <v>3695</v>
      </c>
      <c r="T181" s="70" t="s">
        <v>1843</v>
      </c>
      <c r="U181" s="67" t="s">
        <v>3371</v>
      </c>
      <c r="V181" s="70" t="s">
        <v>1161</v>
      </c>
      <c r="W181" s="511"/>
      <c r="X181" s="511"/>
      <c r="Y181" s="515"/>
    </row>
    <row r="182" ht="19.5" customHeight="1">
      <c r="A182" s="519" t="s">
        <v>1442</v>
      </c>
      <c r="B182" s="75" t="s">
        <v>1475</v>
      </c>
      <c r="C182" s="75" t="s">
        <v>3696</v>
      </c>
      <c r="D182" s="75" t="s">
        <v>2955</v>
      </c>
      <c r="E182" s="75" t="s">
        <v>2956</v>
      </c>
      <c r="F182" s="75"/>
      <c r="G182" s="75" t="s">
        <v>560</v>
      </c>
      <c r="H182" s="75" t="s">
        <v>3697</v>
      </c>
      <c r="I182" s="75" t="s">
        <v>2958</v>
      </c>
      <c r="J182" s="75" t="s">
        <v>3698</v>
      </c>
      <c r="K182" s="75" t="s">
        <v>1091</v>
      </c>
      <c r="L182" s="75" t="s">
        <v>1093</v>
      </c>
      <c r="M182" s="70" t="s">
        <v>1098</v>
      </c>
      <c r="N182" s="70" t="s">
        <v>1108</v>
      </c>
      <c r="O182" s="75" t="s">
        <v>1466</v>
      </c>
      <c r="P182" s="70" t="s">
        <v>2019</v>
      </c>
      <c r="Q182" s="71" t="b">
        <v>1</v>
      </c>
      <c r="R182" s="75" t="s">
        <v>3465</v>
      </c>
      <c r="S182" s="75" t="s">
        <v>3699</v>
      </c>
      <c r="T182" s="70" t="s">
        <v>1961</v>
      </c>
      <c r="U182" s="530" t="s">
        <v>3371</v>
      </c>
      <c r="V182" s="239" t="s">
        <v>1161</v>
      </c>
      <c r="W182" s="462" t="s">
        <v>3321</v>
      </c>
      <c r="X182" s="511"/>
      <c r="Y182" s="515"/>
    </row>
    <row r="183" ht="22.5" customHeight="1">
      <c r="A183" s="70" t="s">
        <v>1445</v>
      </c>
      <c r="B183" s="75" t="s">
        <v>1212</v>
      </c>
      <c r="C183" s="75" t="s">
        <v>3700</v>
      </c>
      <c r="D183" s="75" t="s">
        <v>2961</v>
      </c>
      <c r="E183" s="75" t="s">
        <v>2962</v>
      </c>
      <c r="F183" s="75" t="s">
        <v>2963</v>
      </c>
      <c r="G183" s="75" t="s">
        <v>2670</v>
      </c>
      <c r="H183" s="75" t="s">
        <v>3701</v>
      </c>
      <c r="I183" s="75" t="s">
        <v>2965</v>
      </c>
      <c r="J183" s="75" t="s">
        <v>3702</v>
      </c>
      <c r="K183" s="75" t="s">
        <v>1091</v>
      </c>
      <c r="L183" s="75" t="s">
        <v>1093</v>
      </c>
      <c r="M183" s="70" t="s">
        <v>1098</v>
      </c>
      <c r="N183" s="70" t="s">
        <v>1108</v>
      </c>
      <c r="O183" s="75" t="s">
        <v>1161</v>
      </c>
      <c r="P183" s="239" t="s">
        <v>1161</v>
      </c>
      <c r="Q183" s="71" t="b">
        <v>1</v>
      </c>
      <c r="R183" s="75" t="s">
        <v>2967</v>
      </c>
      <c r="S183" s="75" t="s">
        <v>3703</v>
      </c>
      <c r="T183" s="70" t="s">
        <v>1961</v>
      </c>
      <c r="U183" s="47" t="s">
        <v>1161</v>
      </c>
      <c r="V183" s="239" t="s">
        <v>1161</v>
      </c>
      <c r="W183" s="440"/>
      <c r="X183" s="441" t="s">
        <v>3314</v>
      </c>
      <c r="Y183" s="60"/>
    </row>
    <row r="184" ht="22.5" customHeight="1">
      <c r="A184" s="70" t="s">
        <v>1445</v>
      </c>
      <c r="B184" s="75" t="s">
        <v>1212</v>
      </c>
      <c r="C184" s="75" t="s">
        <v>3704</v>
      </c>
      <c r="D184" s="75" t="s">
        <v>2969</v>
      </c>
      <c r="E184" s="75" t="s">
        <v>2970</v>
      </c>
      <c r="F184" s="75" t="s">
        <v>3705</v>
      </c>
      <c r="G184" s="75" t="s">
        <v>51</v>
      </c>
      <c r="H184" s="75" t="s">
        <v>2972</v>
      </c>
      <c r="I184" s="75" t="s">
        <v>2973</v>
      </c>
      <c r="J184" s="75" t="s">
        <v>3706</v>
      </c>
      <c r="K184" s="75" t="s">
        <v>1091</v>
      </c>
      <c r="L184" s="75" t="s">
        <v>1093</v>
      </c>
      <c r="M184" s="70" t="s">
        <v>1098</v>
      </c>
      <c r="N184" s="70" t="s">
        <v>1108</v>
      </c>
      <c r="O184" s="75" t="s">
        <v>1430</v>
      </c>
      <c r="P184" s="70" t="s">
        <v>1161</v>
      </c>
      <c r="Q184" s="71" t="b">
        <v>1</v>
      </c>
      <c r="R184" s="75" t="s">
        <v>3707</v>
      </c>
      <c r="S184" s="95" t="s">
        <v>3708</v>
      </c>
      <c r="T184" s="70" t="s">
        <v>1843</v>
      </c>
      <c r="U184" s="67" t="s">
        <v>3371</v>
      </c>
      <c r="V184" s="239" t="s">
        <v>1161</v>
      </c>
      <c r="W184" s="440"/>
      <c r="X184" s="441" t="s">
        <v>3314</v>
      </c>
      <c r="Y184" s="60"/>
    </row>
    <row r="185" ht="22.5" customHeight="1">
      <c r="A185" s="70" t="s">
        <v>1445</v>
      </c>
      <c r="B185" s="75" t="s">
        <v>1212</v>
      </c>
      <c r="C185" s="75" t="s">
        <v>3709</v>
      </c>
      <c r="D185" s="75" t="s">
        <v>3710</v>
      </c>
      <c r="E185" s="75" t="s">
        <v>2978</v>
      </c>
      <c r="F185" s="75" t="s">
        <v>2979</v>
      </c>
      <c r="G185" s="75" t="s">
        <v>2980</v>
      </c>
      <c r="H185" s="75" t="s">
        <v>2981</v>
      </c>
      <c r="I185" s="75" t="s">
        <v>2982</v>
      </c>
      <c r="J185" s="75" t="s">
        <v>3711</v>
      </c>
      <c r="K185" s="75" t="s">
        <v>1091</v>
      </c>
      <c r="L185" s="75" t="s">
        <v>1093</v>
      </c>
      <c r="M185" s="70" t="s">
        <v>1098</v>
      </c>
      <c r="N185" s="70" t="s">
        <v>1108</v>
      </c>
      <c r="O185" s="75" t="s">
        <v>1161</v>
      </c>
      <c r="P185" s="239" t="s">
        <v>1161</v>
      </c>
      <c r="Q185" s="71" t="b">
        <v>1</v>
      </c>
      <c r="R185" s="65" t="s">
        <v>3712</v>
      </c>
      <c r="S185" s="95" t="s">
        <v>3713</v>
      </c>
      <c r="T185" s="70" t="s">
        <v>1843</v>
      </c>
      <c r="U185" s="520" t="s">
        <v>3371</v>
      </c>
      <c r="V185" s="239" t="s">
        <v>1161</v>
      </c>
      <c r="W185" s="440"/>
      <c r="X185" s="441" t="s">
        <v>3314</v>
      </c>
      <c r="Y185" s="60"/>
    </row>
    <row r="186" ht="22.5" customHeight="1">
      <c r="A186" s="67" t="s">
        <v>1447</v>
      </c>
      <c r="B186" s="75" t="s">
        <v>1311</v>
      </c>
      <c r="C186" s="75" t="s">
        <v>3714</v>
      </c>
      <c r="D186" s="75" t="s">
        <v>2984</v>
      </c>
      <c r="E186" s="75" t="s">
        <v>2985</v>
      </c>
      <c r="F186" s="75" t="s">
        <v>2986</v>
      </c>
      <c r="G186" s="75" t="s">
        <v>2987</v>
      </c>
      <c r="H186" s="75" t="s">
        <v>2988</v>
      </c>
      <c r="I186" s="75" t="s">
        <v>2989</v>
      </c>
      <c r="J186" s="75" t="s">
        <v>3715</v>
      </c>
      <c r="K186" s="75" t="s">
        <v>2990</v>
      </c>
      <c r="L186" s="75" t="s">
        <v>1093</v>
      </c>
      <c r="M186" s="70" t="s">
        <v>1746</v>
      </c>
      <c r="N186" s="70" t="s">
        <v>1549</v>
      </c>
      <c r="O186" s="75" t="s">
        <v>1746</v>
      </c>
      <c r="P186" s="70" t="s">
        <v>2019</v>
      </c>
      <c r="Q186" s="71" t="b">
        <v>1</v>
      </c>
      <c r="R186" s="75" t="s">
        <v>3716</v>
      </c>
      <c r="S186" s="75" t="s">
        <v>3717</v>
      </c>
      <c r="T186" s="70" t="s">
        <v>1961</v>
      </c>
      <c r="U186" s="67" t="s">
        <v>3666</v>
      </c>
      <c r="V186" s="239"/>
      <c r="W186" s="516" t="s">
        <v>3321</v>
      </c>
      <c r="X186" s="511"/>
      <c r="Y186" s="515"/>
    </row>
    <row r="187" ht="22.5" customHeight="1">
      <c r="A187" s="70" t="s">
        <v>1445</v>
      </c>
      <c r="B187" s="75" t="s">
        <v>1311</v>
      </c>
      <c r="C187" s="75" t="s">
        <v>3718</v>
      </c>
      <c r="D187" s="75" t="s">
        <v>2994</v>
      </c>
      <c r="E187" s="75" t="s">
        <v>2995</v>
      </c>
      <c r="F187" s="75" t="s">
        <v>2996</v>
      </c>
      <c r="G187" s="65" t="s">
        <v>1016</v>
      </c>
      <c r="H187" s="75" t="s">
        <v>2997</v>
      </c>
      <c r="I187" s="75" t="s">
        <v>2998</v>
      </c>
      <c r="J187" s="75" t="s">
        <v>2999</v>
      </c>
      <c r="K187" s="75" t="s">
        <v>2576</v>
      </c>
      <c r="L187" s="75" t="s">
        <v>3719</v>
      </c>
      <c r="M187" s="70" t="s">
        <v>1098</v>
      </c>
      <c r="N187" s="70" t="s">
        <v>1108</v>
      </c>
      <c r="O187" s="75" t="s">
        <v>1430</v>
      </c>
      <c r="P187" s="70" t="s">
        <v>1161</v>
      </c>
      <c r="Q187" s="71" t="b">
        <v>1</v>
      </c>
      <c r="R187" s="75" t="s">
        <v>3720</v>
      </c>
      <c r="S187" s="75" t="s">
        <v>3364</v>
      </c>
      <c r="T187" s="70" t="s">
        <v>1843</v>
      </c>
      <c r="U187" s="47" t="s">
        <v>3371</v>
      </c>
      <c r="V187" s="239"/>
      <c r="W187" s="462" t="s">
        <v>3413</v>
      </c>
      <c r="X187" s="457"/>
      <c r="Y187" s="517"/>
    </row>
    <row r="188" ht="22.5" customHeight="1">
      <c r="A188" s="67" t="s">
        <v>1445</v>
      </c>
      <c r="B188" s="75" t="s">
        <v>1212</v>
      </c>
      <c r="C188" s="75" t="s">
        <v>3721</v>
      </c>
      <c r="D188" s="75" t="s">
        <v>3002</v>
      </c>
      <c r="E188" s="75" t="s">
        <v>3003</v>
      </c>
      <c r="F188" s="75" t="s">
        <v>3004</v>
      </c>
      <c r="G188" s="75" t="s">
        <v>695</v>
      </c>
      <c r="H188" s="75" t="s">
        <v>3005</v>
      </c>
      <c r="I188" s="75" t="s">
        <v>3006</v>
      </c>
      <c r="J188" s="75" t="s">
        <v>3007</v>
      </c>
      <c r="K188" s="75" t="s">
        <v>1091</v>
      </c>
      <c r="L188" s="75" t="s">
        <v>1093</v>
      </c>
      <c r="M188" s="469" t="s">
        <v>3324</v>
      </c>
      <c r="N188" s="70" t="s">
        <v>1108</v>
      </c>
      <c r="O188" s="75" t="s">
        <v>3722</v>
      </c>
      <c r="P188" s="70" t="s">
        <v>3645</v>
      </c>
      <c r="Q188" s="71" t="b">
        <v>1</v>
      </c>
      <c r="R188" s="95" t="s">
        <v>1912</v>
      </c>
      <c r="S188" s="75" t="s">
        <v>3723</v>
      </c>
      <c r="T188" s="70" t="s">
        <v>1843</v>
      </c>
      <c r="U188" s="67" t="s">
        <v>3371</v>
      </c>
      <c r="V188" s="70"/>
      <c r="W188" s="511"/>
      <c r="X188" s="511"/>
      <c r="Y188" s="515"/>
    </row>
    <row r="189" ht="22.5" customHeight="1">
      <c r="A189" s="519" t="s">
        <v>1435</v>
      </c>
      <c r="B189" s="75" t="s">
        <v>1311</v>
      </c>
      <c r="C189" s="468" t="s">
        <v>3724</v>
      </c>
      <c r="D189" s="75" t="s">
        <v>3725</v>
      </c>
      <c r="E189" s="75" t="s">
        <v>3011</v>
      </c>
      <c r="F189" s="442" t="s">
        <v>3012</v>
      </c>
      <c r="G189" s="65" t="s">
        <v>70</v>
      </c>
      <c r="H189" s="75" t="s">
        <v>3018</v>
      </c>
      <c r="I189" s="75" t="s">
        <v>3019</v>
      </c>
      <c r="J189" s="75" t="s">
        <v>3021</v>
      </c>
      <c r="K189" s="75" t="s">
        <v>1091</v>
      </c>
      <c r="L189" s="75" t="s">
        <v>1093</v>
      </c>
      <c r="M189" s="70" t="s">
        <v>1098</v>
      </c>
      <c r="N189" s="70" t="s">
        <v>1108</v>
      </c>
      <c r="O189" s="75" t="s">
        <v>2018</v>
      </c>
      <c r="P189" s="239" t="s">
        <v>1161</v>
      </c>
      <c r="Q189" s="71" t="b">
        <v>1</v>
      </c>
      <c r="R189" s="75" t="s">
        <v>3726</v>
      </c>
      <c r="S189" s="75" t="s">
        <v>3560</v>
      </c>
      <c r="T189" s="70" t="s">
        <v>1843</v>
      </c>
      <c r="U189" s="67" t="s">
        <v>3371</v>
      </c>
      <c r="V189" s="239" t="s">
        <v>1161</v>
      </c>
      <c r="W189" s="462" t="s">
        <v>3321</v>
      </c>
      <c r="X189" s="457"/>
      <c r="Y189" s="517"/>
    </row>
    <row r="190" ht="22.5" customHeight="1">
      <c r="A190" s="67" t="s">
        <v>1435</v>
      </c>
      <c r="B190" s="75" t="s">
        <v>1311</v>
      </c>
      <c r="C190" s="468" t="s">
        <v>3727</v>
      </c>
      <c r="D190" s="75" t="s">
        <v>3027</v>
      </c>
      <c r="E190" s="75" t="s">
        <v>3728</v>
      </c>
      <c r="F190" s="75" t="s">
        <v>3729</v>
      </c>
      <c r="G190" s="75" t="s">
        <v>2023</v>
      </c>
      <c r="H190" s="75" t="s">
        <v>3730</v>
      </c>
      <c r="I190" s="75" t="s">
        <v>3031</v>
      </c>
      <c r="J190" s="528" t="s">
        <v>3032</v>
      </c>
      <c r="K190" s="75" t="s">
        <v>1091</v>
      </c>
      <c r="L190" s="75" t="s">
        <v>1093</v>
      </c>
      <c r="M190" s="70" t="s">
        <v>1098</v>
      </c>
      <c r="N190" s="70" t="s">
        <v>1108</v>
      </c>
      <c r="O190" s="75" t="s">
        <v>2018</v>
      </c>
      <c r="P190" s="70" t="s">
        <v>1161</v>
      </c>
      <c r="Q190" s="71" t="b">
        <v>1</v>
      </c>
      <c r="R190" s="75" t="s">
        <v>3731</v>
      </c>
      <c r="S190" s="75" t="s">
        <v>3732</v>
      </c>
      <c r="T190" s="70" t="s">
        <v>1961</v>
      </c>
      <c r="U190" s="67" t="s">
        <v>3455</v>
      </c>
      <c r="V190" s="70"/>
      <c r="W190" s="462" t="s">
        <v>3413</v>
      </c>
      <c r="X190" s="511"/>
      <c r="Y190" s="515"/>
    </row>
    <row r="191" ht="22.5" customHeight="1">
      <c r="A191" s="70" t="s">
        <v>1445</v>
      </c>
      <c r="B191" s="75" t="s">
        <v>1311</v>
      </c>
      <c r="C191" s="75" t="s">
        <v>3733</v>
      </c>
      <c r="D191" s="75" t="s">
        <v>3734</v>
      </c>
      <c r="E191" s="75" t="s">
        <v>3735</v>
      </c>
      <c r="F191" s="75" t="s">
        <v>3736</v>
      </c>
      <c r="G191" s="75" t="s">
        <v>36</v>
      </c>
      <c r="H191" s="75" t="s">
        <v>3737</v>
      </c>
      <c r="I191" s="75" t="s">
        <v>3738</v>
      </c>
      <c r="J191" s="528" t="s">
        <v>3739</v>
      </c>
      <c r="K191" s="75" t="s">
        <v>1091</v>
      </c>
      <c r="L191" s="75" t="s">
        <v>1093</v>
      </c>
      <c r="M191" s="469" t="s">
        <v>1098</v>
      </c>
      <c r="N191" s="70" t="s">
        <v>1108</v>
      </c>
      <c r="O191" s="75" t="s">
        <v>1430</v>
      </c>
      <c r="P191" s="70" t="s">
        <v>1161</v>
      </c>
      <c r="Q191" s="71" t="b">
        <v>1</v>
      </c>
      <c r="R191" s="75" t="s">
        <v>3740</v>
      </c>
      <c r="S191" s="75" t="s">
        <v>3436</v>
      </c>
      <c r="T191" s="70" t="s">
        <v>1843</v>
      </c>
      <c r="U191" s="67" t="s">
        <v>3371</v>
      </c>
      <c r="V191" s="239" t="s">
        <v>1161</v>
      </c>
      <c r="W191" s="440"/>
      <c r="X191" s="441" t="s">
        <v>3314</v>
      </c>
      <c r="Y191" s="60"/>
    </row>
    <row r="192" ht="22.5" customHeight="1">
      <c r="A192" s="519" t="s">
        <v>1442</v>
      </c>
      <c r="B192" s="75" t="s">
        <v>1311</v>
      </c>
      <c r="C192" s="75" t="s">
        <v>3741</v>
      </c>
      <c r="D192" s="75" t="s">
        <v>3742</v>
      </c>
      <c r="E192" s="65" t="s">
        <v>3743</v>
      </c>
      <c r="F192" s="65" t="s">
        <v>3744</v>
      </c>
      <c r="G192" s="65" t="s">
        <v>2071</v>
      </c>
      <c r="H192" s="65" t="s">
        <v>3745</v>
      </c>
      <c r="I192" s="65" t="s">
        <v>3746</v>
      </c>
      <c r="J192" s="528" t="s">
        <v>3747</v>
      </c>
      <c r="K192" s="75" t="s">
        <v>1780</v>
      </c>
      <c r="L192" s="75" t="s">
        <v>3679</v>
      </c>
      <c r="M192" s="70" t="s">
        <v>1098</v>
      </c>
      <c r="N192" s="70" t="s">
        <v>1108</v>
      </c>
      <c r="O192" s="75" t="s">
        <v>2018</v>
      </c>
      <c r="P192" s="239" t="s">
        <v>1161</v>
      </c>
      <c r="Q192" s="71" t="b">
        <v>1</v>
      </c>
      <c r="R192" s="75" t="s">
        <v>3748</v>
      </c>
      <c r="S192" s="75" t="s">
        <v>3749</v>
      </c>
      <c r="T192" s="70" t="s">
        <v>1843</v>
      </c>
      <c r="U192" s="81" t="s">
        <v>3750</v>
      </c>
      <c r="V192" s="239"/>
      <c r="W192" s="462" t="s">
        <v>3413</v>
      </c>
      <c r="X192" s="457"/>
      <c r="Y192" s="517"/>
    </row>
    <row r="193" ht="22.5" customHeight="1">
      <c r="A193" s="70" t="s">
        <v>1000</v>
      </c>
      <c r="B193" s="75" t="s">
        <v>2884</v>
      </c>
      <c r="C193" s="65" t="s">
        <v>3751</v>
      </c>
      <c r="D193" s="75" t="s">
        <v>3752</v>
      </c>
      <c r="E193" s="65" t="s">
        <v>3753</v>
      </c>
      <c r="F193" s="65" t="s">
        <v>3754</v>
      </c>
      <c r="G193" s="65" t="s">
        <v>3755</v>
      </c>
      <c r="H193" s="65" t="s">
        <v>3756</v>
      </c>
      <c r="I193" s="65" t="s">
        <v>3757</v>
      </c>
      <c r="J193" s="528" t="s">
        <v>3758</v>
      </c>
      <c r="K193" s="75" t="s">
        <v>1091</v>
      </c>
      <c r="L193" s="75" t="s">
        <v>1093</v>
      </c>
      <c r="M193" s="70" t="s">
        <v>1098</v>
      </c>
      <c r="N193" s="70" t="s">
        <v>1108</v>
      </c>
      <c r="O193" s="75" t="s">
        <v>1161</v>
      </c>
      <c r="P193" s="239" t="s">
        <v>1401</v>
      </c>
      <c r="Q193" s="71" t="b">
        <v>1</v>
      </c>
      <c r="R193" s="65" t="s">
        <v>3759</v>
      </c>
      <c r="S193" s="75" t="s">
        <v>3760</v>
      </c>
      <c r="T193" s="70" t="s">
        <v>1961</v>
      </c>
      <c r="U193" s="355"/>
      <c r="V193" s="70" t="s">
        <v>1161</v>
      </c>
      <c r="W193" s="511"/>
      <c r="X193" s="511"/>
      <c r="Y193" s="515"/>
    </row>
    <row r="194" ht="22.5" customHeight="1">
      <c r="A194" s="70" t="s">
        <v>1435</v>
      </c>
      <c r="B194" s="75" t="s">
        <v>1475</v>
      </c>
      <c r="C194" s="468" t="s">
        <v>3761</v>
      </c>
      <c r="D194" s="75" t="s">
        <v>3762</v>
      </c>
      <c r="E194" s="75" t="s">
        <v>3763</v>
      </c>
      <c r="F194" s="75" t="s">
        <v>3764</v>
      </c>
      <c r="G194" s="75" t="s">
        <v>2185</v>
      </c>
      <c r="H194" s="75" t="s">
        <v>3765</v>
      </c>
      <c r="I194" s="75" t="s">
        <v>3766</v>
      </c>
      <c r="J194" s="528" t="s">
        <v>3767</v>
      </c>
      <c r="K194" s="75" t="s">
        <v>1091</v>
      </c>
      <c r="L194" s="75" t="s">
        <v>1093</v>
      </c>
      <c r="M194" s="70" t="s">
        <v>1098</v>
      </c>
      <c r="N194" s="70" t="s">
        <v>1108</v>
      </c>
      <c r="O194" s="75" t="s">
        <v>1466</v>
      </c>
      <c r="P194" s="239" t="s">
        <v>1161</v>
      </c>
      <c r="Q194" s="71" t="b">
        <v>1</v>
      </c>
      <c r="R194" s="65" t="s">
        <v>3768</v>
      </c>
      <c r="S194" s="461" t="s">
        <v>3769</v>
      </c>
      <c r="T194" s="70" t="s">
        <v>1961</v>
      </c>
      <c r="U194" s="67" t="s">
        <v>3319</v>
      </c>
      <c r="V194" s="70" t="s">
        <v>1161</v>
      </c>
      <c r="W194" s="441" t="s">
        <v>3413</v>
      </c>
      <c r="X194" s="511"/>
      <c r="Y194" s="515"/>
    </row>
    <row r="195" ht="22.5" customHeight="1">
      <c r="A195" s="70" t="s">
        <v>1445</v>
      </c>
      <c r="B195" s="75" t="s">
        <v>1212</v>
      </c>
      <c r="C195" s="75" t="s">
        <v>3770</v>
      </c>
      <c r="D195" s="75" t="s">
        <v>3771</v>
      </c>
      <c r="E195" s="75" t="s">
        <v>3772</v>
      </c>
      <c r="F195" s="75" t="s">
        <v>3773</v>
      </c>
      <c r="G195" s="65" t="s">
        <v>2140</v>
      </c>
      <c r="H195" s="75" t="s">
        <v>3774</v>
      </c>
      <c r="I195" s="528" t="s">
        <v>3775</v>
      </c>
      <c r="J195" s="531" t="s">
        <v>3776</v>
      </c>
      <c r="K195" s="75" t="s">
        <v>1091</v>
      </c>
      <c r="L195" s="75" t="s">
        <v>1093</v>
      </c>
      <c r="M195" s="70" t="s">
        <v>1098</v>
      </c>
      <c r="N195" s="70" t="s">
        <v>1108</v>
      </c>
      <c r="O195" s="75" t="s">
        <v>1161</v>
      </c>
      <c r="P195" s="239" t="s">
        <v>1161</v>
      </c>
      <c r="Q195" s="71" t="b">
        <v>1</v>
      </c>
      <c r="R195" s="65" t="s">
        <v>3777</v>
      </c>
      <c r="S195" s="65" t="s">
        <v>3410</v>
      </c>
      <c r="T195" s="70" t="s">
        <v>1843</v>
      </c>
      <c r="U195" s="67" t="s">
        <v>3371</v>
      </c>
      <c r="V195" s="239" t="s">
        <v>1161</v>
      </c>
      <c r="W195" s="440"/>
      <c r="X195" s="441" t="s">
        <v>3314</v>
      </c>
      <c r="Y195" s="60"/>
    </row>
    <row r="196" ht="22.5" customHeight="1">
      <c r="A196" s="70" t="s">
        <v>1445</v>
      </c>
      <c r="B196" s="75" t="s">
        <v>219</v>
      </c>
      <c r="C196" s="65" t="s">
        <v>3778</v>
      </c>
      <c r="D196" s="75" t="s">
        <v>3779</v>
      </c>
      <c r="E196" s="65" t="s">
        <v>3780</v>
      </c>
      <c r="F196" s="65" t="s">
        <v>3781</v>
      </c>
      <c r="G196" s="65" t="s">
        <v>986</v>
      </c>
      <c r="H196" s="65" t="s">
        <v>3782</v>
      </c>
      <c r="I196" s="304" t="s">
        <v>3783</v>
      </c>
      <c r="J196" s="305" t="s">
        <v>3784</v>
      </c>
      <c r="K196" s="75" t="s">
        <v>1091</v>
      </c>
      <c r="L196" s="75" t="s">
        <v>1093</v>
      </c>
      <c r="M196" s="70" t="s">
        <v>1098</v>
      </c>
      <c r="N196" s="70" t="s">
        <v>1108</v>
      </c>
      <c r="O196" s="75" t="s">
        <v>2018</v>
      </c>
      <c r="P196" s="239" t="s">
        <v>1161</v>
      </c>
      <c r="Q196" s="71" t="b">
        <v>1</v>
      </c>
      <c r="R196" s="65" t="s">
        <v>3785</v>
      </c>
      <c r="S196" s="75" t="s">
        <v>3786</v>
      </c>
      <c r="T196" s="70" t="s">
        <v>1843</v>
      </c>
      <c r="U196" s="47" t="s">
        <v>3371</v>
      </c>
      <c r="V196" s="70" t="s">
        <v>1161</v>
      </c>
      <c r="W196" s="511"/>
      <c r="X196" s="511"/>
      <c r="Y196" s="515"/>
    </row>
    <row r="197" ht="22.5" customHeight="1">
      <c r="A197" s="70" t="s">
        <v>1447</v>
      </c>
      <c r="B197" s="75" t="s">
        <v>3181</v>
      </c>
      <c r="C197" s="65" t="s">
        <v>3787</v>
      </c>
      <c r="D197" s="65" t="s">
        <v>3788</v>
      </c>
      <c r="E197" s="65" t="s">
        <v>3789</v>
      </c>
      <c r="F197" s="65" t="s">
        <v>3790</v>
      </c>
      <c r="G197" s="65" t="s">
        <v>986</v>
      </c>
      <c r="H197" s="65" t="s">
        <v>3791</v>
      </c>
      <c r="I197" s="304" t="s">
        <v>3792</v>
      </c>
      <c r="J197" s="305" t="s">
        <v>3793</v>
      </c>
      <c r="K197" s="75" t="s">
        <v>1780</v>
      </c>
      <c r="L197" s="75" t="s">
        <v>3679</v>
      </c>
      <c r="M197" s="70" t="s">
        <v>1098</v>
      </c>
      <c r="N197" s="70" t="s">
        <v>1108</v>
      </c>
      <c r="O197" s="75" t="s">
        <v>1430</v>
      </c>
      <c r="P197" s="239" t="s">
        <v>2019</v>
      </c>
      <c r="Q197" s="71" t="b">
        <v>1</v>
      </c>
      <c r="R197" s="65" t="s">
        <v>3794</v>
      </c>
      <c r="S197" s="75" t="s">
        <v>3795</v>
      </c>
      <c r="T197" s="70" t="s">
        <v>1843</v>
      </c>
      <c r="U197" s="472" t="s">
        <v>3319</v>
      </c>
      <c r="V197" s="70" t="s">
        <v>3796</v>
      </c>
      <c r="W197" s="441" t="s">
        <v>3321</v>
      </c>
      <c r="X197" s="511"/>
      <c r="Y197" s="515"/>
    </row>
    <row r="198" ht="22.5" customHeight="1">
      <c r="A198" s="70" t="s">
        <v>1000</v>
      </c>
      <c r="B198" s="75" t="s">
        <v>1475</v>
      </c>
      <c r="C198" s="75" t="s">
        <v>3797</v>
      </c>
      <c r="D198" s="75" t="s">
        <v>3798</v>
      </c>
      <c r="E198" s="75" t="s">
        <v>3799</v>
      </c>
      <c r="F198" s="75" t="s">
        <v>3800</v>
      </c>
      <c r="G198" s="75" t="s">
        <v>3755</v>
      </c>
      <c r="H198" s="75" t="s">
        <v>3801</v>
      </c>
      <c r="I198" s="304" t="s">
        <v>3802</v>
      </c>
      <c r="J198" s="305" t="s">
        <v>3803</v>
      </c>
      <c r="K198" s="75" t="s">
        <v>1091</v>
      </c>
      <c r="L198" s="75" t="s">
        <v>1093</v>
      </c>
      <c r="M198" s="70" t="s">
        <v>1098</v>
      </c>
      <c r="N198" s="70" t="s">
        <v>1108</v>
      </c>
      <c r="O198" s="75" t="s">
        <v>1430</v>
      </c>
      <c r="P198" s="70" t="s">
        <v>2019</v>
      </c>
      <c r="Q198" s="71" t="b">
        <v>1</v>
      </c>
      <c r="R198" s="75" t="s">
        <v>3804</v>
      </c>
      <c r="S198" s="75" t="s">
        <v>3805</v>
      </c>
      <c r="T198" s="70" t="s">
        <v>1961</v>
      </c>
      <c r="U198" s="81" t="s">
        <v>1161</v>
      </c>
      <c r="V198" s="70" t="s">
        <v>3796</v>
      </c>
      <c r="W198" s="511"/>
      <c r="X198" s="511"/>
      <c r="Y198" s="515"/>
    </row>
    <row r="199" ht="22.5" customHeight="1">
      <c r="A199" s="70" t="s">
        <v>1447</v>
      </c>
      <c r="B199" s="75" t="s">
        <v>3806</v>
      </c>
      <c r="C199" s="75" t="s">
        <v>3807</v>
      </c>
      <c r="D199" s="75" t="s">
        <v>3808</v>
      </c>
      <c r="E199" s="75" t="s">
        <v>3809</v>
      </c>
      <c r="F199" s="75" t="s">
        <v>3810</v>
      </c>
      <c r="G199" s="75" t="s">
        <v>2300</v>
      </c>
      <c r="H199" s="75" t="s">
        <v>3811</v>
      </c>
      <c r="I199" s="304" t="s">
        <v>3812</v>
      </c>
      <c r="J199" s="305" t="s">
        <v>3813</v>
      </c>
      <c r="K199" s="75" t="s">
        <v>1091</v>
      </c>
      <c r="L199" s="75" t="s">
        <v>1093</v>
      </c>
      <c r="M199" s="70" t="s">
        <v>1098</v>
      </c>
      <c r="N199" s="70" t="s">
        <v>1108</v>
      </c>
      <c r="O199" s="75" t="s">
        <v>1430</v>
      </c>
      <c r="P199" s="70" t="s">
        <v>1401</v>
      </c>
      <c r="Q199" s="71" t="b">
        <v>1</v>
      </c>
      <c r="R199" s="75" t="s">
        <v>3814</v>
      </c>
      <c r="S199" s="75" t="s">
        <v>3815</v>
      </c>
      <c r="T199" s="70" t="s">
        <v>1961</v>
      </c>
      <c r="U199" s="47" t="s">
        <v>1161</v>
      </c>
      <c r="V199" s="70" t="s">
        <v>3796</v>
      </c>
      <c r="W199" s="511"/>
      <c r="X199" s="511"/>
      <c r="Y199" s="515"/>
    </row>
    <row r="200" ht="22.5" customHeight="1">
      <c r="A200" s="70" t="s">
        <v>1445</v>
      </c>
      <c r="B200" s="75" t="s">
        <v>2884</v>
      </c>
      <c r="C200" s="75" t="s">
        <v>3816</v>
      </c>
      <c r="D200" s="65" t="s">
        <v>3817</v>
      </c>
      <c r="E200" s="65" t="s">
        <v>3818</v>
      </c>
      <c r="F200" s="65" t="s">
        <v>3819</v>
      </c>
      <c r="G200" s="65" t="s">
        <v>2140</v>
      </c>
      <c r="H200" s="65" t="s">
        <v>3820</v>
      </c>
      <c r="I200" s="304" t="s">
        <v>3821</v>
      </c>
      <c r="J200" s="90" t="s">
        <v>3822</v>
      </c>
      <c r="K200" s="75" t="s">
        <v>1091</v>
      </c>
      <c r="L200" s="75" t="s">
        <v>1093</v>
      </c>
      <c r="M200" s="70" t="s">
        <v>1098</v>
      </c>
      <c r="N200" s="239" t="s">
        <v>1108</v>
      </c>
      <c r="O200" s="75" t="s">
        <v>3221</v>
      </c>
      <c r="P200" s="70" t="s">
        <v>1401</v>
      </c>
      <c r="Q200" s="71" t="b">
        <v>0</v>
      </c>
      <c r="R200" s="75" t="s">
        <v>3823</v>
      </c>
      <c r="S200" s="75" t="s">
        <v>3824</v>
      </c>
      <c r="T200" s="70" t="s">
        <v>1961</v>
      </c>
      <c r="U200" s="67" t="s">
        <v>3371</v>
      </c>
      <c r="V200" s="239" t="s">
        <v>1161</v>
      </c>
      <c r="W200" s="440"/>
      <c r="X200" s="441" t="s">
        <v>3314</v>
      </c>
      <c r="Y200" s="60"/>
    </row>
    <row r="201" ht="22.5" customHeight="1">
      <c r="A201" s="70" t="s">
        <v>1445</v>
      </c>
      <c r="B201" s="75" t="s">
        <v>1391</v>
      </c>
      <c r="C201" s="65" t="s">
        <v>3825</v>
      </c>
      <c r="D201" s="65" t="s">
        <v>3826</v>
      </c>
      <c r="E201" s="65" t="s">
        <v>3827</v>
      </c>
      <c r="F201" s="65" t="s">
        <v>3828</v>
      </c>
      <c r="G201" s="65" t="s">
        <v>70</v>
      </c>
      <c r="H201" s="65" t="s">
        <v>3829</v>
      </c>
      <c r="I201" s="304" t="s">
        <v>3830</v>
      </c>
      <c r="J201" s="305" t="s">
        <v>3831</v>
      </c>
      <c r="K201" s="75" t="s">
        <v>1091</v>
      </c>
      <c r="L201" s="75" t="s">
        <v>1093</v>
      </c>
      <c r="M201" s="70" t="s">
        <v>1098</v>
      </c>
      <c r="N201" s="70" t="s">
        <v>1108</v>
      </c>
      <c r="O201" s="75" t="s">
        <v>1430</v>
      </c>
      <c r="P201" s="70" t="s">
        <v>1161</v>
      </c>
      <c r="Q201" s="71" t="b">
        <v>1</v>
      </c>
      <c r="R201" s="75" t="s">
        <v>3832</v>
      </c>
      <c r="S201" s="75" t="s">
        <v>3833</v>
      </c>
      <c r="T201" s="70" t="s">
        <v>1843</v>
      </c>
      <c r="U201" s="81" t="s">
        <v>3371</v>
      </c>
      <c r="V201" s="239" t="s">
        <v>1161</v>
      </c>
      <c r="W201" s="462"/>
      <c r="X201" s="511"/>
      <c r="Y201" s="515"/>
    </row>
    <row r="202" ht="22.5" customHeight="1">
      <c r="A202" s="70" t="s">
        <v>1445</v>
      </c>
      <c r="B202" s="75" t="s">
        <v>1311</v>
      </c>
      <c r="C202" s="65" t="s">
        <v>3834</v>
      </c>
      <c r="D202" s="65" t="s">
        <v>3835</v>
      </c>
      <c r="E202" s="65" t="s">
        <v>3836</v>
      </c>
      <c r="F202" s="65" t="s">
        <v>3837</v>
      </c>
      <c r="G202" s="65" t="s">
        <v>3838</v>
      </c>
      <c r="H202" s="65" t="s">
        <v>3839</v>
      </c>
      <c r="I202" s="304" t="s">
        <v>3840</v>
      </c>
      <c r="J202" s="305">
        <v>1.124000633E9</v>
      </c>
      <c r="K202" s="75" t="s">
        <v>1566</v>
      </c>
      <c r="L202" s="75" t="s">
        <v>2310</v>
      </c>
      <c r="M202" s="70" t="s">
        <v>1098</v>
      </c>
      <c r="N202" s="70" t="s">
        <v>1108</v>
      </c>
      <c r="O202" s="75" t="s">
        <v>1746</v>
      </c>
      <c r="P202" s="70" t="s">
        <v>2019</v>
      </c>
      <c r="Q202" s="71" t="b">
        <v>1</v>
      </c>
      <c r="R202" s="75" t="s">
        <v>3841</v>
      </c>
      <c r="S202" s="65" t="s">
        <v>3410</v>
      </c>
      <c r="T202" s="70" t="s">
        <v>1843</v>
      </c>
      <c r="U202" s="47" t="s">
        <v>3371</v>
      </c>
      <c r="V202" s="239" t="s">
        <v>1161</v>
      </c>
      <c r="W202" s="440"/>
      <c r="X202" s="441" t="s">
        <v>3314</v>
      </c>
      <c r="Y202" s="60"/>
    </row>
    <row r="203" ht="22.5" customHeight="1">
      <c r="A203" s="70" t="s">
        <v>1445</v>
      </c>
      <c r="B203" s="75" t="s">
        <v>2884</v>
      </c>
      <c r="C203" s="65" t="s">
        <v>3842</v>
      </c>
      <c r="D203" s="65" t="s">
        <v>3843</v>
      </c>
      <c r="E203" s="65" t="s">
        <v>3844</v>
      </c>
      <c r="F203" s="65" t="s">
        <v>3845</v>
      </c>
      <c r="G203" s="65" t="s">
        <v>70</v>
      </c>
      <c r="H203" s="65" t="s">
        <v>3846</v>
      </c>
      <c r="I203" s="304" t="s">
        <v>3847</v>
      </c>
      <c r="J203" s="90" t="s">
        <v>3848</v>
      </c>
      <c r="K203" s="75" t="s">
        <v>1091</v>
      </c>
      <c r="L203" s="75" t="s">
        <v>1093</v>
      </c>
      <c r="M203" s="70" t="s">
        <v>1098</v>
      </c>
      <c r="N203" s="70" t="s">
        <v>1108</v>
      </c>
      <c r="O203" s="75" t="s">
        <v>1430</v>
      </c>
      <c r="P203" s="70" t="s">
        <v>1161</v>
      </c>
      <c r="Q203" s="71" t="b">
        <v>1</v>
      </c>
      <c r="R203" s="75" t="s">
        <v>3849</v>
      </c>
      <c r="S203" s="65" t="s">
        <v>3410</v>
      </c>
      <c r="T203" s="70" t="s">
        <v>1961</v>
      </c>
      <c r="U203" s="47" t="s">
        <v>3371</v>
      </c>
      <c r="V203" s="239" t="s">
        <v>1161</v>
      </c>
      <c r="W203" s="440"/>
      <c r="X203" s="441" t="s">
        <v>3314</v>
      </c>
      <c r="Y203" s="60"/>
    </row>
    <row r="204" ht="24.0" customHeight="1">
      <c r="A204" s="70" t="s">
        <v>1445</v>
      </c>
      <c r="B204" s="75" t="s">
        <v>2884</v>
      </c>
      <c r="C204" s="75" t="s">
        <v>3850</v>
      </c>
      <c r="D204" s="75" t="s">
        <v>3851</v>
      </c>
      <c r="E204" s="527" t="s">
        <v>3852</v>
      </c>
      <c r="F204" s="65" t="s">
        <v>3853</v>
      </c>
      <c r="G204" s="65" t="s">
        <v>91</v>
      </c>
      <c r="H204" s="65" t="s">
        <v>3854</v>
      </c>
      <c r="I204" s="75" t="s">
        <v>3855</v>
      </c>
      <c r="J204" s="531">
        <v>3.300505936E9</v>
      </c>
      <c r="K204" s="75" t="s">
        <v>1091</v>
      </c>
      <c r="L204" s="75" t="s">
        <v>1093</v>
      </c>
      <c r="M204" s="70" t="s">
        <v>1098</v>
      </c>
      <c r="N204" s="70" t="s">
        <v>1108</v>
      </c>
      <c r="O204" s="75" t="s">
        <v>1161</v>
      </c>
      <c r="P204" s="70" t="s">
        <v>2019</v>
      </c>
      <c r="Q204" s="71" t="b">
        <v>1</v>
      </c>
      <c r="R204" s="75" t="s">
        <v>3856</v>
      </c>
      <c r="S204" s="65" t="s">
        <v>3410</v>
      </c>
      <c r="T204" s="70" t="s">
        <v>1843</v>
      </c>
      <c r="U204" s="67" t="s">
        <v>3371</v>
      </c>
      <c r="V204" s="239" t="s">
        <v>1161</v>
      </c>
      <c r="W204" s="440"/>
      <c r="X204" s="441" t="s">
        <v>3314</v>
      </c>
      <c r="Y204" s="60"/>
    </row>
    <row r="205" ht="22.5" customHeight="1">
      <c r="A205" s="70" t="s">
        <v>1436</v>
      </c>
      <c r="B205" s="75" t="s">
        <v>1475</v>
      </c>
      <c r="C205" s="75" t="s">
        <v>3857</v>
      </c>
      <c r="D205" s="75" t="s">
        <v>3858</v>
      </c>
      <c r="E205" s="75" t="s">
        <v>3859</v>
      </c>
      <c r="F205" s="75" t="s">
        <v>3860</v>
      </c>
      <c r="G205" s="75" t="s">
        <v>560</v>
      </c>
      <c r="H205" s="75" t="s">
        <v>3861</v>
      </c>
      <c r="I205" s="75" t="s">
        <v>3862</v>
      </c>
      <c r="J205" s="75" t="s">
        <v>3863</v>
      </c>
      <c r="K205" s="75" t="s">
        <v>1091</v>
      </c>
      <c r="L205" s="75" t="s">
        <v>1093</v>
      </c>
      <c r="M205" s="70" t="s">
        <v>1098</v>
      </c>
      <c r="N205" s="70" t="s">
        <v>1108</v>
      </c>
      <c r="O205" s="75" t="s">
        <v>3864</v>
      </c>
      <c r="P205" s="70" t="s">
        <v>1161</v>
      </c>
      <c r="Q205" s="71" t="b">
        <v>1</v>
      </c>
      <c r="R205" s="75" t="s">
        <v>3865</v>
      </c>
      <c r="S205" s="75" t="s">
        <v>3866</v>
      </c>
      <c r="T205" s="70" t="s">
        <v>1961</v>
      </c>
      <c r="U205" s="81" t="s">
        <v>3455</v>
      </c>
      <c r="V205" s="70"/>
      <c r="W205" s="462" t="s">
        <v>3413</v>
      </c>
      <c r="X205" s="511"/>
      <c r="Y205" s="515"/>
    </row>
    <row r="206" ht="22.5" customHeight="1">
      <c r="A206" s="70" t="s">
        <v>1438</v>
      </c>
      <c r="B206" s="75" t="s">
        <v>2884</v>
      </c>
      <c r="C206" s="75" t="s">
        <v>3867</v>
      </c>
      <c r="D206" s="75" t="s">
        <v>3868</v>
      </c>
      <c r="E206" s="75" t="s">
        <v>3869</v>
      </c>
      <c r="F206" s="75" t="s">
        <v>3870</v>
      </c>
      <c r="G206" s="75" t="s">
        <v>2649</v>
      </c>
      <c r="H206" s="75" t="s">
        <v>3871</v>
      </c>
      <c r="I206" s="75" t="s">
        <v>3872</v>
      </c>
      <c r="J206" s="65" t="s">
        <v>3873</v>
      </c>
      <c r="K206" s="75" t="s">
        <v>1091</v>
      </c>
      <c r="L206" s="75" t="s">
        <v>1093</v>
      </c>
      <c r="M206" s="70" t="s">
        <v>1098</v>
      </c>
      <c r="N206" s="70" t="s">
        <v>1108</v>
      </c>
      <c r="O206" s="75" t="s">
        <v>2018</v>
      </c>
      <c r="P206" s="70" t="s">
        <v>2019</v>
      </c>
      <c r="Q206" s="71" t="b">
        <v>1</v>
      </c>
      <c r="R206" s="75" t="s">
        <v>3874</v>
      </c>
      <c r="S206" s="75" t="s">
        <v>3875</v>
      </c>
      <c r="T206" s="70" t="s">
        <v>1843</v>
      </c>
      <c r="U206" s="47" t="s">
        <v>3319</v>
      </c>
      <c r="V206" s="70" t="s">
        <v>3876</v>
      </c>
      <c r="W206" s="441" t="s">
        <v>3342</v>
      </c>
      <c r="X206" s="511"/>
      <c r="Y206" s="515"/>
    </row>
    <row r="207" ht="22.5" customHeight="1">
      <c r="A207" s="519" t="s">
        <v>1445</v>
      </c>
      <c r="B207" s="75" t="s">
        <v>1311</v>
      </c>
      <c r="C207" s="75" t="s">
        <v>3877</v>
      </c>
      <c r="D207" s="75" t="s">
        <v>3878</v>
      </c>
      <c r="E207" s="75" t="s">
        <v>3879</v>
      </c>
      <c r="F207" s="75" t="s">
        <v>3880</v>
      </c>
      <c r="G207" s="75" t="s">
        <v>70</v>
      </c>
      <c r="H207" s="75" t="s">
        <v>3881</v>
      </c>
      <c r="I207" s="75" t="s">
        <v>3882</v>
      </c>
      <c r="J207" s="75" t="s">
        <v>3883</v>
      </c>
      <c r="K207" s="75" t="s">
        <v>3884</v>
      </c>
      <c r="L207" s="75" t="s">
        <v>3885</v>
      </c>
      <c r="M207" s="70" t="s">
        <v>1098</v>
      </c>
      <c r="N207" s="70" t="s">
        <v>1108</v>
      </c>
      <c r="O207" s="75" t="s">
        <v>2018</v>
      </c>
      <c r="P207" s="70" t="s">
        <v>1161</v>
      </c>
      <c r="Q207" s="71" t="b">
        <v>1</v>
      </c>
      <c r="R207" s="75" t="s">
        <v>3886</v>
      </c>
      <c r="S207" s="75" t="s">
        <v>3887</v>
      </c>
      <c r="T207" s="70" t="s">
        <v>1843</v>
      </c>
      <c r="U207" s="67" t="s">
        <v>3371</v>
      </c>
      <c r="V207" s="70" t="s">
        <v>1161</v>
      </c>
      <c r="W207" s="462" t="s">
        <v>3413</v>
      </c>
      <c r="X207" s="511"/>
      <c r="Y207" s="515"/>
    </row>
    <row r="208" ht="22.5" customHeight="1">
      <c r="A208" s="70" t="s">
        <v>1000</v>
      </c>
      <c r="B208" s="75" t="s">
        <v>1212</v>
      </c>
      <c r="C208" s="75" t="s">
        <v>3888</v>
      </c>
      <c r="D208" s="75" t="s">
        <v>3889</v>
      </c>
      <c r="E208" s="75" t="s">
        <v>3890</v>
      </c>
      <c r="F208" s="75" t="s">
        <v>3891</v>
      </c>
      <c r="G208" s="75" t="s">
        <v>1260</v>
      </c>
      <c r="H208" s="75" t="s">
        <v>3892</v>
      </c>
      <c r="I208" s="75" t="s">
        <v>3893</v>
      </c>
      <c r="J208" s="75" t="s">
        <v>3894</v>
      </c>
      <c r="K208" s="75" t="s">
        <v>3884</v>
      </c>
      <c r="L208" s="75" t="s">
        <v>3885</v>
      </c>
      <c r="M208" s="70" t="s">
        <v>1098</v>
      </c>
      <c r="N208" s="70" t="s">
        <v>1108</v>
      </c>
      <c r="O208" s="75" t="s">
        <v>2018</v>
      </c>
      <c r="P208" s="70" t="s">
        <v>2019</v>
      </c>
      <c r="Q208" s="71" t="b">
        <v>1</v>
      </c>
      <c r="R208" s="75" t="s">
        <v>3895</v>
      </c>
      <c r="S208" s="532" t="s">
        <v>3896</v>
      </c>
      <c r="T208" s="70" t="s">
        <v>1843</v>
      </c>
      <c r="U208" s="81" t="s">
        <v>1161</v>
      </c>
      <c r="V208" s="70" t="s">
        <v>1161</v>
      </c>
      <c r="W208" s="511"/>
      <c r="X208" s="511"/>
      <c r="Y208" s="515"/>
    </row>
    <row r="209" ht="22.5" customHeight="1">
      <c r="A209" s="70" t="s">
        <v>1445</v>
      </c>
      <c r="B209" s="75" t="s">
        <v>1212</v>
      </c>
      <c r="C209" s="75" t="s">
        <v>3897</v>
      </c>
      <c r="D209" s="75" t="s">
        <v>3898</v>
      </c>
      <c r="E209" s="75" t="s">
        <v>3899</v>
      </c>
      <c r="F209" s="75" t="s">
        <v>3900</v>
      </c>
      <c r="G209" s="65" t="s">
        <v>732</v>
      </c>
      <c r="H209" s="65" t="s">
        <v>3901</v>
      </c>
      <c r="I209" s="75" t="s">
        <v>3902</v>
      </c>
      <c r="J209" s="75" t="s">
        <v>3903</v>
      </c>
      <c r="K209" s="75" t="s">
        <v>3884</v>
      </c>
      <c r="L209" s="75" t="s">
        <v>3885</v>
      </c>
      <c r="M209" s="70" t="s">
        <v>1098</v>
      </c>
      <c r="N209" s="70" t="s">
        <v>1108</v>
      </c>
      <c r="O209" s="75" t="s">
        <v>1161</v>
      </c>
      <c r="P209" s="70" t="s">
        <v>1161</v>
      </c>
      <c r="Q209" s="71" t="b">
        <v>0</v>
      </c>
      <c r="R209" s="75" t="s">
        <v>3904</v>
      </c>
      <c r="S209" s="75" t="s">
        <v>3905</v>
      </c>
      <c r="T209" s="70" t="s">
        <v>1843</v>
      </c>
      <c r="U209" s="67" t="s">
        <v>3371</v>
      </c>
      <c r="V209" s="239" t="s">
        <v>1161</v>
      </c>
      <c r="W209" s="511"/>
      <c r="X209" s="511"/>
      <c r="Y209" s="515"/>
    </row>
    <row r="210" ht="22.5" customHeight="1">
      <c r="A210" s="70" t="s">
        <v>1445</v>
      </c>
      <c r="B210" s="75" t="s">
        <v>3157</v>
      </c>
      <c r="C210" s="75" t="s">
        <v>3906</v>
      </c>
      <c r="D210" s="75" t="s">
        <v>3907</v>
      </c>
      <c r="E210" s="75" t="s">
        <v>3908</v>
      </c>
      <c r="F210" s="75" t="s">
        <v>3909</v>
      </c>
      <c r="G210" s="75" t="s">
        <v>2649</v>
      </c>
      <c r="H210" s="65" t="s">
        <v>3910</v>
      </c>
      <c r="I210" s="75" t="s">
        <v>3911</v>
      </c>
      <c r="J210" s="65" t="s">
        <v>3912</v>
      </c>
      <c r="K210" s="75" t="s">
        <v>3884</v>
      </c>
      <c r="L210" s="75" t="s">
        <v>3885</v>
      </c>
      <c r="M210" s="70" t="s">
        <v>1098</v>
      </c>
      <c r="N210" s="70" t="s">
        <v>1108</v>
      </c>
      <c r="O210" s="75" t="s">
        <v>3221</v>
      </c>
      <c r="P210" s="70" t="s">
        <v>2019</v>
      </c>
      <c r="Q210" s="71" t="b">
        <v>1</v>
      </c>
      <c r="R210" s="75" t="s">
        <v>3913</v>
      </c>
      <c r="S210" s="461" t="s">
        <v>3364</v>
      </c>
      <c r="T210" s="70" t="s">
        <v>1843</v>
      </c>
      <c r="U210" s="47" t="s">
        <v>3319</v>
      </c>
      <c r="V210" s="70" t="s">
        <v>1161</v>
      </c>
      <c r="W210" s="441" t="s">
        <v>3342</v>
      </c>
      <c r="X210" s="511"/>
      <c r="Y210" s="515"/>
    </row>
    <row r="211" ht="22.5" customHeight="1">
      <c r="A211" s="70" t="s">
        <v>1445</v>
      </c>
      <c r="B211" s="75" t="s">
        <v>3157</v>
      </c>
      <c r="C211" s="75" t="s">
        <v>3914</v>
      </c>
      <c r="D211" s="75" t="s">
        <v>3915</v>
      </c>
      <c r="E211" s="75" t="s">
        <v>3916</v>
      </c>
      <c r="F211" s="75" t="s">
        <v>3917</v>
      </c>
      <c r="G211" s="65" t="s">
        <v>70</v>
      </c>
      <c r="H211" s="65" t="s">
        <v>3918</v>
      </c>
      <c r="I211" s="75" t="s">
        <v>3919</v>
      </c>
      <c r="J211" s="75" t="s">
        <v>3920</v>
      </c>
      <c r="K211" s="75" t="s">
        <v>3884</v>
      </c>
      <c r="L211" s="75" t="s">
        <v>3885</v>
      </c>
      <c r="M211" s="70" t="s">
        <v>1098</v>
      </c>
      <c r="N211" s="70" t="s">
        <v>1108</v>
      </c>
      <c r="O211" s="75" t="s">
        <v>2018</v>
      </c>
      <c r="P211" s="70" t="s">
        <v>1161</v>
      </c>
      <c r="Q211" s="71" t="b">
        <v>1</v>
      </c>
      <c r="R211" s="75" t="s">
        <v>3921</v>
      </c>
      <c r="S211" s="65" t="s">
        <v>3922</v>
      </c>
      <c r="T211" s="70" t="s">
        <v>1843</v>
      </c>
      <c r="U211" s="81" t="s">
        <v>3371</v>
      </c>
      <c r="V211" s="70"/>
      <c r="W211" s="511"/>
      <c r="X211" s="511"/>
      <c r="Y211" s="515"/>
    </row>
    <row r="212" ht="22.5" customHeight="1">
      <c r="A212" s="70" t="s">
        <v>1445</v>
      </c>
      <c r="B212" s="65" t="s">
        <v>1311</v>
      </c>
      <c r="C212" s="65" t="s">
        <v>3923</v>
      </c>
      <c r="D212" s="75" t="s">
        <v>2394</v>
      </c>
      <c r="E212" s="65" t="s">
        <v>2395</v>
      </c>
      <c r="F212" s="65" t="s">
        <v>2396</v>
      </c>
      <c r="G212" s="75" t="s">
        <v>70</v>
      </c>
      <c r="H212" s="65" t="s">
        <v>2397</v>
      </c>
      <c r="I212" s="65" t="s">
        <v>2398</v>
      </c>
      <c r="J212" s="75" t="s">
        <v>3924</v>
      </c>
      <c r="K212" s="75" t="s">
        <v>2684</v>
      </c>
      <c r="L212" s="65" t="s">
        <v>2686</v>
      </c>
      <c r="M212" s="70" t="s">
        <v>1098</v>
      </c>
      <c r="N212" s="70" t="s">
        <v>1108</v>
      </c>
      <c r="O212" s="75" t="s">
        <v>2018</v>
      </c>
      <c r="P212" s="70" t="s">
        <v>2019</v>
      </c>
      <c r="Q212" s="71" t="b">
        <v>1</v>
      </c>
      <c r="R212" s="75" t="s">
        <v>3925</v>
      </c>
      <c r="S212" s="75" t="s">
        <v>3534</v>
      </c>
      <c r="T212" s="239" t="s">
        <v>1843</v>
      </c>
      <c r="U212" s="47" t="s">
        <v>3371</v>
      </c>
      <c r="V212" s="239"/>
      <c r="W212" s="462"/>
      <c r="X212" s="457"/>
      <c r="Y212" s="517"/>
    </row>
    <row r="213" ht="22.5" customHeight="1">
      <c r="A213" s="70" t="s">
        <v>1435</v>
      </c>
      <c r="B213" s="65" t="s">
        <v>1311</v>
      </c>
      <c r="C213" s="65" t="s">
        <v>3926</v>
      </c>
      <c r="D213" s="75" t="s">
        <v>2554</v>
      </c>
      <c r="E213" s="65" t="s">
        <v>2555</v>
      </c>
      <c r="F213" s="65" t="s">
        <v>2556</v>
      </c>
      <c r="G213" s="75" t="s">
        <v>3927</v>
      </c>
      <c r="H213" s="65" t="s">
        <v>2557</v>
      </c>
      <c r="I213" s="65" t="s">
        <v>3928</v>
      </c>
      <c r="J213" s="65" t="s">
        <v>3929</v>
      </c>
      <c r="K213" s="75" t="s">
        <v>2684</v>
      </c>
      <c r="L213" s="65" t="s">
        <v>2686</v>
      </c>
      <c r="M213" s="70" t="s">
        <v>1098</v>
      </c>
      <c r="N213" s="70" t="s">
        <v>1108</v>
      </c>
      <c r="O213" s="75" t="s">
        <v>3722</v>
      </c>
      <c r="P213" s="70" t="s">
        <v>1161</v>
      </c>
      <c r="Q213" s="71" t="b">
        <v>0</v>
      </c>
      <c r="R213" s="65" t="s">
        <v>3930</v>
      </c>
      <c r="S213" s="75" t="s">
        <v>3572</v>
      </c>
      <c r="T213" s="239" t="s">
        <v>1843</v>
      </c>
      <c r="U213" s="47" t="s">
        <v>3455</v>
      </c>
      <c r="V213" s="239" t="s">
        <v>1161</v>
      </c>
      <c r="W213" s="462" t="s">
        <v>3321</v>
      </c>
      <c r="X213" s="511"/>
      <c r="Y213" s="515"/>
    </row>
    <row r="214" ht="18.75" customHeight="1">
      <c r="A214" s="70" t="s">
        <v>1445</v>
      </c>
      <c r="B214" s="65" t="s">
        <v>3157</v>
      </c>
      <c r="C214" s="533" t="s">
        <v>3931</v>
      </c>
      <c r="D214" s="75" t="s">
        <v>3932</v>
      </c>
      <c r="E214" s="65" t="s">
        <v>3933</v>
      </c>
      <c r="F214" s="65" t="s">
        <v>3934</v>
      </c>
      <c r="G214" s="65" t="s">
        <v>695</v>
      </c>
      <c r="H214" s="65" t="s">
        <v>3935</v>
      </c>
      <c r="I214" s="65" t="s">
        <v>3936</v>
      </c>
      <c r="J214" s="65" t="s">
        <v>3937</v>
      </c>
      <c r="K214" s="75" t="s">
        <v>2684</v>
      </c>
      <c r="L214" s="65" t="s">
        <v>2686</v>
      </c>
      <c r="M214" s="70" t="s">
        <v>3324</v>
      </c>
      <c r="N214" s="70" t="s">
        <v>1108</v>
      </c>
      <c r="O214" s="75" t="s">
        <v>2018</v>
      </c>
      <c r="P214" s="70" t="s">
        <v>1161</v>
      </c>
      <c r="Q214" s="71" t="b">
        <v>1</v>
      </c>
      <c r="R214" s="75" t="s">
        <v>3938</v>
      </c>
      <c r="S214" s="75" t="s">
        <v>3939</v>
      </c>
      <c r="T214" s="239" t="s">
        <v>1843</v>
      </c>
      <c r="U214" s="47" t="s">
        <v>3371</v>
      </c>
      <c r="V214" s="239" t="s">
        <v>1161</v>
      </c>
      <c r="W214" s="440"/>
      <c r="X214" s="441" t="s">
        <v>3314</v>
      </c>
      <c r="Y214" s="60"/>
    </row>
    <row r="215" ht="22.5" customHeight="1">
      <c r="A215" s="70" t="s">
        <v>1445</v>
      </c>
      <c r="B215" s="75" t="s">
        <v>3157</v>
      </c>
      <c r="C215" s="65" t="s">
        <v>3940</v>
      </c>
      <c r="D215" s="75" t="s">
        <v>3941</v>
      </c>
      <c r="E215" s="65" t="s">
        <v>3942</v>
      </c>
      <c r="F215" s="65" t="s">
        <v>3943</v>
      </c>
      <c r="G215" s="75" t="s">
        <v>70</v>
      </c>
      <c r="H215" s="65" t="s">
        <v>3944</v>
      </c>
      <c r="I215" s="75" t="s">
        <v>3945</v>
      </c>
      <c r="J215" s="65" t="s">
        <v>3946</v>
      </c>
      <c r="K215" s="75" t="s">
        <v>2684</v>
      </c>
      <c r="L215" s="65" t="s">
        <v>2686</v>
      </c>
      <c r="M215" s="70" t="s">
        <v>1098</v>
      </c>
      <c r="N215" s="70" t="s">
        <v>1108</v>
      </c>
      <c r="O215" s="75" t="s">
        <v>3947</v>
      </c>
      <c r="P215" s="70" t="s">
        <v>1161</v>
      </c>
      <c r="Q215" s="71" t="b">
        <v>1</v>
      </c>
      <c r="R215" s="65" t="s">
        <v>3948</v>
      </c>
      <c r="S215" s="75" t="s">
        <v>3949</v>
      </c>
      <c r="T215" s="239" t="s">
        <v>1843</v>
      </c>
      <c r="U215" s="81" t="s">
        <v>3371</v>
      </c>
      <c r="V215" s="239" t="s">
        <v>1161</v>
      </c>
      <c r="W215" s="462" t="s">
        <v>3321</v>
      </c>
      <c r="X215" s="457"/>
      <c r="Y215" s="517"/>
    </row>
    <row r="216" ht="22.5" customHeight="1">
      <c r="A216" s="70" t="s">
        <v>1445</v>
      </c>
      <c r="B216" s="65" t="s">
        <v>1475</v>
      </c>
      <c r="C216" s="65" t="s">
        <v>3950</v>
      </c>
      <c r="D216" s="75" t="s">
        <v>2368</v>
      </c>
      <c r="E216" s="65" t="s">
        <v>3951</v>
      </c>
      <c r="F216" s="65" t="s">
        <v>2370</v>
      </c>
      <c r="G216" s="75" t="s">
        <v>2185</v>
      </c>
      <c r="H216" s="65" t="s">
        <v>2371</v>
      </c>
      <c r="I216" s="65" t="s">
        <v>3952</v>
      </c>
      <c r="J216" s="65" t="s">
        <v>3953</v>
      </c>
      <c r="K216" s="75" t="s">
        <v>2684</v>
      </c>
      <c r="L216" s="65" t="s">
        <v>2686</v>
      </c>
      <c r="M216" s="70" t="s">
        <v>1098</v>
      </c>
      <c r="N216" s="70" t="s">
        <v>1108</v>
      </c>
      <c r="O216" s="75" t="s">
        <v>2018</v>
      </c>
      <c r="P216" s="469" t="s">
        <v>1161</v>
      </c>
      <c r="Q216" s="71" t="b">
        <v>1</v>
      </c>
      <c r="R216" s="65" t="s">
        <v>3954</v>
      </c>
      <c r="S216" s="65" t="s">
        <v>3955</v>
      </c>
      <c r="T216" s="239" t="s">
        <v>1843</v>
      </c>
      <c r="U216" s="67" t="s">
        <v>3371</v>
      </c>
      <c r="V216" s="239" t="s">
        <v>1161</v>
      </c>
      <c r="W216" s="440"/>
      <c r="X216" s="441" t="s">
        <v>3314</v>
      </c>
      <c r="Y216" s="60"/>
    </row>
    <row r="217" ht="22.5" customHeight="1">
      <c r="A217" s="519" t="s">
        <v>1445</v>
      </c>
      <c r="B217" s="75" t="s">
        <v>3956</v>
      </c>
      <c r="C217" s="65" t="s">
        <v>3957</v>
      </c>
      <c r="D217" s="75" t="s">
        <v>3958</v>
      </c>
      <c r="E217" s="65" t="s">
        <v>3959</v>
      </c>
      <c r="F217" s="65" t="s">
        <v>3960</v>
      </c>
      <c r="G217" s="65" t="s">
        <v>70</v>
      </c>
      <c r="H217" s="65" t="s">
        <v>3961</v>
      </c>
      <c r="I217" s="75" t="s">
        <v>3962</v>
      </c>
      <c r="J217" s="65" t="s">
        <v>3963</v>
      </c>
      <c r="K217" s="75" t="s">
        <v>2684</v>
      </c>
      <c r="L217" s="65" t="s">
        <v>2686</v>
      </c>
      <c r="M217" s="70" t="s">
        <v>1098</v>
      </c>
      <c r="N217" s="70" t="s">
        <v>1108</v>
      </c>
      <c r="O217" s="75" t="s">
        <v>1430</v>
      </c>
      <c r="P217" s="70" t="s">
        <v>1161</v>
      </c>
      <c r="Q217" s="71" t="b">
        <v>1</v>
      </c>
      <c r="R217" s="75" t="s">
        <v>3964</v>
      </c>
      <c r="S217" s="75" t="s">
        <v>3313</v>
      </c>
      <c r="T217" s="239" t="s">
        <v>1843</v>
      </c>
      <c r="U217" s="81" t="s">
        <v>3371</v>
      </c>
      <c r="V217" s="239" t="s">
        <v>1161</v>
      </c>
      <c r="W217" s="462" t="s">
        <v>3321</v>
      </c>
      <c r="X217" s="457"/>
      <c r="Y217" s="517"/>
    </row>
    <row r="218" ht="22.5" customHeight="1">
      <c r="A218" s="519" t="s">
        <v>1442</v>
      </c>
      <c r="B218" s="75" t="s">
        <v>3956</v>
      </c>
      <c r="C218" s="65" t="s">
        <v>3965</v>
      </c>
      <c r="D218" s="75" t="s">
        <v>3966</v>
      </c>
      <c r="E218" s="65" t="s">
        <v>3967</v>
      </c>
      <c r="F218" s="65" t="s">
        <v>3968</v>
      </c>
      <c r="G218" s="65" t="s">
        <v>70</v>
      </c>
      <c r="H218" s="65" t="s">
        <v>3969</v>
      </c>
      <c r="I218" s="65" t="s">
        <v>3970</v>
      </c>
      <c r="J218" s="304" t="s">
        <v>3971</v>
      </c>
      <c r="K218" s="75" t="s">
        <v>2684</v>
      </c>
      <c r="L218" s="65" t="s">
        <v>2686</v>
      </c>
      <c r="M218" s="70" t="s">
        <v>1098</v>
      </c>
      <c r="N218" s="70" t="s">
        <v>1108</v>
      </c>
      <c r="O218" s="75" t="s">
        <v>1430</v>
      </c>
      <c r="P218" s="70" t="s">
        <v>1161</v>
      </c>
      <c r="Q218" s="71" t="b">
        <v>1</v>
      </c>
      <c r="R218" s="65" t="s">
        <v>2842</v>
      </c>
      <c r="S218" s="75" t="s">
        <v>3436</v>
      </c>
      <c r="T218" s="239" t="s">
        <v>1843</v>
      </c>
      <c r="U218" s="81" t="s">
        <v>3371</v>
      </c>
      <c r="V218" s="239"/>
      <c r="W218" s="462" t="s">
        <v>3321</v>
      </c>
      <c r="X218" s="457"/>
      <c r="Y218" s="517"/>
    </row>
    <row r="219" ht="22.5" customHeight="1">
      <c r="A219" s="239" t="s">
        <v>1445</v>
      </c>
      <c r="B219" s="65" t="s">
        <v>3972</v>
      </c>
      <c r="C219" s="65" t="s">
        <v>3973</v>
      </c>
      <c r="D219" s="75" t="s">
        <v>1383</v>
      </c>
      <c r="E219" s="65" t="s">
        <v>3974</v>
      </c>
      <c r="F219" s="65" t="s">
        <v>3975</v>
      </c>
      <c r="G219" s="65" t="s">
        <v>2618</v>
      </c>
      <c r="H219" s="65" t="s">
        <v>3976</v>
      </c>
      <c r="I219" s="65" t="s">
        <v>3977</v>
      </c>
      <c r="J219" s="304" t="s">
        <v>1384</v>
      </c>
      <c r="K219" s="75" t="s">
        <v>2684</v>
      </c>
      <c r="L219" s="65" t="s">
        <v>2686</v>
      </c>
      <c r="M219" s="70" t="s">
        <v>1098</v>
      </c>
      <c r="N219" s="70" t="s">
        <v>1108</v>
      </c>
      <c r="O219" s="75" t="s">
        <v>1430</v>
      </c>
      <c r="P219" s="70" t="s">
        <v>1161</v>
      </c>
      <c r="Q219" s="71" t="b">
        <v>1</v>
      </c>
      <c r="R219" s="65" t="s">
        <v>3978</v>
      </c>
      <c r="S219" s="75" t="s">
        <v>3979</v>
      </c>
      <c r="T219" s="239" t="s">
        <v>1843</v>
      </c>
      <c r="U219" s="47" t="s">
        <v>3371</v>
      </c>
      <c r="V219" s="239"/>
      <c r="W219" s="511"/>
      <c r="X219" s="511"/>
      <c r="Y219" s="515"/>
    </row>
    <row r="220" ht="19.5" customHeight="1">
      <c r="A220" s="239" t="s">
        <v>1445</v>
      </c>
      <c r="B220" s="65" t="s">
        <v>3972</v>
      </c>
      <c r="C220" s="65" t="s">
        <v>3980</v>
      </c>
      <c r="D220" s="75" t="s">
        <v>3981</v>
      </c>
      <c r="E220" s="65" t="s">
        <v>3982</v>
      </c>
      <c r="F220" s="65" t="s">
        <v>3983</v>
      </c>
      <c r="G220" s="65" t="s">
        <v>3984</v>
      </c>
      <c r="H220" s="65" t="s">
        <v>3985</v>
      </c>
      <c r="I220" s="65" t="s">
        <v>3986</v>
      </c>
      <c r="J220" s="304" t="s">
        <v>3987</v>
      </c>
      <c r="K220" s="75" t="s">
        <v>2684</v>
      </c>
      <c r="L220" s="65" t="s">
        <v>2686</v>
      </c>
      <c r="M220" s="70" t="s">
        <v>1098</v>
      </c>
      <c r="N220" s="70" t="s">
        <v>1108</v>
      </c>
      <c r="O220" s="75" t="s">
        <v>3988</v>
      </c>
      <c r="P220" s="70" t="s">
        <v>1161</v>
      </c>
      <c r="Q220" s="71" t="b">
        <v>1</v>
      </c>
      <c r="R220" s="65" t="s">
        <v>3989</v>
      </c>
      <c r="S220" s="75" t="s">
        <v>3436</v>
      </c>
      <c r="T220" s="239" t="s">
        <v>1843</v>
      </c>
      <c r="U220" s="47" t="s">
        <v>3371</v>
      </c>
      <c r="V220" s="239" t="s">
        <v>1161</v>
      </c>
      <c r="W220" s="440"/>
      <c r="X220" s="441" t="s">
        <v>3314</v>
      </c>
      <c r="Y220" s="60"/>
    </row>
    <row r="221" ht="19.5" customHeight="1">
      <c r="A221" s="70" t="s">
        <v>1438</v>
      </c>
      <c r="B221" s="65" t="s">
        <v>3990</v>
      </c>
      <c r="C221" s="65" t="s">
        <v>3991</v>
      </c>
      <c r="D221" s="75" t="s">
        <v>3992</v>
      </c>
      <c r="E221" s="65" t="s">
        <v>3993</v>
      </c>
      <c r="F221" s="65" t="s">
        <v>3994</v>
      </c>
      <c r="G221" s="65" t="s">
        <v>2980</v>
      </c>
      <c r="H221" s="65" t="s">
        <v>3995</v>
      </c>
      <c r="I221" s="65" t="s">
        <v>3996</v>
      </c>
      <c r="J221" s="304" t="s">
        <v>3997</v>
      </c>
      <c r="K221" s="75" t="s">
        <v>2684</v>
      </c>
      <c r="L221" s="65" t="s">
        <v>3998</v>
      </c>
      <c r="M221" s="70" t="s">
        <v>1098</v>
      </c>
      <c r="N221" s="70" t="s">
        <v>1108</v>
      </c>
      <c r="O221" s="75" t="s">
        <v>3988</v>
      </c>
      <c r="P221" s="70" t="s">
        <v>1161</v>
      </c>
      <c r="Q221" s="71" t="b">
        <v>1</v>
      </c>
      <c r="R221" s="65" t="s">
        <v>3999</v>
      </c>
      <c r="S221" s="75" t="s">
        <v>4000</v>
      </c>
      <c r="T221" s="239" t="s">
        <v>1843</v>
      </c>
      <c r="U221" s="47"/>
      <c r="V221" s="70" t="s">
        <v>3876</v>
      </c>
      <c r="W221" s="441" t="s">
        <v>3573</v>
      </c>
      <c r="X221" s="511"/>
      <c r="Y221" s="515"/>
    </row>
    <row r="222" ht="21.0" customHeight="1">
      <c r="A222" s="70" t="s">
        <v>1445</v>
      </c>
      <c r="B222" s="75" t="s">
        <v>219</v>
      </c>
      <c r="C222" s="65" t="s">
        <v>4001</v>
      </c>
      <c r="D222" s="75" t="s">
        <v>3779</v>
      </c>
      <c r="E222" s="65" t="s">
        <v>3780</v>
      </c>
      <c r="F222" s="65" t="s">
        <v>4002</v>
      </c>
      <c r="G222" s="65" t="s">
        <v>91</v>
      </c>
      <c r="H222" s="65" t="s">
        <v>3782</v>
      </c>
      <c r="I222" s="304" t="s">
        <v>4003</v>
      </c>
      <c r="J222" s="305">
        <v>3.300525867E9</v>
      </c>
      <c r="K222" s="75" t="s">
        <v>2684</v>
      </c>
      <c r="L222" s="65" t="s">
        <v>2686</v>
      </c>
      <c r="M222" s="70" t="s">
        <v>1098</v>
      </c>
      <c r="N222" s="70" t="s">
        <v>1108</v>
      </c>
      <c r="O222" s="75" t="s">
        <v>3670</v>
      </c>
      <c r="P222" s="239" t="s">
        <v>2019</v>
      </c>
      <c r="Q222" s="71" t="b">
        <v>1</v>
      </c>
      <c r="R222" s="65" t="s">
        <v>4004</v>
      </c>
      <c r="S222" s="75" t="s">
        <v>4005</v>
      </c>
      <c r="T222" s="70" t="s">
        <v>1843</v>
      </c>
      <c r="U222" s="47" t="s">
        <v>3371</v>
      </c>
      <c r="V222" s="239" t="s">
        <v>1161</v>
      </c>
      <c r="W222" s="440"/>
      <c r="X222" s="441" t="s">
        <v>3314</v>
      </c>
      <c r="Y222" s="60"/>
    </row>
    <row r="223" ht="22.5" customHeight="1">
      <c r="A223" s="519" t="s">
        <v>1442</v>
      </c>
      <c r="B223" s="75" t="s">
        <v>3972</v>
      </c>
      <c r="C223" s="65" t="s">
        <v>4006</v>
      </c>
      <c r="D223" s="75" t="s">
        <v>1385</v>
      </c>
      <c r="E223" s="65" t="s">
        <v>4007</v>
      </c>
      <c r="F223" s="65" t="s">
        <v>4008</v>
      </c>
      <c r="G223" s="65" t="s">
        <v>70</v>
      </c>
      <c r="H223" s="65" t="s">
        <v>4009</v>
      </c>
      <c r="I223" s="65" t="s">
        <v>4010</v>
      </c>
      <c r="J223" s="305" t="s">
        <v>1386</v>
      </c>
      <c r="K223" s="75" t="s">
        <v>2684</v>
      </c>
      <c r="L223" s="65" t="s">
        <v>2686</v>
      </c>
      <c r="M223" s="70" t="s">
        <v>1098</v>
      </c>
      <c r="N223" s="70" t="s">
        <v>1108</v>
      </c>
      <c r="O223" s="75" t="s">
        <v>1430</v>
      </c>
      <c r="P223" s="239" t="s">
        <v>1161</v>
      </c>
      <c r="Q223" s="71" t="b">
        <v>1</v>
      </c>
      <c r="R223" s="75" t="s">
        <v>4011</v>
      </c>
      <c r="S223" s="75" t="s">
        <v>3436</v>
      </c>
      <c r="T223" s="70" t="s">
        <v>1843</v>
      </c>
      <c r="U223" s="534" t="s">
        <v>3371</v>
      </c>
      <c r="V223" s="239" t="s">
        <v>1161</v>
      </c>
      <c r="W223" s="440"/>
      <c r="X223" s="441" t="s">
        <v>3314</v>
      </c>
      <c r="Y223" s="60"/>
    </row>
    <row r="224" ht="22.5" customHeight="1">
      <c r="A224" s="239" t="s">
        <v>1445</v>
      </c>
      <c r="B224" s="75" t="s">
        <v>219</v>
      </c>
      <c r="C224" s="65" t="s">
        <v>4012</v>
      </c>
      <c r="D224" s="75" t="s">
        <v>4013</v>
      </c>
      <c r="E224" s="65" t="s">
        <v>4014</v>
      </c>
      <c r="F224" s="65" t="s">
        <v>4015</v>
      </c>
      <c r="G224" s="65" t="s">
        <v>620</v>
      </c>
      <c r="H224" s="65" t="s">
        <v>4016</v>
      </c>
      <c r="I224" s="65" t="s">
        <v>4017</v>
      </c>
      <c r="J224" s="65" t="s">
        <v>4018</v>
      </c>
      <c r="K224" s="75" t="s">
        <v>2684</v>
      </c>
      <c r="L224" s="65" t="s">
        <v>2686</v>
      </c>
      <c r="M224" s="70" t="s">
        <v>1098</v>
      </c>
      <c r="N224" s="70" t="s">
        <v>1108</v>
      </c>
      <c r="O224" s="75" t="s">
        <v>3221</v>
      </c>
      <c r="P224" s="239" t="s">
        <v>1161</v>
      </c>
      <c r="Q224" s="71" t="b">
        <v>1</v>
      </c>
      <c r="R224" s="75" t="s">
        <v>4019</v>
      </c>
      <c r="S224" s="65" t="s">
        <v>3955</v>
      </c>
      <c r="T224" s="70" t="s">
        <v>1843</v>
      </c>
      <c r="U224" s="67" t="s">
        <v>3371</v>
      </c>
      <c r="V224" s="239" t="s">
        <v>1161</v>
      </c>
      <c r="W224" s="457"/>
      <c r="X224" s="457"/>
      <c r="Y224" s="517"/>
    </row>
    <row r="225" ht="22.5" customHeight="1">
      <c r="A225" s="70" t="s">
        <v>1445</v>
      </c>
      <c r="B225" s="75" t="s">
        <v>3013</v>
      </c>
      <c r="C225" s="65" t="s">
        <v>4020</v>
      </c>
      <c r="D225" s="75" t="s">
        <v>4021</v>
      </c>
      <c r="E225" s="65" t="s">
        <v>4022</v>
      </c>
      <c r="F225" s="65" t="s">
        <v>4023</v>
      </c>
      <c r="G225" s="65" t="s">
        <v>695</v>
      </c>
      <c r="H225" s="65" t="s">
        <v>4024</v>
      </c>
      <c r="I225" s="65" t="s">
        <v>4025</v>
      </c>
      <c r="J225" s="305" t="s">
        <v>4026</v>
      </c>
      <c r="K225" s="75" t="s">
        <v>2684</v>
      </c>
      <c r="L225" s="65" t="s">
        <v>2686</v>
      </c>
      <c r="M225" s="70" t="s">
        <v>1098</v>
      </c>
      <c r="N225" s="70" t="s">
        <v>1108</v>
      </c>
      <c r="O225" s="75" t="s">
        <v>4027</v>
      </c>
      <c r="P225" s="239" t="s">
        <v>1161</v>
      </c>
      <c r="Q225" s="71" t="b">
        <v>1</v>
      </c>
      <c r="R225" s="75" t="s">
        <v>4028</v>
      </c>
      <c r="S225" s="75" t="s">
        <v>4029</v>
      </c>
      <c r="T225" s="70" t="s">
        <v>1843</v>
      </c>
      <c r="U225" s="67" t="s">
        <v>3371</v>
      </c>
      <c r="V225" s="239" t="s">
        <v>1161</v>
      </c>
      <c r="W225" s="440"/>
      <c r="X225" s="441" t="s">
        <v>3314</v>
      </c>
      <c r="Y225" s="60"/>
    </row>
    <row r="226" ht="22.5" customHeight="1">
      <c r="A226" s="67" t="s">
        <v>1445</v>
      </c>
      <c r="B226" s="75" t="s">
        <v>1212</v>
      </c>
      <c r="C226" s="65" t="s">
        <v>4030</v>
      </c>
      <c r="D226" s="75" t="s">
        <v>4031</v>
      </c>
      <c r="E226" s="65" t="s">
        <v>4032</v>
      </c>
      <c r="F226" s="65" t="s">
        <v>4033</v>
      </c>
      <c r="G226" s="65" t="s">
        <v>3927</v>
      </c>
      <c r="H226" s="65" t="s">
        <v>4034</v>
      </c>
      <c r="I226" s="65" t="s">
        <v>4035</v>
      </c>
      <c r="J226" s="305">
        <v>2.02409005216E11</v>
      </c>
      <c r="K226" s="75" t="s">
        <v>3884</v>
      </c>
      <c r="L226" s="65" t="s">
        <v>4036</v>
      </c>
      <c r="M226" s="70" t="s">
        <v>1098</v>
      </c>
      <c r="N226" s="70" t="s">
        <v>1108</v>
      </c>
      <c r="O226" s="75" t="s">
        <v>1746</v>
      </c>
      <c r="P226" s="70" t="s">
        <v>1161</v>
      </c>
      <c r="Q226" s="71" t="b">
        <v>1</v>
      </c>
      <c r="R226" s="65" t="s">
        <v>4037</v>
      </c>
      <c r="S226" s="95" t="s">
        <v>4038</v>
      </c>
      <c r="T226" s="70" t="s">
        <v>1843</v>
      </c>
      <c r="U226" s="520" t="s">
        <v>3371</v>
      </c>
      <c r="V226" s="70"/>
      <c r="W226" s="516" t="s">
        <v>3321</v>
      </c>
      <c r="X226" s="511"/>
      <c r="Y226" s="515"/>
    </row>
    <row r="227" ht="22.5" customHeight="1">
      <c r="A227" s="70" t="s">
        <v>1445</v>
      </c>
      <c r="B227" s="75" t="s">
        <v>1212</v>
      </c>
      <c r="C227" s="65" t="s">
        <v>4039</v>
      </c>
      <c r="D227" s="75" t="s">
        <v>1105</v>
      </c>
      <c r="E227" s="65" t="s">
        <v>4040</v>
      </c>
      <c r="F227" s="65" t="s">
        <v>4041</v>
      </c>
      <c r="G227" s="65" t="s">
        <v>70</v>
      </c>
      <c r="H227" s="65" t="s">
        <v>4042</v>
      </c>
      <c r="I227" s="65" t="s">
        <v>4043</v>
      </c>
      <c r="J227" s="305" t="s">
        <v>1117</v>
      </c>
      <c r="K227" s="75" t="s">
        <v>2684</v>
      </c>
      <c r="L227" s="65" t="s">
        <v>2686</v>
      </c>
      <c r="M227" s="70" t="s">
        <v>1098</v>
      </c>
      <c r="N227" s="70" t="s">
        <v>1108</v>
      </c>
      <c r="O227" s="75" t="s">
        <v>1430</v>
      </c>
      <c r="P227" s="70" t="s">
        <v>1161</v>
      </c>
      <c r="Q227" s="71" t="b">
        <v>1</v>
      </c>
      <c r="R227" s="75" t="s">
        <v>4044</v>
      </c>
      <c r="S227" s="75" t="s">
        <v>3436</v>
      </c>
      <c r="T227" s="70" t="s">
        <v>1843</v>
      </c>
      <c r="U227" s="81" t="s">
        <v>3371</v>
      </c>
      <c r="V227" s="239" t="s">
        <v>1161</v>
      </c>
      <c r="W227" s="440"/>
      <c r="X227" s="441" t="s">
        <v>3314</v>
      </c>
      <c r="Y227" s="60"/>
    </row>
    <row r="228" ht="22.5" customHeight="1">
      <c r="A228" s="70" t="s">
        <v>1445</v>
      </c>
      <c r="B228" s="75" t="s">
        <v>3990</v>
      </c>
      <c r="C228" s="65" t="s">
        <v>4045</v>
      </c>
      <c r="D228" s="75" t="s">
        <v>1389</v>
      </c>
      <c r="E228" s="65" t="s">
        <v>4046</v>
      </c>
      <c r="F228" s="65" t="s">
        <v>4047</v>
      </c>
      <c r="G228" s="65" t="s">
        <v>4048</v>
      </c>
      <c r="H228" s="65" t="s">
        <v>4049</v>
      </c>
      <c r="I228" s="65" t="s">
        <v>4050</v>
      </c>
      <c r="J228" s="305">
        <v>1434371.0</v>
      </c>
      <c r="K228" s="75" t="s">
        <v>2684</v>
      </c>
      <c r="L228" s="65" t="s">
        <v>2686</v>
      </c>
      <c r="M228" s="70" t="s">
        <v>1098</v>
      </c>
      <c r="N228" s="70" t="s">
        <v>1108</v>
      </c>
      <c r="O228" s="75" t="s">
        <v>3988</v>
      </c>
      <c r="P228" s="239" t="s">
        <v>1161</v>
      </c>
      <c r="Q228" s="71" t="b">
        <v>1</v>
      </c>
      <c r="R228" s="65" t="s">
        <v>4051</v>
      </c>
      <c r="S228" s="75" t="s">
        <v>4052</v>
      </c>
      <c r="T228" s="70" t="s">
        <v>1843</v>
      </c>
      <c r="U228" s="81" t="s">
        <v>3371</v>
      </c>
      <c r="V228" s="239" t="s">
        <v>1161</v>
      </c>
      <c r="W228" s="440"/>
      <c r="X228" s="441" t="s">
        <v>3314</v>
      </c>
      <c r="Y228" s="60"/>
    </row>
    <row r="229" ht="22.5" customHeight="1">
      <c r="A229" s="70" t="s">
        <v>1445</v>
      </c>
      <c r="B229" s="75" t="s">
        <v>3990</v>
      </c>
      <c r="C229" s="65" t="s">
        <v>4053</v>
      </c>
      <c r="D229" s="51" t="s">
        <v>1347</v>
      </c>
      <c r="E229" s="353" t="s">
        <v>4054</v>
      </c>
      <c r="F229" s="65" t="s">
        <v>4055</v>
      </c>
      <c r="G229" s="65" t="s">
        <v>4056</v>
      </c>
      <c r="H229" s="65" t="s">
        <v>4057</v>
      </c>
      <c r="I229" s="65" t="s">
        <v>4058</v>
      </c>
      <c r="J229" s="305" t="s">
        <v>1351</v>
      </c>
      <c r="K229" s="75" t="s">
        <v>2684</v>
      </c>
      <c r="L229" s="65" t="s">
        <v>2686</v>
      </c>
      <c r="M229" s="70" t="s">
        <v>1098</v>
      </c>
      <c r="N229" s="70" t="s">
        <v>1108</v>
      </c>
      <c r="O229" s="75" t="s">
        <v>4059</v>
      </c>
      <c r="P229" s="239" t="s">
        <v>1161</v>
      </c>
      <c r="Q229" s="71" t="b">
        <v>1</v>
      </c>
      <c r="R229" s="65" t="s">
        <v>4060</v>
      </c>
      <c r="S229" s="65" t="s">
        <v>3642</v>
      </c>
      <c r="T229" s="70" t="s">
        <v>1843</v>
      </c>
      <c r="U229" s="81" t="s">
        <v>3371</v>
      </c>
      <c r="V229" s="239" t="s">
        <v>1161</v>
      </c>
      <c r="W229" s="440"/>
      <c r="X229" s="441" t="s">
        <v>3314</v>
      </c>
      <c r="Y229" s="60"/>
    </row>
    <row r="230" ht="22.5" customHeight="1">
      <c r="A230" s="67" t="s">
        <v>1438</v>
      </c>
      <c r="B230" s="75" t="s">
        <v>3157</v>
      </c>
      <c r="C230" s="65" t="s">
        <v>4061</v>
      </c>
      <c r="D230" s="352" t="s">
        <v>4062</v>
      </c>
      <c r="E230" s="353" t="s">
        <v>4063</v>
      </c>
      <c r="F230" s="65" t="s">
        <v>4064</v>
      </c>
      <c r="G230" s="65" t="s">
        <v>2535</v>
      </c>
      <c r="H230" s="65" t="s">
        <v>4065</v>
      </c>
      <c r="I230" s="65" t="s">
        <v>4066</v>
      </c>
      <c r="J230" s="65" t="s">
        <v>4067</v>
      </c>
      <c r="K230" s="75" t="s">
        <v>1780</v>
      </c>
      <c r="L230" s="65" t="s">
        <v>3679</v>
      </c>
      <c r="M230" s="70" t="s">
        <v>1098</v>
      </c>
      <c r="N230" s="70" t="s">
        <v>1108</v>
      </c>
      <c r="O230" s="75" t="s">
        <v>3170</v>
      </c>
      <c r="P230" s="239" t="s">
        <v>1161</v>
      </c>
      <c r="Q230" s="71" t="b">
        <v>1</v>
      </c>
      <c r="R230" s="75" t="s">
        <v>4068</v>
      </c>
      <c r="S230" s="75" t="s">
        <v>4069</v>
      </c>
      <c r="T230" s="70" t="s">
        <v>1843</v>
      </c>
      <c r="U230" s="47" t="s">
        <v>3319</v>
      </c>
      <c r="V230" s="70"/>
      <c r="W230" s="441" t="s">
        <v>3342</v>
      </c>
      <c r="X230" s="511"/>
      <c r="Y230" s="515"/>
    </row>
    <row r="231" ht="22.5" customHeight="1">
      <c r="A231" s="70" t="s">
        <v>1445</v>
      </c>
      <c r="B231" s="75" t="s">
        <v>219</v>
      </c>
      <c r="C231" s="65" t="s">
        <v>4070</v>
      </c>
      <c r="D231" s="75" t="s">
        <v>4071</v>
      </c>
      <c r="E231" s="353" t="s">
        <v>4072</v>
      </c>
      <c r="F231" s="65" t="s">
        <v>4073</v>
      </c>
      <c r="G231" s="65" t="s">
        <v>2185</v>
      </c>
      <c r="H231" s="65" t="s">
        <v>4074</v>
      </c>
      <c r="I231" s="65" t="s">
        <v>4075</v>
      </c>
      <c r="J231" s="65" t="s">
        <v>4076</v>
      </c>
      <c r="K231" s="75" t="s">
        <v>2684</v>
      </c>
      <c r="L231" s="65" t="s">
        <v>2686</v>
      </c>
      <c r="M231" s="70" t="s">
        <v>1098</v>
      </c>
      <c r="N231" s="70" t="s">
        <v>1108</v>
      </c>
      <c r="O231" s="75" t="s">
        <v>2018</v>
      </c>
      <c r="P231" s="239" t="s">
        <v>1161</v>
      </c>
      <c r="Q231" s="71" t="b">
        <v>1</v>
      </c>
      <c r="R231" s="75" t="s">
        <v>4077</v>
      </c>
      <c r="S231" s="75" t="s">
        <v>4078</v>
      </c>
      <c r="T231" s="70" t="s">
        <v>1843</v>
      </c>
      <c r="U231" s="47" t="s">
        <v>3371</v>
      </c>
      <c r="V231" s="239"/>
      <c r="W231" s="457"/>
      <c r="X231" s="457"/>
      <c r="Y231" s="517"/>
    </row>
    <row r="232" ht="21.0" customHeight="1">
      <c r="A232" s="239" t="s">
        <v>1445</v>
      </c>
      <c r="B232" s="75" t="s">
        <v>1475</v>
      </c>
      <c r="C232" s="65" t="s">
        <v>4079</v>
      </c>
      <c r="D232" s="75" t="s">
        <v>4080</v>
      </c>
      <c r="E232" s="353" t="s">
        <v>4081</v>
      </c>
      <c r="F232" s="65" t="s">
        <v>4082</v>
      </c>
      <c r="G232" s="65" t="s">
        <v>3927</v>
      </c>
      <c r="H232" s="65" t="s">
        <v>4083</v>
      </c>
      <c r="I232" s="75" t="s">
        <v>4084</v>
      </c>
      <c r="J232" s="65" t="s">
        <v>4085</v>
      </c>
      <c r="K232" s="75" t="s">
        <v>2684</v>
      </c>
      <c r="L232" s="65" t="s">
        <v>2686</v>
      </c>
      <c r="M232" s="70" t="s">
        <v>1098</v>
      </c>
      <c r="N232" s="70" t="s">
        <v>1108</v>
      </c>
      <c r="O232" s="75" t="s">
        <v>3722</v>
      </c>
      <c r="P232" s="239" t="s">
        <v>1161</v>
      </c>
      <c r="Q232" s="71" t="b">
        <v>1</v>
      </c>
      <c r="R232" s="75" t="s">
        <v>4086</v>
      </c>
      <c r="S232" s="75" t="s">
        <v>3824</v>
      </c>
      <c r="T232" s="70" t="s">
        <v>1843</v>
      </c>
      <c r="U232" s="67" t="s">
        <v>3371</v>
      </c>
      <c r="V232" s="239" t="s">
        <v>1161</v>
      </c>
      <c r="W232" s="440"/>
      <c r="X232" s="441" t="s">
        <v>3314</v>
      </c>
      <c r="Y232" s="60"/>
    </row>
    <row r="233" ht="22.5" customHeight="1">
      <c r="A233" s="70" t="s">
        <v>1444</v>
      </c>
      <c r="B233" s="75" t="s">
        <v>219</v>
      </c>
      <c r="C233" s="65" t="s">
        <v>4087</v>
      </c>
      <c r="D233" s="352" t="s">
        <v>4088</v>
      </c>
      <c r="E233" s="353" t="s">
        <v>4089</v>
      </c>
      <c r="F233" s="65" t="s">
        <v>4090</v>
      </c>
      <c r="G233" s="65" t="s">
        <v>70</v>
      </c>
      <c r="H233" s="65" t="s">
        <v>4091</v>
      </c>
      <c r="I233" s="75" t="s">
        <v>4092</v>
      </c>
      <c r="J233" s="65" t="s">
        <v>4093</v>
      </c>
      <c r="K233" s="75" t="s">
        <v>1566</v>
      </c>
      <c r="L233" s="65" t="s">
        <v>4094</v>
      </c>
      <c r="M233" s="70" t="s">
        <v>1098</v>
      </c>
      <c r="N233" s="70" t="s">
        <v>1108</v>
      </c>
      <c r="O233" s="75" t="s">
        <v>1430</v>
      </c>
      <c r="P233" s="70" t="s">
        <v>1401</v>
      </c>
      <c r="Q233" s="71" t="b">
        <v>1</v>
      </c>
      <c r="R233" s="75" t="s">
        <v>4095</v>
      </c>
      <c r="S233" s="75" t="s">
        <v>4096</v>
      </c>
      <c r="T233" s="70" t="s">
        <v>1843</v>
      </c>
      <c r="U233" s="47" t="s">
        <v>1441</v>
      </c>
      <c r="V233" s="239"/>
      <c r="W233" s="457"/>
      <c r="X233" s="457"/>
      <c r="Y233" s="517"/>
    </row>
    <row r="234" ht="22.5" customHeight="1">
      <c r="A234" s="70" t="s">
        <v>1445</v>
      </c>
      <c r="B234" s="75" t="s">
        <v>219</v>
      </c>
      <c r="C234" s="65" t="s">
        <v>4097</v>
      </c>
      <c r="D234" s="352" t="s">
        <v>4098</v>
      </c>
      <c r="E234" s="353" t="s">
        <v>4099</v>
      </c>
      <c r="F234" s="65" t="s">
        <v>4100</v>
      </c>
      <c r="G234" s="65" t="s">
        <v>70</v>
      </c>
      <c r="H234" s="65" t="s">
        <v>4101</v>
      </c>
      <c r="I234" s="75" t="s">
        <v>4102</v>
      </c>
      <c r="J234" s="75" t="s">
        <v>4103</v>
      </c>
      <c r="K234" s="75" t="s">
        <v>1566</v>
      </c>
      <c r="L234" s="65" t="s">
        <v>4094</v>
      </c>
      <c r="M234" s="70" t="s">
        <v>1098</v>
      </c>
      <c r="N234" s="70" t="s">
        <v>1108</v>
      </c>
      <c r="O234" s="75" t="s">
        <v>3947</v>
      </c>
      <c r="P234" s="70" t="s">
        <v>1161</v>
      </c>
      <c r="Q234" s="71" t="b">
        <v>1</v>
      </c>
      <c r="R234" s="75" t="s">
        <v>4104</v>
      </c>
      <c r="S234" s="65" t="s">
        <v>3642</v>
      </c>
      <c r="T234" s="70" t="s">
        <v>1843</v>
      </c>
      <c r="U234" s="535" t="s">
        <v>3371</v>
      </c>
      <c r="V234" s="239" t="s">
        <v>1161</v>
      </c>
      <c r="W234" s="440"/>
      <c r="X234" s="441" t="s">
        <v>3314</v>
      </c>
      <c r="Y234" s="60"/>
    </row>
    <row r="235" ht="21.75" customHeight="1">
      <c r="A235" s="70" t="s">
        <v>1445</v>
      </c>
      <c r="B235" s="75" t="s">
        <v>3972</v>
      </c>
      <c r="C235" s="65" t="s">
        <v>4105</v>
      </c>
      <c r="D235" s="352" t="s">
        <v>1360</v>
      </c>
      <c r="E235" s="353" t="s">
        <v>4106</v>
      </c>
      <c r="F235" s="65" t="s">
        <v>4107</v>
      </c>
      <c r="G235" s="65" t="s">
        <v>70</v>
      </c>
      <c r="H235" s="65" t="s">
        <v>4108</v>
      </c>
      <c r="I235" s="75" t="s">
        <v>4109</v>
      </c>
      <c r="J235" s="65" t="s">
        <v>1363</v>
      </c>
      <c r="K235" s="75" t="s">
        <v>2684</v>
      </c>
      <c r="L235" s="65" t="s">
        <v>2686</v>
      </c>
      <c r="M235" s="70" t="s">
        <v>1098</v>
      </c>
      <c r="N235" s="70" t="s">
        <v>1108</v>
      </c>
      <c r="O235" s="75" t="s">
        <v>2018</v>
      </c>
      <c r="P235" s="239" t="s">
        <v>1161</v>
      </c>
      <c r="Q235" s="71" t="b">
        <v>1</v>
      </c>
      <c r="R235" s="75" t="s">
        <v>4110</v>
      </c>
      <c r="S235" s="65" t="s">
        <v>3642</v>
      </c>
      <c r="T235" s="70" t="s">
        <v>1843</v>
      </c>
      <c r="U235" s="81" t="s">
        <v>3371</v>
      </c>
      <c r="V235" s="239" t="s">
        <v>1161</v>
      </c>
      <c r="W235" s="440"/>
      <c r="X235" s="441" t="s">
        <v>3314</v>
      </c>
      <c r="Y235" s="60"/>
    </row>
    <row r="236" ht="22.5" customHeight="1">
      <c r="A236" s="70" t="s">
        <v>1445</v>
      </c>
      <c r="B236" s="75" t="s">
        <v>219</v>
      </c>
      <c r="C236" s="65" t="s">
        <v>4111</v>
      </c>
      <c r="D236" s="521" t="s">
        <v>1375</v>
      </c>
      <c r="E236" s="95" t="s">
        <v>4112</v>
      </c>
      <c r="F236" s="65" t="s">
        <v>4113</v>
      </c>
      <c r="G236" s="65" t="s">
        <v>70</v>
      </c>
      <c r="H236" s="65" t="s">
        <v>4114</v>
      </c>
      <c r="I236" s="75" t="s">
        <v>4115</v>
      </c>
      <c r="J236" s="65" t="s">
        <v>1377</v>
      </c>
      <c r="K236" s="75" t="s">
        <v>2684</v>
      </c>
      <c r="L236" s="65" t="s">
        <v>2686</v>
      </c>
      <c r="M236" s="70" t="s">
        <v>1098</v>
      </c>
      <c r="N236" s="70" t="s">
        <v>1108</v>
      </c>
      <c r="O236" s="75" t="s">
        <v>1430</v>
      </c>
      <c r="P236" s="70" t="s">
        <v>1161</v>
      </c>
      <c r="Q236" s="71" t="b">
        <v>1</v>
      </c>
      <c r="R236" s="75" t="s">
        <v>4116</v>
      </c>
      <c r="S236" s="75" t="s">
        <v>4117</v>
      </c>
      <c r="T236" s="239" t="s">
        <v>1843</v>
      </c>
      <c r="U236" s="81" t="s">
        <v>3371</v>
      </c>
      <c r="V236" s="239" t="s">
        <v>1161</v>
      </c>
      <c r="W236" s="462"/>
      <c r="X236" s="511"/>
      <c r="Y236" s="515"/>
    </row>
    <row r="237" ht="22.5" customHeight="1">
      <c r="A237" s="519" t="s">
        <v>1445</v>
      </c>
      <c r="B237" s="75" t="s">
        <v>4118</v>
      </c>
      <c r="C237" s="65" t="s">
        <v>4119</v>
      </c>
      <c r="D237" s="521" t="s">
        <v>4120</v>
      </c>
      <c r="E237" s="75" t="s">
        <v>4121</v>
      </c>
      <c r="F237" s="65" t="s">
        <v>4122</v>
      </c>
      <c r="G237" s="65" t="s">
        <v>70</v>
      </c>
      <c r="H237" s="65" t="s">
        <v>4123</v>
      </c>
      <c r="I237" s="75" t="s">
        <v>4124</v>
      </c>
      <c r="J237" s="65" t="s">
        <v>4125</v>
      </c>
      <c r="K237" s="75" t="s">
        <v>2684</v>
      </c>
      <c r="L237" s="65" t="s">
        <v>2686</v>
      </c>
      <c r="M237" s="70" t="s">
        <v>1098</v>
      </c>
      <c r="N237" s="70" t="s">
        <v>1108</v>
      </c>
      <c r="O237" s="75" t="s">
        <v>1430</v>
      </c>
      <c r="P237" s="70" t="s">
        <v>1161</v>
      </c>
      <c r="Q237" s="71" t="b">
        <v>1</v>
      </c>
      <c r="R237" s="75" t="s">
        <v>4126</v>
      </c>
      <c r="S237" s="75" t="s">
        <v>3436</v>
      </c>
      <c r="T237" s="239" t="s">
        <v>1843</v>
      </c>
      <c r="U237" s="81" t="s">
        <v>3371</v>
      </c>
      <c r="V237" s="239" t="s">
        <v>1161</v>
      </c>
      <c r="W237" s="462" t="s">
        <v>3321</v>
      </c>
      <c r="X237" s="511"/>
      <c r="Y237" s="515"/>
    </row>
    <row r="238" ht="22.5" customHeight="1">
      <c r="A238" s="239" t="s">
        <v>1445</v>
      </c>
      <c r="B238" s="65" t="s">
        <v>4118</v>
      </c>
      <c r="C238" s="65" t="s">
        <v>4127</v>
      </c>
      <c r="D238" s="75" t="s">
        <v>4128</v>
      </c>
      <c r="E238" s="65" t="s">
        <v>4129</v>
      </c>
      <c r="F238" s="65" t="s">
        <v>4130</v>
      </c>
      <c r="G238" s="65" t="s">
        <v>3927</v>
      </c>
      <c r="H238" s="65" t="s">
        <v>4131</v>
      </c>
      <c r="I238" s="75" t="s">
        <v>4132</v>
      </c>
      <c r="J238" s="65" t="s">
        <v>4133</v>
      </c>
      <c r="K238" s="75" t="s">
        <v>2684</v>
      </c>
      <c r="L238" s="65" t="s">
        <v>2686</v>
      </c>
      <c r="M238" s="70" t="s">
        <v>1098</v>
      </c>
      <c r="N238" s="70" t="s">
        <v>1108</v>
      </c>
      <c r="O238" s="75" t="s">
        <v>3670</v>
      </c>
      <c r="P238" s="239" t="s">
        <v>3645</v>
      </c>
      <c r="Q238" s="71" t="b">
        <v>1</v>
      </c>
      <c r="R238" s="75" t="s">
        <v>4134</v>
      </c>
      <c r="S238" s="95" t="s">
        <v>4135</v>
      </c>
      <c r="T238" s="239" t="s">
        <v>1843</v>
      </c>
      <c r="U238" s="47" t="s">
        <v>3371</v>
      </c>
      <c r="V238" s="239" t="s">
        <v>1161</v>
      </c>
      <c r="W238" s="440"/>
      <c r="X238" s="441" t="s">
        <v>3314</v>
      </c>
      <c r="Y238" s="60"/>
    </row>
    <row r="239" ht="22.5" customHeight="1">
      <c r="A239" s="519" t="s">
        <v>1442</v>
      </c>
      <c r="B239" s="75" t="s">
        <v>1212</v>
      </c>
      <c r="C239" s="65" t="s">
        <v>4136</v>
      </c>
      <c r="D239" s="521" t="s">
        <v>700</v>
      </c>
      <c r="E239" s="75" t="s">
        <v>4137</v>
      </c>
      <c r="F239" s="65" t="s">
        <v>4138</v>
      </c>
      <c r="G239" s="65" t="s">
        <v>70</v>
      </c>
      <c r="H239" s="65" t="s">
        <v>4139</v>
      </c>
      <c r="I239" s="65" t="s">
        <v>4140</v>
      </c>
      <c r="J239" s="65" t="s">
        <v>1007</v>
      </c>
      <c r="K239" s="75" t="s">
        <v>2684</v>
      </c>
      <c r="L239" s="65" t="s">
        <v>2686</v>
      </c>
      <c r="M239" s="70" t="s">
        <v>1098</v>
      </c>
      <c r="N239" s="70" t="s">
        <v>1108</v>
      </c>
      <c r="O239" s="75" t="s">
        <v>2018</v>
      </c>
      <c r="P239" s="70" t="s">
        <v>1161</v>
      </c>
      <c r="Q239" s="71" t="b">
        <v>0</v>
      </c>
      <c r="R239" s="75" t="s">
        <v>4141</v>
      </c>
      <c r="S239" s="75" t="s">
        <v>4142</v>
      </c>
      <c r="T239" s="239" t="s">
        <v>1843</v>
      </c>
      <c r="U239" s="81" t="s">
        <v>3750</v>
      </c>
      <c r="V239" s="70"/>
      <c r="W239" s="462" t="s">
        <v>3413</v>
      </c>
      <c r="X239" s="511"/>
      <c r="Y239" s="515"/>
    </row>
    <row r="240" ht="22.5" customHeight="1">
      <c r="A240" s="239" t="s">
        <v>1000</v>
      </c>
      <c r="B240" s="65" t="s">
        <v>3956</v>
      </c>
      <c r="C240" s="65" t="s">
        <v>4143</v>
      </c>
      <c r="D240" s="521" t="s">
        <v>4144</v>
      </c>
      <c r="E240" s="65" t="s">
        <v>4145</v>
      </c>
      <c r="F240" s="65" t="s">
        <v>4146</v>
      </c>
      <c r="G240" s="65" t="s">
        <v>3090</v>
      </c>
      <c r="H240" s="65" t="s">
        <v>4147</v>
      </c>
      <c r="I240" s="65" t="s">
        <v>4148</v>
      </c>
      <c r="J240" s="65" t="s">
        <v>4149</v>
      </c>
      <c r="K240" s="75" t="s">
        <v>2684</v>
      </c>
      <c r="L240" s="65" t="s">
        <v>2686</v>
      </c>
      <c r="M240" s="70" t="s">
        <v>1746</v>
      </c>
      <c r="N240" s="70" t="s">
        <v>1108</v>
      </c>
      <c r="O240" s="75" t="s">
        <v>4150</v>
      </c>
      <c r="P240" s="355"/>
      <c r="Q240" s="71" t="b">
        <v>0</v>
      </c>
      <c r="R240" s="65" t="s">
        <v>4151</v>
      </c>
      <c r="S240" s="75" t="s">
        <v>4152</v>
      </c>
      <c r="T240" s="239" t="s">
        <v>1843</v>
      </c>
      <c r="U240" s="81" t="s">
        <v>1161</v>
      </c>
      <c r="V240" s="70" t="s">
        <v>1161</v>
      </c>
      <c r="W240" s="511"/>
      <c r="X240" s="511"/>
      <c r="Y240" s="515"/>
    </row>
    <row r="241" ht="22.5" customHeight="1">
      <c r="A241" s="70" t="s">
        <v>1445</v>
      </c>
      <c r="B241" s="65" t="s">
        <v>3157</v>
      </c>
      <c r="C241" s="65" t="s">
        <v>4153</v>
      </c>
      <c r="D241" s="521" t="s">
        <v>4154</v>
      </c>
      <c r="E241" s="65" t="s">
        <v>4155</v>
      </c>
      <c r="F241" s="65" t="s">
        <v>4156</v>
      </c>
      <c r="G241" s="65" t="s">
        <v>695</v>
      </c>
      <c r="H241" s="65" t="s">
        <v>4157</v>
      </c>
      <c r="I241" s="65" t="s">
        <v>4158</v>
      </c>
      <c r="J241" s="90" t="s">
        <v>4159</v>
      </c>
      <c r="K241" s="75" t="s">
        <v>2684</v>
      </c>
      <c r="L241" s="65" t="s">
        <v>2686</v>
      </c>
      <c r="M241" s="70" t="s">
        <v>3324</v>
      </c>
      <c r="N241" s="70" t="s">
        <v>1108</v>
      </c>
      <c r="O241" s="75" t="s">
        <v>1430</v>
      </c>
      <c r="P241" s="70" t="s">
        <v>1161</v>
      </c>
      <c r="Q241" s="71" t="b">
        <v>1</v>
      </c>
      <c r="R241" s="531" t="s">
        <v>4160</v>
      </c>
      <c r="S241" s="75" t="s">
        <v>3436</v>
      </c>
      <c r="T241" s="239" t="s">
        <v>1843</v>
      </c>
      <c r="U241" s="47" t="s">
        <v>3371</v>
      </c>
      <c r="V241" s="239" t="s">
        <v>1161</v>
      </c>
      <c r="W241" s="440"/>
      <c r="X241" s="441" t="s">
        <v>3314</v>
      </c>
      <c r="Y241" s="60"/>
    </row>
    <row r="242" ht="22.5" customHeight="1">
      <c r="A242" s="47" t="s">
        <v>1445</v>
      </c>
      <c r="B242" s="65" t="s">
        <v>1311</v>
      </c>
      <c r="C242" s="65" t="s">
        <v>4161</v>
      </c>
      <c r="D242" s="521" t="s">
        <v>4162</v>
      </c>
      <c r="E242" s="65" t="s">
        <v>4163</v>
      </c>
      <c r="F242" s="65" t="s">
        <v>2022</v>
      </c>
      <c r="G242" s="65" t="s">
        <v>3927</v>
      </c>
      <c r="H242" s="65" t="s">
        <v>4164</v>
      </c>
      <c r="I242" s="65" t="s">
        <v>2025</v>
      </c>
      <c r="J242" s="90">
        <v>2.02410015048E11</v>
      </c>
      <c r="K242" s="75" t="s">
        <v>2684</v>
      </c>
      <c r="L242" s="65" t="s">
        <v>2686</v>
      </c>
      <c r="M242" s="70" t="s">
        <v>1098</v>
      </c>
      <c r="N242" s="70" t="s">
        <v>1108</v>
      </c>
      <c r="O242" s="75" t="s">
        <v>2018</v>
      </c>
      <c r="P242" s="70" t="s">
        <v>2019</v>
      </c>
      <c r="Q242" s="71" t="b">
        <v>1</v>
      </c>
      <c r="R242" s="90" t="s">
        <v>4165</v>
      </c>
      <c r="S242" s="75" t="s">
        <v>4166</v>
      </c>
      <c r="T242" s="239" t="s">
        <v>1843</v>
      </c>
      <c r="U242" s="47" t="s">
        <v>3371</v>
      </c>
      <c r="V242" s="70"/>
      <c r="W242" s="511"/>
      <c r="X242" s="511"/>
      <c r="Y242" s="515"/>
    </row>
    <row r="243" ht="22.5" customHeight="1">
      <c r="A243" s="239" t="s">
        <v>1445</v>
      </c>
      <c r="B243" s="65" t="s">
        <v>3013</v>
      </c>
      <c r="C243" s="65" t="s">
        <v>4167</v>
      </c>
      <c r="D243" s="522" t="s">
        <v>4168</v>
      </c>
      <c r="E243" s="65" t="s">
        <v>4169</v>
      </c>
      <c r="F243" s="65" t="s">
        <v>4170</v>
      </c>
      <c r="G243" s="65" t="s">
        <v>91</v>
      </c>
      <c r="H243" s="65" t="s">
        <v>4171</v>
      </c>
      <c r="I243" s="65" t="s">
        <v>4172</v>
      </c>
      <c r="J243" s="90">
        <v>3.300529356E9</v>
      </c>
      <c r="K243" s="75" t="s">
        <v>1780</v>
      </c>
      <c r="L243" s="65" t="s">
        <v>3679</v>
      </c>
      <c r="M243" s="70" t="s">
        <v>1098</v>
      </c>
      <c r="N243" s="70" t="s">
        <v>1108</v>
      </c>
      <c r="O243" s="75" t="s">
        <v>2018</v>
      </c>
      <c r="P243" s="239" t="s">
        <v>1161</v>
      </c>
      <c r="Q243" s="71" t="b">
        <v>1</v>
      </c>
      <c r="R243" s="90" t="s">
        <v>4173</v>
      </c>
      <c r="S243" s="536" t="s">
        <v>4174</v>
      </c>
      <c r="T243" s="239" t="s">
        <v>1843</v>
      </c>
      <c r="U243" s="47" t="s">
        <v>3371</v>
      </c>
      <c r="V243" s="239" t="s">
        <v>1161</v>
      </c>
      <c r="W243" s="440"/>
      <c r="X243" s="441" t="s">
        <v>3314</v>
      </c>
      <c r="Y243" s="60"/>
    </row>
    <row r="244" ht="19.5" customHeight="1">
      <c r="A244" s="239" t="s">
        <v>1445</v>
      </c>
      <c r="B244" s="65" t="s">
        <v>219</v>
      </c>
      <c r="C244" s="65" t="s">
        <v>4175</v>
      </c>
      <c r="D244" s="521" t="s">
        <v>4176</v>
      </c>
      <c r="E244" s="65" t="s">
        <v>4177</v>
      </c>
      <c r="F244" s="65" t="s">
        <v>4178</v>
      </c>
      <c r="G244" s="65" t="s">
        <v>2071</v>
      </c>
      <c r="H244" s="65" t="s">
        <v>4179</v>
      </c>
      <c r="I244" s="65" t="s">
        <v>4180</v>
      </c>
      <c r="J244" s="537" t="s">
        <v>4181</v>
      </c>
      <c r="K244" s="75" t="s">
        <v>2684</v>
      </c>
      <c r="L244" s="65" t="s">
        <v>2686</v>
      </c>
      <c r="M244" s="70" t="s">
        <v>1098</v>
      </c>
      <c r="N244" s="70" t="s">
        <v>1108</v>
      </c>
      <c r="O244" s="75" t="s">
        <v>3864</v>
      </c>
      <c r="P244" s="70" t="s">
        <v>1161</v>
      </c>
      <c r="Q244" s="71" t="b">
        <v>1</v>
      </c>
      <c r="R244" s="531" t="s">
        <v>4182</v>
      </c>
      <c r="S244" s="65" t="s">
        <v>3642</v>
      </c>
      <c r="T244" s="239" t="s">
        <v>1843</v>
      </c>
      <c r="U244" s="81" t="s">
        <v>3371</v>
      </c>
      <c r="V244" s="239" t="s">
        <v>1161</v>
      </c>
      <c r="W244" s="440"/>
      <c r="X244" s="441" t="s">
        <v>3314</v>
      </c>
      <c r="Y244" s="60"/>
    </row>
    <row r="245" ht="22.5" customHeight="1">
      <c r="A245" s="239" t="s">
        <v>1445</v>
      </c>
      <c r="B245" s="65" t="s">
        <v>3990</v>
      </c>
      <c r="C245" s="65" t="s">
        <v>4183</v>
      </c>
      <c r="D245" s="521" t="s">
        <v>4184</v>
      </c>
      <c r="E245" s="65" t="s">
        <v>4185</v>
      </c>
      <c r="F245" s="65" t="s">
        <v>4186</v>
      </c>
      <c r="G245" s="65" t="s">
        <v>70</v>
      </c>
      <c r="H245" s="65" t="s">
        <v>4187</v>
      </c>
      <c r="I245" s="65" t="s">
        <v>4188</v>
      </c>
      <c r="J245" s="538" t="s">
        <v>4189</v>
      </c>
      <c r="K245" s="75" t="s">
        <v>2684</v>
      </c>
      <c r="L245" s="65" t="s">
        <v>2686</v>
      </c>
      <c r="M245" s="70" t="s">
        <v>1098</v>
      </c>
      <c r="N245" s="70" t="s">
        <v>1108</v>
      </c>
      <c r="O245" s="75" t="s">
        <v>4027</v>
      </c>
      <c r="P245" s="70" t="s">
        <v>1161</v>
      </c>
      <c r="Q245" s="71" t="b">
        <v>1</v>
      </c>
      <c r="R245" s="531" t="s">
        <v>4190</v>
      </c>
      <c r="S245" s="75" t="s">
        <v>3436</v>
      </c>
      <c r="T245" s="239" t="s">
        <v>1843</v>
      </c>
      <c r="U245" s="47" t="s">
        <v>3371</v>
      </c>
      <c r="V245" s="239" t="s">
        <v>1161</v>
      </c>
      <c r="W245" s="440"/>
      <c r="X245" s="441" t="s">
        <v>3314</v>
      </c>
      <c r="Y245" s="60"/>
    </row>
    <row r="246" ht="22.5" customHeight="1">
      <c r="A246" s="239" t="s">
        <v>1447</v>
      </c>
      <c r="B246" s="65" t="s">
        <v>1475</v>
      </c>
      <c r="C246" s="65" t="s">
        <v>4191</v>
      </c>
      <c r="D246" s="522" t="s">
        <v>2907</v>
      </c>
      <c r="E246" s="65" t="s">
        <v>4192</v>
      </c>
      <c r="F246" s="65" t="s">
        <v>2909</v>
      </c>
      <c r="G246" s="65" t="s">
        <v>2185</v>
      </c>
      <c r="H246" s="65" t="s">
        <v>3682</v>
      </c>
      <c r="I246" s="65" t="s">
        <v>4193</v>
      </c>
      <c r="J246" s="75" t="s">
        <v>4194</v>
      </c>
      <c r="K246" s="75" t="s">
        <v>1566</v>
      </c>
      <c r="L246" s="65" t="s">
        <v>4195</v>
      </c>
      <c r="M246" s="70" t="s">
        <v>1098</v>
      </c>
      <c r="N246" s="70" t="s">
        <v>1108</v>
      </c>
      <c r="O246" s="75" t="s">
        <v>3988</v>
      </c>
      <c r="P246" s="239" t="s">
        <v>2019</v>
      </c>
      <c r="Q246" s="71" t="b">
        <v>1</v>
      </c>
      <c r="R246" s="531" t="s">
        <v>4196</v>
      </c>
      <c r="S246" s="95" t="s">
        <v>4197</v>
      </c>
      <c r="T246" s="239" t="s">
        <v>1843</v>
      </c>
      <c r="U246" s="47" t="s">
        <v>3455</v>
      </c>
      <c r="V246" s="70" t="s">
        <v>1161</v>
      </c>
      <c r="W246" s="516" t="s">
        <v>3321</v>
      </c>
      <c r="X246" s="511"/>
      <c r="Y246" s="515"/>
    </row>
    <row r="247" ht="22.5" customHeight="1">
      <c r="A247" s="67" t="s">
        <v>1445</v>
      </c>
      <c r="B247" s="65" t="s">
        <v>2884</v>
      </c>
      <c r="C247" s="65" t="s">
        <v>4198</v>
      </c>
      <c r="D247" s="521" t="s">
        <v>4199</v>
      </c>
      <c r="E247" s="65" t="s">
        <v>4200</v>
      </c>
      <c r="F247" s="65" t="s">
        <v>4201</v>
      </c>
      <c r="G247" s="65" t="s">
        <v>2891</v>
      </c>
      <c r="H247" s="65" t="s">
        <v>4202</v>
      </c>
      <c r="I247" s="65" t="s">
        <v>4203</v>
      </c>
      <c r="J247" s="538" t="s">
        <v>4204</v>
      </c>
      <c r="K247" s="75" t="s">
        <v>2684</v>
      </c>
      <c r="L247" s="65" t="s">
        <v>2686</v>
      </c>
      <c r="M247" s="70" t="s">
        <v>1098</v>
      </c>
      <c r="N247" s="70" t="s">
        <v>1108</v>
      </c>
      <c r="O247" s="75" t="s">
        <v>3170</v>
      </c>
      <c r="P247" s="239" t="s">
        <v>1161</v>
      </c>
      <c r="Q247" s="71" t="b">
        <v>1</v>
      </c>
      <c r="R247" s="531" t="s">
        <v>4205</v>
      </c>
      <c r="S247" s="75" t="s">
        <v>4206</v>
      </c>
      <c r="T247" s="239" t="s">
        <v>1843</v>
      </c>
      <c r="U247" s="47" t="s">
        <v>3371</v>
      </c>
      <c r="V247" s="70"/>
      <c r="W247" s="516"/>
      <c r="X247" s="511"/>
      <c r="Y247" s="515"/>
    </row>
    <row r="248" ht="22.5" customHeight="1">
      <c r="A248" s="519" t="s">
        <v>1445</v>
      </c>
      <c r="B248" s="75" t="s">
        <v>4207</v>
      </c>
      <c r="C248" s="65" t="s">
        <v>4208</v>
      </c>
      <c r="D248" s="521" t="s">
        <v>4209</v>
      </c>
      <c r="E248" s="65" t="s">
        <v>4210</v>
      </c>
      <c r="F248" s="65" t="s">
        <v>4211</v>
      </c>
      <c r="G248" s="65" t="s">
        <v>70</v>
      </c>
      <c r="H248" s="65" t="s">
        <v>4212</v>
      </c>
      <c r="I248" s="65" t="s">
        <v>4213</v>
      </c>
      <c r="J248" s="538" t="s">
        <v>4214</v>
      </c>
      <c r="K248" s="75" t="s">
        <v>2684</v>
      </c>
      <c r="L248" s="65" t="s">
        <v>2686</v>
      </c>
      <c r="M248" s="70" t="s">
        <v>1098</v>
      </c>
      <c r="N248" s="70" t="s">
        <v>1108</v>
      </c>
      <c r="O248" s="75" t="s">
        <v>2018</v>
      </c>
      <c r="P248" s="70" t="s">
        <v>1161</v>
      </c>
      <c r="Q248" s="71" t="b">
        <v>1</v>
      </c>
      <c r="R248" s="531" t="s">
        <v>4215</v>
      </c>
      <c r="S248" s="75" t="s">
        <v>4216</v>
      </c>
      <c r="T248" s="239" t="s">
        <v>1843</v>
      </c>
      <c r="U248" s="81" t="s">
        <v>3371</v>
      </c>
      <c r="V248" s="70"/>
      <c r="W248" s="462" t="s">
        <v>3413</v>
      </c>
      <c r="X248" s="511"/>
      <c r="Y248" s="515"/>
    </row>
    <row r="249" ht="22.5" customHeight="1">
      <c r="A249" s="519" t="s">
        <v>1442</v>
      </c>
      <c r="B249" s="75" t="s">
        <v>4217</v>
      </c>
      <c r="C249" s="65" t="s">
        <v>4218</v>
      </c>
      <c r="D249" s="522" t="s">
        <v>4219</v>
      </c>
      <c r="E249" s="65" t="s">
        <v>4220</v>
      </c>
      <c r="F249" s="65" t="s">
        <v>4221</v>
      </c>
      <c r="G249" s="65" t="s">
        <v>2071</v>
      </c>
      <c r="H249" s="65" t="s">
        <v>4222</v>
      </c>
      <c r="I249" s="65" t="s">
        <v>4223</v>
      </c>
      <c r="J249" s="538" t="s">
        <v>4224</v>
      </c>
      <c r="K249" s="75" t="s">
        <v>2684</v>
      </c>
      <c r="L249" s="65" t="s">
        <v>2686</v>
      </c>
      <c r="M249" s="70" t="s">
        <v>1098</v>
      </c>
      <c r="N249" s="70" t="s">
        <v>1108</v>
      </c>
      <c r="O249" s="75" t="s">
        <v>3988</v>
      </c>
      <c r="P249" s="239" t="s">
        <v>1161</v>
      </c>
      <c r="Q249" s="71" t="b">
        <v>1</v>
      </c>
      <c r="R249" s="531" t="s">
        <v>2075</v>
      </c>
      <c r="S249" s="75" t="s">
        <v>3436</v>
      </c>
      <c r="T249" s="239" t="s">
        <v>1843</v>
      </c>
      <c r="U249" s="81" t="s">
        <v>3371</v>
      </c>
      <c r="V249" s="239" t="s">
        <v>1161</v>
      </c>
      <c r="W249" s="462" t="s">
        <v>3321</v>
      </c>
      <c r="X249" s="511"/>
      <c r="Y249" s="515"/>
    </row>
    <row r="250" ht="22.5" customHeight="1">
      <c r="A250" s="519" t="s">
        <v>1445</v>
      </c>
      <c r="B250" s="75" t="s">
        <v>3568</v>
      </c>
      <c r="C250" s="75" t="s">
        <v>4225</v>
      </c>
      <c r="D250" s="521" t="s">
        <v>4226</v>
      </c>
      <c r="E250" s="65" t="s">
        <v>4227</v>
      </c>
      <c r="F250" s="65" t="s">
        <v>4228</v>
      </c>
      <c r="G250" s="65" t="s">
        <v>2071</v>
      </c>
      <c r="H250" s="65" t="s">
        <v>4229</v>
      </c>
      <c r="I250" s="65" t="s">
        <v>4230</v>
      </c>
      <c r="J250" s="537" t="s">
        <v>4231</v>
      </c>
      <c r="K250" s="75" t="s">
        <v>4232</v>
      </c>
      <c r="L250" s="65" t="s">
        <v>2686</v>
      </c>
      <c r="M250" s="70" t="s">
        <v>1098</v>
      </c>
      <c r="N250" s="70" t="s">
        <v>1108</v>
      </c>
      <c r="O250" s="75" t="s">
        <v>3988</v>
      </c>
      <c r="P250" s="70" t="s">
        <v>1161</v>
      </c>
      <c r="Q250" s="71" t="b">
        <v>1</v>
      </c>
      <c r="R250" s="90" t="s">
        <v>4233</v>
      </c>
      <c r="S250" s="75" t="s">
        <v>4234</v>
      </c>
      <c r="T250" s="239" t="s">
        <v>1843</v>
      </c>
      <c r="U250" s="81" t="s">
        <v>3371</v>
      </c>
      <c r="V250" s="70"/>
      <c r="W250" s="462" t="s">
        <v>3321</v>
      </c>
      <c r="X250" s="511"/>
      <c r="Y250" s="515"/>
    </row>
    <row r="251" ht="22.5" customHeight="1">
      <c r="A251" s="239" t="s">
        <v>1445</v>
      </c>
      <c r="B251" s="65" t="s">
        <v>3568</v>
      </c>
      <c r="C251" s="75" t="s">
        <v>4235</v>
      </c>
      <c r="D251" s="75" t="s">
        <v>4236</v>
      </c>
      <c r="E251" s="75" t="s">
        <v>72</v>
      </c>
      <c r="F251" s="75" t="s">
        <v>4237</v>
      </c>
      <c r="G251" s="75" t="s">
        <v>70</v>
      </c>
      <c r="H251" s="65" t="s">
        <v>4238</v>
      </c>
      <c r="I251" s="75" t="s">
        <v>4239</v>
      </c>
      <c r="J251" s="75" t="s">
        <v>4240</v>
      </c>
      <c r="K251" s="75" t="s">
        <v>2684</v>
      </c>
      <c r="L251" s="65" t="s">
        <v>2686</v>
      </c>
      <c r="M251" s="70" t="s">
        <v>1098</v>
      </c>
      <c r="N251" s="70" t="s">
        <v>1108</v>
      </c>
      <c r="O251" s="75" t="s">
        <v>2018</v>
      </c>
      <c r="P251" s="239" t="s">
        <v>1161</v>
      </c>
      <c r="Q251" s="71" t="b">
        <v>1</v>
      </c>
      <c r="R251" s="75" t="s">
        <v>4241</v>
      </c>
      <c r="S251" s="65" t="s">
        <v>3410</v>
      </c>
      <c r="T251" s="239" t="s">
        <v>1843</v>
      </c>
      <c r="U251" s="67" t="s">
        <v>3371</v>
      </c>
      <c r="V251" s="239" t="s">
        <v>1161</v>
      </c>
      <c r="W251" s="440"/>
      <c r="X251" s="441" t="s">
        <v>3314</v>
      </c>
      <c r="Y251" s="60"/>
    </row>
    <row r="252" ht="22.5" customHeight="1">
      <c r="A252" s="239" t="s">
        <v>1445</v>
      </c>
      <c r="B252" s="65" t="s">
        <v>219</v>
      </c>
      <c r="C252" s="65" t="s">
        <v>4242</v>
      </c>
      <c r="D252" s="75" t="s">
        <v>4243</v>
      </c>
      <c r="E252" s="65" t="s">
        <v>4244</v>
      </c>
      <c r="F252" s="65" t="s">
        <v>4245</v>
      </c>
      <c r="G252" s="75" t="s">
        <v>70</v>
      </c>
      <c r="H252" s="65" t="s">
        <v>4246</v>
      </c>
      <c r="I252" s="65" t="s">
        <v>4247</v>
      </c>
      <c r="J252" s="65" t="s">
        <v>4248</v>
      </c>
      <c r="K252" s="75" t="s">
        <v>2684</v>
      </c>
      <c r="L252" s="65" t="s">
        <v>2686</v>
      </c>
      <c r="M252" s="70" t="s">
        <v>1098</v>
      </c>
      <c r="N252" s="70" t="s">
        <v>1108</v>
      </c>
      <c r="O252" s="75" t="s">
        <v>4027</v>
      </c>
      <c r="P252" s="70" t="s">
        <v>1161</v>
      </c>
      <c r="Q252" s="71" t="b">
        <v>1</v>
      </c>
      <c r="R252" s="531" t="s">
        <v>4249</v>
      </c>
      <c r="S252" s="75" t="s">
        <v>3824</v>
      </c>
      <c r="T252" s="239" t="s">
        <v>1843</v>
      </c>
      <c r="U252" s="81" t="s">
        <v>3371</v>
      </c>
      <c r="V252" s="239" t="s">
        <v>1161</v>
      </c>
      <c r="W252" s="440"/>
      <c r="X252" s="441" t="s">
        <v>3314</v>
      </c>
      <c r="Y252" s="60"/>
    </row>
    <row r="253" ht="22.5" customHeight="1">
      <c r="A253" s="70" t="s">
        <v>1438</v>
      </c>
      <c r="B253" s="65" t="s">
        <v>3676</v>
      </c>
      <c r="C253" s="65" t="s">
        <v>4250</v>
      </c>
      <c r="D253" s="75" t="s">
        <v>4251</v>
      </c>
      <c r="E253" s="65" t="s">
        <v>3162</v>
      </c>
      <c r="F253" s="65" t="s">
        <v>4252</v>
      </c>
      <c r="G253" s="75" t="s">
        <v>123</v>
      </c>
      <c r="H253" s="65" t="s">
        <v>4253</v>
      </c>
      <c r="I253" s="65" t="s">
        <v>4254</v>
      </c>
      <c r="J253" s="65" t="s">
        <v>4255</v>
      </c>
      <c r="K253" s="75" t="s">
        <v>2684</v>
      </c>
      <c r="L253" s="65" t="s">
        <v>2686</v>
      </c>
      <c r="M253" s="70" t="s">
        <v>1098</v>
      </c>
      <c r="N253" s="70" t="s">
        <v>1108</v>
      </c>
      <c r="O253" s="75" t="s">
        <v>3670</v>
      </c>
      <c r="P253" s="239" t="s">
        <v>1161</v>
      </c>
      <c r="Q253" s="71" t="b">
        <v>1</v>
      </c>
      <c r="R253" s="65" t="s">
        <v>4256</v>
      </c>
      <c r="S253" s="72" t="s">
        <v>4257</v>
      </c>
      <c r="T253" s="239" t="s">
        <v>1843</v>
      </c>
      <c r="U253" s="520" t="s">
        <v>3319</v>
      </c>
      <c r="V253" s="70"/>
      <c r="W253" s="516" t="s">
        <v>3342</v>
      </c>
      <c r="X253" s="511"/>
      <c r="Y253" s="515"/>
    </row>
    <row r="254" ht="22.5" customHeight="1">
      <c r="A254" s="239" t="s">
        <v>1445</v>
      </c>
      <c r="B254" s="65" t="s">
        <v>4207</v>
      </c>
      <c r="C254" s="65" t="s">
        <v>4258</v>
      </c>
      <c r="D254" s="75" t="s">
        <v>4259</v>
      </c>
      <c r="E254" s="65" t="s">
        <v>4260</v>
      </c>
      <c r="F254" s="65" t="s">
        <v>4261</v>
      </c>
      <c r="G254" s="75" t="s">
        <v>695</v>
      </c>
      <c r="H254" s="65" t="s">
        <v>4262</v>
      </c>
      <c r="I254" s="65" t="s">
        <v>4263</v>
      </c>
      <c r="J254" s="75" t="s">
        <v>4264</v>
      </c>
      <c r="K254" s="75" t="s">
        <v>2684</v>
      </c>
      <c r="L254" s="65" t="s">
        <v>2686</v>
      </c>
      <c r="M254" s="70" t="s">
        <v>1098</v>
      </c>
      <c r="N254" s="70" t="s">
        <v>1108</v>
      </c>
      <c r="O254" s="437" t="s">
        <v>1430</v>
      </c>
      <c r="P254" s="239" t="s">
        <v>1161</v>
      </c>
      <c r="Q254" s="71" t="b">
        <v>1</v>
      </c>
      <c r="R254" s="75" t="s">
        <v>4265</v>
      </c>
      <c r="S254" s="65" t="s">
        <v>3955</v>
      </c>
      <c r="T254" s="239" t="s">
        <v>1843</v>
      </c>
      <c r="U254" s="47" t="s">
        <v>3371</v>
      </c>
      <c r="V254" s="239" t="s">
        <v>1161</v>
      </c>
      <c r="W254" s="511"/>
      <c r="X254" s="511"/>
      <c r="Y254" s="515"/>
    </row>
    <row r="255" ht="22.5" customHeight="1">
      <c r="A255" s="239" t="s">
        <v>1445</v>
      </c>
      <c r="B255" s="65" t="s">
        <v>1311</v>
      </c>
      <c r="C255" s="65" t="s">
        <v>4266</v>
      </c>
      <c r="D255" s="75" t="s">
        <v>4267</v>
      </c>
      <c r="E255" s="65" t="s">
        <v>4268</v>
      </c>
      <c r="F255" s="65" t="s">
        <v>4269</v>
      </c>
      <c r="G255" s="75" t="s">
        <v>36</v>
      </c>
      <c r="H255" s="65" t="s">
        <v>4270</v>
      </c>
      <c r="I255" s="65" t="s">
        <v>4271</v>
      </c>
      <c r="J255" s="65" t="s">
        <v>4272</v>
      </c>
      <c r="K255" s="75" t="s">
        <v>2684</v>
      </c>
      <c r="L255" s="65" t="s">
        <v>2686</v>
      </c>
      <c r="M255" s="70" t="s">
        <v>1098</v>
      </c>
      <c r="N255" s="70" t="s">
        <v>1108</v>
      </c>
      <c r="O255" s="75" t="s">
        <v>3670</v>
      </c>
      <c r="P255" s="70" t="s">
        <v>1161</v>
      </c>
      <c r="Q255" s="71" t="b">
        <v>1</v>
      </c>
      <c r="R255" s="75" t="s">
        <v>4273</v>
      </c>
      <c r="S255" s="75" t="s">
        <v>3436</v>
      </c>
      <c r="T255" s="239" t="s">
        <v>1843</v>
      </c>
      <c r="U255" s="67" t="s">
        <v>3371</v>
      </c>
      <c r="V255" s="239" t="s">
        <v>1161</v>
      </c>
      <c r="W255" s="440"/>
      <c r="X255" s="441" t="s">
        <v>3314</v>
      </c>
      <c r="Y255" s="60"/>
    </row>
    <row r="256" ht="22.5" customHeight="1">
      <c r="A256" s="47" t="s">
        <v>1445</v>
      </c>
      <c r="B256" s="65" t="s">
        <v>1311</v>
      </c>
      <c r="C256" s="65" t="s">
        <v>4274</v>
      </c>
      <c r="D256" s="75" t="s">
        <v>4275</v>
      </c>
      <c r="E256" s="65" t="s">
        <v>4276</v>
      </c>
      <c r="F256" s="65" t="s">
        <v>4277</v>
      </c>
      <c r="G256" s="75" t="s">
        <v>4278</v>
      </c>
      <c r="H256" s="65" t="s">
        <v>4279</v>
      </c>
      <c r="I256" s="65" t="s">
        <v>4280</v>
      </c>
      <c r="J256" s="65" t="s">
        <v>4281</v>
      </c>
      <c r="K256" s="75" t="s">
        <v>2684</v>
      </c>
      <c r="L256" s="65" t="s">
        <v>2686</v>
      </c>
      <c r="M256" s="70" t="s">
        <v>1098</v>
      </c>
      <c r="N256" s="70" t="s">
        <v>1108</v>
      </c>
      <c r="O256" s="75" t="s">
        <v>3170</v>
      </c>
      <c r="P256" s="70" t="s">
        <v>3645</v>
      </c>
      <c r="Q256" s="71" t="b">
        <v>1</v>
      </c>
      <c r="R256" s="75" t="s">
        <v>4282</v>
      </c>
      <c r="S256" s="65" t="s">
        <v>3642</v>
      </c>
      <c r="T256" s="239" t="s">
        <v>1843</v>
      </c>
      <c r="U256" s="47" t="s">
        <v>3371</v>
      </c>
      <c r="V256" s="239" t="s">
        <v>1161</v>
      </c>
      <c r="W256" s="440"/>
      <c r="X256" s="441" t="s">
        <v>3314</v>
      </c>
      <c r="Y256" s="60"/>
    </row>
    <row r="257" ht="22.5" customHeight="1">
      <c r="A257" s="239" t="s">
        <v>1445</v>
      </c>
      <c r="B257" s="65" t="s">
        <v>1311</v>
      </c>
      <c r="C257" s="65" t="s">
        <v>4283</v>
      </c>
      <c r="D257" s="65" t="s">
        <v>4284</v>
      </c>
      <c r="E257" s="65" t="s">
        <v>4285</v>
      </c>
      <c r="F257" s="65" t="s">
        <v>4286</v>
      </c>
      <c r="G257" s="75" t="s">
        <v>663</v>
      </c>
      <c r="H257" s="65" t="s">
        <v>4287</v>
      </c>
      <c r="I257" s="65" t="s">
        <v>4288</v>
      </c>
      <c r="J257" s="65" t="s">
        <v>4289</v>
      </c>
      <c r="K257" s="75" t="s">
        <v>2684</v>
      </c>
      <c r="L257" s="65" t="s">
        <v>2686</v>
      </c>
      <c r="M257" s="70" t="s">
        <v>1098</v>
      </c>
      <c r="N257" s="70" t="s">
        <v>1108</v>
      </c>
      <c r="O257" s="75" t="s">
        <v>2018</v>
      </c>
      <c r="P257" s="239" t="s">
        <v>1161</v>
      </c>
      <c r="Q257" s="71" t="b">
        <v>1</v>
      </c>
      <c r="R257" s="75" t="s">
        <v>4290</v>
      </c>
      <c r="S257" s="75" t="s">
        <v>3436</v>
      </c>
      <c r="T257" s="239" t="s">
        <v>1843</v>
      </c>
      <c r="U257" s="47" t="s">
        <v>3371</v>
      </c>
      <c r="V257" s="239" t="s">
        <v>1161</v>
      </c>
      <c r="W257" s="440"/>
      <c r="X257" s="441" t="s">
        <v>3314</v>
      </c>
      <c r="Y257" s="60"/>
    </row>
    <row r="258" ht="23.25" customHeight="1">
      <c r="A258" s="239" t="s">
        <v>1445</v>
      </c>
      <c r="B258" s="65" t="s">
        <v>4207</v>
      </c>
      <c r="C258" s="65" t="s">
        <v>4291</v>
      </c>
      <c r="D258" s="75" t="s">
        <v>4292</v>
      </c>
      <c r="E258" s="65" t="s">
        <v>4293</v>
      </c>
      <c r="F258" s="65" t="s">
        <v>4294</v>
      </c>
      <c r="G258" s="65" t="s">
        <v>36</v>
      </c>
      <c r="H258" s="65" t="s">
        <v>4295</v>
      </c>
      <c r="I258" s="65" t="s">
        <v>4296</v>
      </c>
      <c r="J258" s="65" t="s">
        <v>4297</v>
      </c>
      <c r="K258" s="75" t="s">
        <v>2684</v>
      </c>
      <c r="L258" s="65" t="s">
        <v>2686</v>
      </c>
      <c r="M258" s="70" t="s">
        <v>1098</v>
      </c>
      <c r="N258" s="70" t="s">
        <v>1108</v>
      </c>
      <c r="O258" s="75" t="s">
        <v>1161</v>
      </c>
      <c r="P258" s="70" t="s">
        <v>1161</v>
      </c>
      <c r="Q258" s="71" t="b">
        <v>1</v>
      </c>
      <c r="R258" s="75" t="s">
        <v>4298</v>
      </c>
      <c r="S258" s="75" t="s">
        <v>3436</v>
      </c>
      <c r="T258" s="239" t="s">
        <v>1843</v>
      </c>
      <c r="U258" s="67" t="s">
        <v>3371</v>
      </c>
      <c r="V258" s="239" t="s">
        <v>1161</v>
      </c>
      <c r="W258" s="440"/>
      <c r="X258" s="441" t="s">
        <v>3314</v>
      </c>
      <c r="Y258" s="60"/>
    </row>
    <row r="259" ht="22.5" customHeight="1">
      <c r="A259" s="47" t="s">
        <v>1445</v>
      </c>
      <c r="B259" s="65" t="s">
        <v>3676</v>
      </c>
      <c r="C259" s="65" t="s">
        <v>4299</v>
      </c>
      <c r="D259" s="75" t="s">
        <v>4300</v>
      </c>
      <c r="E259" s="65" t="s">
        <v>3162</v>
      </c>
      <c r="F259" s="65" t="s">
        <v>4252</v>
      </c>
      <c r="G259" s="75" t="s">
        <v>278</v>
      </c>
      <c r="H259" s="65" t="s">
        <v>4301</v>
      </c>
      <c r="I259" s="65" t="s">
        <v>4302</v>
      </c>
      <c r="J259" s="65" t="s">
        <v>4303</v>
      </c>
      <c r="K259" s="75" t="s">
        <v>2684</v>
      </c>
      <c r="L259" s="65" t="s">
        <v>2686</v>
      </c>
      <c r="M259" s="70" t="s">
        <v>1746</v>
      </c>
      <c r="N259" s="70" t="s">
        <v>1108</v>
      </c>
      <c r="O259" s="75" t="s">
        <v>4059</v>
      </c>
      <c r="P259" s="70" t="s">
        <v>1161</v>
      </c>
      <c r="Q259" s="71" t="b">
        <v>1</v>
      </c>
      <c r="R259" s="75" t="s">
        <v>4304</v>
      </c>
      <c r="S259" s="75" t="s">
        <v>3922</v>
      </c>
      <c r="T259" s="239" t="s">
        <v>1843</v>
      </c>
      <c r="U259" s="47" t="s">
        <v>3371</v>
      </c>
      <c r="V259" s="70"/>
      <c r="W259" s="511"/>
      <c r="X259" s="511"/>
      <c r="Y259" s="515"/>
    </row>
    <row r="260" ht="22.5" customHeight="1">
      <c r="A260" s="47" t="s">
        <v>1445</v>
      </c>
      <c r="B260" s="65" t="s">
        <v>3676</v>
      </c>
      <c r="C260" s="65" t="s">
        <v>4305</v>
      </c>
      <c r="D260" s="75" t="s">
        <v>4300</v>
      </c>
      <c r="E260" s="65" t="s">
        <v>3162</v>
      </c>
      <c r="F260" s="65" t="s">
        <v>4252</v>
      </c>
      <c r="G260" s="75" t="s">
        <v>278</v>
      </c>
      <c r="H260" s="75" t="s">
        <v>4306</v>
      </c>
      <c r="I260" s="65" t="s">
        <v>4302</v>
      </c>
      <c r="J260" s="75" t="s">
        <v>4307</v>
      </c>
      <c r="K260" s="75" t="s">
        <v>2684</v>
      </c>
      <c r="L260" s="65" t="s">
        <v>2686</v>
      </c>
      <c r="M260" s="70" t="s">
        <v>1098</v>
      </c>
      <c r="N260" s="70" t="s">
        <v>1108</v>
      </c>
      <c r="O260" s="75" t="s">
        <v>3221</v>
      </c>
      <c r="P260" s="70" t="s">
        <v>2019</v>
      </c>
      <c r="Q260" s="71" t="b">
        <v>1</v>
      </c>
      <c r="R260" s="75" t="s">
        <v>4304</v>
      </c>
      <c r="S260" s="75" t="s">
        <v>3922</v>
      </c>
      <c r="T260" s="239" t="s">
        <v>1843</v>
      </c>
      <c r="U260" s="47" t="s">
        <v>3371</v>
      </c>
      <c r="V260" s="70"/>
      <c r="W260" s="511"/>
      <c r="X260" s="511"/>
      <c r="Y260" s="515"/>
    </row>
    <row r="261" ht="20.25" customHeight="1">
      <c r="A261" s="47" t="s">
        <v>1445</v>
      </c>
      <c r="B261" s="65" t="s">
        <v>3676</v>
      </c>
      <c r="C261" s="65" t="s">
        <v>4308</v>
      </c>
      <c r="D261" s="75" t="s">
        <v>4300</v>
      </c>
      <c r="E261" s="65" t="s">
        <v>3162</v>
      </c>
      <c r="F261" s="65" t="s">
        <v>4252</v>
      </c>
      <c r="G261" s="75" t="s">
        <v>278</v>
      </c>
      <c r="H261" s="75" t="s">
        <v>4309</v>
      </c>
      <c r="I261" s="65" t="s">
        <v>4302</v>
      </c>
      <c r="J261" s="65" t="s">
        <v>4310</v>
      </c>
      <c r="K261" s="75" t="s">
        <v>2684</v>
      </c>
      <c r="L261" s="65" t="s">
        <v>2686</v>
      </c>
      <c r="M261" s="70"/>
      <c r="N261" s="70" t="s">
        <v>1549</v>
      </c>
      <c r="O261" s="75" t="s">
        <v>3864</v>
      </c>
      <c r="P261" s="70" t="s">
        <v>1161</v>
      </c>
      <c r="Q261" s="71" t="b">
        <v>1</v>
      </c>
      <c r="R261" s="75" t="s">
        <v>4304</v>
      </c>
      <c r="S261" s="75" t="s">
        <v>3922</v>
      </c>
      <c r="T261" s="239" t="s">
        <v>1843</v>
      </c>
      <c r="U261" s="47" t="s">
        <v>3371</v>
      </c>
      <c r="V261" s="70"/>
      <c r="W261" s="511"/>
      <c r="X261" s="511"/>
      <c r="Y261" s="515"/>
    </row>
    <row r="262" ht="22.5" customHeight="1">
      <c r="A262" s="239" t="s">
        <v>1445</v>
      </c>
      <c r="B262" s="65" t="s">
        <v>219</v>
      </c>
      <c r="C262" s="65" t="s">
        <v>4311</v>
      </c>
      <c r="D262" s="75" t="s">
        <v>4312</v>
      </c>
      <c r="E262" s="65" t="s">
        <v>4313</v>
      </c>
      <c r="F262" s="65" t="s">
        <v>4314</v>
      </c>
      <c r="G262" s="65" t="s">
        <v>695</v>
      </c>
      <c r="H262" s="65" t="s">
        <v>4315</v>
      </c>
      <c r="I262" s="65" t="s">
        <v>4316</v>
      </c>
      <c r="J262" s="65" t="s">
        <v>4317</v>
      </c>
      <c r="K262" s="75" t="s">
        <v>3884</v>
      </c>
      <c r="L262" s="75" t="s">
        <v>3885</v>
      </c>
      <c r="M262" s="70" t="s">
        <v>3324</v>
      </c>
      <c r="N262" s="70" t="s">
        <v>1108</v>
      </c>
      <c r="O262" s="75" t="s">
        <v>4027</v>
      </c>
      <c r="P262" s="70" t="s">
        <v>2019</v>
      </c>
      <c r="Q262" s="71" t="b">
        <v>1</v>
      </c>
      <c r="R262" s="75" t="s">
        <v>4318</v>
      </c>
      <c r="S262" s="75" t="s">
        <v>4319</v>
      </c>
      <c r="T262" s="239" t="s">
        <v>1843</v>
      </c>
      <c r="U262" s="47" t="s">
        <v>3371</v>
      </c>
      <c r="V262" s="70"/>
      <c r="W262" s="516"/>
      <c r="X262" s="511"/>
      <c r="Y262" s="515"/>
    </row>
    <row r="263" ht="22.5" customHeight="1">
      <c r="A263" s="239" t="s">
        <v>1447</v>
      </c>
      <c r="B263" s="65" t="s">
        <v>219</v>
      </c>
      <c r="C263" s="65" t="s">
        <v>4320</v>
      </c>
      <c r="D263" s="75" t="s">
        <v>4321</v>
      </c>
      <c r="E263" s="65" t="s">
        <v>4322</v>
      </c>
      <c r="F263" s="65" t="s">
        <v>4323</v>
      </c>
      <c r="G263" s="65" t="s">
        <v>70</v>
      </c>
      <c r="H263" s="65" t="s">
        <v>4324</v>
      </c>
      <c r="I263" s="65" t="s">
        <v>4325</v>
      </c>
      <c r="J263" s="65" t="s">
        <v>4326</v>
      </c>
      <c r="K263" s="75" t="s">
        <v>2684</v>
      </c>
      <c r="L263" s="65" t="s">
        <v>2686</v>
      </c>
      <c r="M263" s="70" t="s">
        <v>1098</v>
      </c>
      <c r="N263" s="70" t="s">
        <v>1108</v>
      </c>
      <c r="O263" s="75" t="s">
        <v>4327</v>
      </c>
      <c r="P263" s="70" t="s">
        <v>1161</v>
      </c>
      <c r="Q263" s="71" t="b">
        <v>1</v>
      </c>
      <c r="R263" s="75" t="s">
        <v>4328</v>
      </c>
      <c r="S263" s="75" t="s">
        <v>4329</v>
      </c>
      <c r="T263" s="239" t="s">
        <v>1843</v>
      </c>
      <c r="U263" s="47" t="s">
        <v>4330</v>
      </c>
      <c r="V263" s="70"/>
      <c r="W263" s="516" t="s">
        <v>3321</v>
      </c>
      <c r="X263" s="511"/>
      <c r="Y263" s="515"/>
    </row>
    <row r="264" ht="22.5" customHeight="1">
      <c r="A264" s="239" t="s">
        <v>1445</v>
      </c>
      <c r="B264" s="65" t="s">
        <v>219</v>
      </c>
      <c r="C264" s="65" t="s">
        <v>4331</v>
      </c>
      <c r="D264" s="75" t="s">
        <v>1332</v>
      </c>
      <c r="E264" s="527" t="s">
        <v>4332</v>
      </c>
      <c r="F264" s="65" t="s">
        <v>4333</v>
      </c>
      <c r="G264" s="65" t="s">
        <v>1236</v>
      </c>
      <c r="H264" s="65" t="s">
        <v>4334</v>
      </c>
      <c r="I264" s="65" t="s">
        <v>4335</v>
      </c>
      <c r="J264" s="75" t="s">
        <v>1337</v>
      </c>
      <c r="K264" s="75" t="s">
        <v>2684</v>
      </c>
      <c r="L264" s="65" t="s">
        <v>2686</v>
      </c>
      <c r="M264" s="70" t="s">
        <v>1098</v>
      </c>
      <c r="N264" s="70" t="s">
        <v>1108</v>
      </c>
      <c r="O264" s="75" t="s">
        <v>3170</v>
      </c>
      <c r="P264" s="70" t="s">
        <v>1161</v>
      </c>
      <c r="Q264" s="71" t="b">
        <v>0</v>
      </c>
      <c r="R264" s="75" t="s">
        <v>4336</v>
      </c>
      <c r="S264" s="65" t="s">
        <v>3642</v>
      </c>
      <c r="T264" s="239" t="s">
        <v>1843</v>
      </c>
      <c r="U264" s="81" t="s">
        <v>3371</v>
      </c>
      <c r="V264" s="239" t="s">
        <v>1161</v>
      </c>
      <c r="W264" s="440"/>
      <c r="X264" s="441" t="s">
        <v>3314</v>
      </c>
      <c r="Y264" s="60"/>
    </row>
    <row r="265" ht="22.5" customHeight="1">
      <c r="A265" s="70" t="s">
        <v>1445</v>
      </c>
      <c r="B265" s="75" t="s">
        <v>4337</v>
      </c>
      <c r="C265" s="75" t="s">
        <v>4338</v>
      </c>
      <c r="D265" s="75" t="s">
        <v>4339</v>
      </c>
      <c r="E265" s="75" t="s">
        <v>4340</v>
      </c>
      <c r="F265" s="75" t="s">
        <v>4341</v>
      </c>
      <c r="G265" s="75" t="s">
        <v>3239</v>
      </c>
      <c r="H265" s="75" t="s">
        <v>4342</v>
      </c>
      <c r="I265" s="75" t="s">
        <v>4343</v>
      </c>
      <c r="J265" s="75" t="s">
        <v>4344</v>
      </c>
      <c r="K265" s="75" t="s">
        <v>2684</v>
      </c>
      <c r="L265" s="75" t="s">
        <v>2686</v>
      </c>
      <c r="M265" s="70" t="s">
        <v>1098</v>
      </c>
      <c r="N265" s="70" t="s">
        <v>1108</v>
      </c>
      <c r="O265" s="75" t="s">
        <v>2018</v>
      </c>
      <c r="P265" s="70" t="s">
        <v>1161</v>
      </c>
      <c r="Q265" s="71" t="b">
        <v>1</v>
      </c>
      <c r="R265" s="75" t="s">
        <v>4345</v>
      </c>
      <c r="S265" s="75" t="s">
        <v>4346</v>
      </c>
      <c r="T265" s="70" t="s">
        <v>1843</v>
      </c>
      <c r="U265" s="67" t="s">
        <v>3371</v>
      </c>
      <c r="V265" s="239" t="s">
        <v>1161</v>
      </c>
      <c r="W265" s="440"/>
      <c r="X265" s="441" t="s">
        <v>3314</v>
      </c>
      <c r="Y265" s="60"/>
    </row>
    <row r="266" ht="19.5" customHeight="1">
      <c r="A266" s="239" t="s">
        <v>1438</v>
      </c>
      <c r="B266" s="65" t="s">
        <v>4217</v>
      </c>
      <c r="C266" s="65" t="s">
        <v>4347</v>
      </c>
      <c r="D266" s="75" t="s">
        <v>4348</v>
      </c>
      <c r="E266" s="65" t="s">
        <v>4349</v>
      </c>
      <c r="F266" s="65" t="s">
        <v>4350</v>
      </c>
      <c r="G266" s="65" t="s">
        <v>1016</v>
      </c>
      <c r="H266" s="65" t="s">
        <v>4351</v>
      </c>
      <c r="I266" s="65" t="s">
        <v>4352</v>
      </c>
      <c r="J266" s="65" t="s">
        <v>4353</v>
      </c>
      <c r="K266" s="75" t="s">
        <v>2684</v>
      </c>
      <c r="L266" s="65" t="s">
        <v>2686</v>
      </c>
      <c r="M266" s="70" t="s">
        <v>1098</v>
      </c>
      <c r="N266" s="70" t="s">
        <v>1108</v>
      </c>
      <c r="O266" s="75" t="s">
        <v>4059</v>
      </c>
      <c r="P266" s="70" t="s">
        <v>1161</v>
      </c>
      <c r="Q266" s="71" t="b">
        <v>1</v>
      </c>
      <c r="R266" s="75" t="s">
        <v>4354</v>
      </c>
      <c r="S266" s="75" t="s">
        <v>4355</v>
      </c>
      <c r="T266" s="239" t="s">
        <v>1843</v>
      </c>
      <c r="U266" s="47" t="s">
        <v>3319</v>
      </c>
      <c r="V266" s="70"/>
      <c r="W266" s="441" t="s">
        <v>3342</v>
      </c>
      <c r="X266" s="511"/>
      <c r="Y266" s="515"/>
    </row>
    <row r="267" ht="22.5" customHeight="1">
      <c r="A267" s="70" t="s">
        <v>1441</v>
      </c>
      <c r="B267" s="65" t="s">
        <v>3157</v>
      </c>
      <c r="C267" s="90">
        <v>2.024110007E9</v>
      </c>
      <c r="D267" s="75" t="s">
        <v>4356</v>
      </c>
      <c r="E267" s="65"/>
      <c r="F267" s="65" t="s">
        <v>3163</v>
      </c>
      <c r="G267" s="65" t="s">
        <v>2535</v>
      </c>
      <c r="H267" s="75" t="s">
        <v>4357</v>
      </c>
      <c r="I267" s="65" t="s">
        <v>4358</v>
      </c>
      <c r="J267" s="65" t="s">
        <v>4359</v>
      </c>
      <c r="K267" s="75" t="s">
        <v>2684</v>
      </c>
      <c r="L267" s="65" t="s">
        <v>2686</v>
      </c>
      <c r="M267" s="70" t="s">
        <v>1098</v>
      </c>
      <c r="N267" s="70" t="s">
        <v>1108</v>
      </c>
      <c r="O267" s="75" t="s">
        <v>3864</v>
      </c>
      <c r="P267" s="239" t="s">
        <v>1161</v>
      </c>
      <c r="Q267" s="71" t="b">
        <v>1</v>
      </c>
      <c r="R267" s="75" t="s">
        <v>4360</v>
      </c>
      <c r="S267" s="75" t="s">
        <v>4361</v>
      </c>
      <c r="T267" s="239" t="s">
        <v>1843</v>
      </c>
      <c r="U267" s="47" t="s">
        <v>1441</v>
      </c>
      <c r="V267" s="70"/>
      <c r="W267" s="511"/>
      <c r="X267" s="511"/>
      <c r="Y267" s="515"/>
    </row>
    <row r="268" ht="22.5" customHeight="1">
      <c r="A268" s="70" t="s">
        <v>1441</v>
      </c>
      <c r="B268" s="65" t="s">
        <v>3181</v>
      </c>
      <c r="C268" s="65" t="s">
        <v>4362</v>
      </c>
      <c r="D268" s="75" t="s">
        <v>4356</v>
      </c>
      <c r="E268" s="65"/>
      <c r="F268" s="65" t="s">
        <v>3163</v>
      </c>
      <c r="G268" s="65" t="s">
        <v>2535</v>
      </c>
      <c r="H268" s="75" t="s">
        <v>4363</v>
      </c>
      <c r="I268" s="65" t="s">
        <v>4358</v>
      </c>
      <c r="J268" s="65" t="s">
        <v>4359</v>
      </c>
      <c r="K268" s="75" t="s">
        <v>2684</v>
      </c>
      <c r="L268" s="65" t="s">
        <v>2686</v>
      </c>
      <c r="M268" s="70" t="s">
        <v>1098</v>
      </c>
      <c r="N268" s="70" t="s">
        <v>1108</v>
      </c>
      <c r="O268" s="75" t="s">
        <v>3864</v>
      </c>
      <c r="P268" s="239" t="s">
        <v>1161</v>
      </c>
      <c r="Q268" s="71" t="b">
        <v>1</v>
      </c>
      <c r="R268" s="75" t="s">
        <v>4360</v>
      </c>
      <c r="S268" s="75" t="s">
        <v>4361</v>
      </c>
      <c r="T268" s="239" t="s">
        <v>1843</v>
      </c>
      <c r="U268" s="47" t="s">
        <v>1441</v>
      </c>
      <c r="V268" s="70"/>
      <c r="W268" s="516"/>
      <c r="X268" s="511"/>
      <c r="Y268" s="515"/>
    </row>
    <row r="269" ht="22.5" customHeight="1">
      <c r="A269" s="70" t="s">
        <v>1441</v>
      </c>
      <c r="B269" s="65" t="s">
        <v>3181</v>
      </c>
      <c r="C269" s="65" t="s">
        <v>4364</v>
      </c>
      <c r="D269" s="75" t="s">
        <v>4356</v>
      </c>
      <c r="E269" s="65"/>
      <c r="F269" s="65" t="s">
        <v>3163</v>
      </c>
      <c r="G269" s="65" t="s">
        <v>2535</v>
      </c>
      <c r="H269" s="75" t="s">
        <v>4365</v>
      </c>
      <c r="I269" s="65" t="s">
        <v>4358</v>
      </c>
      <c r="J269" s="65" t="s">
        <v>4359</v>
      </c>
      <c r="K269" s="75" t="s">
        <v>2684</v>
      </c>
      <c r="L269" s="65" t="s">
        <v>2686</v>
      </c>
      <c r="M269" s="70" t="s">
        <v>1098</v>
      </c>
      <c r="N269" s="70" t="s">
        <v>1108</v>
      </c>
      <c r="O269" s="75" t="s">
        <v>3864</v>
      </c>
      <c r="P269" s="239" t="s">
        <v>1161</v>
      </c>
      <c r="Q269" s="71" t="b">
        <v>1</v>
      </c>
      <c r="R269" s="75" t="s">
        <v>4360</v>
      </c>
      <c r="S269" s="75" t="s">
        <v>4361</v>
      </c>
      <c r="T269" s="239" t="s">
        <v>1843</v>
      </c>
      <c r="U269" s="47" t="s">
        <v>1441</v>
      </c>
      <c r="V269" s="70"/>
      <c r="W269" s="511"/>
      <c r="X269" s="511"/>
      <c r="Y269" s="515"/>
    </row>
    <row r="270" ht="22.5" customHeight="1">
      <c r="A270" s="70" t="s">
        <v>1445</v>
      </c>
      <c r="B270" s="65" t="s">
        <v>1212</v>
      </c>
      <c r="C270" s="65" t="s">
        <v>4366</v>
      </c>
      <c r="D270" s="75" t="s">
        <v>1160</v>
      </c>
      <c r="E270" s="65" t="s">
        <v>4137</v>
      </c>
      <c r="F270" s="65" t="s">
        <v>4367</v>
      </c>
      <c r="G270" s="65" t="s">
        <v>70</v>
      </c>
      <c r="H270" s="75" t="s">
        <v>4368</v>
      </c>
      <c r="I270" s="65" t="s">
        <v>4369</v>
      </c>
      <c r="J270" s="65" t="s">
        <v>1164</v>
      </c>
      <c r="K270" s="75" t="s">
        <v>2684</v>
      </c>
      <c r="L270" s="65" t="s">
        <v>2686</v>
      </c>
      <c r="M270" s="70" t="s">
        <v>1098</v>
      </c>
      <c r="N270" s="70" t="s">
        <v>1108</v>
      </c>
      <c r="O270" s="75" t="s">
        <v>4327</v>
      </c>
      <c r="P270" s="70" t="s">
        <v>1161</v>
      </c>
      <c r="Q270" s="71" t="b">
        <v>1</v>
      </c>
      <c r="R270" s="75" t="s">
        <v>4328</v>
      </c>
      <c r="S270" s="65" t="s">
        <v>4370</v>
      </c>
      <c r="T270" s="239" t="s">
        <v>1843</v>
      </c>
      <c r="U270" s="47" t="s">
        <v>3371</v>
      </c>
      <c r="V270" s="239" t="s">
        <v>1161</v>
      </c>
      <c r="W270" s="440"/>
      <c r="X270" s="441" t="s">
        <v>3314</v>
      </c>
      <c r="Y270" s="60"/>
    </row>
    <row r="271" ht="22.5" customHeight="1">
      <c r="A271" s="70" t="s">
        <v>1445</v>
      </c>
      <c r="B271" s="65" t="s">
        <v>1212</v>
      </c>
      <c r="C271" s="65" t="s">
        <v>4371</v>
      </c>
      <c r="D271" s="75" t="s">
        <v>1178</v>
      </c>
      <c r="E271" s="65" t="s">
        <v>4137</v>
      </c>
      <c r="F271" s="65" t="s">
        <v>4367</v>
      </c>
      <c r="G271" s="65" t="s">
        <v>70</v>
      </c>
      <c r="H271" s="65" t="s">
        <v>4372</v>
      </c>
      <c r="I271" s="65" t="s">
        <v>4373</v>
      </c>
      <c r="J271" s="65" t="s">
        <v>1181</v>
      </c>
      <c r="K271" s="75" t="s">
        <v>2684</v>
      </c>
      <c r="L271" s="65" t="s">
        <v>2686</v>
      </c>
      <c r="M271" s="70" t="s">
        <v>1098</v>
      </c>
      <c r="N271" s="70" t="s">
        <v>1108</v>
      </c>
      <c r="O271" s="75" t="s">
        <v>2018</v>
      </c>
      <c r="P271" s="239" t="s">
        <v>1161</v>
      </c>
      <c r="Q271" s="71" t="b">
        <v>1</v>
      </c>
      <c r="R271" s="75" t="s">
        <v>4374</v>
      </c>
      <c r="S271" s="75" t="s">
        <v>4375</v>
      </c>
      <c r="T271" s="239" t="s">
        <v>1843</v>
      </c>
      <c r="U271" s="81" t="s">
        <v>3371</v>
      </c>
      <c r="V271" s="239" t="s">
        <v>1161</v>
      </c>
      <c r="W271" s="440"/>
      <c r="X271" s="441" t="s">
        <v>3314</v>
      </c>
      <c r="Y271" s="60"/>
    </row>
    <row r="272" ht="22.5" customHeight="1">
      <c r="A272" s="239" t="s">
        <v>1445</v>
      </c>
      <c r="B272" s="65" t="s">
        <v>1212</v>
      </c>
      <c r="C272" s="65" t="s">
        <v>4376</v>
      </c>
      <c r="D272" s="75" t="s">
        <v>4377</v>
      </c>
      <c r="E272" s="65" t="s">
        <v>4378</v>
      </c>
      <c r="F272" s="65" t="s">
        <v>4379</v>
      </c>
      <c r="G272" s="65" t="s">
        <v>695</v>
      </c>
      <c r="H272" s="65" t="s">
        <v>4380</v>
      </c>
      <c r="I272" s="65" t="s">
        <v>4381</v>
      </c>
      <c r="J272" s="65" t="s">
        <v>4382</v>
      </c>
      <c r="K272" s="75" t="s">
        <v>2684</v>
      </c>
      <c r="L272" s="65" t="s">
        <v>2686</v>
      </c>
      <c r="M272" s="70" t="s">
        <v>1098</v>
      </c>
      <c r="N272" s="70" t="s">
        <v>1108</v>
      </c>
      <c r="O272" s="437" t="s">
        <v>1430</v>
      </c>
      <c r="P272" s="70" t="s">
        <v>1161</v>
      </c>
      <c r="Q272" s="71" t="b">
        <v>1</v>
      </c>
      <c r="R272" s="75" t="s">
        <v>4383</v>
      </c>
      <c r="S272" s="75" t="s">
        <v>3593</v>
      </c>
      <c r="T272" s="239" t="s">
        <v>1843</v>
      </c>
      <c r="U272" s="47" t="s">
        <v>3371</v>
      </c>
      <c r="V272" s="70"/>
      <c r="W272" s="516"/>
      <c r="X272" s="511"/>
      <c r="Y272" s="515"/>
    </row>
    <row r="273" ht="22.5" customHeight="1">
      <c r="A273" s="239" t="s">
        <v>1435</v>
      </c>
      <c r="B273" s="65" t="s">
        <v>1212</v>
      </c>
      <c r="C273" s="65" t="s">
        <v>4384</v>
      </c>
      <c r="D273" s="75" t="s">
        <v>4385</v>
      </c>
      <c r="E273" s="65" t="s">
        <v>4386</v>
      </c>
      <c r="F273" s="65" t="s">
        <v>4387</v>
      </c>
      <c r="G273" s="65" t="s">
        <v>560</v>
      </c>
      <c r="H273" s="75" t="s">
        <v>4388</v>
      </c>
      <c r="I273" s="65" t="s">
        <v>4389</v>
      </c>
      <c r="J273" s="75" t="s">
        <v>4390</v>
      </c>
      <c r="K273" s="75" t="s">
        <v>2684</v>
      </c>
      <c r="L273" s="65" t="s">
        <v>2686</v>
      </c>
      <c r="M273" s="70" t="s">
        <v>1098</v>
      </c>
      <c r="N273" s="70" t="s">
        <v>1108</v>
      </c>
      <c r="O273" s="75" t="s">
        <v>3864</v>
      </c>
      <c r="P273" s="239" t="s">
        <v>3645</v>
      </c>
      <c r="Q273" s="71" t="b">
        <v>0</v>
      </c>
      <c r="R273" s="75" t="s">
        <v>3650</v>
      </c>
      <c r="S273" s="75" t="s">
        <v>4391</v>
      </c>
      <c r="T273" s="239" t="s">
        <v>1843</v>
      </c>
      <c r="U273" s="47" t="s">
        <v>3455</v>
      </c>
      <c r="V273" s="70"/>
      <c r="W273" s="462" t="s">
        <v>3413</v>
      </c>
      <c r="X273" s="511"/>
      <c r="Y273" s="515"/>
    </row>
    <row r="274" ht="22.5" customHeight="1">
      <c r="A274" s="239" t="s">
        <v>1445</v>
      </c>
      <c r="B274" s="65" t="s">
        <v>4392</v>
      </c>
      <c r="C274" s="65" t="s">
        <v>4393</v>
      </c>
      <c r="D274" s="75" t="s">
        <v>4394</v>
      </c>
      <c r="E274" s="65" t="s">
        <v>4395</v>
      </c>
      <c r="F274" s="65" t="s">
        <v>4396</v>
      </c>
      <c r="G274" s="65" t="s">
        <v>2618</v>
      </c>
      <c r="H274" s="75" t="s">
        <v>4397</v>
      </c>
      <c r="I274" s="65" t="s">
        <v>4398</v>
      </c>
      <c r="J274" s="65" t="s">
        <v>4399</v>
      </c>
      <c r="K274" s="75" t="s">
        <v>2684</v>
      </c>
      <c r="L274" s="65" t="s">
        <v>2686</v>
      </c>
      <c r="M274" s="70" t="s">
        <v>1098</v>
      </c>
      <c r="N274" s="70" t="s">
        <v>1108</v>
      </c>
      <c r="O274" s="75" t="s">
        <v>3170</v>
      </c>
      <c r="P274" s="70" t="s">
        <v>1161</v>
      </c>
      <c r="Q274" s="71" t="b">
        <v>1</v>
      </c>
      <c r="R274" s="532" t="s">
        <v>4400</v>
      </c>
      <c r="S274" s="75" t="s">
        <v>3436</v>
      </c>
      <c r="T274" s="239" t="s">
        <v>1961</v>
      </c>
      <c r="U274" s="67" t="s">
        <v>3371</v>
      </c>
      <c r="V274" s="239" t="s">
        <v>1161</v>
      </c>
      <c r="W274" s="440"/>
      <c r="X274" s="441" t="s">
        <v>3314</v>
      </c>
      <c r="Y274" s="60"/>
    </row>
    <row r="275" ht="22.5" customHeight="1">
      <c r="A275" s="519" t="s">
        <v>1445</v>
      </c>
      <c r="B275" s="75" t="s">
        <v>4392</v>
      </c>
      <c r="C275" s="65" t="s">
        <v>4401</v>
      </c>
      <c r="D275" s="75" t="s">
        <v>4402</v>
      </c>
      <c r="E275" s="65" t="s">
        <v>4403</v>
      </c>
      <c r="F275" s="65" t="s">
        <v>4404</v>
      </c>
      <c r="G275" s="65" t="s">
        <v>70</v>
      </c>
      <c r="H275" s="75" t="s">
        <v>4405</v>
      </c>
      <c r="I275" s="65" t="s">
        <v>4406</v>
      </c>
      <c r="J275" s="65" t="s">
        <v>4407</v>
      </c>
      <c r="K275" s="75" t="s">
        <v>2684</v>
      </c>
      <c r="L275" s="65" t="s">
        <v>2686</v>
      </c>
      <c r="M275" s="70" t="s">
        <v>1098</v>
      </c>
      <c r="N275" s="70" t="s">
        <v>1108</v>
      </c>
      <c r="O275" s="75" t="s">
        <v>2018</v>
      </c>
      <c r="P275" s="239" t="s">
        <v>1161</v>
      </c>
      <c r="Q275" s="71" t="b">
        <v>1</v>
      </c>
      <c r="R275" s="75" t="s">
        <v>4408</v>
      </c>
      <c r="S275" s="75" t="s">
        <v>3436</v>
      </c>
      <c r="T275" s="239" t="s">
        <v>1961</v>
      </c>
      <c r="U275" s="81" t="s">
        <v>3750</v>
      </c>
      <c r="V275" s="70"/>
      <c r="W275" s="462" t="s">
        <v>3413</v>
      </c>
      <c r="X275" s="511"/>
      <c r="Y275" s="515"/>
    </row>
    <row r="276" ht="21.0" customHeight="1">
      <c r="A276" s="239" t="s">
        <v>1445</v>
      </c>
      <c r="B276" s="65" t="s">
        <v>1212</v>
      </c>
      <c r="C276" s="65" t="s">
        <v>4409</v>
      </c>
      <c r="D276" s="75" t="s">
        <v>228</v>
      </c>
      <c r="E276" s="65" t="s">
        <v>4137</v>
      </c>
      <c r="F276" s="65" t="s">
        <v>4138</v>
      </c>
      <c r="G276" s="65" t="s">
        <v>70</v>
      </c>
      <c r="H276" s="75" t="s">
        <v>4410</v>
      </c>
      <c r="I276" s="65" t="s">
        <v>4411</v>
      </c>
      <c r="J276" s="65" t="s">
        <v>245</v>
      </c>
      <c r="K276" s="75" t="s">
        <v>2684</v>
      </c>
      <c r="L276" s="65" t="s">
        <v>2686</v>
      </c>
      <c r="M276" s="70" t="s">
        <v>1098</v>
      </c>
      <c r="N276" s="70" t="s">
        <v>1108</v>
      </c>
      <c r="O276" s="75" t="s">
        <v>1430</v>
      </c>
      <c r="P276" s="239" t="s">
        <v>1161</v>
      </c>
      <c r="Q276" s="71" t="b">
        <v>1</v>
      </c>
      <c r="R276" s="539" t="s">
        <v>4412</v>
      </c>
      <c r="S276" s="75" t="s">
        <v>4413</v>
      </c>
      <c r="T276" s="239" t="s">
        <v>1843</v>
      </c>
      <c r="U276" s="47" t="s">
        <v>3750</v>
      </c>
      <c r="V276" s="70"/>
      <c r="W276" s="516" t="s">
        <v>3413</v>
      </c>
      <c r="X276" s="511"/>
      <c r="Y276" s="515"/>
    </row>
    <row r="277" ht="18.75" customHeight="1">
      <c r="A277" s="239" t="s">
        <v>1445</v>
      </c>
      <c r="B277" s="65" t="s">
        <v>1212</v>
      </c>
      <c r="C277" s="65" t="s">
        <v>4414</v>
      </c>
      <c r="D277" s="75" t="s">
        <v>228</v>
      </c>
      <c r="E277" s="65" t="s">
        <v>4137</v>
      </c>
      <c r="F277" s="65" t="s">
        <v>4138</v>
      </c>
      <c r="G277" s="65" t="s">
        <v>70</v>
      </c>
      <c r="H277" s="65" t="s">
        <v>4415</v>
      </c>
      <c r="I277" s="65" t="s">
        <v>4416</v>
      </c>
      <c r="J277" s="75" t="s">
        <v>935</v>
      </c>
      <c r="K277" s="75" t="s">
        <v>2684</v>
      </c>
      <c r="L277" s="65" t="s">
        <v>2686</v>
      </c>
      <c r="M277" s="70" t="s">
        <v>1098</v>
      </c>
      <c r="N277" s="70" t="s">
        <v>1108</v>
      </c>
      <c r="O277" s="75" t="s">
        <v>2018</v>
      </c>
      <c r="P277" s="70" t="s">
        <v>1161</v>
      </c>
      <c r="Q277" s="71" t="b">
        <v>1</v>
      </c>
      <c r="R277" s="75" t="s">
        <v>4417</v>
      </c>
      <c r="S277" s="65" t="s">
        <v>3955</v>
      </c>
      <c r="T277" s="239" t="s">
        <v>1843</v>
      </c>
      <c r="U277" s="81" t="s">
        <v>3371</v>
      </c>
      <c r="V277" s="239" t="s">
        <v>1161</v>
      </c>
      <c r="W277" s="511"/>
      <c r="X277" s="511"/>
      <c r="Y277" s="515"/>
    </row>
    <row r="278" ht="22.5" customHeight="1">
      <c r="A278" s="47" t="s">
        <v>1445</v>
      </c>
      <c r="B278" s="65" t="s">
        <v>3181</v>
      </c>
      <c r="C278" s="65" t="s">
        <v>4418</v>
      </c>
      <c r="D278" s="75" t="s">
        <v>4356</v>
      </c>
      <c r="E278" s="65"/>
      <c r="F278" s="65" t="s">
        <v>3163</v>
      </c>
      <c r="G278" s="65" t="s">
        <v>278</v>
      </c>
      <c r="H278" s="75" t="s">
        <v>4419</v>
      </c>
      <c r="I278" s="65" t="s">
        <v>4302</v>
      </c>
      <c r="J278" s="65" t="s">
        <v>4420</v>
      </c>
      <c r="K278" s="75" t="s">
        <v>2684</v>
      </c>
      <c r="L278" s="65" t="s">
        <v>2686</v>
      </c>
      <c r="M278" s="70" t="s">
        <v>1098</v>
      </c>
      <c r="N278" s="70" t="s">
        <v>1108</v>
      </c>
      <c r="O278" s="75" t="s">
        <v>3170</v>
      </c>
      <c r="P278" s="239" t="s">
        <v>2019</v>
      </c>
      <c r="Q278" s="71" t="b">
        <v>1</v>
      </c>
      <c r="R278" s="75" t="s">
        <v>4304</v>
      </c>
      <c r="S278" s="75" t="s">
        <v>3922</v>
      </c>
      <c r="T278" s="239" t="s">
        <v>1843</v>
      </c>
      <c r="U278" s="47" t="s">
        <v>3371</v>
      </c>
      <c r="V278" s="70"/>
      <c r="W278" s="511"/>
      <c r="X278" s="511"/>
      <c r="Y278" s="515"/>
    </row>
    <row r="279" ht="22.5" customHeight="1">
      <c r="A279" s="239" t="s">
        <v>1000</v>
      </c>
      <c r="B279" s="65" t="s">
        <v>1391</v>
      </c>
      <c r="C279" s="65" t="s">
        <v>4421</v>
      </c>
      <c r="D279" s="75" t="s">
        <v>4422</v>
      </c>
      <c r="E279" s="65" t="s">
        <v>4423</v>
      </c>
      <c r="F279" s="65" t="s">
        <v>4424</v>
      </c>
      <c r="G279" s="65" t="s">
        <v>70</v>
      </c>
      <c r="H279" s="65" t="s">
        <v>4425</v>
      </c>
      <c r="I279" s="65" t="s">
        <v>4426</v>
      </c>
      <c r="J279" s="65" t="s">
        <v>4427</v>
      </c>
      <c r="K279" s="75" t="s">
        <v>2684</v>
      </c>
      <c r="L279" s="65" t="s">
        <v>2686</v>
      </c>
      <c r="M279" s="70" t="s">
        <v>1098</v>
      </c>
      <c r="N279" s="70" t="s">
        <v>1108</v>
      </c>
      <c r="O279" s="75" t="s">
        <v>3722</v>
      </c>
      <c r="P279" s="239" t="s">
        <v>1161</v>
      </c>
      <c r="Q279" s="71" t="b">
        <v>1</v>
      </c>
      <c r="R279" s="75" t="s">
        <v>4428</v>
      </c>
      <c r="S279" s="95" t="s">
        <v>4429</v>
      </c>
      <c r="T279" s="239" t="s">
        <v>1843</v>
      </c>
      <c r="U279" s="47" t="s">
        <v>1161</v>
      </c>
      <c r="V279" s="70"/>
      <c r="W279" s="511"/>
      <c r="X279" s="511"/>
      <c r="Y279" s="515"/>
    </row>
    <row r="280" ht="22.5" customHeight="1">
      <c r="A280" s="239" t="s">
        <v>1445</v>
      </c>
      <c r="B280" s="65" t="s">
        <v>219</v>
      </c>
      <c r="C280" s="65" t="s">
        <v>4430</v>
      </c>
      <c r="D280" s="75" t="s">
        <v>4431</v>
      </c>
      <c r="E280" s="65" t="s">
        <v>4432</v>
      </c>
      <c r="F280" s="65" t="s">
        <v>4433</v>
      </c>
      <c r="G280" s="65" t="s">
        <v>3927</v>
      </c>
      <c r="H280" s="65" t="s">
        <v>4434</v>
      </c>
      <c r="I280" s="65" t="s">
        <v>4435</v>
      </c>
      <c r="J280" s="65" t="s">
        <v>4436</v>
      </c>
      <c r="K280" s="75" t="s">
        <v>2684</v>
      </c>
      <c r="L280" s="65" t="s">
        <v>2686</v>
      </c>
      <c r="M280" s="70" t="s">
        <v>1098</v>
      </c>
      <c r="N280" s="70" t="s">
        <v>1108</v>
      </c>
      <c r="O280" s="75" t="s">
        <v>3670</v>
      </c>
      <c r="P280" s="239" t="s">
        <v>1161</v>
      </c>
      <c r="Q280" s="71" t="b">
        <v>1</v>
      </c>
      <c r="R280" s="75" t="s">
        <v>4437</v>
      </c>
      <c r="S280" s="75" t="s">
        <v>4005</v>
      </c>
      <c r="T280" s="239" t="s">
        <v>1843</v>
      </c>
      <c r="U280" s="47" t="s">
        <v>3371</v>
      </c>
      <c r="V280" s="239" t="s">
        <v>1161</v>
      </c>
      <c r="W280" s="440"/>
      <c r="X280" s="441" t="s">
        <v>3314</v>
      </c>
      <c r="Y280" s="60"/>
    </row>
    <row r="281" ht="22.5" customHeight="1">
      <c r="A281" s="239" t="s">
        <v>1445</v>
      </c>
      <c r="B281" s="65" t="s">
        <v>219</v>
      </c>
      <c r="C281" s="65" t="s">
        <v>4438</v>
      </c>
      <c r="D281" s="75" t="s">
        <v>4439</v>
      </c>
      <c r="E281" s="65" t="s">
        <v>4440</v>
      </c>
      <c r="F281" s="65" t="s">
        <v>4441</v>
      </c>
      <c r="G281" s="65" t="s">
        <v>4442</v>
      </c>
      <c r="H281" s="65" t="s">
        <v>4443</v>
      </c>
      <c r="I281" s="65" t="s">
        <v>4444</v>
      </c>
      <c r="J281" s="65" t="s">
        <v>4445</v>
      </c>
      <c r="K281" s="75" t="s">
        <v>2684</v>
      </c>
      <c r="L281" s="65" t="s">
        <v>2686</v>
      </c>
      <c r="M281" s="70" t="s">
        <v>1098</v>
      </c>
      <c r="N281" s="70" t="s">
        <v>1108</v>
      </c>
      <c r="O281" s="75" t="s">
        <v>3170</v>
      </c>
      <c r="P281" s="239" t="s">
        <v>1161</v>
      </c>
      <c r="Q281" s="71" t="b">
        <v>1</v>
      </c>
      <c r="R281" s="65" t="s">
        <v>4446</v>
      </c>
      <c r="S281" s="95" t="s">
        <v>4447</v>
      </c>
      <c r="T281" s="239" t="s">
        <v>1843</v>
      </c>
      <c r="U281" s="47" t="s">
        <v>3371</v>
      </c>
      <c r="V281" s="70"/>
      <c r="W281" s="440"/>
      <c r="X281" s="441" t="s">
        <v>3314</v>
      </c>
      <c r="Y281" s="60"/>
    </row>
    <row r="282" ht="22.5" customHeight="1">
      <c r="A282" s="519" t="s">
        <v>1445</v>
      </c>
      <c r="B282" s="65" t="s">
        <v>1311</v>
      </c>
      <c r="C282" s="65" t="s">
        <v>4448</v>
      </c>
      <c r="D282" s="75" t="s">
        <v>1318</v>
      </c>
      <c r="E282" s="65" t="s">
        <v>4449</v>
      </c>
      <c r="F282" s="65" t="s">
        <v>4450</v>
      </c>
      <c r="G282" s="65" t="s">
        <v>620</v>
      </c>
      <c r="H282" s="65" t="s">
        <v>4451</v>
      </c>
      <c r="I282" s="65" t="s">
        <v>4452</v>
      </c>
      <c r="J282" s="75" t="s">
        <v>1321</v>
      </c>
      <c r="K282" s="65" t="s">
        <v>1566</v>
      </c>
      <c r="L282" s="65" t="s">
        <v>4453</v>
      </c>
      <c r="M282" s="70" t="s">
        <v>1098</v>
      </c>
      <c r="N282" s="70" t="s">
        <v>1108</v>
      </c>
      <c r="O282" s="75" t="s">
        <v>4454</v>
      </c>
      <c r="P282" s="239" t="s">
        <v>1161</v>
      </c>
      <c r="Q282" s="71" t="b">
        <v>1</v>
      </c>
      <c r="R282" s="65" t="s">
        <v>4455</v>
      </c>
      <c r="S282" s="75" t="s">
        <v>4456</v>
      </c>
      <c r="T282" s="239" t="s">
        <v>1961</v>
      </c>
      <c r="U282" s="534" t="s">
        <v>3750</v>
      </c>
      <c r="V282" s="70"/>
      <c r="W282" s="462" t="s">
        <v>3321</v>
      </c>
      <c r="X282" s="511"/>
      <c r="Y282" s="515"/>
    </row>
    <row r="283" ht="17.25" customHeight="1">
      <c r="A283" s="67" t="s">
        <v>1445</v>
      </c>
      <c r="B283" s="65" t="s">
        <v>1311</v>
      </c>
      <c r="C283" s="65" t="s">
        <v>4457</v>
      </c>
      <c r="D283" s="75" t="s">
        <v>4458</v>
      </c>
      <c r="E283" s="65" t="s">
        <v>4459</v>
      </c>
      <c r="F283" s="65" t="s">
        <v>4460</v>
      </c>
      <c r="G283" s="65" t="s">
        <v>3927</v>
      </c>
      <c r="H283" s="65" t="s">
        <v>4461</v>
      </c>
      <c r="I283" s="65" t="s">
        <v>4462</v>
      </c>
      <c r="J283" s="65" t="s">
        <v>4463</v>
      </c>
      <c r="K283" s="75" t="s">
        <v>2684</v>
      </c>
      <c r="L283" s="65" t="s">
        <v>2686</v>
      </c>
      <c r="M283" s="70" t="s">
        <v>1098</v>
      </c>
      <c r="N283" s="70" t="s">
        <v>1108</v>
      </c>
      <c r="O283" s="75" t="s">
        <v>3670</v>
      </c>
      <c r="P283" s="70" t="s">
        <v>1161</v>
      </c>
      <c r="Q283" s="71" t="b">
        <v>1</v>
      </c>
      <c r="R283" s="95" t="s">
        <v>4464</v>
      </c>
      <c r="S283" s="75" t="s">
        <v>3833</v>
      </c>
      <c r="T283" s="239" t="s">
        <v>1961</v>
      </c>
      <c r="U283" s="47" t="s">
        <v>3371</v>
      </c>
      <c r="V283" s="70"/>
      <c r="W283" s="516"/>
      <c r="X283" s="511"/>
      <c r="Y283" s="515"/>
    </row>
    <row r="284" ht="22.5" customHeight="1">
      <c r="A284" s="70" t="s">
        <v>1445</v>
      </c>
      <c r="B284" s="65" t="s">
        <v>1212</v>
      </c>
      <c r="C284" s="65" t="s">
        <v>4465</v>
      </c>
      <c r="D284" s="75" t="s">
        <v>4466</v>
      </c>
      <c r="E284" s="65" t="s">
        <v>4467</v>
      </c>
      <c r="F284" s="65" t="s">
        <v>4468</v>
      </c>
      <c r="G284" s="65" t="s">
        <v>695</v>
      </c>
      <c r="H284" s="65" t="s">
        <v>4469</v>
      </c>
      <c r="I284" s="65" t="s">
        <v>4470</v>
      </c>
      <c r="J284" s="75" t="s">
        <v>4471</v>
      </c>
      <c r="K284" s="75" t="s">
        <v>2684</v>
      </c>
      <c r="L284" s="65" t="s">
        <v>2686</v>
      </c>
      <c r="M284" s="70" t="s">
        <v>3324</v>
      </c>
      <c r="N284" s="70" t="s">
        <v>1108</v>
      </c>
      <c r="O284" s="437" t="s">
        <v>1430</v>
      </c>
      <c r="P284" s="239" t="s">
        <v>1161</v>
      </c>
      <c r="Q284" s="71" t="b">
        <v>1</v>
      </c>
      <c r="R284" s="75" t="s">
        <v>4472</v>
      </c>
      <c r="S284" s="75" t="s">
        <v>4473</v>
      </c>
      <c r="T284" s="239" t="s">
        <v>1961</v>
      </c>
      <c r="U284" s="47" t="s">
        <v>3371</v>
      </c>
      <c r="V284" s="239" t="s">
        <v>1161</v>
      </c>
      <c r="W284" s="440"/>
      <c r="X284" s="441" t="s">
        <v>3314</v>
      </c>
      <c r="Y284" s="60"/>
    </row>
    <row r="285" ht="22.5" customHeight="1">
      <c r="A285" s="239" t="s">
        <v>1445</v>
      </c>
      <c r="B285" s="65" t="s">
        <v>1311</v>
      </c>
      <c r="C285" s="65" t="s">
        <v>4474</v>
      </c>
      <c r="D285" s="75" t="s">
        <v>1318</v>
      </c>
      <c r="E285" s="65" t="s">
        <v>4449</v>
      </c>
      <c r="F285" s="65" t="s">
        <v>4450</v>
      </c>
      <c r="G285" s="65" t="s">
        <v>620</v>
      </c>
      <c r="H285" s="65" t="s">
        <v>4451</v>
      </c>
      <c r="I285" s="65" t="s">
        <v>4452</v>
      </c>
      <c r="J285" s="65" t="s">
        <v>4475</v>
      </c>
      <c r="K285" s="75" t="s">
        <v>2684</v>
      </c>
      <c r="L285" s="65" t="s">
        <v>2686</v>
      </c>
      <c r="M285" s="70" t="s">
        <v>1098</v>
      </c>
      <c r="N285" s="70" t="s">
        <v>1108</v>
      </c>
      <c r="O285" s="75" t="s">
        <v>4454</v>
      </c>
      <c r="P285" s="70" t="s">
        <v>1161</v>
      </c>
      <c r="Q285" s="71" t="b">
        <v>1</v>
      </c>
      <c r="R285" s="65" t="s">
        <v>4476</v>
      </c>
      <c r="S285" s="75" t="s">
        <v>4477</v>
      </c>
      <c r="T285" s="239" t="s">
        <v>1961</v>
      </c>
      <c r="U285" s="540" t="s">
        <v>3455</v>
      </c>
      <c r="V285" s="239" t="s">
        <v>1161</v>
      </c>
      <c r="W285" s="462" t="s">
        <v>3413</v>
      </c>
      <c r="X285" s="511"/>
      <c r="Y285" s="515"/>
    </row>
    <row r="286" ht="22.5" customHeight="1">
      <c r="A286" s="469" t="s">
        <v>1445</v>
      </c>
      <c r="B286" s="437" t="s">
        <v>3956</v>
      </c>
      <c r="C286" s="437" t="s">
        <v>4478</v>
      </c>
      <c r="D286" s="75" t="s">
        <v>4479</v>
      </c>
      <c r="E286" s="437" t="s">
        <v>4480</v>
      </c>
      <c r="F286" s="437" t="s">
        <v>4481</v>
      </c>
      <c r="G286" s="437" t="s">
        <v>695</v>
      </c>
      <c r="H286" s="437" t="s">
        <v>4482</v>
      </c>
      <c r="I286" s="437" t="s">
        <v>4483</v>
      </c>
      <c r="J286" s="65" t="s">
        <v>4484</v>
      </c>
      <c r="K286" s="75" t="s">
        <v>2684</v>
      </c>
      <c r="L286" s="437" t="s">
        <v>2686</v>
      </c>
      <c r="M286" s="469" t="s">
        <v>3324</v>
      </c>
      <c r="N286" s="469" t="s">
        <v>1108</v>
      </c>
      <c r="O286" s="437" t="s">
        <v>2018</v>
      </c>
      <c r="P286" s="70" t="s">
        <v>1161</v>
      </c>
      <c r="Q286" s="71" t="b">
        <v>1</v>
      </c>
      <c r="R286" s="75" t="s">
        <v>4485</v>
      </c>
      <c r="S286" s="75" t="s">
        <v>4486</v>
      </c>
      <c r="T286" s="469" t="s">
        <v>1843</v>
      </c>
      <c r="U286" s="47" t="s">
        <v>3371</v>
      </c>
      <c r="V286" s="239" t="s">
        <v>1161</v>
      </c>
      <c r="W286" s="440"/>
      <c r="X286" s="441" t="s">
        <v>3314</v>
      </c>
      <c r="Y286" s="60"/>
    </row>
    <row r="287" ht="22.5" customHeight="1">
      <c r="A287" s="70" t="s">
        <v>1445</v>
      </c>
      <c r="B287" s="75" t="s">
        <v>1311</v>
      </c>
      <c r="C287" s="75" t="s">
        <v>4487</v>
      </c>
      <c r="D287" s="75" t="s">
        <v>4488</v>
      </c>
      <c r="E287" s="75" t="s">
        <v>4489</v>
      </c>
      <c r="F287" s="75" t="s">
        <v>4490</v>
      </c>
      <c r="G287" s="75" t="s">
        <v>2185</v>
      </c>
      <c r="H287" s="75" t="s">
        <v>4491</v>
      </c>
      <c r="I287" s="75" t="s">
        <v>4492</v>
      </c>
      <c r="J287" s="75" t="s">
        <v>4493</v>
      </c>
      <c r="K287" s="75" t="s">
        <v>2684</v>
      </c>
      <c r="L287" s="75" t="s">
        <v>2686</v>
      </c>
      <c r="M287" s="70" t="s">
        <v>1098</v>
      </c>
      <c r="N287" s="70" t="s">
        <v>1108</v>
      </c>
      <c r="O287" s="75" t="s">
        <v>4327</v>
      </c>
      <c r="P287" s="70" t="s">
        <v>1161</v>
      </c>
      <c r="Q287" s="71" t="b">
        <v>0</v>
      </c>
      <c r="R287" s="75" t="s">
        <v>4494</v>
      </c>
      <c r="S287" s="541" t="s">
        <v>4495</v>
      </c>
      <c r="T287" s="239" t="s">
        <v>1961</v>
      </c>
      <c r="U287" s="67" t="s">
        <v>3371</v>
      </c>
      <c r="V287" s="239" t="s">
        <v>1161</v>
      </c>
      <c r="W287" s="440"/>
      <c r="X287" s="441" t="s">
        <v>3314</v>
      </c>
      <c r="Y287" s="60"/>
    </row>
    <row r="288" ht="22.5" customHeight="1">
      <c r="A288" s="70" t="s">
        <v>1445</v>
      </c>
      <c r="B288" s="75" t="s">
        <v>1212</v>
      </c>
      <c r="C288" s="75" t="s">
        <v>4496</v>
      </c>
      <c r="D288" s="75" t="s">
        <v>321</v>
      </c>
      <c r="E288" s="75" t="s">
        <v>4467</v>
      </c>
      <c r="F288" s="75" t="s">
        <v>4497</v>
      </c>
      <c r="G288" s="75" t="s">
        <v>70</v>
      </c>
      <c r="H288" s="75" t="s">
        <v>4498</v>
      </c>
      <c r="I288" s="75" t="s">
        <v>4499</v>
      </c>
      <c r="J288" s="75" t="s">
        <v>333</v>
      </c>
      <c r="K288" s="75" t="s">
        <v>2684</v>
      </c>
      <c r="L288" s="75" t="s">
        <v>2686</v>
      </c>
      <c r="M288" s="70" t="s">
        <v>1098</v>
      </c>
      <c r="N288" s="70" t="s">
        <v>1108</v>
      </c>
      <c r="O288" s="75" t="s">
        <v>2018</v>
      </c>
      <c r="P288" s="70" t="s">
        <v>1161</v>
      </c>
      <c r="Q288" s="71" t="b">
        <v>1</v>
      </c>
      <c r="R288" s="75" t="s">
        <v>4500</v>
      </c>
      <c r="S288" s="75" t="s">
        <v>3905</v>
      </c>
      <c r="T288" s="70" t="s">
        <v>1843</v>
      </c>
      <c r="U288" s="67" t="s">
        <v>3750</v>
      </c>
      <c r="V288" s="70"/>
      <c r="W288" s="511"/>
      <c r="X288" s="511"/>
      <c r="Y288" s="515"/>
    </row>
    <row r="289" ht="22.5" customHeight="1">
      <c r="A289" s="70" t="s">
        <v>1445</v>
      </c>
      <c r="B289" s="75" t="s">
        <v>1212</v>
      </c>
      <c r="C289" s="75" t="s">
        <v>4501</v>
      </c>
      <c r="D289" s="75" t="s">
        <v>807</v>
      </c>
      <c r="E289" s="75" t="s">
        <v>4502</v>
      </c>
      <c r="F289" s="75" t="s">
        <v>4503</v>
      </c>
      <c r="G289" s="75" t="s">
        <v>3927</v>
      </c>
      <c r="H289" s="75" t="s">
        <v>4504</v>
      </c>
      <c r="I289" s="75" t="s">
        <v>4505</v>
      </c>
      <c r="J289" s="542" t="s">
        <v>826</v>
      </c>
      <c r="K289" s="75" t="s">
        <v>2684</v>
      </c>
      <c r="L289" s="75" t="s">
        <v>2686</v>
      </c>
      <c r="M289" s="70" t="s">
        <v>1098</v>
      </c>
      <c r="N289" s="70" t="s">
        <v>1108</v>
      </c>
      <c r="O289" s="75" t="s">
        <v>4327</v>
      </c>
      <c r="P289" s="70" t="s">
        <v>1161</v>
      </c>
      <c r="Q289" s="71" t="b">
        <v>1</v>
      </c>
      <c r="R289" s="75" t="s">
        <v>4506</v>
      </c>
      <c r="S289" s="75" t="s">
        <v>4507</v>
      </c>
      <c r="T289" s="70" t="s">
        <v>1961</v>
      </c>
      <c r="U289" s="67" t="s">
        <v>3371</v>
      </c>
      <c r="V289" s="239" t="s">
        <v>1161</v>
      </c>
      <c r="W289" s="440"/>
      <c r="X289" s="441" t="s">
        <v>3314</v>
      </c>
      <c r="Y289" s="60"/>
    </row>
    <row r="290" ht="22.5" customHeight="1">
      <c r="A290" s="70" t="s">
        <v>1445</v>
      </c>
      <c r="B290" s="75" t="s">
        <v>219</v>
      </c>
      <c r="C290" s="65" t="s">
        <v>4508</v>
      </c>
      <c r="D290" s="65" t="s">
        <v>4509</v>
      </c>
      <c r="E290" s="65" t="s">
        <v>4510</v>
      </c>
      <c r="F290" s="65" t="s">
        <v>4511</v>
      </c>
      <c r="G290" s="75" t="s">
        <v>663</v>
      </c>
      <c r="H290" s="65" t="s">
        <v>4512</v>
      </c>
      <c r="I290" s="65" t="s">
        <v>4513</v>
      </c>
      <c r="J290" s="65" t="s">
        <v>4514</v>
      </c>
      <c r="K290" s="75" t="s">
        <v>2684</v>
      </c>
      <c r="L290" s="75" t="s">
        <v>3998</v>
      </c>
      <c r="M290" s="70" t="s">
        <v>1098</v>
      </c>
      <c r="N290" s="70" t="s">
        <v>1108</v>
      </c>
      <c r="O290" s="75" t="s">
        <v>2018</v>
      </c>
      <c r="P290" s="70" t="s">
        <v>1161</v>
      </c>
      <c r="Q290" s="71" t="b">
        <v>1</v>
      </c>
      <c r="R290" s="75" t="s">
        <v>4515</v>
      </c>
      <c r="S290" s="75" t="s">
        <v>3436</v>
      </c>
      <c r="T290" s="70" t="s">
        <v>1961</v>
      </c>
      <c r="U290" s="67" t="s">
        <v>3371</v>
      </c>
      <c r="V290" s="239" t="s">
        <v>1161</v>
      </c>
      <c r="W290" s="440"/>
      <c r="X290" s="441" t="s">
        <v>3314</v>
      </c>
      <c r="Y290" s="60"/>
    </row>
    <row r="291" ht="22.5" customHeight="1">
      <c r="A291" s="70" t="s">
        <v>1445</v>
      </c>
      <c r="B291" s="75" t="s">
        <v>2542</v>
      </c>
      <c r="C291" s="75" t="s">
        <v>4516</v>
      </c>
      <c r="D291" s="75" t="s">
        <v>4517</v>
      </c>
      <c r="E291" s="65" t="s">
        <v>4518</v>
      </c>
      <c r="F291" s="65" t="s">
        <v>4519</v>
      </c>
      <c r="G291" s="75" t="s">
        <v>70</v>
      </c>
      <c r="H291" s="65" t="s">
        <v>4520</v>
      </c>
      <c r="I291" s="65" t="s">
        <v>4521</v>
      </c>
      <c r="J291" s="65" t="s">
        <v>4522</v>
      </c>
      <c r="K291" s="75" t="s">
        <v>2684</v>
      </c>
      <c r="L291" s="75" t="s">
        <v>2686</v>
      </c>
      <c r="M291" s="70" t="s">
        <v>1098</v>
      </c>
      <c r="N291" s="70" t="s">
        <v>1108</v>
      </c>
      <c r="O291" s="75" t="s">
        <v>3947</v>
      </c>
      <c r="P291" s="70" t="s">
        <v>1161</v>
      </c>
      <c r="Q291" s="71" t="b">
        <v>1</v>
      </c>
      <c r="R291" s="75" t="s">
        <v>4523</v>
      </c>
      <c r="S291" s="75" t="s">
        <v>3428</v>
      </c>
      <c r="T291" s="70" t="s">
        <v>1961</v>
      </c>
      <c r="U291" s="81" t="s">
        <v>3371</v>
      </c>
      <c r="V291" s="70"/>
      <c r="W291" s="462" t="s">
        <v>3321</v>
      </c>
      <c r="X291" s="511"/>
      <c r="Y291" s="515"/>
    </row>
    <row r="292" ht="22.5" customHeight="1">
      <c r="A292" s="70" t="s">
        <v>1000</v>
      </c>
      <c r="B292" s="75" t="s">
        <v>219</v>
      </c>
      <c r="C292" s="65" t="s">
        <v>4524</v>
      </c>
      <c r="D292" s="75" t="s">
        <v>4525</v>
      </c>
      <c r="E292" s="65" t="s">
        <v>4526</v>
      </c>
      <c r="F292" s="65" t="s">
        <v>4527</v>
      </c>
      <c r="G292" s="75" t="s">
        <v>1260</v>
      </c>
      <c r="H292" s="65" t="s">
        <v>4528</v>
      </c>
      <c r="I292" s="65" t="s">
        <v>4529</v>
      </c>
      <c r="J292" s="75" t="s">
        <v>4530</v>
      </c>
      <c r="K292" s="75" t="s">
        <v>2684</v>
      </c>
      <c r="L292" s="75" t="s">
        <v>2686</v>
      </c>
      <c r="M292" s="70" t="s">
        <v>1098</v>
      </c>
      <c r="N292" s="70" t="s">
        <v>1108</v>
      </c>
      <c r="O292" s="75" t="s">
        <v>3864</v>
      </c>
      <c r="P292" s="70" t="s">
        <v>1161</v>
      </c>
      <c r="Q292" s="71" t="b">
        <v>1</v>
      </c>
      <c r="R292" s="75" t="s">
        <v>4531</v>
      </c>
      <c r="S292" s="75" t="s">
        <v>4532</v>
      </c>
      <c r="T292" s="70" t="s">
        <v>1843</v>
      </c>
      <c r="U292" s="47" t="s">
        <v>1161</v>
      </c>
      <c r="V292" s="70"/>
      <c r="W292" s="511"/>
      <c r="X292" s="511"/>
      <c r="Y292" s="515"/>
    </row>
    <row r="293" ht="22.5" customHeight="1">
      <c r="A293" s="70" t="s">
        <v>1445</v>
      </c>
      <c r="B293" s="75" t="s">
        <v>4533</v>
      </c>
      <c r="C293" s="65" t="s">
        <v>4534</v>
      </c>
      <c r="D293" s="75" t="s">
        <v>4535</v>
      </c>
      <c r="E293" s="65" t="s">
        <v>4536</v>
      </c>
      <c r="F293" s="65"/>
      <c r="G293" s="437" t="s">
        <v>695</v>
      </c>
      <c r="H293" s="65" t="s">
        <v>4537</v>
      </c>
      <c r="I293" s="65" t="s">
        <v>4538</v>
      </c>
      <c r="J293" s="75" t="s">
        <v>4539</v>
      </c>
      <c r="K293" s="75" t="s">
        <v>2684</v>
      </c>
      <c r="L293" s="75" t="s">
        <v>2686</v>
      </c>
      <c r="M293" s="70" t="s">
        <v>3324</v>
      </c>
      <c r="N293" s="70" t="s">
        <v>1108</v>
      </c>
      <c r="O293" s="75" t="s">
        <v>4327</v>
      </c>
      <c r="P293" s="70" t="s">
        <v>1161</v>
      </c>
      <c r="Q293" s="71" t="b">
        <v>1</v>
      </c>
      <c r="R293" s="75" t="s">
        <v>4540</v>
      </c>
      <c r="S293" s="65" t="s">
        <v>3955</v>
      </c>
      <c r="T293" s="70" t="s">
        <v>1843</v>
      </c>
      <c r="U293" s="535" t="s">
        <v>3371</v>
      </c>
      <c r="V293" s="239" t="s">
        <v>1161</v>
      </c>
      <c r="W293" s="511"/>
      <c r="X293" s="511"/>
      <c r="Y293" s="515"/>
    </row>
    <row r="294" ht="22.5" customHeight="1">
      <c r="A294" s="70" t="s">
        <v>1445</v>
      </c>
      <c r="B294" s="75" t="s">
        <v>1311</v>
      </c>
      <c r="C294" s="65" t="s">
        <v>4541</v>
      </c>
      <c r="D294" s="75" t="s">
        <v>4542</v>
      </c>
      <c r="E294" s="65" t="s">
        <v>4543</v>
      </c>
      <c r="F294" s="65" t="s">
        <v>4544</v>
      </c>
      <c r="G294" s="75" t="s">
        <v>123</v>
      </c>
      <c r="H294" s="65" t="s">
        <v>4545</v>
      </c>
      <c r="I294" s="65" t="s">
        <v>4546</v>
      </c>
      <c r="J294" s="65" t="s">
        <v>4547</v>
      </c>
      <c r="K294" s="75" t="s">
        <v>2684</v>
      </c>
      <c r="L294" s="75" t="s">
        <v>2686</v>
      </c>
      <c r="M294" s="70" t="s">
        <v>1098</v>
      </c>
      <c r="N294" s="70" t="s">
        <v>1108</v>
      </c>
      <c r="O294" s="75" t="s">
        <v>1746</v>
      </c>
      <c r="P294" s="70" t="s">
        <v>1161</v>
      </c>
      <c r="Q294" s="71" t="b">
        <v>1</v>
      </c>
      <c r="R294" s="75" t="s">
        <v>4548</v>
      </c>
      <c r="S294" s="75" t="s">
        <v>4549</v>
      </c>
      <c r="T294" s="70" t="s">
        <v>1961</v>
      </c>
      <c r="U294" s="47" t="s">
        <v>3371</v>
      </c>
      <c r="V294" s="239" t="s">
        <v>1161</v>
      </c>
      <c r="W294" s="440"/>
      <c r="X294" s="441" t="s">
        <v>3314</v>
      </c>
      <c r="Y294" s="60"/>
    </row>
    <row r="295" ht="22.5" customHeight="1">
      <c r="A295" s="70" t="s">
        <v>1438</v>
      </c>
      <c r="B295" s="75" t="s">
        <v>1311</v>
      </c>
      <c r="C295" s="65" t="s">
        <v>4550</v>
      </c>
      <c r="D295" s="65" t="s">
        <v>4551</v>
      </c>
      <c r="E295" s="65" t="s">
        <v>4552</v>
      </c>
      <c r="F295" s="65" t="s">
        <v>4553</v>
      </c>
      <c r="G295" s="75" t="s">
        <v>2618</v>
      </c>
      <c r="H295" s="65" t="s">
        <v>4554</v>
      </c>
      <c r="I295" s="65" t="s">
        <v>4555</v>
      </c>
      <c r="J295" s="75" t="s">
        <v>4556</v>
      </c>
      <c r="K295" s="75" t="s">
        <v>2684</v>
      </c>
      <c r="L295" s="75" t="s">
        <v>2686</v>
      </c>
      <c r="M295" s="469" t="s">
        <v>1098</v>
      </c>
      <c r="N295" s="70" t="s">
        <v>1108</v>
      </c>
      <c r="O295" s="75" t="s">
        <v>1746</v>
      </c>
      <c r="P295" s="70" t="s">
        <v>2019</v>
      </c>
      <c r="Q295" s="71" t="b">
        <v>1</v>
      </c>
      <c r="R295" s="75" t="s">
        <v>4557</v>
      </c>
      <c r="S295" s="75" t="s">
        <v>4558</v>
      </c>
      <c r="T295" s="70" t="s">
        <v>1843</v>
      </c>
      <c r="U295" s="47" t="s">
        <v>3319</v>
      </c>
      <c r="V295" s="239" t="s">
        <v>1161</v>
      </c>
      <c r="W295" s="441" t="s">
        <v>3342</v>
      </c>
      <c r="X295" s="511"/>
      <c r="Y295" s="515"/>
    </row>
    <row r="296" ht="22.5" customHeight="1">
      <c r="A296" s="70" t="s">
        <v>1445</v>
      </c>
      <c r="B296" s="75" t="s">
        <v>1311</v>
      </c>
      <c r="C296" s="65" t="s">
        <v>4559</v>
      </c>
      <c r="D296" s="65" t="s">
        <v>4560</v>
      </c>
      <c r="E296" s="65" t="s">
        <v>4561</v>
      </c>
      <c r="F296" s="65" t="s">
        <v>4562</v>
      </c>
      <c r="G296" s="75" t="s">
        <v>3927</v>
      </c>
      <c r="H296" s="65" t="s">
        <v>4563</v>
      </c>
      <c r="I296" s="65" t="s">
        <v>4564</v>
      </c>
      <c r="J296" s="75" t="s">
        <v>4565</v>
      </c>
      <c r="K296" s="75" t="s">
        <v>2684</v>
      </c>
      <c r="L296" s="75" t="s">
        <v>2686</v>
      </c>
      <c r="M296" s="70" t="s">
        <v>1098</v>
      </c>
      <c r="N296" s="70" t="s">
        <v>1108</v>
      </c>
      <c r="O296" s="75" t="s">
        <v>1746</v>
      </c>
      <c r="P296" s="70" t="s">
        <v>1161</v>
      </c>
      <c r="Q296" s="71" t="b">
        <v>1</v>
      </c>
      <c r="R296" s="75" t="s">
        <v>4566</v>
      </c>
      <c r="S296" s="75" t="s">
        <v>3436</v>
      </c>
      <c r="T296" s="70" t="s">
        <v>1843</v>
      </c>
      <c r="U296" s="81" t="s">
        <v>3371</v>
      </c>
      <c r="V296" s="239" t="s">
        <v>1161</v>
      </c>
      <c r="W296" s="440"/>
      <c r="X296" s="441" t="s">
        <v>3314</v>
      </c>
      <c r="Y296" s="60"/>
    </row>
    <row r="297" ht="22.5" customHeight="1">
      <c r="A297" s="70" t="s">
        <v>1445</v>
      </c>
      <c r="B297" s="75" t="s">
        <v>2542</v>
      </c>
      <c r="C297" s="65" t="s">
        <v>4567</v>
      </c>
      <c r="D297" s="75" t="s">
        <v>4568</v>
      </c>
      <c r="E297" s="65" t="s">
        <v>4569</v>
      </c>
      <c r="F297" s="65" t="s">
        <v>4570</v>
      </c>
      <c r="G297" s="75" t="s">
        <v>3239</v>
      </c>
      <c r="H297" s="65" t="s">
        <v>4571</v>
      </c>
      <c r="I297" s="65" t="s">
        <v>4572</v>
      </c>
      <c r="J297" s="75" t="s">
        <v>4573</v>
      </c>
      <c r="K297" s="75" t="s">
        <v>2684</v>
      </c>
      <c r="L297" s="75" t="s">
        <v>2686</v>
      </c>
      <c r="M297" s="70" t="s">
        <v>1098</v>
      </c>
      <c r="N297" s="70" t="s">
        <v>1108</v>
      </c>
      <c r="O297" s="543" t="s">
        <v>1430</v>
      </c>
      <c r="P297" s="70" t="s">
        <v>1161</v>
      </c>
      <c r="Q297" s="71" t="b">
        <v>1</v>
      </c>
      <c r="R297" s="75" t="s">
        <v>4574</v>
      </c>
      <c r="S297" s="65" t="s">
        <v>4575</v>
      </c>
      <c r="T297" s="70" t="s">
        <v>1961</v>
      </c>
      <c r="U297" s="47" t="s">
        <v>3371</v>
      </c>
      <c r="V297" s="70"/>
      <c r="W297" s="516" t="s">
        <v>3413</v>
      </c>
      <c r="X297" s="511"/>
      <c r="Y297" s="515"/>
    </row>
    <row r="298" ht="22.5" customHeight="1">
      <c r="A298" s="70" t="s">
        <v>1445</v>
      </c>
      <c r="B298" s="75" t="s">
        <v>1311</v>
      </c>
      <c r="C298" s="65" t="s">
        <v>4576</v>
      </c>
      <c r="D298" s="75" t="s">
        <v>4577</v>
      </c>
      <c r="E298" s="65" t="s">
        <v>4578</v>
      </c>
      <c r="F298" s="65" t="s">
        <v>4579</v>
      </c>
      <c r="G298" s="75" t="s">
        <v>695</v>
      </c>
      <c r="H298" s="65" t="s">
        <v>4580</v>
      </c>
      <c r="I298" s="65" t="s">
        <v>4581</v>
      </c>
      <c r="J298" s="75" t="s">
        <v>4582</v>
      </c>
      <c r="K298" s="75" t="s">
        <v>2684</v>
      </c>
      <c r="L298" s="75" t="s">
        <v>2686</v>
      </c>
      <c r="M298" s="469" t="s">
        <v>3324</v>
      </c>
      <c r="N298" s="70" t="s">
        <v>1108</v>
      </c>
      <c r="O298" s="437" t="s">
        <v>2018</v>
      </c>
      <c r="P298" s="70" t="s">
        <v>1161</v>
      </c>
      <c r="Q298" s="71" t="b">
        <v>1</v>
      </c>
      <c r="R298" s="544" t="s">
        <v>4583</v>
      </c>
      <c r="S298" s="75" t="s">
        <v>4584</v>
      </c>
      <c r="T298" s="70" t="s">
        <v>1961</v>
      </c>
      <c r="U298" s="47" t="s">
        <v>3371</v>
      </c>
      <c r="V298" s="70"/>
      <c r="W298" s="511"/>
      <c r="X298" s="511"/>
      <c r="Y298" s="515"/>
    </row>
    <row r="299" ht="22.5" customHeight="1">
      <c r="A299" s="70" t="s">
        <v>1445</v>
      </c>
      <c r="B299" s="75" t="s">
        <v>219</v>
      </c>
      <c r="C299" s="65" t="s">
        <v>4585</v>
      </c>
      <c r="D299" s="75" t="s">
        <v>4586</v>
      </c>
      <c r="E299" s="65" t="s">
        <v>4587</v>
      </c>
      <c r="F299" s="65" t="s">
        <v>4588</v>
      </c>
      <c r="G299" s="75" t="s">
        <v>123</v>
      </c>
      <c r="H299" s="65" t="s">
        <v>4589</v>
      </c>
      <c r="I299" s="65" t="s">
        <v>4590</v>
      </c>
      <c r="J299" s="65" t="s">
        <v>4591</v>
      </c>
      <c r="K299" s="75" t="s">
        <v>3884</v>
      </c>
      <c r="L299" s="75" t="s">
        <v>4592</v>
      </c>
      <c r="M299" s="70" t="s">
        <v>1098</v>
      </c>
      <c r="N299" s="70" t="s">
        <v>1108</v>
      </c>
      <c r="O299" s="75" t="s">
        <v>1746</v>
      </c>
      <c r="P299" s="70" t="s">
        <v>1161</v>
      </c>
      <c r="Q299" s="71" t="b">
        <v>1</v>
      </c>
      <c r="R299" s="90" t="s">
        <v>4593</v>
      </c>
      <c r="S299" s="75" t="s">
        <v>3436</v>
      </c>
      <c r="T299" s="70" t="s">
        <v>1961</v>
      </c>
      <c r="U299" s="47" t="s">
        <v>3371</v>
      </c>
      <c r="V299" s="239" t="s">
        <v>1161</v>
      </c>
      <c r="W299" s="440"/>
      <c r="X299" s="441" t="s">
        <v>3314</v>
      </c>
      <c r="Y299" s="60"/>
    </row>
    <row r="300" ht="22.5" customHeight="1">
      <c r="A300" s="67" t="s">
        <v>1447</v>
      </c>
      <c r="B300" s="75" t="s">
        <v>219</v>
      </c>
      <c r="C300" s="65" t="s">
        <v>4594</v>
      </c>
      <c r="D300" s="75" t="s">
        <v>4595</v>
      </c>
      <c r="E300" s="65" t="s">
        <v>4596</v>
      </c>
      <c r="F300" s="65" t="s">
        <v>4597</v>
      </c>
      <c r="G300" s="75" t="s">
        <v>2185</v>
      </c>
      <c r="H300" s="65" t="s">
        <v>4598</v>
      </c>
      <c r="I300" s="65" t="s">
        <v>4599</v>
      </c>
      <c r="J300" s="75" t="s">
        <v>4600</v>
      </c>
      <c r="K300" s="75" t="s">
        <v>2684</v>
      </c>
      <c r="L300" s="75" t="s">
        <v>2686</v>
      </c>
      <c r="M300" s="70" t="s">
        <v>1098</v>
      </c>
      <c r="N300" s="70" t="s">
        <v>1108</v>
      </c>
      <c r="O300" s="437" t="s">
        <v>1430</v>
      </c>
      <c r="P300" s="70" t="s">
        <v>3645</v>
      </c>
      <c r="Q300" s="71" t="b">
        <v>1</v>
      </c>
      <c r="R300" s="90" t="s">
        <v>3768</v>
      </c>
      <c r="S300" s="95" t="s">
        <v>4601</v>
      </c>
      <c r="T300" s="70" t="s">
        <v>1961</v>
      </c>
      <c r="U300" s="355"/>
      <c r="V300" s="70"/>
      <c r="W300" s="516" t="s">
        <v>3321</v>
      </c>
      <c r="X300" s="511"/>
      <c r="Y300" s="515"/>
    </row>
    <row r="301" ht="22.5" customHeight="1">
      <c r="A301" s="70" t="s">
        <v>1445</v>
      </c>
      <c r="B301" s="75" t="s">
        <v>1311</v>
      </c>
      <c r="C301" s="65" t="s">
        <v>4602</v>
      </c>
      <c r="D301" s="75" t="s">
        <v>4603</v>
      </c>
      <c r="E301" s="65" t="s">
        <v>4604</v>
      </c>
      <c r="F301" s="65" t="s">
        <v>4605</v>
      </c>
      <c r="G301" s="75" t="s">
        <v>4606</v>
      </c>
      <c r="H301" s="65" t="s">
        <v>4607</v>
      </c>
      <c r="I301" s="65" t="s">
        <v>4599</v>
      </c>
      <c r="J301" s="75" t="s">
        <v>4608</v>
      </c>
      <c r="K301" s="75" t="s">
        <v>1566</v>
      </c>
      <c r="L301" s="75" t="s">
        <v>4609</v>
      </c>
      <c r="M301" s="70" t="s">
        <v>1098</v>
      </c>
      <c r="N301" s="70" t="s">
        <v>1108</v>
      </c>
      <c r="O301" s="75" t="s">
        <v>1746</v>
      </c>
      <c r="P301" s="70" t="s">
        <v>3645</v>
      </c>
      <c r="Q301" s="71" t="b">
        <v>1</v>
      </c>
      <c r="R301" s="90" t="s">
        <v>4610</v>
      </c>
      <c r="S301" s="65" t="s">
        <v>3428</v>
      </c>
      <c r="T301" s="70" t="s">
        <v>1843</v>
      </c>
      <c r="U301" s="47" t="s">
        <v>3371</v>
      </c>
      <c r="V301" s="70"/>
      <c r="W301" s="462"/>
      <c r="X301" s="511"/>
      <c r="Y301" s="515"/>
    </row>
    <row r="302" ht="22.5" customHeight="1">
      <c r="A302" s="70" t="s">
        <v>1445</v>
      </c>
      <c r="B302" s="75" t="s">
        <v>4533</v>
      </c>
      <c r="C302" s="65" t="s">
        <v>4611</v>
      </c>
      <c r="D302" s="75" t="s">
        <v>4612</v>
      </c>
      <c r="E302" s="65" t="s">
        <v>4613</v>
      </c>
      <c r="F302" s="65" t="s">
        <v>4614</v>
      </c>
      <c r="G302" s="75" t="s">
        <v>695</v>
      </c>
      <c r="H302" s="65" t="s">
        <v>4615</v>
      </c>
      <c r="I302" s="65" t="s">
        <v>4616</v>
      </c>
      <c r="J302" s="75" t="s">
        <v>4617</v>
      </c>
      <c r="K302" s="75" t="s">
        <v>1566</v>
      </c>
      <c r="L302" s="75" t="s">
        <v>4618</v>
      </c>
      <c r="M302" s="70" t="s">
        <v>3324</v>
      </c>
      <c r="N302" s="70" t="s">
        <v>1108</v>
      </c>
      <c r="O302" s="437"/>
      <c r="P302" s="70" t="s">
        <v>1401</v>
      </c>
      <c r="Q302" s="71" t="b">
        <v>1</v>
      </c>
      <c r="R302" s="75" t="s">
        <v>4619</v>
      </c>
      <c r="S302" s="531" t="s">
        <v>4620</v>
      </c>
      <c r="T302" s="70" t="s">
        <v>1843</v>
      </c>
      <c r="U302" s="67" t="s">
        <v>3371</v>
      </c>
      <c r="V302" s="70"/>
      <c r="W302" s="516"/>
      <c r="X302" s="511"/>
      <c r="Y302" s="515"/>
    </row>
    <row r="303" ht="22.5" customHeight="1">
      <c r="A303" s="70" t="s">
        <v>1445</v>
      </c>
      <c r="B303" s="75" t="s">
        <v>1311</v>
      </c>
      <c r="C303" s="65" t="s">
        <v>4621</v>
      </c>
      <c r="D303" s="75" t="s">
        <v>4622</v>
      </c>
      <c r="E303" s="65" t="s">
        <v>4623</v>
      </c>
      <c r="F303" s="65" t="s">
        <v>4624</v>
      </c>
      <c r="G303" s="75" t="s">
        <v>2618</v>
      </c>
      <c r="H303" s="65" t="s">
        <v>4625</v>
      </c>
      <c r="I303" s="65" t="s">
        <v>4626</v>
      </c>
      <c r="J303" s="75" t="s">
        <v>4627</v>
      </c>
      <c r="K303" s="75" t="s">
        <v>2684</v>
      </c>
      <c r="L303" s="75" t="s">
        <v>2686</v>
      </c>
      <c r="M303" s="70" t="s">
        <v>1098</v>
      </c>
      <c r="N303" s="70" t="s">
        <v>1108</v>
      </c>
      <c r="O303" s="75" t="s">
        <v>1746</v>
      </c>
      <c r="P303" s="70" t="s">
        <v>1161</v>
      </c>
      <c r="Q303" s="71" t="b">
        <v>1</v>
      </c>
      <c r="R303" s="75" t="s">
        <v>4628</v>
      </c>
      <c r="S303" s="461" t="s">
        <v>4629</v>
      </c>
      <c r="T303" s="70" t="s">
        <v>1961</v>
      </c>
      <c r="U303" s="47" t="s">
        <v>3371</v>
      </c>
      <c r="V303" s="70"/>
      <c r="W303" s="511"/>
      <c r="X303" s="511"/>
      <c r="Y303" s="515"/>
    </row>
    <row r="304" ht="22.5" customHeight="1">
      <c r="A304" s="70" t="s">
        <v>1445</v>
      </c>
      <c r="B304" s="75" t="s">
        <v>219</v>
      </c>
      <c r="C304" s="65" t="s">
        <v>4630</v>
      </c>
      <c r="D304" s="75" t="s">
        <v>4631</v>
      </c>
      <c r="E304" s="65" t="s">
        <v>4632</v>
      </c>
      <c r="F304" s="65" t="s">
        <v>4633</v>
      </c>
      <c r="G304" s="65" t="s">
        <v>3927</v>
      </c>
      <c r="H304" s="65" t="s">
        <v>4634</v>
      </c>
      <c r="I304" s="65" t="s">
        <v>4635</v>
      </c>
      <c r="J304" s="65" t="s">
        <v>4636</v>
      </c>
      <c r="K304" s="65" t="s">
        <v>4637</v>
      </c>
      <c r="L304" s="65" t="s">
        <v>4638</v>
      </c>
      <c r="M304" s="70" t="s">
        <v>1098</v>
      </c>
      <c r="N304" s="70" t="s">
        <v>1108</v>
      </c>
      <c r="O304" s="75" t="s">
        <v>1746</v>
      </c>
      <c r="P304" s="70" t="s">
        <v>3645</v>
      </c>
      <c r="Q304" s="71" t="b">
        <v>1</v>
      </c>
      <c r="R304" s="65" t="s">
        <v>4639</v>
      </c>
      <c r="S304" s="95" t="s">
        <v>4640</v>
      </c>
      <c r="T304" s="70" t="s">
        <v>1843</v>
      </c>
      <c r="U304" s="47" t="s">
        <v>3371</v>
      </c>
      <c r="V304" s="70"/>
      <c r="W304" s="511"/>
      <c r="X304" s="511"/>
      <c r="Y304" s="515"/>
    </row>
    <row r="305" ht="22.5" customHeight="1">
      <c r="A305" s="239" t="s">
        <v>1000</v>
      </c>
      <c r="B305" s="65" t="s">
        <v>219</v>
      </c>
      <c r="C305" s="65" t="s">
        <v>4641</v>
      </c>
      <c r="D305" s="75" t="s">
        <v>3992</v>
      </c>
      <c r="E305" s="65" t="s">
        <v>3993</v>
      </c>
      <c r="F305" s="65" t="s">
        <v>3994</v>
      </c>
      <c r="G305" s="65" t="s">
        <v>2980</v>
      </c>
      <c r="H305" s="65" t="s">
        <v>3995</v>
      </c>
      <c r="I305" s="65" t="s">
        <v>3996</v>
      </c>
      <c r="J305" s="304" t="s">
        <v>4642</v>
      </c>
      <c r="K305" s="75" t="s">
        <v>1566</v>
      </c>
      <c r="L305" s="65" t="s">
        <v>4643</v>
      </c>
      <c r="M305" s="70" t="s">
        <v>1098</v>
      </c>
      <c r="N305" s="70" t="s">
        <v>1108</v>
      </c>
      <c r="O305" s="75" t="s">
        <v>1746</v>
      </c>
      <c r="P305" s="70" t="s">
        <v>1161</v>
      </c>
      <c r="Q305" s="71" t="b">
        <v>1</v>
      </c>
      <c r="R305" s="65" t="s">
        <v>4644</v>
      </c>
      <c r="S305" s="95" t="s">
        <v>4645</v>
      </c>
      <c r="T305" s="239" t="s">
        <v>1843</v>
      </c>
      <c r="U305" s="47" t="s">
        <v>1161</v>
      </c>
      <c r="V305" s="239"/>
      <c r="W305" s="511"/>
      <c r="X305" s="511"/>
      <c r="Y305" s="515"/>
    </row>
    <row r="306" ht="22.5" customHeight="1">
      <c r="A306" s="67" t="s">
        <v>1000</v>
      </c>
      <c r="B306" s="75" t="s">
        <v>1311</v>
      </c>
      <c r="C306" s="65" t="s">
        <v>4646</v>
      </c>
      <c r="D306" s="65" t="s">
        <v>4647</v>
      </c>
      <c r="E306" s="65" t="s">
        <v>4648</v>
      </c>
      <c r="F306" s="65" t="s">
        <v>4649</v>
      </c>
      <c r="G306" s="65" t="s">
        <v>2185</v>
      </c>
      <c r="H306" s="65" t="s">
        <v>4650</v>
      </c>
      <c r="I306" s="65" t="s">
        <v>4651</v>
      </c>
      <c r="J306" s="65" t="s">
        <v>4652</v>
      </c>
      <c r="K306" s="75" t="s">
        <v>2684</v>
      </c>
      <c r="L306" s="75" t="s">
        <v>2686</v>
      </c>
      <c r="M306" s="70" t="s">
        <v>1098</v>
      </c>
      <c r="N306" s="70" t="s">
        <v>1108</v>
      </c>
      <c r="O306" s="75" t="s">
        <v>1746</v>
      </c>
      <c r="P306" s="70" t="s">
        <v>1161</v>
      </c>
      <c r="Q306" s="71" t="b">
        <v>1</v>
      </c>
      <c r="R306" s="65" t="s">
        <v>4653</v>
      </c>
      <c r="S306" s="75" t="s">
        <v>4654</v>
      </c>
      <c r="T306" s="70" t="s">
        <v>1843</v>
      </c>
      <c r="U306" s="47" t="s">
        <v>3673</v>
      </c>
      <c r="V306" s="70"/>
      <c r="W306" s="516" t="s">
        <v>3321</v>
      </c>
      <c r="X306" s="511"/>
      <c r="Y306" s="515"/>
    </row>
    <row r="307" ht="22.5" customHeight="1">
      <c r="A307" s="67" t="s">
        <v>1435</v>
      </c>
      <c r="B307" s="75" t="s">
        <v>1311</v>
      </c>
      <c r="C307" s="468" t="s">
        <v>4655</v>
      </c>
      <c r="D307" s="75" t="s">
        <v>4656</v>
      </c>
      <c r="E307" s="75" t="s">
        <v>4657</v>
      </c>
      <c r="F307" s="75" t="s">
        <v>4658</v>
      </c>
      <c r="G307" s="75" t="s">
        <v>278</v>
      </c>
      <c r="H307" s="75" t="s">
        <v>4659</v>
      </c>
      <c r="I307" s="75" t="s">
        <v>4660</v>
      </c>
      <c r="J307" s="75" t="s">
        <v>4661</v>
      </c>
      <c r="K307" s="75" t="s">
        <v>2684</v>
      </c>
      <c r="L307" s="75" t="s">
        <v>2686</v>
      </c>
      <c r="M307" s="70" t="s">
        <v>1098</v>
      </c>
      <c r="N307" s="70" t="s">
        <v>1108</v>
      </c>
      <c r="O307" s="75" t="s">
        <v>1746</v>
      </c>
      <c r="P307" s="284"/>
      <c r="Q307" s="71" t="b">
        <v>1</v>
      </c>
      <c r="R307" s="75" t="s">
        <v>4662</v>
      </c>
      <c r="S307" s="75" t="s">
        <v>4663</v>
      </c>
      <c r="T307" s="70" t="s">
        <v>1843</v>
      </c>
      <c r="U307" s="47" t="s">
        <v>3455</v>
      </c>
      <c r="V307" s="70"/>
      <c r="W307" s="462" t="s">
        <v>3413</v>
      </c>
      <c r="X307" s="511"/>
      <c r="Y307" s="515"/>
    </row>
    <row r="308" ht="22.5" customHeight="1">
      <c r="A308" s="519" t="s">
        <v>1445</v>
      </c>
      <c r="B308" s="75" t="s">
        <v>1311</v>
      </c>
      <c r="C308" s="65" t="s">
        <v>4664</v>
      </c>
      <c r="D308" s="75" t="s">
        <v>4665</v>
      </c>
      <c r="E308" s="65" t="s">
        <v>4666</v>
      </c>
      <c r="F308" s="65" t="s">
        <v>4667</v>
      </c>
      <c r="G308" s="65" t="s">
        <v>70</v>
      </c>
      <c r="H308" s="65" t="s">
        <v>4668</v>
      </c>
      <c r="I308" s="65" t="s">
        <v>4669</v>
      </c>
      <c r="J308" s="65" t="s">
        <v>4670</v>
      </c>
      <c r="K308" s="75" t="s">
        <v>2684</v>
      </c>
      <c r="L308" s="75" t="s">
        <v>2686</v>
      </c>
      <c r="M308" s="70" t="s">
        <v>1098</v>
      </c>
      <c r="N308" s="70" t="s">
        <v>1108</v>
      </c>
      <c r="O308" s="75" t="s">
        <v>1746</v>
      </c>
      <c r="P308" s="70" t="s">
        <v>1161</v>
      </c>
      <c r="Q308" s="71" t="b">
        <v>1</v>
      </c>
      <c r="R308" s="65" t="s">
        <v>4671</v>
      </c>
      <c r="S308" s="75" t="s">
        <v>3428</v>
      </c>
      <c r="T308" s="70" t="s">
        <v>1843</v>
      </c>
      <c r="U308" s="47" t="s">
        <v>3750</v>
      </c>
      <c r="V308" s="70"/>
      <c r="W308" s="462" t="s">
        <v>3321</v>
      </c>
      <c r="X308" s="511"/>
      <c r="Y308" s="515"/>
    </row>
    <row r="309" ht="22.5" customHeight="1">
      <c r="A309" s="519" t="s">
        <v>1442</v>
      </c>
      <c r="B309" s="75" t="s">
        <v>219</v>
      </c>
      <c r="C309" s="65" t="s">
        <v>4672</v>
      </c>
      <c r="D309" s="75" t="s">
        <v>1217</v>
      </c>
      <c r="E309" s="65" t="s">
        <v>4673</v>
      </c>
      <c r="F309" s="65" t="s">
        <v>4674</v>
      </c>
      <c r="G309" s="65" t="s">
        <v>70</v>
      </c>
      <c r="H309" s="65" t="s">
        <v>4675</v>
      </c>
      <c r="I309" s="65" t="s">
        <v>4676</v>
      </c>
      <c r="J309" s="65" t="s">
        <v>1220</v>
      </c>
      <c r="K309" s="75" t="s">
        <v>2684</v>
      </c>
      <c r="L309" s="75" t="s">
        <v>2686</v>
      </c>
      <c r="M309" s="70" t="s">
        <v>1098</v>
      </c>
      <c r="N309" s="70" t="s">
        <v>1108</v>
      </c>
      <c r="O309" s="75" t="s">
        <v>1746</v>
      </c>
      <c r="P309" s="70" t="s">
        <v>3645</v>
      </c>
      <c r="Q309" s="71" t="b">
        <v>1</v>
      </c>
      <c r="R309" s="65" t="s">
        <v>4677</v>
      </c>
      <c r="S309" s="75" t="s">
        <v>4678</v>
      </c>
      <c r="T309" s="70" t="s">
        <v>1961</v>
      </c>
      <c r="U309" s="47" t="s">
        <v>3750</v>
      </c>
      <c r="V309" s="70"/>
      <c r="W309" s="462" t="s">
        <v>3413</v>
      </c>
      <c r="X309" s="511"/>
      <c r="Y309" s="515"/>
    </row>
    <row r="310" ht="22.5" customHeight="1">
      <c r="A310" s="519" t="s">
        <v>1442</v>
      </c>
      <c r="B310" s="75" t="s">
        <v>1212</v>
      </c>
      <c r="C310" s="65" t="s">
        <v>4679</v>
      </c>
      <c r="D310" s="75" t="s">
        <v>736</v>
      </c>
      <c r="E310" s="65" t="s">
        <v>4680</v>
      </c>
      <c r="F310" s="65" t="s">
        <v>4681</v>
      </c>
      <c r="G310" s="65" t="s">
        <v>70</v>
      </c>
      <c r="H310" s="65" t="s">
        <v>4682</v>
      </c>
      <c r="I310" s="65" t="s">
        <v>4683</v>
      </c>
      <c r="J310" s="75" t="s">
        <v>744</v>
      </c>
      <c r="K310" s="75" t="s">
        <v>2684</v>
      </c>
      <c r="L310" s="75" t="s">
        <v>2686</v>
      </c>
      <c r="M310" s="70" t="s">
        <v>1098</v>
      </c>
      <c r="N310" s="70" t="s">
        <v>1108</v>
      </c>
      <c r="O310" s="75" t="s">
        <v>1746</v>
      </c>
      <c r="P310" s="70" t="s">
        <v>3645</v>
      </c>
      <c r="Q310" s="71" t="b">
        <v>1</v>
      </c>
      <c r="R310" s="65" t="s">
        <v>4684</v>
      </c>
      <c r="S310" s="75" t="s">
        <v>4685</v>
      </c>
      <c r="T310" s="70" t="s">
        <v>1843</v>
      </c>
      <c r="U310" s="47" t="s">
        <v>3371</v>
      </c>
      <c r="V310" s="70"/>
      <c r="W310" s="462" t="s">
        <v>3321</v>
      </c>
      <c r="X310" s="511"/>
      <c r="Y310" s="515"/>
    </row>
    <row r="311" ht="22.5" customHeight="1">
      <c r="A311" s="545" t="s">
        <v>1445</v>
      </c>
      <c r="B311" s="75" t="s">
        <v>1311</v>
      </c>
      <c r="C311" s="65" t="s">
        <v>4686</v>
      </c>
      <c r="D311" s="71" t="s">
        <v>4687</v>
      </c>
      <c r="E311" s="65" t="s">
        <v>4688</v>
      </c>
      <c r="F311" s="65" t="s">
        <v>4689</v>
      </c>
      <c r="G311" s="65" t="s">
        <v>4606</v>
      </c>
      <c r="H311" s="65" t="s">
        <v>4690</v>
      </c>
      <c r="I311" s="65" t="s">
        <v>4691</v>
      </c>
      <c r="J311" s="75" t="s">
        <v>4692</v>
      </c>
      <c r="K311" s="65" t="s">
        <v>1566</v>
      </c>
      <c r="L311" s="65" t="s">
        <v>4693</v>
      </c>
      <c r="M311" s="70" t="s">
        <v>1098</v>
      </c>
      <c r="N311" s="70" t="s">
        <v>1108</v>
      </c>
      <c r="O311" s="75" t="s">
        <v>1746</v>
      </c>
      <c r="P311" s="67" t="s">
        <v>1161</v>
      </c>
      <c r="Q311" s="71" t="b">
        <v>1</v>
      </c>
      <c r="R311" s="65" t="s">
        <v>4694</v>
      </c>
      <c r="S311" s="65" t="s">
        <v>3642</v>
      </c>
      <c r="T311" s="239" t="s">
        <v>1961</v>
      </c>
      <c r="U311" s="239" t="s">
        <v>3371</v>
      </c>
      <c r="V311" s="239" t="s">
        <v>1161</v>
      </c>
      <c r="W311" s="440"/>
      <c r="X311" s="441" t="s">
        <v>3314</v>
      </c>
      <c r="Y311" s="60"/>
    </row>
    <row r="312" ht="19.5" customHeight="1">
      <c r="A312" s="47" t="s">
        <v>1445</v>
      </c>
      <c r="B312" s="546" t="s">
        <v>4695</v>
      </c>
      <c r="C312" s="65" t="s">
        <v>4696</v>
      </c>
      <c r="D312" s="75" t="s">
        <v>4697</v>
      </c>
      <c r="E312" s="65" t="s">
        <v>4698</v>
      </c>
      <c r="F312" s="65" t="s">
        <v>4699</v>
      </c>
      <c r="G312" s="65" t="s">
        <v>4700</v>
      </c>
      <c r="H312" s="65" t="s">
        <v>4701</v>
      </c>
      <c r="I312" s="65" t="s">
        <v>4702</v>
      </c>
      <c r="J312" s="65" t="s">
        <v>4703</v>
      </c>
      <c r="K312" s="75" t="s">
        <v>2684</v>
      </c>
      <c r="L312" s="75" t="s">
        <v>2686</v>
      </c>
      <c r="M312" s="70" t="s">
        <v>1098</v>
      </c>
      <c r="N312" s="70" t="s">
        <v>1108</v>
      </c>
      <c r="O312" s="75" t="s">
        <v>1746</v>
      </c>
      <c r="P312" s="67" t="s">
        <v>3645</v>
      </c>
      <c r="Q312" s="71" t="b">
        <v>1</v>
      </c>
      <c r="R312" s="65" t="s">
        <v>4704</v>
      </c>
      <c r="S312" s="75" t="s">
        <v>4705</v>
      </c>
      <c r="T312" s="239" t="s">
        <v>1961</v>
      </c>
      <c r="U312" s="47" t="s">
        <v>3371</v>
      </c>
      <c r="V312" s="239"/>
      <c r="W312" s="462"/>
      <c r="X312" s="457"/>
      <c r="Y312" s="517"/>
    </row>
    <row r="313" ht="22.5" customHeight="1">
      <c r="A313" s="67" t="s">
        <v>1445</v>
      </c>
      <c r="B313" s="65" t="s">
        <v>219</v>
      </c>
      <c r="C313" s="65" t="s">
        <v>4706</v>
      </c>
      <c r="D313" s="75" t="s">
        <v>4312</v>
      </c>
      <c r="E313" s="65" t="s">
        <v>4313</v>
      </c>
      <c r="F313" s="65" t="s">
        <v>4314</v>
      </c>
      <c r="G313" s="65" t="s">
        <v>695</v>
      </c>
      <c r="H313" s="65" t="s">
        <v>4707</v>
      </c>
      <c r="I313" s="65" t="s">
        <v>4316</v>
      </c>
      <c r="J313" s="65" t="s">
        <v>4708</v>
      </c>
      <c r="K313" s="75" t="s">
        <v>4709</v>
      </c>
      <c r="L313" s="75" t="s">
        <v>4710</v>
      </c>
      <c r="M313" s="70" t="s">
        <v>3324</v>
      </c>
      <c r="N313" s="70" t="s">
        <v>1108</v>
      </c>
      <c r="O313" s="437" t="s">
        <v>2018</v>
      </c>
      <c r="P313" s="67" t="s">
        <v>2019</v>
      </c>
      <c r="Q313" s="71" t="b">
        <v>1</v>
      </c>
      <c r="R313" s="75" t="s">
        <v>4711</v>
      </c>
      <c r="S313" s="75" t="s">
        <v>4319</v>
      </c>
      <c r="T313" s="239" t="s">
        <v>1843</v>
      </c>
      <c r="U313" s="47" t="s">
        <v>3371</v>
      </c>
      <c r="V313" s="67"/>
      <c r="W313" s="516"/>
      <c r="X313" s="511"/>
      <c r="Y313" s="515"/>
    </row>
    <row r="314" ht="22.5" customHeight="1">
      <c r="A314" s="519" t="s">
        <v>1442</v>
      </c>
      <c r="B314" s="546" t="s">
        <v>4695</v>
      </c>
      <c r="C314" s="65" t="s">
        <v>4712</v>
      </c>
      <c r="D314" s="75" t="s">
        <v>1305</v>
      </c>
      <c r="E314" s="65" t="s">
        <v>4713</v>
      </c>
      <c r="F314" s="65" t="s">
        <v>4714</v>
      </c>
      <c r="G314" s="65" t="s">
        <v>70</v>
      </c>
      <c r="H314" s="65" t="s">
        <v>4715</v>
      </c>
      <c r="I314" s="65" t="s">
        <v>4716</v>
      </c>
      <c r="J314" s="75" t="s">
        <v>1307</v>
      </c>
      <c r="K314" s="75" t="s">
        <v>2684</v>
      </c>
      <c r="L314" s="75" t="s">
        <v>2686</v>
      </c>
      <c r="M314" s="67" t="s">
        <v>1098</v>
      </c>
      <c r="N314" s="67" t="s">
        <v>1108</v>
      </c>
      <c r="O314" s="71" t="s">
        <v>1746</v>
      </c>
      <c r="P314" s="67" t="s">
        <v>1161</v>
      </c>
      <c r="Q314" s="71" t="b">
        <v>1</v>
      </c>
      <c r="R314" s="65" t="s">
        <v>4717</v>
      </c>
      <c r="S314" s="75" t="s">
        <v>4718</v>
      </c>
      <c r="T314" s="47" t="s">
        <v>1843</v>
      </c>
      <c r="U314" s="540" t="s">
        <v>3750</v>
      </c>
      <c r="V314" s="145"/>
      <c r="W314" s="462" t="s">
        <v>3413</v>
      </c>
      <c r="X314" s="457"/>
      <c r="Y314" s="517"/>
    </row>
    <row r="315" ht="22.5" customHeight="1">
      <c r="A315" s="67" t="s">
        <v>1435</v>
      </c>
      <c r="B315" s="546" t="s">
        <v>1212</v>
      </c>
      <c r="C315" s="468" t="s">
        <v>4719</v>
      </c>
      <c r="D315" s="75" t="s">
        <v>370</v>
      </c>
      <c r="E315" s="65" t="s">
        <v>4720</v>
      </c>
      <c r="F315" s="65" t="s">
        <v>4721</v>
      </c>
      <c r="G315" s="65" t="s">
        <v>560</v>
      </c>
      <c r="H315" s="65" t="s">
        <v>4722</v>
      </c>
      <c r="I315" s="65" t="s">
        <v>4723</v>
      </c>
      <c r="J315" s="65" t="s">
        <v>381</v>
      </c>
      <c r="K315" s="75" t="s">
        <v>2684</v>
      </c>
      <c r="L315" s="75" t="s">
        <v>2686</v>
      </c>
      <c r="M315" s="67" t="s">
        <v>1098</v>
      </c>
      <c r="N315" s="67" t="s">
        <v>1108</v>
      </c>
      <c r="O315" s="71" t="s">
        <v>1746</v>
      </c>
      <c r="P315" s="70" t="s">
        <v>1161</v>
      </c>
      <c r="Q315" s="71" t="b">
        <v>1</v>
      </c>
      <c r="R315" s="65" t="s">
        <v>4724</v>
      </c>
      <c r="S315" s="75" t="s">
        <v>4725</v>
      </c>
      <c r="T315" s="47" t="s">
        <v>1961</v>
      </c>
      <c r="U315" s="47" t="s">
        <v>3750</v>
      </c>
      <c r="V315" s="145"/>
      <c r="W315" s="67" t="s">
        <v>3413</v>
      </c>
      <c r="X315" s="457"/>
      <c r="Y315" s="517"/>
    </row>
    <row r="316" ht="22.5" customHeight="1">
      <c r="A316" s="519" t="s">
        <v>1442</v>
      </c>
      <c r="B316" s="546" t="s">
        <v>4695</v>
      </c>
      <c r="C316" s="65" t="s">
        <v>4726</v>
      </c>
      <c r="D316" s="75" t="s">
        <v>1246</v>
      </c>
      <c r="E316" s="65" t="s">
        <v>4727</v>
      </c>
      <c r="F316" s="65" t="s">
        <v>4728</v>
      </c>
      <c r="G316" s="65" t="s">
        <v>2677</v>
      </c>
      <c r="H316" s="65" t="s">
        <v>4729</v>
      </c>
      <c r="I316" s="65" t="s">
        <v>4730</v>
      </c>
      <c r="J316" s="65" t="s">
        <v>1249</v>
      </c>
      <c r="K316" s="75" t="s">
        <v>2684</v>
      </c>
      <c r="L316" s="75" t="s">
        <v>2686</v>
      </c>
      <c r="M316" s="67" t="s">
        <v>1098</v>
      </c>
      <c r="N316" s="67" t="s">
        <v>1108</v>
      </c>
      <c r="O316" s="71" t="s">
        <v>2018</v>
      </c>
      <c r="P316" s="67" t="s">
        <v>1161</v>
      </c>
      <c r="Q316" s="71" t="b">
        <v>1</v>
      </c>
      <c r="R316" s="65" t="s">
        <v>4731</v>
      </c>
      <c r="S316" s="75" t="s">
        <v>3922</v>
      </c>
      <c r="T316" s="47" t="s">
        <v>1961</v>
      </c>
      <c r="U316" s="47" t="s">
        <v>3750</v>
      </c>
      <c r="V316" s="145"/>
      <c r="W316" s="462" t="s">
        <v>3321</v>
      </c>
      <c r="X316" s="457"/>
      <c r="Y316" s="517"/>
    </row>
    <row r="317" ht="22.5" customHeight="1">
      <c r="A317" s="47" t="s">
        <v>1445</v>
      </c>
      <c r="B317" s="546" t="s">
        <v>4695</v>
      </c>
      <c r="C317" s="65" t="s">
        <v>4732</v>
      </c>
      <c r="D317" s="75" t="s">
        <v>4733</v>
      </c>
      <c r="E317" s="65" t="s">
        <v>4734</v>
      </c>
      <c r="F317" s="65" t="s">
        <v>4735</v>
      </c>
      <c r="G317" s="65" t="s">
        <v>2980</v>
      </c>
      <c r="H317" s="65" t="s">
        <v>4736</v>
      </c>
      <c r="I317" s="65" t="s">
        <v>4737</v>
      </c>
      <c r="J317" s="65" t="s">
        <v>4738</v>
      </c>
      <c r="K317" s="75" t="s">
        <v>1566</v>
      </c>
      <c r="L317" s="75" t="s">
        <v>4739</v>
      </c>
      <c r="M317" s="67" t="s">
        <v>1098</v>
      </c>
      <c r="N317" s="67" t="s">
        <v>1108</v>
      </c>
      <c r="O317" s="547" t="s">
        <v>2018</v>
      </c>
      <c r="P317" s="67" t="s">
        <v>1161</v>
      </c>
      <c r="Q317" s="71" t="b">
        <v>1</v>
      </c>
      <c r="R317" s="65" t="s">
        <v>4740</v>
      </c>
      <c r="S317" s="95" t="s">
        <v>4741</v>
      </c>
      <c r="T317" s="47" t="s">
        <v>1843</v>
      </c>
      <c r="U317" s="47" t="s">
        <v>3371</v>
      </c>
      <c r="V317" s="145"/>
      <c r="W317" s="440"/>
      <c r="X317" s="441" t="s">
        <v>3314</v>
      </c>
      <c r="Y317" s="60"/>
    </row>
    <row r="318" ht="22.5" customHeight="1">
      <c r="A318" s="47" t="s">
        <v>1445</v>
      </c>
      <c r="B318" s="546" t="s">
        <v>1311</v>
      </c>
      <c r="C318" s="65" t="s">
        <v>4742</v>
      </c>
      <c r="D318" s="75" t="s">
        <v>4743</v>
      </c>
      <c r="E318" s="65" t="s">
        <v>4744</v>
      </c>
      <c r="F318" s="65" t="s">
        <v>4745</v>
      </c>
      <c r="G318" s="65" t="s">
        <v>4746</v>
      </c>
      <c r="H318" s="65" t="s">
        <v>4747</v>
      </c>
      <c r="I318" s="65" t="s">
        <v>4748</v>
      </c>
      <c r="J318" s="65" t="s">
        <v>4749</v>
      </c>
      <c r="K318" s="75" t="s">
        <v>2684</v>
      </c>
      <c r="L318" s="75" t="s">
        <v>2686</v>
      </c>
      <c r="M318" s="67" t="s">
        <v>1098</v>
      </c>
      <c r="N318" s="67" t="s">
        <v>1108</v>
      </c>
      <c r="O318" s="68"/>
      <c r="P318" s="67" t="s">
        <v>1161</v>
      </c>
      <c r="Q318" s="71" t="b">
        <v>1</v>
      </c>
      <c r="R318" s="65" t="s">
        <v>4750</v>
      </c>
      <c r="S318" s="65" t="s">
        <v>3642</v>
      </c>
      <c r="T318" s="47" t="s">
        <v>1843</v>
      </c>
      <c r="U318" s="47" t="s">
        <v>3371</v>
      </c>
      <c r="V318" s="239" t="s">
        <v>1161</v>
      </c>
      <c r="W318" s="440"/>
      <c r="X318" s="441" t="s">
        <v>3314</v>
      </c>
      <c r="Y318" s="60"/>
    </row>
    <row r="319" ht="22.5" customHeight="1">
      <c r="A319" s="47" t="s">
        <v>1000</v>
      </c>
      <c r="B319" s="65" t="s">
        <v>1212</v>
      </c>
      <c r="C319" s="65" t="s">
        <v>4751</v>
      </c>
      <c r="D319" s="75" t="s">
        <v>4752</v>
      </c>
      <c r="E319" s="65" t="s">
        <v>2532</v>
      </c>
      <c r="F319" s="65" t="s">
        <v>2533</v>
      </c>
      <c r="G319" s="75" t="s">
        <v>2535</v>
      </c>
      <c r="H319" s="65" t="s">
        <v>2536</v>
      </c>
      <c r="I319" s="65" t="s">
        <v>2537</v>
      </c>
      <c r="J319" s="65" t="s">
        <v>4753</v>
      </c>
      <c r="K319" s="65" t="s">
        <v>1338</v>
      </c>
      <c r="L319" s="65" t="s">
        <v>4754</v>
      </c>
      <c r="M319" s="70"/>
      <c r="N319" s="70"/>
      <c r="O319" s="75"/>
      <c r="P319" s="284"/>
      <c r="Q319" s="71" t="b">
        <v>1</v>
      </c>
      <c r="R319" s="65" t="s">
        <v>4755</v>
      </c>
      <c r="S319" s="75" t="s">
        <v>4756</v>
      </c>
      <c r="T319" s="239" t="s">
        <v>1843</v>
      </c>
      <c r="U319" s="47" t="s">
        <v>1161</v>
      </c>
      <c r="V319" s="145"/>
      <c r="W319" s="457"/>
      <c r="X319" s="457"/>
      <c r="Y319" s="517"/>
    </row>
    <row r="320" ht="22.5" customHeight="1">
      <c r="A320" s="47" t="s">
        <v>1000</v>
      </c>
      <c r="B320" s="65" t="s">
        <v>1212</v>
      </c>
      <c r="C320" s="65" t="s">
        <v>4757</v>
      </c>
      <c r="D320" s="75" t="s">
        <v>4752</v>
      </c>
      <c r="E320" s="65" t="s">
        <v>2532</v>
      </c>
      <c r="F320" s="65" t="s">
        <v>2533</v>
      </c>
      <c r="G320" s="75" t="s">
        <v>2535</v>
      </c>
      <c r="H320" s="65" t="s">
        <v>2536</v>
      </c>
      <c r="I320" s="65" t="s">
        <v>2537</v>
      </c>
      <c r="J320" s="65" t="s">
        <v>4758</v>
      </c>
      <c r="K320" s="65" t="s">
        <v>1338</v>
      </c>
      <c r="L320" s="65" t="s">
        <v>4759</v>
      </c>
      <c r="M320" s="70"/>
      <c r="N320" s="70"/>
      <c r="O320" s="75"/>
      <c r="P320" s="284"/>
      <c r="Q320" s="71"/>
      <c r="R320" s="65" t="s">
        <v>4760</v>
      </c>
      <c r="S320" s="75" t="s">
        <v>4756</v>
      </c>
      <c r="T320" s="239" t="s">
        <v>1843</v>
      </c>
      <c r="U320" s="47" t="s">
        <v>1161</v>
      </c>
      <c r="V320" s="145"/>
      <c r="W320" s="428"/>
      <c r="X320" s="428"/>
      <c r="Y320" s="548"/>
    </row>
    <row r="321" ht="22.5" customHeight="1">
      <c r="A321" s="47" t="s">
        <v>1445</v>
      </c>
      <c r="B321" s="546" t="s">
        <v>1311</v>
      </c>
      <c r="C321" s="65" t="s">
        <v>4761</v>
      </c>
      <c r="D321" s="75" t="s">
        <v>4762</v>
      </c>
      <c r="E321" s="65" t="s">
        <v>4763</v>
      </c>
      <c r="F321" s="65" t="s">
        <v>4764</v>
      </c>
      <c r="G321" s="75" t="s">
        <v>3239</v>
      </c>
      <c r="H321" s="65" t="s">
        <v>4765</v>
      </c>
      <c r="I321" s="65" t="s">
        <v>4766</v>
      </c>
      <c r="J321" s="65" t="s">
        <v>4767</v>
      </c>
      <c r="K321" s="75" t="s">
        <v>2684</v>
      </c>
      <c r="L321" s="75" t="s">
        <v>2686</v>
      </c>
      <c r="M321" s="67" t="s">
        <v>3324</v>
      </c>
      <c r="N321" s="67" t="s">
        <v>1108</v>
      </c>
      <c r="O321" s="547" t="s">
        <v>2018</v>
      </c>
      <c r="P321" s="67" t="s">
        <v>3645</v>
      </c>
      <c r="Q321" s="71" t="b">
        <v>1</v>
      </c>
      <c r="R321" s="65" t="s">
        <v>4768</v>
      </c>
      <c r="S321" s="75" t="s">
        <v>4769</v>
      </c>
      <c r="T321" s="47" t="s">
        <v>1961</v>
      </c>
      <c r="U321" s="47" t="s">
        <v>3371</v>
      </c>
      <c r="V321" s="145"/>
      <c r="W321" s="457"/>
      <c r="X321" s="457"/>
      <c r="Y321" s="517"/>
    </row>
    <row r="322" ht="20.25" customHeight="1">
      <c r="A322" s="47" t="s">
        <v>1445</v>
      </c>
      <c r="B322" s="546" t="s">
        <v>1212</v>
      </c>
      <c r="C322" s="65" t="s">
        <v>4770</v>
      </c>
      <c r="D322" s="75" t="s">
        <v>4771</v>
      </c>
      <c r="E322" s="65" t="s">
        <v>4772</v>
      </c>
      <c r="F322" s="65" t="s">
        <v>4773</v>
      </c>
      <c r="G322" s="75" t="s">
        <v>91</v>
      </c>
      <c r="H322" s="65" t="s">
        <v>4774</v>
      </c>
      <c r="I322" s="65" t="s">
        <v>4775</v>
      </c>
      <c r="J322" s="75" t="s">
        <v>4776</v>
      </c>
      <c r="K322" s="75" t="s">
        <v>2684</v>
      </c>
      <c r="L322" s="75" t="s">
        <v>2686</v>
      </c>
      <c r="M322" s="67" t="s">
        <v>1098</v>
      </c>
      <c r="N322" s="67" t="s">
        <v>1108</v>
      </c>
      <c r="O322" s="71" t="s">
        <v>1746</v>
      </c>
      <c r="P322" s="67" t="s">
        <v>1161</v>
      </c>
      <c r="Q322" s="71" t="b">
        <v>1</v>
      </c>
      <c r="R322" s="65" t="s">
        <v>4777</v>
      </c>
      <c r="S322" s="95" t="s">
        <v>4778</v>
      </c>
      <c r="T322" s="47" t="s">
        <v>1843</v>
      </c>
      <c r="U322" s="47" t="s">
        <v>3371</v>
      </c>
      <c r="V322" s="239" t="s">
        <v>1161</v>
      </c>
      <c r="W322" s="440"/>
      <c r="X322" s="441" t="s">
        <v>3314</v>
      </c>
      <c r="Y322" s="60"/>
    </row>
    <row r="323" ht="22.5" customHeight="1">
      <c r="A323" s="47" t="s">
        <v>1000</v>
      </c>
      <c r="B323" s="546" t="s">
        <v>4695</v>
      </c>
      <c r="C323" s="65" t="s">
        <v>4779</v>
      </c>
      <c r="D323" s="75" t="s">
        <v>4780</v>
      </c>
      <c r="E323" s="75" t="s">
        <v>4781</v>
      </c>
      <c r="F323" s="65" t="s">
        <v>4782</v>
      </c>
      <c r="G323" s="75" t="s">
        <v>174</v>
      </c>
      <c r="H323" s="65" t="s">
        <v>4783</v>
      </c>
      <c r="I323" s="65" t="s">
        <v>4784</v>
      </c>
      <c r="J323" s="65" t="s">
        <v>4785</v>
      </c>
      <c r="K323" s="75" t="s">
        <v>2684</v>
      </c>
      <c r="L323" s="75" t="s">
        <v>2686</v>
      </c>
      <c r="M323" s="67" t="s">
        <v>1746</v>
      </c>
      <c r="N323" s="67" t="s">
        <v>2191</v>
      </c>
      <c r="O323" s="71" t="s">
        <v>1746</v>
      </c>
      <c r="P323" s="67" t="s">
        <v>1401</v>
      </c>
      <c r="Q323" s="546" t="b">
        <v>0</v>
      </c>
      <c r="R323" s="75" t="s">
        <v>4786</v>
      </c>
      <c r="S323" s="75" t="s">
        <v>4787</v>
      </c>
      <c r="T323" s="47" t="s">
        <v>1961</v>
      </c>
      <c r="U323" s="47" t="s">
        <v>1161</v>
      </c>
      <c r="V323" s="47" t="s">
        <v>3796</v>
      </c>
      <c r="W323" s="457"/>
      <c r="X323" s="457"/>
      <c r="Y323" s="517"/>
    </row>
    <row r="324" ht="22.5" customHeight="1">
      <c r="A324" s="47" t="s">
        <v>1445</v>
      </c>
      <c r="B324" s="546" t="s">
        <v>4695</v>
      </c>
      <c r="C324" s="65" t="s">
        <v>4788</v>
      </c>
      <c r="D324" s="75" t="s">
        <v>4789</v>
      </c>
      <c r="E324" s="65" t="s">
        <v>4790</v>
      </c>
      <c r="F324" s="65" t="s">
        <v>4791</v>
      </c>
      <c r="G324" s="75" t="s">
        <v>2677</v>
      </c>
      <c r="H324" s="65" t="s">
        <v>4792</v>
      </c>
      <c r="I324" s="65" t="s">
        <v>4793</v>
      </c>
      <c r="J324" s="65" t="s">
        <v>4794</v>
      </c>
      <c r="K324" s="75" t="s">
        <v>2684</v>
      </c>
      <c r="L324" s="75" t="s">
        <v>2686</v>
      </c>
      <c r="M324" s="67" t="s">
        <v>1098</v>
      </c>
      <c r="N324" s="67" t="s">
        <v>1108</v>
      </c>
      <c r="O324" s="547" t="s">
        <v>2018</v>
      </c>
      <c r="P324" s="67" t="s">
        <v>3645</v>
      </c>
      <c r="Q324" s="71" t="b">
        <v>1</v>
      </c>
      <c r="R324" s="65" t="s">
        <v>4795</v>
      </c>
      <c r="S324" s="95" t="s">
        <v>4796</v>
      </c>
      <c r="T324" s="47" t="s">
        <v>1961</v>
      </c>
      <c r="U324" s="47" t="s">
        <v>3371</v>
      </c>
      <c r="V324" s="145"/>
      <c r="W324" s="440"/>
      <c r="X324" s="441" t="s">
        <v>3314</v>
      </c>
      <c r="Y324" s="60"/>
    </row>
    <row r="325" ht="22.5" customHeight="1">
      <c r="A325" s="47" t="s">
        <v>1445</v>
      </c>
      <c r="B325" s="546" t="s">
        <v>1311</v>
      </c>
      <c r="C325" s="65" t="s">
        <v>4797</v>
      </c>
      <c r="D325" s="75" t="s">
        <v>4798</v>
      </c>
      <c r="E325" s="65" t="s">
        <v>4799</v>
      </c>
      <c r="F325" s="65" t="s">
        <v>4800</v>
      </c>
      <c r="G325" s="75" t="s">
        <v>4606</v>
      </c>
      <c r="H325" s="65" t="s">
        <v>4801</v>
      </c>
      <c r="I325" s="65" t="s">
        <v>4802</v>
      </c>
      <c r="J325" s="65" t="s">
        <v>4803</v>
      </c>
      <c r="K325" s="75" t="s">
        <v>1566</v>
      </c>
      <c r="L325" s="75" t="s">
        <v>4804</v>
      </c>
      <c r="M325" s="67" t="s">
        <v>1098</v>
      </c>
      <c r="N325" s="67" t="s">
        <v>1108</v>
      </c>
      <c r="O325" s="71" t="s">
        <v>1746</v>
      </c>
      <c r="P325" s="67" t="s">
        <v>3645</v>
      </c>
      <c r="Q325" s="71" t="b">
        <v>1</v>
      </c>
      <c r="R325" s="75" t="s">
        <v>4694</v>
      </c>
      <c r="S325" s="75" t="s">
        <v>4805</v>
      </c>
      <c r="T325" s="47" t="s">
        <v>1843</v>
      </c>
      <c r="U325" s="535" t="s">
        <v>3371</v>
      </c>
      <c r="V325" s="145"/>
      <c r="W325" s="462"/>
      <c r="X325" s="457"/>
      <c r="Y325" s="517"/>
    </row>
    <row r="326" ht="19.5" customHeight="1">
      <c r="A326" s="67" t="s">
        <v>1445</v>
      </c>
      <c r="B326" s="546" t="s">
        <v>4695</v>
      </c>
      <c r="C326" s="65" t="s">
        <v>4806</v>
      </c>
      <c r="D326" s="75" t="s">
        <v>1387</v>
      </c>
      <c r="E326" s="75" t="s">
        <v>4807</v>
      </c>
      <c r="F326" s="75" t="s">
        <v>4808</v>
      </c>
      <c r="G326" s="75" t="s">
        <v>70</v>
      </c>
      <c r="H326" s="75" t="s">
        <v>4809</v>
      </c>
      <c r="I326" s="75" t="s">
        <v>4810</v>
      </c>
      <c r="J326" s="75" t="s">
        <v>1388</v>
      </c>
      <c r="K326" s="75" t="s">
        <v>2684</v>
      </c>
      <c r="L326" s="75" t="s">
        <v>2686</v>
      </c>
      <c r="M326" s="67" t="s">
        <v>1098</v>
      </c>
      <c r="N326" s="67" t="s">
        <v>1108</v>
      </c>
      <c r="O326" s="71" t="s">
        <v>1430</v>
      </c>
      <c r="P326" s="67" t="s">
        <v>1161</v>
      </c>
      <c r="Q326" s="71" t="b">
        <v>1</v>
      </c>
      <c r="R326" s="75" t="s">
        <v>4811</v>
      </c>
      <c r="S326" s="75" t="s">
        <v>4812</v>
      </c>
      <c r="T326" s="67" t="s">
        <v>1961</v>
      </c>
      <c r="U326" s="67" t="s">
        <v>3371</v>
      </c>
      <c r="V326" s="239" t="s">
        <v>1161</v>
      </c>
      <c r="W326" s="440"/>
      <c r="X326" s="441" t="s">
        <v>3314</v>
      </c>
      <c r="Y326" s="60"/>
    </row>
    <row r="327" ht="22.5" customHeight="1">
      <c r="A327" s="519" t="s">
        <v>1445</v>
      </c>
      <c r="B327" s="549" t="s">
        <v>1311</v>
      </c>
      <c r="C327" s="402" t="s">
        <v>4813</v>
      </c>
      <c r="D327" s="396" t="s">
        <v>4814</v>
      </c>
      <c r="E327" s="396" t="s">
        <v>4815</v>
      </c>
      <c r="F327" s="396" t="s">
        <v>4816</v>
      </c>
      <c r="G327" s="402" t="s">
        <v>3239</v>
      </c>
      <c r="H327" s="396" t="s">
        <v>4817</v>
      </c>
      <c r="I327" s="396" t="s">
        <v>4818</v>
      </c>
      <c r="J327" s="402" t="s">
        <v>4819</v>
      </c>
      <c r="K327" s="402" t="s">
        <v>2684</v>
      </c>
      <c r="L327" s="396" t="s">
        <v>2686</v>
      </c>
      <c r="M327" s="550" t="s">
        <v>1098</v>
      </c>
      <c r="N327" s="550" t="s">
        <v>1108</v>
      </c>
      <c r="O327" s="551" t="s">
        <v>1161</v>
      </c>
      <c r="P327" s="550" t="s">
        <v>3645</v>
      </c>
      <c r="Q327" s="552" t="b">
        <v>1</v>
      </c>
      <c r="R327" s="553" t="s">
        <v>4820</v>
      </c>
      <c r="S327" s="95" t="s">
        <v>4821</v>
      </c>
      <c r="T327" s="554" t="s">
        <v>1961</v>
      </c>
      <c r="U327" s="555" t="s">
        <v>3750</v>
      </c>
      <c r="V327" s="556"/>
      <c r="W327" s="462" t="s">
        <v>3321</v>
      </c>
      <c r="X327" s="557"/>
      <c r="Y327" s="558"/>
    </row>
    <row r="328" ht="22.5" customHeight="1">
      <c r="A328" s="47" t="s">
        <v>1445</v>
      </c>
      <c r="B328" s="559" t="s">
        <v>1311</v>
      </c>
      <c r="C328" s="65" t="s">
        <v>4822</v>
      </c>
      <c r="D328" s="75" t="s">
        <v>4823</v>
      </c>
      <c r="E328" s="65" t="s">
        <v>4799</v>
      </c>
      <c r="F328" s="65" t="s">
        <v>4800</v>
      </c>
      <c r="G328" s="65" t="s">
        <v>4606</v>
      </c>
      <c r="H328" s="65" t="s">
        <v>4801</v>
      </c>
      <c r="I328" s="65" t="s">
        <v>4802</v>
      </c>
      <c r="J328" s="65" t="s">
        <v>4824</v>
      </c>
      <c r="K328" s="75" t="s">
        <v>2684</v>
      </c>
      <c r="L328" s="75" t="s">
        <v>2686</v>
      </c>
      <c r="M328" s="67" t="s">
        <v>1098</v>
      </c>
      <c r="N328" s="67" t="s">
        <v>1108</v>
      </c>
      <c r="O328" s="71" t="s">
        <v>1746</v>
      </c>
      <c r="P328" s="47" t="s">
        <v>3645</v>
      </c>
      <c r="Q328" s="71" t="b">
        <v>0</v>
      </c>
      <c r="R328" s="75" t="s">
        <v>4694</v>
      </c>
      <c r="S328" s="75" t="s">
        <v>4825</v>
      </c>
      <c r="T328" s="47" t="s">
        <v>1843</v>
      </c>
      <c r="U328" s="560" t="s">
        <v>3371</v>
      </c>
      <c r="V328" s="472" t="s">
        <v>1161</v>
      </c>
      <c r="W328" s="58"/>
      <c r="X328" s="58"/>
      <c r="Y328" s="561"/>
    </row>
    <row r="329" ht="22.5" customHeight="1">
      <c r="A329" s="67" t="s">
        <v>1441</v>
      </c>
      <c r="B329" s="559" t="s">
        <v>219</v>
      </c>
      <c r="C329" s="65" t="s">
        <v>4826</v>
      </c>
      <c r="D329" s="75" t="s">
        <v>4827</v>
      </c>
      <c r="E329" s="65" t="s">
        <v>4828</v>
      </c>
      <c r="F329" s="65" t="s">
        <v>4829</v>
      </c>
      <c r="G329" s="75" t="s">
        <v>174</v>
      </c>
      <c r="H329" s="65" t="s">
        <v>4830</v>
      </c>
      <c r="I329" s="65" t="s">
        <v>4831</v>
      </c>
      <c r="J329" s="65" t="s">
        <v>4832</v>
      </c>
      <c r="K329" s="75" t="s">
        <v>2684</v>
      </c>
      <c r="L329" s="75" t="s">
        <v>2686</v>
      </c>
      <c r="M329" s="562" t="s">
        <v>1098</v>
      </c>
      <c r="N329" s="67" t="s">
        <v>1108</v>
      </c>
      <c r="O329" s="71" t="s">
        <v>1746</v>
      </c>
      <c r="P329" s="47" t="s">
        <v>3645</v>
      </c>
      <c r="Q329" s="71" t="b">
        <v>1</v>
      </c>
      <c r="R329" s="65" t="s">
        <v>4833</v>
      </c>
      <c r="S329" s="72" t="s">
        <v>4834</v>
      </c>
      <c r="T329" s="47" t="s">
        <v>1961</v>
      </c>
      <c r="U329" s="560" t="s">
        <v>1441</v>
      </c>
      <c r="V329" s="472"/>
      <c r="W329" s="563" t="s">
        <v>3321</v>
      </c>
      <c r="X329" s="58"/>
      <c r="Y329" s="561"/>
    </row>
    <row r="330" ht="22.5" customHeight="1">
      <c r="A330" s="67" t="s">
        <v>1445</v>
      </c>
      <c r="B330" s="546" t="s">
        <v>219</v>
      </c>
      <c r="C330" s="65" t="s">
        <v>4835</v>
      </c>
      <c r="D330" s="75" t="s">
        <v>4836</v>
      </c>
      <c r="E330" s="75" t="s">
        <v>4837</v>
      </c>
      <c r="F330" s="75" t="s">
        <v>4838</v>
      </c>
      <c r="G330" s="75" t="s">
        <v>123</v>
      </c>
      <c r="H330" s="75" t="s">
        <v>4839</v>
      </c>
      <c r="I330" s="75" t="s">
        <v>4840</v>
      </c>
      <c r="J330" s="75" t="s">
        <v>4841</v>
      </c>
      <c r="K330" s="75" t="s">
        <v>2684</v>
      </c>
      <c r="L330" s="75" t="s">
        <v>2686</v>
      </c>
      <c r="M330" s="67" t="s">
        <v>1098</v>
      </c>
      <c r="N330" s="67" t="s">
        <v>1108</v>
      </c>
      <c r="O330" s="71" t="s">
        <v>1746</v>
      </c>
      <c r="P330" s="67" t="s">
        <v>1161</v>
      </c>
      <c r="Q330" s="71" t="b">
        <v>1</v>
      </c>
      <c r="R330" s="75" t="s">
        <v>4842</v>
      </c>
      <c r="S330" s="75" t="s">
        <v>3604</v>
      </c>
      <c r="T330" s="67" t="s">
        <v>1843</v>
      </c>
      <c r="U330" s="67" t="s">
        <v>3371</v>
      </c>
      <c r="V330" s="67"/>
      <c r="W330" s="284"/>
      <c r="X330" s="284"/>
      <c r="Y330" s="546"/>
    </row>
    <row r="331" ht="22.5" customHeight="1">
      <c r="A331" s="67" t="s">
        <v>1000</v>
      </c>
      <c r="B331" s="546" t="s">
        <v>219</v>
      </c>
      <c r="C331" s="65" t="s">
        <v>4843</v>
      </c>
      <c r="D331" s="75" t="s">
        <v>4844</v>
      </c>
      <c r="E331" s="75" t="s">
        <v>4845</v>
      </c>
      <c r="F331" s="75" t="s">
        <v>4846</v>
      </c>
      <c r="G331" s="75" t="s">
        <v>70</v>
      </c>
      <c r="H331" s="75" t="s">
        <v>4847</v>
      </c>
      <c r="I331" s="75" t="s">
        <v>4848</v>
      </c>
      <c r="J331" s="75" t="s">
        <v>4849</v>
      </c>
      <c r="K331" s="75" t="s">
        <v>2684</v>
      </c>
      <c r="L331" s="75" t="s">
        <v>2686</v>
      </c>
      <c r="M331" s="66"/>
      <c r="N331" s="67"/>
      <c r="O331" s="68"/>
      <c r="P331" s="67" t="s">
        <v>2019</v>
      </c>
      <c r="Q331" s="71" t="b">
        <v>1</v>
      </c>
      <c r="R331" s="75" t="s">
        <v>4850</v>
      </c>
      <c r="S331" s="564" t="s">
        <v>4851</v>
      </c>
      <c r="T331" s="67" t="s">
        <v>1843</v>
      </c>
      <c r="U331" s="47" t="s">
        <v>1161</v>
      </c>
      <c r="V331" s="70" t="s">
        <v>1161</v>
      </c>
      <c r="W331" s="284"/>
      <c r="X331" s="284"/>
      <c r="Y331" s="546"/>
    </row>
    <row r="332" ht="22.5" customHeight="1">
      <c r="A332" s="67" t="s">
        <v>1000</v>
      </c>
      <c r="B332" s="546" t="s">
        <v>4695</v>
      </c>
      <c r="C332" s="65" t="s">
        <v>4852</v>
      </c>
      <c r="D332" s="75" t="s">
        <v>4853</v>
      </c>
      <c r="E332" s="65" t="s">
        <v>4854</v>
      </c>
      <c r="F332" s="75" t="s">
        <v>4855</v>
      </c>
      <c r="G332" s="75" t="s">
        <v>70</v>
      </c>
      <c r="H332" s="75" t="s">
        <v>4856</v>
      </c>
      <c r="I332" s="75" t="s">
        <v>4857</v>
      </c>
      <c r="J332" s="75" t="s">
        <v>4858</v>
      </c>
      <c r="K332" s="75" t="s">
        <v>1338</v>
      </c>
      <c r="L332" s="75" t="s">
        <v>4195</v>
      </c>
      <c r="M332" s="67" t="s">
        <v>1746</v>
      </c>
      <c r="N332" s="67" t="s">
        <v>1108</v>
      </c>
      <c r="O332" s="71" t="s">
        <v>1746</v>
      </c>
      <c r="P332" s="67" t="s">
        <v>1401</v>
      </c>
      <c r="Q332" s="71" t="b">
        <v>1</v>
      </c>
      <c r="R332" s="75" t="s">
        <v>4859</v>
      </c>
      <c r="S332" s="564" t="s">
        <v>4860</v>
      </c>
      <c r="T332" s="67" t="s">
        <v>1843</v>
      </c>
      <c r="U332" s="47" t="s">
        <v>1161</v>
      </c>
      <c r="V332" s="70" t="s">
        <v>1161</v>
      </c>
      <c r="W332" s="284"/>
      <c r="X332" s="284"/>
      <c r="Y332" s="546"/>
    </row>
    <row r="333" ht="22.5" customHeight="1">
      <c r="A333" s="67" t="s">
        <v>1000</v>
      </c>
      <c r="B333" s="546" t="s">
        <v>219</v>
      </c>
      <c r="C333" s="65" t="s">
        <v>4861</v>
      </c>
      <c r="D333" s="75" t="s">
        <v>586</v>
      </c>
      <c r="E333" s="75" t="s">
        <v>4862</v>
      </c>
      <c r="F333" s="75" t="s">
        <v>4863</v>
      </c>
      <c r="G333" s="75" t="s">
        <v>70</v>
      </c>
      <c r="H333" s="75" t="s">
        <v>4864</v>
      </c>
      <c r="I333" s="75" t="s">
        <v>4865</v>
      </c>
      <c r="J333" s="95" t="s">
        <v>4866</v>
      </c>
      <c r="K333" s="75" t="s">
        <v>2684</v>
      </c>
      <c r="L333" s="75" t="s">
        <v>2686</v>
      </c>
      <c r="M333" s="67" t="s">
        <v>1098</v>
      </c>
      <c r="N333" s="67" t="s">
        <v>1108</v>
      </c>
      <c r="O333" s="71" t="s">
        <v>1746</v>
      </c>
      <c r="P333" s="67" t="s">
        <v>1161</v>
      </c>
      <c r="Q333" s="71" t="b">
        <v>1</v>
      </c>
      <c r="R333" s="75" t="s">
        <v>4867</v>
      </c>
      <c r="S333" s="72" t="s">
        <v>4868</v>
      </c>
      <c r="T333" s="67" t="s">
        <v>1843</v>
      </c>
      <c r="U333" s="47" t="s">
        <v>1161</v>
      </c>
      <c r="V333" s="70" t="s">
        <v>1161</v>
      </c>
      <c r="W333" s="284"/>
      <c r="X333" s="284"/>
      <c r="Y333" s="546"/>
    </row>
    <row r="334" ht="18.75" customHeight="1">
      <c r="A334" s="67" t="s">
        <v>1445</v>
      </c>
      <c r="B334" s="546" t="s">
        <v>4695</v>
      </c>
      <c r="C334" s="65" t="s">
        <v>4869</v>
      </c>
      <c r="D334" s="75" t="s">
        <v>4870</v>
      </c>
      <c r="E334" s="75" t="s">
        <v>4871</v>
      </c>
      <c r="F334" s="75" t="s">
        <v>4872</v>
      </c>
      <c r="G334" s="75" t="s">
        <v>70</v>
      </c>
      <c r="H334" s="75" t="s">
        <v>4873</v>
      </c>
      <c r="I334" s="75" t="s">
        <v>4874</v>
      </c>
      <c r="J334" s="95" t="s">
        <v>4875</v>
      </c>
      <c r="K334" s="75" t="s">
        <v>2684</v>
      </c>
      <c r="L334" s="75" t="s">
        <v>2686</v>
      </c>
      <c r="M334" s="67" t="s">
        <v>1098</v>
      </c>
      <c r="N334" s="67" t="s">
        <v>1108</v>
      </c>
      <c r="O334" s="71" t="s">
        <v>1746</v>
      </c>
      <c r="P334" s="67" t="s">
        <v>1401</v>
      </c>
      <c r="Q334" s="71" t="b">
        <v>1</v>
      </c>
      <c r="R334" s="75" t="s">
        <v>4876</v>
      </c>
      <c r="S334" s="75" t="s">
        <v>3452</v>
      </c>
      <c r="T334" s="67" t="s">
        <v>1843</v>
      </c>
      <c r="U334" s="67" t="s">
        <v>3371</v>
      </c>
      <c r="V334" s="66"/>
      <c r="W334" s="67"/>
      <c r="X334" s="284"/>
      <c r="Y334" s="546"/>
    </row>
    <row r="335" ht="22.5" customHeight="1">
      <c r="A335" s="519" t="s">
        <v>1445</v>
      </c>
      <c r="B335" s="546" t="s">
        <v>1311</v>
      </c>
      <c r="C335" s="65" t="s">
        <v>4877</v>
      </c>
      <c r="D335" s="75" t="s">
        <v>4878</v>
      </c>
      <c r="E335" s="75" t="s">
        <v>4879</v>
      </c>
      <c r="F335" s="75" t="s">
        <v>4880</v>
      </c>
      <c r="G335" s="75" t="s">
        <v>620</v>
      </c>
      <c r="H335" s="75" t="s">
        <v>4881</v>
      </c>
      <c r="I335" s="75" t="s">
        <v>4882</v>
      </c>
      <c r="J335" s="75" t="s">
        <v>4883</v>
      </c>
      <c r="K335" s="75" t="s">
        <v>2684</v>
      </c>
      <c r="L335" s="75" t="s">
        <v>4884</v>
      </c>
      <c r="M335" s="67" t="s">
        <v>1098</v>
      </c>
      <c r="N335" s="67" t="s">
        <v>1108</v>
      </c>
      <c r="O335" s="71" t="s">
        <v>1746</v>
      </c>
      <c r="P335" s="67" t="s">
        <v>1161</v>
      </c>
      <c r="Q335" s="71" t="b">
        <v>1</v>
      </c>
      <c r="R335" s="75" t="s">
        <v>4885</v>
      </c>
      <c r="S335" s="75" t="s">
        <v>3313</v>
      </c>
      <c r="T335" s="67" t="s">
        <v>1961</v>
      </c>
      <c r="U335" s="67" t="s">
        <v>3750</v>
      </c>
      <c r="V335" s="66"/>
      <c r="W335" s="67" t="s">
        <v>3413</v>
      </c>
      <c r="X335" s="284"/>
      <c r="Y335" s="546"/>
    </row>
    <row r="336" ht="22.5" customHeight="1">
      <c r="A336" s="67" t="s">
        <v>1000</v>
      </c>
      <c r="B336" s="546" t="s">
        <v>1212</v>
      </c>
      <c r="C336" s="65" t="s">
        <v>4886</v>
      </c>
      <c r="D336" s="75" t="s">
        <v>4887</v>
      </c>
      <c r="E336" s="75" t="s">
        <v>4888</v>
      </c>
      <c r="F336" s="75" t="s">
        <v>4889</v>
      </c>
      <c r="G336" s="75" t="s">
        <v>2980</v>
      </c>
      <c r="H336" s="75" t="s">
        <v>4890</v>
      </c>
      <c r="I336" s="75" t="s">
        <v>4891</v>
      </c>
      <c r="J336" s="75" t="s">
        <v>4892</v>
      </c>
      <c r="K336" s="75" t="s">
        <v>2684</v>
      </c>
      <c r="L336" s="75" t="s">
        <v>2686</v>
      </c>
      <c r="M336" s="67"/>
      <c r="N336" s="67"/>
      <c r="O336" s="71" t="s">
        <v>1746</v>
      </c>
      <c r="P336" s="67" t="s">
        <v>3645</v>
      </c>
      <c r="Q336" s="71" t="b">
        <v>1</v>
      </c>
      <c r="R336" s="75" t="s">
        <v>4893</v>
      </c>
      <c r="S336" s="72" t="s">
        <v>4894</v>
      </c>
      <c r="T336" s="67" t="s">
        <v>1843</v>
      </c>
      <c r="U336" s="47" t="s">
        <v>1161</v>
      </c>
      <c r="V336" s="66"/>
      <c r="W336" s="284"/>
      <c r="X336" s="284"/>
      <c r="Y336" s="546"/>
    </row>
    <row r="337" ht="22.5" customHeight="1">
      <c r="A337" s="67" t="s">
        <v>1444</v>
      </c>
      <c r="B337" s="546" t="s">
        <v>1212</v>
      </c>
      <c r="C337" s="65" t="s">
        <v>4895</v>
      </c>
      <c r="D337" s="75" t="s">
        <v>4896</v>
      </c>
      <c r="E337" s="75" t="s">
        <v>4897</v>
      </c>
      <c r="F337" s="75" t="s">
        <v>4898</v>
      </c>
      <c r="G337" s="75" t="s">
        <v>174</v>
      </c>
      <c r="H337" s="75" t="s">
        <v>4899</v>
      </c>
      <c r="I337" s="75" t="s">
        <v>4900</v>
      </c>
      <c r="J337" s="75" t="s">
        <v>4901</v>
      </c>
      <c r="K337" s="75" t="s">
        <v>2684</v>
      </c>
      <c r="L337" s="75" t="s">
        <v>2686</v>
      </c>
      <c r="M337" s="67" t="s">
        <v>1098</v>
      </c>
      <c r="N337" s="67" t="s">
        <v>1108</v>
      </c>
      <c r="O337" s="71" t="s">
        <v>1746</v>
      </c>
      <c r="P337" s="67" t="s">
        <v>1401</v>
      </c>
      <c r="Q337" s="71" t="b">
        <v>1</v>
      </c>
      <c r="R337" s="75" t="s">
        <v>4902</v>
      </c>
      <c r="S337" s="72" t="s">
        <v>4903</v>
      </c>
      <c r="T337" s="67" t="s">
        <v>1961</v>
      </c>
      <c r="U337" s="81" t="s">
        <v>1441</v>
      </c>
      <c r="V337" s="70" t="s">
        <v>3796</v>
      </c>
      <c r="W337" s="67" t="s">
        <v>3342</v>
      </c>
      <c r="X337" s="431"/>
      <c r="Y337" s="565"/>
    </row>
    <row r="338" ht="22.5" customHeight="1">
      <c r="A338" s="67" t="s">
        <v>1445</v>
      </c>
      <c r="B338" s="546" t="s">
        <v>1212</v>
      </c>
      <c r="C338" s="65" t="s">
        <v>4904</v>
      </c>
      <c r="D338" s="75" t="s">
        <v>414</v>
      </c>
      <c r="E338" s="75" t="s">
        <v>4905</v>
      </c>
      <c r="F338" s="75" t="s">
        <v>4906</v>
      </c>
      <c r="G338" s="75" t="s">
        <v>70</v>
      </c>
      <c r="H338" s="75" t="s">
        <v>4907</v>
      </c>
      <c r="I338" s="75" t="s">
        <v>4908</v>
      </c>
      <c r="J338" s="75" t="s">
        <v>430</v>
      </c>
      <c r="K338" s="75" t="s">
        <v>2684</v>
      </c>
      <c r="L338" s="75" t="s">
        <v>2686</v>
      </c>
      <c r="M338" s="67" t="s">
        <v>1098</v>
      </c>
      <c r="N338" s="67" t="s">
        <v>1108</v>
      </c>
      <c r="O338" s="71" t="s">
        <v>2018</v>
      </c>
      <c r="P338" s="67" t="s">
        <v>3645</v>
      </c>
      <c r="Q338" s="71" t="b">
        <v>1</v>
      </c>
      <c r="R338" s="75" t="s">
        <v>4909</v>
      </c>
      <c r="S338" s="72" t="s">
        <v>4910</v>
      </c>
      <c r="T338" s="67" t="s">
        <v>1961</v>
      </c>
      <c r="U338" s="67" t="s">
        <v>3371</v>
      </c>
      <c r="V338" s="66"/>
      <c r="W338" s="440"/>
      <c r="X338" s="441" t="s">
        <v>3314</v>
      </c>
      <c r="Y338" s="60"/>
    </row>
    <row r="339" ht="22.5" customHeight="1">
      <c r="A339" s="67" t="s">
        <v>1445</v>
      </c>
      <c r="B339" s="546" t="s">
        <v>1311</v>
      </c>
      <c r="C339" s="65" t="s">
        <v>4911</v>
      </c>
      <c r="D339" s="75" t="s">
        <v>4912</v>
      </c>
      <c r="E339" s="75" t="s">
        <v>4913</v>
      </c>
      <c r="F339" s="75" t="s">
        <v>4914</v>
      </c>
      <c r="G339" s="75" t="s">
        <v>663</v>
      </c>
      <c r="H339" s="75" t="s">
        <v>4915</v>
      </c>
      <c r="I339" s="75" t="s">
        <v>4916</v>
      </c>
      <c r="J339" s="75" t="s">
        <v>4917</v>
      </c>
      <c r="K339" s="75" t="s">
        <v>2684</v>
      </c>
      <c r="L339" s="75" t="s">
        <v>2686</v>
      </c>
      <c r="M339" s="67" t="s">
        <v>1098</v>
      </c>
      <c r="N339" s="67" t="s">
        <v>1108</v>
      </c>
      <c r="O339" s="71" t="s">
        <v>1746</v>
      </c>
      <c r="P339" s="67" t="s">
        <v>3645</v>
      </c>
      <c r="Q339" s="71" t="b">
        <v>1</v>
      </c>
      <c r="R339" s="75" t="s">
        <v>4918</v>
      </c>
      <c r="S339" s="72" t="s">
        <v>4919</v>
      </c>
      <c r="T339" s="67" t="s">
        <v>1961</v>
      </c>
      <c r="U339" s="67" t="s">
        <v>3371</v>
      </c>
      <c r="V339" s="66"/>
      <c r="W339" s="284"/>
      <c r="X339" s="284"/>
      <c r="Y339" s="546"/>
    </row>
    <row r="340" ht="22.5" customHeight="1">
      <c r="A340" s="67" t="s">
        <v>1445</v>
      </c>
      <c r="B340" s="546" t="s">
        <v>1212</v>
      </c>
      <c r="C340" s="65" t="s">
        <v>4920</v>
      </c>
      <c r="D340" s="75" t="s">
        <v>4921</v>
      </c>
      <c r="E340" s="75" t="s">
        <v>4922</v>
      </c>
      <c r="F340" s="75" t="s">
        <v>4923</v>
      </c>
      <c r="G340" s="75" t="s">
        <v>2891</v>
      </c>
      <c r="H340" s="75" t="s">
        <v>4924</v>
      </c>
      <c r="I340" s="75" t="s">
        <v>4925</v>
      </c>
      <c r="J340" s="75" t="s">
        <v>4926</v>
      </c>
      <c r="K340" s="75" t="s">
        <v>2684</v>
      </c>
      <c r="L340" s="75" t="s">
        <v>2686</v>
      </c>
      <c r="M340" s="67" t="s">
        <v>1098</v>
      </c>
      <c r="N340" s="67" t="s">
        <v>1108</v>
      </c>
      <c r="O340" s="71"/>
      <c r="P340" s="67" t="s">
        <v>1161</v>
      </c>
      <c r="Q340" s="71" t="b">
        <v>1</v>
      </c>
      <c r="R340" s="75" t="s">
        <v>4927</v>
      </c>
      <c r="S340" s="75" t="s">
        <v>4928</v>
      </c>
      <c r="T340" s="67" t="s">
        <v>1961</v>
      </c>
      <c r="U340" s="67" t="s">
        <v>3371</v>
      </c>
      <c r="V340" s="239" t="s">
        <v>1161</v>
      </c>
      <c r="W340" s="67"/>
      <c r="X340" s="284"/>
      <c r="Y340" s="546"/>
    </row>
    <row r="341" ht="22.5" customHeight="1">
      <c r="A341" s="67" t="s">
        <v>1445</v>
      </c>
      <c r="B341" s="546" t="s">
        <v>4695</v>
      </c>
      <c r="C341" s="65" t="s">
        <v>4929</v>
      </c>
      <c r="D341" s="75" t="s">
        <v>4930</v>
      </c>
      <c r="E341" s="75" t="s">
        <v>4931</v>
      </c>
      <c r="F341" s="75" t="s">
        <v>4932</v>
      </c>
      <c r="G341" s="75" t="s">
        <v>70</v>
      </c>
      <c r="H341" s="75" t="s">
        <v>4933</v>
      </c>
      <c r="I341" s="75" t="s">
        <v>4934</v>
      </c>
      <c r="J341" s="75" t="s">
        <v>4935</v>
      </c>
      <c r="K341" s="75" t="s">
        <v>2684</v>
      </c>
      <c r="L341" s="75" t="s">
        <v>2686</v>
      </c>
      <c r="M341" s="67" t="s">
        <v>1098</v>
      </c>
      <c r="N341" s="67" t="s">
        <v>1108</v>
      </c>
      <c r="O341" s="71" t="s">
        <v>1746</v>
      </c>
      <c r="P341" s="67" t="s">
        <v>3645</v>
      </c>
      <c r="Q341" s="71" t="b">
        <v>1</v>
      </c>
      <c r="R341" s="75" t="s">
        <v>4936</v>
      </c>
      <c r="S341" s="95" t="s">
        <v>4937</v>
      </c>
      <c r="T341" s="67" t="s">
        <v>1961</v>
      </c>
      <c r="U341" s="67" t="s">
        <v>3371</v>
      </c>
      <c r="V341" s="66"/>
      <c r="W341" s="284"/>
      <c r="X341" s="284"/>
      <c r="Y341" s="546"/>
    </row>
    <row r="342" ht="22.5" customHeight="1">
      <c r="A342" s="67" t="s">
        <v>1445</v>
      </c>
      <c r="B342" s="546" t="s">
        <v>219</v>
      </c>
      <c r="C342" s="65" t="s">
        <v>4938</v>
      </c>
      <c r="D342" s="75" t="s">
        <v>4939</v>
      </c>
      <c r="E342" s="75" t="s">
        <v>4940</v>
      </c>
      <c r="F342" s="75" t="s">
        <v>4941</v>
      </c>
      <c r="G342" s="75" t="s">
        <v>2185</v>
      </c>
      <c r="H342" s="75" t="s">
        <v>4942</v>
      </c>
      <c r="I342" s="75" t="s">
        <v>4943</v>
      </c>
      <c r="J342" s="75" t="s">
        <v>4944</v>
      </c>
      <c r="K342" s="75" t="s">
        <v>2684</v>
      </c>
      <c r="L342" s="75" t="s">
        <v>2686</v>
      </c>
      <c r="M342" s="67" t="s">
        <v>1098</v>
      </c>
      <c r="N342" s="67" t="s">
        <v>1108</v>
      </c>
      <c r="O342" s="71" t="s">
        <v>1746</v>
      </c>
      <c r="P342" s="67" t="s">
        <v>3645</v>
      </c>
      <c r="Q342" s="71" t="b">
        <v>1</v>
      </c>
      <c r="R342" s="75" t="s">
        <v>4945</v>
      </c>
      <c r="S342" s="75" t="s">
        <v>4946</v>
      </c>
      <c r="T342" s="67" t="s">
        <v>1961</v>
      </c>
      <c r="U342" s="67" t="s">
        <v>3371</v>
      </c>
      <c r="V342" s="66"/>
      <c r="W342" s="67"/>
      <c r="X342" s="284"/>
      <c r="Y342" s="546"/>
    </row>
    <row r="343" ht="22.5" customHeight="1">
      <c r="A343" s="535" t="s">
        <v>1435</v>
      </c>
      <c r="B343" s="546" t="s">
        <v>1212</v>
      </c>
      <c r="C343" s="468" t="s">
        <v>4947</v>
      </c>
      <c r="D343" s="75" t="s">
        <v>500</v>
      </c>
      <c r="E343" s="75" t="s">
        <v>4948</v>
      </c>
      <c r="F343" s="75" t="s">
        <v>4949</v>
      </c>
      <c r="G343" s="75" t="s">
        <v>70</v>
      </c>
      <c r="H343" s="75" t="s">
        <v>4950</v>
      </c>
      <c r="I343" s="75" t="s">
        <v>4951</v>
      </c>
      <c r="J343" s="75" t="s">
        <v>512</v>
      </c>
      <c r="K343" s="75" t="s">
        <v>2684</v>
      </c>
      <c r="L343" s="75" t="s">
        <v>2686</v>
      </c>
      <c r="M343" s="67" t="s">
        <v>1098</v>
      </c>
      <c r="N343" s="67" t="s">
        <v>1108</v>
      </c>
      <c r="O343" s="71" t="s">
        <v>1746</v>
      </c>
      <c r="P343" s="67" t="s">
        <v>3645</v>
      </c>
      <c r="Q343" s="71" t="b">
        <v>1</v>
      </c>
      <c r="R343" s="75" t="s">
        <v>4952</v>
      </c>
      <c r="S343" s="75" t="s">
        <v>4953</v>
      </c>
      <c r="T343" s="67" t="s">
        <v>1961</v>
      </c>
      <c r="U343" s="67" t="s">
        <v>3750</v>
      </c>
      <c r="V343" s="66"/>
      <c r="W343" s="462" t="s">
        <v>3413</v>
      </c>
      <c r="X343" s="284"/>
      <c r="Y343" s="546"/>
    </row>
    <row r="344" ht="22.5" customHeight="1">
      <c r="A344" s="67" t="s">
        <v>1445</v>
      </c>
      <c r="B344" s="546" t="s">
        <v>1311</v>
      </c>
      <c r="C344" s="65" t="s">
        <v>4954</v>
      </c>
      <c r="D344" s="75" t="s">
        <v>4955</v>
      </c>
      <c r="E344" s="75" t="s">
        <v>4956</v>
      </c>
      <c r="F344" s="75" t="s">
        <v>4957</v>
      </c>
      <c r="G344" s="75" t="s">
        <v>70</v>
      </c>
      <c r="H344" s="75" t="s">
        <v>4958</v>
      </c>
      <c r="I344" s="75" t="s">
        <v>4959</v>
      </c>
      <c r="J344" s="75" t="s">
        <v>4960</v>
      </c>
      <c r="K344" s="75" t="s">
        <v>1566</v>
      </c>
      <c r="L344" s="75" t="s">
        <v>4961</v>
      </c>
      <c r="M344" s="67" t="s">
        <v>1628</v>
      </c>
      <c r="N344" s="67" t="s">
        <v>1108</v>
      </c>
      <c r="O344" s="71" t="s">
        <v>1746</v>
      </c>
      <c r="P344" s="67" t="s">
        <v>1161</v>
      </c>
      <c r="Q344" s="71" t="b">
        <v>1</v>
      </c>
      <c r="R344" s="75" t="s">
        <v>4962</v>
      </c>
      <c r="S344" s="65" t="s">
        <v>3642</v>
      </c>
      <c r="T344" s="67" t="s">
        <v>1843</v>
      </c>
      <c r="U344" s="67" t="s">
        <v>3371</v>
      </c>
      <c r="V344" s="239" t="s">
        <v>1161</v>
      </c>
      <c r="W344" s="440"/>
      <c r="X344" s="441" t="s">
        <v>3314</v>
      </c>
      <c r="Y344" s="60"/>
    </row>
    <row r="345" ht="22.5" customHeight="1">
      <c r="A345" s="67" t="s">
        <v>1000</v>
      </c>
      <c r="B345" s="546" t="s">
        <v>1311</v>
      </c>
      <c r="C345" s="65" t="s">
        <v>4963</v>
      </c>
      <c r="D345" s="75" t="s">
        <v>4964</v>
      </c>
      <c r="E345" s="75" t="s">
        <v>4965</v>
      </c>
      <c r="F345" s="75" t="s">
        <v>4966</v>
      </c>
      <c r="G345" s="75" t="s">
        <v>70</v>
      </c>
      <c r="H345" s="75" t="s">
        <v>4967</v>
      </c>
      <c r="I345" s="75" t="s">
        <v>4968</v>
      </c>
      <c r="J345" s="75" t="s">
        <v>4969</v>
      </c>
      <c r="K345" s="75" t="s">
        <v>2684</v>
      </c>
      <c r="L345" s="75" t="s">
        <v>2686</v>
      </c>
      <c r="M345" s="67" t="s">
        <v>1098</v>
      </c>
      <c r="N345" s="67" t="s">
        <v>1108</v>
      </c>
      <c r="O345" s="71" t="s">
        <v>1746</v>
      </c>
      <c r="P345" s="67" t="s">
        <v>3645</v>
      </c>
      <c r="Q345" s="71" t="b">
        <v>1</v>
      </c>
      <c r="R345" s="75" t="s">
        <v>4970</v>
      </c>
      <c r="S345" s="531" t="s">
        <v>4971</v>
      </c>
      <c r="T345" s="67" t="s">
        <v>1843</v>
      </c>
      <c r="U345" s="67" t="s">
        <v>3455</v>
      </c>
      <c r="V345" s="67"/>
      <c r="W345" s="67"/>
      <c r="X345" s="284"/>
      <c r="Y345" s="546"/>
    </row>
    <row r="346" ht="22.5" customHeight="1">
      <c r="A346" s="566" t="s">
        <v>1442</v>
      </c>
      <c r="B346" s="546" t="s">
        <v>4695</v>
      </c>
      <c r="C346" s="65" t="s">
        <v>4972</v>
      </c>
      <c r="D346" s="75" t="s">
        <v>1268</v>
      </c>
      <c r="E346" s="75" t="s">
        <v>4973</v>
      </c>
      <c r="F346" s="75" t="s">
        <v>4974</v>
      </c>
      <c r="G346" s="75" t="s">
        <v>560</v>
      </c>
      <c r="H346" s="65" t="s">
        <v>4975</v>
      </c>
      <c r="I346" s="75" t="s">
        <v>4976</v>
      </c>
      <c r="J346" s="75" t="s">
        <v>1273</v>
      </c>
      <c r="K346" s="75" t="s">
        <v>2684</v>
      </c>
      <c r="L346" s="75" t="s">
        <v>2686</v>
      </c>
      <c r="M346" s="67" t="s">
        <v>1098</v>
      </c>
      <c r="N346" s="67" t="s">
        <v>1108</v>
      </c>
      <c r="O346" s="71" t="s">
        <v>1746</v>
      </c>
      <c r="P346" s="67" t="s">
        <v>1161</v>
      </c>
      <c r="Q346" s="71" t="b">
        <v>1</v>
      </c>
      <c r="R346" s="75" t="s">
        <v>4977</v>
      </c>
      <c r="S346" s="75" t="s">
        <v>4978</v>
      </c>
      <c r="T346" s="67" t="s">
        <v>1961</v>
      </c>
      <c r="U346" s="67" t="s">
        <v>3750</v>
      </c>
      <c r="V346" s="66"/>
      <c r="W346" s="462" t="s">
        <v>3413</v>
      </c>
      <c r="X346" s="284"/>
      <c r="Y346" s="546"/>
    </row>
    <row r="347" ht="22.5" customHeight="1">
      <c r="A347" s="67" t="s">
        <v>1435</v>
      </c>
      <c r="B347" s="546" t="s">
        <v>4695</v>
      </c>
      <c r="C347" s="468" t="s">
        <v>4979</v>
      </c>
      <c r="D347" s="75" t="s">
        <v>4980</v>
      </c>
      <c r="E347" s="75" t="s">
        <v>4981</v>
      </c>
      <c r="F347" s="75" t="s">
        <v>4982</v>
      </c>
      <c r="G347" s="75" t="s">
        <v>123</v>
      </c>
      <c r="H347" s="75" t="s">
        <v>4983</v>
      </c>
      <c r="I347" s="75" t="s">
        <v>4984</v>
      </c>
      <c r="J347" s="75" t="s">
        <v>4985</v>
      </c>
      <c r="K347" s="75" t="s">
        <v>2684</v>
      </c>
      <c r="L347" s="75" t="s">
        <v>2686</v>
      </c>
      <c r="M347" s="67" t="s">
        <v>1098</v>
      </c>
      <c r="N347" s="67" t="s">
        <v>1108</v>
      </c>
      <c r="O347" s="71" t="s">
        <v>1430</v>
      </c>
      <c r="P347" s="67" t="s">
        <v>3645</v>
      </c>
      <c r="Q347" s="71" t="b">
        <v>1</v>
      </c>
      <c r="R347" s="75" t="s">
        <v>4986</v>
      </c>
      <c r="S347" s="75" t="s">
        <v>4987</v>
      </c>
      <c r="T347" s="67" t="s">
        <v>1843</v>
      </c>
      <c r="U347" s="67" t="s">
        <v>3455</v>
      </c>
      <c r="V347" s="66"/>
      <c r="W347" s="67" t="s">
        <v>3413</v>
      </c>
      <c r="X347" s="284"/>
      <c r="Y347" s="546"/>
    </row>
    <row r="348" ht="22.5" customHeight="1">
      <c r="A348" s="519" t="s">
        <v>1442</v>
      </c>
      <c r="B348" s="546" t="s">
        <v>4695</v>
      </c>
      <c r="C348" s="65" t="s">
        <v>4988</v>
      </c>
      <c r="D348" s="75" t="s">
        <v>544</v>
      </c>
      <c r="E348" s="75" t="s">
        <v>4989</v>
      </c>
      <c r="F348" s="75" t="s">
        <v>4990</v>
      </c>
      <c r="G348" s="75" t="s">
        <v>70</v>
      </c>
      <c r="H348" s="65" t="s">
        <v>4991</v>
      </c>
      <c r="I348" s="75" t="s">
        <v>4992</v>
      </c>
      <c r="J348" s="75" t="s">
        <v>555</v>
      </c>
      <c r="K348" s="75" t="s">
        <v>2684</v>
      </c>
      <c r="L348" s="75" t="s">
        <v>2686</v>
      </c>
      <c r="M348" s="67" t="s">
        <v>1098</v>
      </c>
      <c r="N348" s="67" t="s">
        <v>1108</v>
      </c>
      <c r="O348" s="71" t="s">
        <v>2018</v>
      </c>
      <c r="P348" s="67" t="s">
        <v>1161</v>
      </c>
      <c r="Q348" s="71" t="b">
        <v>1</v>
      </c>
      <c r="R348" s="75" t="s">
        <v>4993</v>
      </c>
      <c r="S348" s="75" t="s">
        <v>3604</v>
      </c>
      <c r="T348" s="67" t="s">
        <v>1843</v>
      </c>
      <c r="U348" s="67" t="s">
        <v>3750</v>
      </c>
      <c r="V348" s="67"/>
      <c r="W348" s="462" t="s">
        <v>3321</v>
      </c>
      <c r="X348" s="284"/>
      <c r="Y348" s="546"/>
    </row>
    <row r="349" ht="22.5" customHeight="1">
      <c r="A349" s="67" t="s">
        <v>1445</v>
      </c>
      <c r="B349" s="546" t="s">
        <v>4695</v>
      </c>
      <c r="C349" s="65" t="s">
        <v>4994</v>
      </c>
      <c r="D349" s="75" t="s">
        <v>4995</v>
      </c>
      <c r="E349" s="75" t="s">
        <v>4996</v>
      </c>
      <c r="F349" s="75" t="s">
        <v>4997</v>
      </c>
      <c r="G349" s="75" t="s">
        <v>2185</v>
      </c>
      <c r="H349" s="65" t="s">
        <v>4998</v>
      </c>
      <c r="I349" s="75" t="s">
        <v>4999</v>
      </c>
      <c r="J349" s="75" t="s">
        <v>5000</v>
      </c>
      <c r="K349" s="75" t="s">
        <v>2684</v>
      </c>
      <c r="L349" s="75" t="s">
        <v>2686</v>
      </c>
      <c r="M349" s="562" t="s">
        <v>1098</v>
      </c>
      <c r="N349" s="67" t="s">
        <v>1108</v>
      </c>
      <c r="O349" s="71" t="s">
        <v>1746</v>
      </c>
      <c r="P349" s="67" t="s">
        <v>3645</v>
      </c>
      <c r="Q349" s="71" t="b">
        <v>1</v>
      </c>
      <c r="R349" s="75" t="s">
        <v>5001</v>
      </c>
      <c r="S349" s="75" t="s">
        <v>3364</v>
      </c>
      <c r="T349" s="67" t="s">
        <v>1843</v>
      </c>
      <c r="U349" s="67" t="s">
        <v>3371</v>
      </c>
      <c r="V349" s="67"/>
      <c r="W349" s="67" t="s">
        <v>3413</v>
      </c>
      <c r="X349" s="284"/>
      <c r="Y349" s="546"/>
    </row>
    <row r="350" ht="22.5" customHeight="1">
      <c r="A350" s="519" t="s">
        <v>1000</v>
      </c>
      <c r="B350" s="546" t="s">
        <v>1311</v>
      </c>
      <c r="C350" s="65" t="s">
        <v>5002</v>
      </c>
      <c r="D350" s="75" t="s">
        <v>5003</v>
      </c>
      <c r="E350" s="75" t="s">
        <v>5004</v>
      </c>
      <c r="F350" s="75" t="s">
        <v>5005</v>
      </c>
      <c r="G350" s="75" t="s">
        <v>70</v>
      </c>
      <c r="H350" s="65" t="s">
        <v>5006</v>
      </c>
      <c r="I350" s="75" t="s">
        <v>5007</v>
      </c>
      <c r="J350" s="75" t="s">
        <v>5008</v>
      </c>
      <c r="K350" s="75" t="s">
        <v>2684</v>
      </c>
      <c r="L350" s="75" t="s">
        <v>2686</v>
      </c>
      <c r="M350" s="67" t="s">
        <v>1098</v>
      </c>
      <c r="N350" s="67" t="s">
        <v>1108</v>
      </c>
      <c r="O350" s="71" t="s">
        <v>1746</v>
      </c>
      <c r="P350" s="67" t="s">
        <v>3645</v>
      </c>
      <c r="Q350" s="71" t="b">
        <v>1</v>
      </c>
      <c r="R350" s="75" t="s">
        <v>5009</v>
      </c>
      <c r="S350" s="75" t="s">
        <v>3428</v>
      </c>
      <c r="T350" s="67" t="s">
        <v>1843</v>
      </c>
      <c r="U350" s="67" t="s">
        <v>3750</v>
      </c>
      <c r="V350" s="67"/>
      <c r="W350" s="462" t="s">
        <v>3321</v>
      </c>
      <c r="X350" s="284"/>
      <c r="Y350" s="546"/>
    </row>
    <row r="351" ht="22.5" customHeight="1">
      <c r="A351" s="67" t="s">
        <v>1445</v>
      </c>
      <c r="B351" s="546" t="s">
        <v>4695</v>
      </c>
      <c r="C351" s="65" t="s">
        <v>5010</v>
      </c>
      <c r="D351" s="75" t="s">
        <v>1294</v>
      </c>
      <c r="E351" s="75" t="s">
        <v>5011</v>
      </c>
      <c r="F351" s="75" t="s">
        <v>5012</v>
      </c>
      <c r="G351" s="75" t="s">
        <v>560</v>
      </c>
      <c r="H351" s="65" t="s">
        <v>5013</v>
      </c>
      <c r="I351" s="75" t="s">
        <v>5014</v>
      </c>
      <c r="J351" s="75" t="s">
        <v>1296</v>
      </c>
      <c r="K351" s="75" t="s">
        <v>2684</v>
      </c>
      <c r="L351" s="75" t="s">
        <v>3998</v>
      </c>
      <c r="M351" s="67" t="s">
        <v>1098</v>
      </c>
      <c r="N351" s="67" t="s">
        <v>1108</v>
      </c>
      <c r="O351" s="71" t="s">
        <v>1746</v>
      </c>
      <c r="P351" s="67" t="s">
        <v>3645</v>
      </c>
      <c r="Q351" s="71" t="b">
        <v>1</v>
      </c>
      <c r="R351" s="75" t="s">
        <v>2828</v>
      </c>
      <c r="S351" s="75" t="s">
        <v>5015</v>
      </c>
      <c r="T351" s="67" t="s">
        <v>1961</v>
      </c>
      <c r="U351" s="67" t="s">
        <v>3371</v>
      </c>
      <c r="V351" s="67"/>
      <c r="W351" s="284"/>
      <c r="X351" s="284"/>
      <c r="Y351" s="546"/>
    </row>
    <row r="352" ht="22.5" customHeight="1">
      <c r="A352" s="519" t="s">
        <v>1442</v>
      </c>
      <c r="B352" s="546" t="s">
        <v>219</v>
      </c>
      <c r="C352" s="65" t="s">
        <v>5016</v>
      </c>
      <c r="D352" s="75" t="s">
        <v>586</v>
      </c>
      <c r="E352" s="75" t="s">
        <v>4862</v>
      </c>
      <c r="F352" s="75" t="s">
        <v>4863</v>
      </c>
      <c r="G352" s="75" t="s">
        <v>70</v>
      </c>
      <c r="H352" s="75" t="s">
        <v>4864</v>
      </c>
      <c r="I352" s="75" t="s">
        <v>4865</v>
      </c>
      <c r="J352" s="95" t="s">
        <v>590</v>
      </c>
      <c r="K352" s="75" t="s">
        <v>3884</v>
      </c>
      <c r="L352" s="75" t="s">
        <v>3885</v>
      </c>
      <c r="M352" s="67" t="s">
        <v>1098</v>
      </c>
      <c r="N352" s="67" t="s">
        <v>1108</v>
      </c>
      <c r="O352" s="71" t="s">
        <v>1746</v>
      </c>
      <c r="P352" s="67" t="s">
        <v>3645</v>
      </c>
      <c r="Q352" s="71" t="b">
        <v>1</v>
      </c>
      <c r="R352" s="75" t="s">
        <v>5017</v>
      </c>
      <c r="S352" s="521" t="s">
        <v>5018</v>
      </c>
      <c r="T352" s="67" t="s">
        <v>1961</v>
      </c>
      <c r="U352" s="67" t="s">
        <v>3750</v>
      </c>
      <c r="V352" s="284"/>
      <c r="W352" s="462" t="s">
        <v>3321</v>
      </c>
      <c r="X352" s="355"/>
      <c r="Y352" s="559"/>
    </row>
    <row r="353" ht="22.5" customHeight="1">
      <c r="A353" s="567" t="s">
        <v>1000</v>
      </c>
      <c r="B353" s="402" t="s">
        <v>1311</v>
      </c>
      <c r="C353" s="568" t="s">
        <v>5019</v>
      </c>
      <c r="D353" s="569" t="s">
        <v>4622</v>
      </c>
      <c r="E353" s="396" t="s">
        <v>4623</v>
      </c>
      <c r="F353" s="570" t="s">
        <v>5020</v>
      </c>
      <c r="G353" s="402" t="s">
        <v>2618</v>
      </c>
      <c r="H353" s="396" t="s">
        <v>4625</v>
      </c>
      <c r="I353" s="396" t="s">
        <v>4626</v>
      </c>
      <c r="J353" s="571" t="s">
        <v>5021</v>
      </c>
      <c r="K353" s="568" t="s">
        <v>2507</v>
      </c>
      <c r="L353" s="396" t="s">
        <v>5022</v>
      </c>
      <c r="M353" s="572"/>
      <c r="N353" s="573" t="s">
        <v>1549</v>
      </c>
      <c r="O353" s="396"/>
      <c r="P353" s="573" t="s">
        <v>2019</v>
      </c>
      <c r="Q353" s="552" t="b">
        <v>1</v>
      </c>
      <c r="R353" s="568" t="s">
        <v>5023</v>
      </c>
      <c r="S353" s="574" t="s">
        <v>5024</v>
      </c>
      <c r="T353" s="575" t="s">
        <v>1961</v>
      </c>
      <c r="U353" s="47" t="s">
        <v>1161</v>
      </c>
      <c r="V353" s="576"/>
      <c r="W353" s="577"/>
      <c r="X353" s="577"/>
      <c r="Y353" s="578"/>
    </row>
    <row r="354" ht="22.5" customHeight="1">
      <c r="A354" s="579" t="s">
        <v>1435</v>
      </c>
      <c r="B354" s="578" t="s">
        <v>4695</v>
      </c>
      <c r="C354" s="580" t="s">
        <v>5025</v>
      </c>
      <c r="D354" s="581" t="s">
        <v>5026</v>
      </c>
      <c r="E354" s="582" t="s">
        <v>4112</v>
      </c>
      <c r="F354" s="394" t="s">
        <v>5027</v>
      </c>
      <c r="G354" s="75" t="s">
        <v>2980</v>
      </c>
      <c r="H354" s="394" t="s">
        <v>5028</v>
      </c>
      <c r="I354" s="394" t="s">
        <v>5029</v>
      </c>
      <c r="J354" s="564" t="s">
        <v>5030</v>
      </c>
      <c r="K354" s="75" t="s">
        <v>2684</v>
      </c>
      <c r="L354" s="75" t="s">
        <v>2686</v>
      </c>
      <c r="M354" s="583" t="s">
        <v>1098</v>
      </c>
      <c r="N354" s="583" t="s">
        <v>1108</v>
      </c>
      <c r="O354" s="584" t="s">
        <v>1746</v>
      </c>
      <c r="P354" s="583" t="s">
        <v>1161</v>
      </c>
      <c r="Q354" s="585" t="b">
        <v>1</v>
      </c>
      <c r="R354" s="564" t="s">
        <v>5031</v>
      </c>
      <c r="S354" s="72" t="s">
        <v>5032</v>
      </c>
      <c r="T354" s="586" t="s">
        <v>1961</v>
      </c>
      <c r="U354" s="587" t="s">
        <v>3455</v>
      </c>
      <c r="V354" s="588"/>
      <c r="W354" s="589" t="s">
        <v>3413</v>
      </c>
      <c r="X354" s="577"/>
      <c r="Y354" s="578"/>
    </row>
    <row r="355" ht="22.5" customHeight="1">
      <c r="A355" s="590" t="s">
        <v>1445</v>
      </c>
      <c r="B355" s="578" t="s">
        <v>4695</v>
      </c>
      <c r="C355" s="564" t="s">
        <v>5033</v>
      </c>
      <c r="D355" s="581" t="s">
        <v>5034</v>
      </c>
      <c r="E355" s="582" t="s">
        <v>5035</v>
      </c>
      <c r="F355" s="394" t="s">
        <v>5036</v>
      </c>
      <c r="G355" s="75" t="s">
        <v>3927</v>
      </c>
      <c r="H355" s="394" t="s">
        <v>5037</v>
      </c>
      <c r="I355" s="394" t="s">
        <v>5038</v>
      </c>
      <c r="J355" s="72" t="s">
        <v>5039</v>
      </c>
      <c r="K355" s="75" t="s">
        <v>2684</v>
      </c>
      <c r="L355" s="75" t="s">
        <v>2686</v>
      </c>
      <c r="M355" s="583" t="s">
        <v>1098</v>
      </c>
      <c r="N355" s="583" t="s">
        <v>1108</v>
      </c>
      <c r="O355" s="584" t="s">
        <v>1746</v>
      </c>
      <c r="P355" s="583" t="s">
        <v>3645</v>
      </c>
      <c r="Q355" s="585" t="b">
        <v>1</v>
      </c>
      <c r="R355" s="542" t="s">
        <v>5040</v>
      </c>
      <c r="S355" s="72" t="s">
        <v>5041</v>
      </c>
      <c r="T355" s="586" t="s">
        <v>1961</v>
      </c>
      <c r="U355" s="590" t="s">
        <v>3371</v>
      </c>
      <c r="V355" s="588"/>
      <c r="W355" s="577"/>
      <c r="X355" s="577"/>
      <c r="Y355" s="578"/>
    </row>
    <row r="356" ht="22.5" customHeight="1">
      <c r="A356" s="590" t="s">
        <v>1000</v>
      </c>
      <c r="B356" s="578" t="s">
        <v>219</v>
      </c>
      <c r="C356" s="564" t="s">
        <v>5042</v>
      </c>
      <c r="D356" s="581" t="s">
        <v>5043</v>
      </c>
      <c r="E356" s="582" t="s">
        <v>5044</v>
      </c>
      <c r="F356" s="394" t="s">
        <v>5045</v>
      </c>
      <c r="G356" s="75" t="s">
        <v>560</v>
      </c>
      <c r="H356" s="394" t="s">
        <v>5046</v>
      </c>
      <c r="I356" s="394" t="s">
        <v>5047</v>
      </c>
      <c r="J356" s="564" t="s">
        <v>5048</v>
      </c>
      <c r="K356" s="75" t="s">
        <v>2684</v>
      </c>
      <c r="L356" s="75" t="s">
        <v>2686</v>
      </c>
      <c r="M356" s="583" t="s">
        <v>1098</v>
      </c>
      <c r="N356" s="583" t="s">
        <v>1108</v>
      </c>
      <c r="O356" s="584" t="s">
        <v>1746</v>
      </c>
      <c r="P356" s="583" t="s">
        <v>2019</v>
      </c>
      <c r="Q356" s="585" t="b">
        <v>1</v>
      </c>
      <c r="R356" s="564" t="s">
        <v>5049</v>
      </c>
      <c r="S356" s="72" t="s">
        <v>5050</v>
      </c>
      <c r="T356" s="586" t="s">
        <v>1843</v>
      </c>
      <c r="U356" s="47" t="s">
        <v>1161</v>
      </c>
      <c r="V356" s="591" t="s">
        <v>3796</v>
      </c>
      <c r="W356" s="577"/>
      <c r="X356" s="577"/>
      <c r="Y356" s="578"/>
    </row>
    <row r="357" ht="22.5" customHeight="1">
      <c r="A357" s="590" t="s">
        <v>1000</v>
      </c>
      <c r="B357" s="578" t="s">
        <v>4695</v>
      </c>
      <c r="C357" s="564" t="s">
        <v>5051</v>
      </c>
      <c r="D357" s="581" t="s">
        <v>5052</v>
      </c>
      <c r="E357" s="582" t="s">
        <v>5053</v>
      </c>
      <c r="F357" s="394" t="s">
        <v>5054</v>
      </c>
      <c r="G357" s="75" t="s">
        <v>5055</v>
      </c>
      <c r="H357" s="394" t="s">
        <v>5056</v>
      </c>
      <c r="I357" s="394" t="s">
        <v>5057</v>
      </c>
      <c r="J357" s="564" t="s">
        <v>5058</v>
      </c>
      <c r="K357" s="75" t="s">
        <v>2684</v>
      </c>
      <c r="L357" s="75" t="s">
        <v>2686</v>
      </c>
      <c r="M357" s="592" t="s">
        <v>1098</v>
      </c>
      <c r="N357" s="583" t="s">
        <v>1108</v>
      </c>
      <c r="O357" s="584" t="s">
        <v>1746</v>
      </c>
      <c r="P357" s="583" t="s">
        <v>1161</v>
      </c>
      <c r="Q357" s="585" t="b">
        <v>1</v>
      </c>
      <c r="R357" s="564" t="s">
        <v>5059</v>
      </c>
      <c r="S357" s="95" t="s">
        <v>5060</v>
      </c>
      <c r="T357" s="586" t="s">
        <v>1961</v>
      </c>
      <c r="U357" s="47" t="s">
        <v>1161</v>
      </c>
      <c r="V357" s="591"/>
      <c r="W357" s="577"/>
      <c r="X357" s="577"/>
      <c r="Y357" s="578"/>
    </row>
    <row r="358" ht="22.5" customHeight="1">
      <c r="A358" s="590" t="s">
        <v>1445</v>
      </c>
      <c r="B358" s="578" t="s">
        <v>4695</v>
      </c>
      <c r="C358" s="564" t="s">
        <v>5061</v>
      </c>
      <c r="D358" s="394" t="s">
        <v>5062</v>
      </c>
      <c r="E358" s="394" t="s">
        <v>5063</v>
      </c>
      <c r="F358" s="394" t="s">
        <v>5064</v>
      </c>
      <c r="G358" s="564" t="s">
        <v>5065</v>
      </c>
      <c r="H358" s="394" t="s">
        <v>5066</v>
      </c>
      <c r="I358" s="394" t="s">
        <v>5067</v>
      </c>
      <c r="J358" s="564" t="s">
        <v>5068</v>
      </c>
      <c r="K358" s="75" t="s">
        <v>3884</v>
      </c>
      <c r="L358" s="75" t="s">
        <v>3885</v>
      </c>
      <c r="M358" s="592" t="s">
        <v>1098</v>
      </c>
      <c r="N358" s="583" t="s">
        <v>1108</v>
      </c>
      <c r="O358" s="584" t="s">
        <v>1746</v>
      </c>
      <c r="P358" s="583" t="s">
        <v>3645</v>
      </c>
      <c r="Q358" s="585" t="b">
        <v>1</v>
      </c>
      <c r="R358" s="564" t="s">
        <v>5069</v>
      </c>
      <c r="S358" s="564" t="s">
        <v>5070</v>
      </c>
      <c r="T358" s="586" t="s">
        <v>1961</v>
      </c>
      <c r="U358" s="590" t="s">
        <v>3371</v>
      </c>
      <c r="V358" s="239" t="s">
        <v>1161</v>
      </c>
      <c r="W358" s="440"/>
      <c r="X358" s="441" t="s">
        <v>3314</v>
      </c>
      <c r="Y358" s="60"/>
    </row>
    <row r="359" ht="22.5" customHeight="1">
      <c r="A359" s="590" t="s">
        <v>1445</v>
      </c>
      <c r="B359" s="578" t="s">
        <v>1311</v>
      </c>
      <c r="C359" s="564" t="s">
        <v>5071</v>
      </c>
      <c r="D359" s="581" t="s">
        <v>5072</v>
      </c>
      <c r="E359" s="394" t="s">
        <v>5073</v>
      </c>
      <c r="F359" s="394" t="s">
        <v>5074</v>
      </c>
      <c r="G359" s="564" t="s">
        <v>2071</v>
      </c>
      <c r="H359" s="394" t="s">
        <v>5075</v>
      </c>
      <c r="I359" s="394" t="s">
        <v>5076</v>
      </c>
      <c r="J359" s="564" t="s">
        <v>5077</v>
      </c>
      <c r="K359" s="75" t="s">
        <v>2684</v>
      </c>
      <c r="L359" s="75" t="s">
        <v>2686</v>
      </c>
      <c r="M359" s="583" t="s">
        <v>1098</v>
      </c>
      <c r="N359" s="583" t="s">
        <v>1108</v>
      </c>
      <c r="O359" s="584" t="s">
        <v>1746</v>
      </c>
      <c r="P359" s="583" t="s">
        <v>1161</v>
      </c>
      <c r="Q359" s="585" t="b">
        <v>1</v>
      </c>
      <c r="R359" s="72" t="s">
        <v>5078</v>
      </c>
      <c r="S359" s="75" t="s">
        <v>3593</v>
      </c>
      <c r="T359" s="586" t="s">
        <v>1843</v>
      </c>
      <c r="U359" s="590" t="s">
        <v>3371</v>
      </c>
      <c r="V359" s="591"/>
      <c r="W359" s="589"/>
      <c r="X359" s="577"/>
      <c r="Y359" s="578"/>
    </row>
    <row r="360" ht="22.5" customHeight="1">
      <c r="A360" s="593" t="s">
        <v>1000</v>
      </c>
      <c r="B360" s="549" t="s">
        <v>1212</v>
      </c>
      <c r="C360" s="564" t="s">
        <v>5079</v>
      </c>
      <c r="D360" s="569" t="s">
        <v>4887</v>
      </c>
      <c r="E360" s="396" t="s">
        <v>4888</v>
      </c>
      <c r="F360" s="396" t="s">
        <v>4889</v>
      </c>
      <c r="G360" s="402" t="s">
        <v>2980</v>
      </c>
      <c r="H360" s="396" t="s">
        <v>4890</v>
      </c>
      <c r="I360" s="396" t="s">
        <v>4891</v>
      </c>
      <c r="J360" s="568" t="s">
        <v>5080</v>
      </c>
      <c r="K360" s="594" t="s">
        <v>3884</v>
      </c>
      <c r="L360" s="594" t="s">
        <v>3885</v>
      </c>
      <c r="M360" s="595"/>
      <c r="N360" s="595"/>
      <c r="O360" s="596"/>
      <c r="P360" s="597"/>
      <c r="Q360" s="415"/>
      <c r="R360" s="568" t="s">
        <v>5081</v>
      </c>
      <c r="S360" s="598" t="s">
        <v>5082</v>
      </c>
      <c r="T360" s="599" t="s">
        <v>1961</v>
      </c>
      <c r="U360" s="47" t="s">
        <v>1161</v>
      </c>
      <c r="V360" s="600"/>
      <c r="W360" s="601"/>
      <c r="X360" s="601"/>
      <c r="Y360" s="602"/>
    </row>
    <row r="361" ht="22.5" customHeight="1">
      <c r="A361" s="603" t="s">
        <v>1445</v>
      </c>
      <c r="B361" s="578" t="s">
        <v>4695</v>
      </c>
      <c r="C361" s="564" t="s">
        <v>5083</v>
      </c>
      <c r="D361" s="353" t="s">
        <v>5034</v>
      </c>
      <c r="E361" s="394" t="s">
        <v>5035</v>
      </c>
      <c r="F361" s="394" t="s">
        <v>5036</v>
      </c>
      <c r="G361" s="564" t="s">
        <v>3927</v>
      </c>
      <c r="H361" s="394" t="s">
        <v>5084</v>
      </c>
      <c r="I361" s="394" t="s">
        <v>5038</v>
      </c>
      <c r="J361" s="72" t="s">
        <v>5085</v>
      </c>
      <c r="K361" s="75" t="s">
        <v>1566</v>
      </c>
      <c r="L361" s="75" t="s">
        <v>5086</v>
      </c>
      <c r="M361" s="603" t="s">
        <v>1098</v>
      </c>
      <c r="N361" s="603" t="s">
        <v>1108</v>
      </c>
      <c r="O361" s="604" t="s">
        <v>1746</v>
      </c>
      <c r="P361" s="401"/>
      <c r="Q361" s="399" t="b">
        <v>0</v>
      </c>
      <c r="R361" s="564" t="s">
        <v>5087</v>
      </c>
      <c r="S361" s="72" t="s">
        <v>5088</v>
      </c>
      <c r="T361" s="605" t="s">
        <v>1843</v>
      </c>
      <c r="U361" s="605" t="s">
        <v>3371</v>
      </c>
      <c r="V361" s="588"/>
      <c r="W361" s="603" t="s">
        <v>3413</v>
      </c>
      <c r="X361" s="426"/>
      <c r="Y361" s="606"/>
    </row>
    <row r="362" ht="22.5" customHeight="1">
      <c r="A362" s="603" t="s">
        <v>1445</v>
      </c>
      <c r="B362" s="578" t="s">
        <v>4695</v>
      </c>
      <c r="C362" s="564" t="s">
        <v>5089</v>
      </c>
      <c r="D362" s="581" t="s">
        <v>636</v>
      </c>
      <c r="E362" s="394" t="s">
        <v>5090</v>
      </c>
      <c r="F362" s="394" t="s">
        <v>5091</v>
      </c>
      <c r="G362" s="564" t="s">
        <v>70</v>
      </c>
      <c r="H362" s="394" t="s">
        <v>5092</v>
      </c>
      <c r="I362" s="65" t="s">
        <v>5093</v>
      </c>
      <c r="J362" s="564" t="s">
        <v>647</v>
      </c>
      <c r="K362" s="75" t="s">
        <v>2684</v>
      </c>
      <c r="L362" s="75" t="s">
        <v>2686</v>
      </c>
      <c r="M362" s="603" t="s">
        <v>1098</v>
      </c>
      <c r="N362" s="603" t="s">
        <v>1108</v>
      </c>
      <c r="O362" s="604" t="s">
        <v>1746</v>
      </c>
      <c r="P362" s="607" t="s">
        <v>3645</v>
      </c>
      <c r="Q362" s="585" t="b">
        <v>1</v>
      </c>
      <c r="R362" s="564" t="s">
        <v>5094</v>
      </c>
      <c r="S362" s="75" t="s">
        <v>4825</v>
      </c>
      <c r="T362" s="605" t="s">
        <v>1961</v>
      </c>
      <c r="U362" s="605" t="s">
        <v>3371</v>
      </c>
      <c r="V362" s="588"/>
      <c r="W362" s="601"/>
      <c r="X362" s="601"/>
      <c r="Y362" s="602"/>
    </row>
    <row r="363" ht="22.5" customHeight="1">
      <c r="A363" s="608" t="s">
        <v>1445</v>
      </c>
      <c r="B363" s="578" t="s">
        <v>1212</v>
      </c>
      <c r="C363" s="564" t="s">
        <v>5095</v>
      </c>
      <c r="D363" s="581" t="s">
        <v>5096</v>
      </c>
      <c r="E363" s="394" t="s">
        <v>5097</v>
      </c>
      <c r="F363" s="353" t="s">
        <v>5098</v>
      </c>
      <c r="G363" s="564" t="s">
        <v>70</v>
      </c>
      <c r="H363" s="394" t="s">
        <v>5099</v>
      </c>
      <c r="I363" s="394" t="s">
        <v>5100</v>
      </c>
      <c r="J363" s="609" t="s">
        <v>5101</v>
      </c>
      <c r="K363" s="75" t="s">
        <v>2684</v>
      </c>
      <c r="L363" s="75" t="s">
        <v>2686</v>
      </c>
      <c r="M363" s="610" t="s">
        <v>1098</v>
      </c>
      <c r="N363" s="603" t="s">
        <v>1108</v>
      </c>
      <c r="O363" s="604" t="s">
        <v>1746</v>
      </c>
      <c r="P363" s="607" t="s">
        <v>3645</v>
      </c>
      <c r="Q363" s="585" t="b">
        <v>1</v>
      </c>
      <c r="R363" s="72" t="s">
        <v>5102</v>
      </c>
      <c r="S363" s="531" t="s">
        <v>4206</v>
      </c>
      <c r="T363" s="605" t="s">
        <v>1961</v>
      </c>
      <c r="U363" s="605" t="s">
        <v>3371</v>
      </c>
      <c r="V363" s="588"/>
      <c r="W363" s="603"/>
      <c r="X363" s="601"/>
      <c r="Y363" s="602"/>
    </row>
    <row r="364" ht="22.5" customHeight="1">
      <c r="A364" s="519" t="s">
        <v>1442</v>
      </c>
      <c r="B364" s="65" t="s">
        <v>1212</v>
      </c>
      <c r="C364" s="564" t="s">
        <v>5103</v>
      </c>
      <c r="D364" s="521" t="s">
        <v>700</v>
      </c>
      <c r="E364" s="75" t="s">
        <v>4137</v>
      </c>
      <c r="F364" s="65" t="s">
        <v>4138</v>
      </c>
      <c r="G364" s="65" t="s">
        <v>70</v>
      </c>
      <c r="H364" s="65" t="s">
        <v>5104</v>
      </c>
      <c r="I364" s="65" t="s">
        <v>5105</v>
      </c>
      <c r="J364" s="75" t="s">
        <v>703</v>
      </c>
      <c r="K364" s="75" t="s">
        <v>2684</v>
      </c>
      <c r="L364" s="65" t="s">
        <v>2686</v>
      </c>
      <c r="M364" s="70" t="s">
        <v>1098</v>
      </c>
      <c r="N364" s="70" t="s">
        <v>1108</v>
      </c>
      <c r="O364" s="75" t="s">
        <v>1746</v>
      </c>
      <c r="P364" s="70" t="s">
        <v>3645</v>
      </c>
      <c r="Q364" s="71" t="b">
        <v>1</v>
      </c>
      <c r="R364" s="75" t="s">
        <v>5106</v>
      </c>
      <c r="S364" s="75" t="s">
        <v>3428</v>
      </c>
      <c r="T364" s="239" t="s">
        <v>1961</v>
      </c>
      <c r="U364" s="81" t="s">
        <v>3750</v>
      </c>
      <c r="V364" s="67"/>
      <c r="W364" s="462" t="s">
        <v>3321</v>
      </c>
      <c r="X364" s="511"/>
      <c r="Y364" s="515"/>
    </row>
    <row r="365" ht="22.5" customHeight="1">
      <c r="A365" s="611" t="s">
        <v>1000</v>
      </c>
      <c r="B365" s="402" t="s">
        <v>1311</v>
      </c>
      <c r="C365" s="564" t="s">
        <v>5107</v>
      </c>
      <c r="D365" s="569" t="s">
        <v>4647</v>
      </c>
      <c r="E365" s="396" t="s">
        <v>4648</v>
      </c>
      <c r="F365" s="396" t="s">
        <v>4649</v>
      </c>
      <c r="G365" s="402" t="s">
        <v>2185</v>
      </c>
      <c r="H365" s="396" t="s">
        <v>4650</v>
      </c>
      <c r="I365" s="396" t="s">
        <v>4651</v>
      </c>
      <c r="J365" s="568" t="s">
        <v>5108</v>
      </c>
      <c r="K365" s="568" t="s">
        <v>5109</v>
      </c>
      <c r="L365" s="570" t="s">
        <v>5110</v>
      </c>
      <c r="M365" s="612"/>
      <c r="N365" s="612"/>
      <c r="O365" s="613"/>
      <c r="P365" s="614" t="s">
        <v>1401</v>
      </c>
      <c r="Q365" s="552" t="b">
        <v>1</v>
      </c>
      <c r="R365" s="568" t="s">
        <v>5111</v>
      </c>
      <c r="S365" s="615" t="s">
        <v>4654</v>
      </c>
      <c r="T365" s="616" t="s">
        <v>1961</v>
      </c>
      <c r="U365" s="617" t="s">
        <v>3673</v>
      </c>
      <c r="V365" s="600"/>
      <c r="W365" s="603" t="s">
        <v>3321</v>
      </c>
      <c r="X365" s="601"/>
      <c r="Y365" s="602"/>
    </row>
    <row r="366" ht="22.5" customHeight="1">
      <c r="A366" s="618" t="s">
        <v>1435</v>
      </c>
      <c r="B366" s="578" t="s">
        <v>4695</v>
      </c>
      <c r="C366" s="564" t="s">
        <v>5112</v>
      </c>
      <c r="D366" s="75" t="s">
        <v>1390</v>
      </c>
      <c r="E366" s="394" t="s">
        <v>5113</v>
      </c>
      <c r="F366" s="353" t="s">
        <v>5114</v>
      </c>
      <c r="G366" s="75" t="s">
        <v>560</v>
      </c>
      <c r="H366" s="394" t="s">
        <v>5115</v>
      </c>
      <c r="I366" s="394" t="s">
        <v>5116</v>
      </c>
      <c r="J366" s="609" t="s">
        <v>1392</v>
      </c>
      <c r="K366" s="75" t="s">
        <v>2684</v>
      </c>
      <c r="L366" s="65" t="s">
        <v>2686</v>
      </c>
      <c r="M366" s="603" t="s">
        <v>1098</v>
      </c>
      <c r="N366" s="603" t="s">
        <v>1108</v>
      </c>
      <c r="O366" s="604" t="s">
        <v>1746</v>
      </c>
      <c r="P366" s="607" t="s">
        <v>1401</v>
      </c>
      <c r="Q366" s="585" t="b">
        <v>1</v>
      </c>
      <c r="R366" s="564" t="s">
        <v>5117</v>
      </c>
      <c r="S366" s="75" t="s">
        <v>5118</v>
      </c>
      <c r="T366" s="605" t="s">
        <v>1843</v>
      </c>
      <c r="U366" s="605" t="s">
        <v>3750</v>
      </c>
      <c r="V366" s="588"/>
      <c r="W366" s="603" t="s">
        <v>3413</v>
      </c>
      <c r="X366" s="601"/>
      <c r="Y366" s="602"/>
    </row>
    <row r="367" ht="22.5" customHeight="1">
      <c r="A367" s="70" t="s">
        <v>1435</v>
      </c>
      <c r="B367" s="578" t="s">
        <v>4695</v>
      </c>
      <c r="C367" s="580" t="s">
        <v>5119</v>
      </c>
      <c r="D367" s="581" t="s">
        <v>1282</v>
      </c>
      <c r="E367" s="394" t="s">
        <v>5120</v>
      </c>
      <c r="F367" s="353" t="s">
        <v>5121</v>
      </c>
      <c r="G367" s="564" t="s">
        <v>1260</v>
      </c>
      <c r="H367" s="394" t="s">
        <v>5122</v>
      </c>
      <c r="I367" s="394" t="s">
        <v>5123</v>
      </c>
      <c r="J367" s="609" t="s">
        <v>1284</v>
      </c>
      <c r="K367" s="75" t="s">
        <v>2684</v>
      </c>
      <c r="L367" s="65" t="s">
        <v>2686</v>
      </c>
      <c r="M367" s="603" t="s">
        <v>1098</v>
      </c>
      <c r="N367" s="603" t="s">
        <v>1108</v>
      </c>
      <c r="O367" s="604" t="s">
        <v>1746</v>
      </c>
      <c r="P367" s="607" t="s">
        <v>1161</v>
      </c>
      <c r="Q367" s="585" t="b">
        <v>1</v>
      </c>
      <c r="R367" s="564" t="s">
        <v>5124</v>
      </c>
      <c r="S367" s="531" t="s">
        <v>5125</v>
      </c>
      <c r="T367" s="605" t="s">
        <v>1843</v>
      </c>
      <c r="U367" s="605" t="s">
        <v>3750</v>
      </c>
      <c r="V367" s="591"/>
      <c r="W367" s="462" t="s">
        <v>3413</v>
      </c>
      <c r="X367" s="601"/>
      <c r="Y367" s="602"/>
    </row>
    <row r="368" ht="22.5" customHeight="1">
      <c r="A368" s="603" t="s">
        <v>1445</v>
      </c>
      <c r="B368" s="578" t="s">
        <v>1311</v>
      </c>
      <c r="C368" s="564" t="s">
        <v>5126</v>
      </c>
      <c r="D368" s="581" t="s">
        <v>5127</v>
      </c>
      <c r="E368" s="394" t="s">
        <v>5128</v>
      </c>
      <c r="F368" s="353" t="s">
        <v>5129</v>
      </c>
      <c r="G368" s="564" t="s">
        <v>663</v>
      </c>
      <c r="H368" s="394" t="s">
        <v>5130</v>
      </c>
      <c r="I368" s="394" t="s">
        <v>5131</v>
      </c>
      <c r="J368" s="609" t="s">
        <v>5132</v>
      </c>
      <c r="K368" s="75" t="s">
        <v>1566</v>
      </c>
      <c r="L368" s="75" t="s">
        <v>5133</v>
      </c>
      <c r="M368" s="603" t="s">
        <v>1098</v>
      </c>
      <c r="N368" s="603" t="s">
        <v>1108</v>
      </c>
      <c r="O368" s="604" t="s">
        <v>1746</v>
      </c>
      <c r="P368" s="607" t="s">
        <v>1161</v>
      </c>
      <c r="Q368" s="585" t="b">
        <v>1</v>
      </c>
      <c r="R368" s="538" t="s">
        <v>5134</v>
      </c>
      <c r="S368" s="75" t="s">
        <v>3833</v>
      </c>
      <c r="T368" s="605" t="s">
        <v>1843</v>
      </c>
      <c r="U368" s="605" t="s">
        <v>3371</v>
      </c>
      <c r="V368" s="591"/>
      <c r="W368" s="603"/>
      <c r="X368" s="601"/>
      <c r="Y368" s="602"/>
    </row>
    <row r="369" ht="22.5" customHeight="1">
      <c r="A369" s="608" t="s">
        <v>1000</v>
      </c>
      <c r="B369" s="619" t="s">
        <v>4695</v>
      </c>
      <c r="C369" s="72" t="s">
        <v>5135</v>
      </c>
      <c r="D369" s="581" t="s">
        <v>5136</v>
      </c>
      <c r="E369" s="581" t="s">
        <v>5137</v>
      </c>
      <c r="F369" s="71" t="s">
        <v>5020</v>
      </c>
      <c r="G369" s="72" t="s">
        <v>36</v>
      </c>
      <c r="H369" s="581" t="s">
        <v>5138</v>
      </c>
      <c r="I369" s="581" t="s">
        <v>5139</v>
      </c>
      <c r="J369" s="620" t="s">
        <v>5140</v>
      </c>
      <c r="K369" s="75" t="s">
        <v>2684</v>
      </c>
      <c r="L369" s="75" t="s">
        <v>2686</v>
      </c>
      <c r="M369" s="621" t="s">
        <v>1098</v>
      </c>
      <c r="N369" s="608" t="s">
        <v>1108</v>
      </c>
      <c r="O369" s="622" t="s">
        <v>1746</v>
      </c>
      <c r="P369" s="623" t="s">
        <v>3645</v>
      </c>
      <c r="Q369" s="624" t="b">
        <v>0</v>
      </c>
      <c r="R369" s="72" t="s">
        <v>5141</v>
      </c>
      <c r="S369" s="95" t="s">
        <v>5142</v>
      </c>
      <c r="T369" s="625" t="s">
        <v>1961</v>
      </c>
      <c r="U369" s="47" t="s">
        <v>1161</v>
      </c>
      <c r="V369" s="626"/>
      <c r="W369" s="627"/>
      <c r="X369" s="627"/>
      <c r="Y369" s="628"/>
    </row>
    <row r="370" ht="22.5" customHeight="1">
      <c r="A370" s="608" t="s">
        <v>1435</v>
      </c>
      <c r="B370" s="578" t="s">
        <v>219</v>
      </c>
      <c r="C370" s="580" t="s">
        <v>5143</v>
      </c>
      <c r="D370" s="581" t="s">
        <v>5144</v>
      </c>
      <c r="E370" s="394" t="s">
        <v>5145</v>
      </c>
      <c r="F370" s="353" t="s">
        <v>5146</v>
      </c>
      <c r="G370" s="564" t="s">
        <v>695</v>
      </c>
      <c r="H370" s="394" t="s">
        <v>5147</v>
      </c>
      <c r="I370" s="394" t="s">
        <v>5148</v>
      </c>
      <c r="J370" s="609" t="s">
        <v>5149</v>
      </c>
      <c r="K370" s="75" t="s">
        <v>2684</v>
      </c>
      <c r="L370" s="75" t="s">
        <v>2686</v>
      </c>
      <c r="M370" s="603" t="s">
        <v>3324</v>
      </c>
      <c r="N370" s="603" t="s">
        <v>1108</v>
      </c>
      <c r="O370" s="604" t="s">
        <v>1746</v>
      </c>
      <c r="P370" s="607" t="s">
        <v>1161</v>
      </c>
      <c r="Q370" s="585" t="b">
        <v>1</v>
      </c>
      <c r="R370" s="72" t="s">
        <v>5150</v>
      </c>
      <c r="S370" s="629" t="s">
        <v>5151</v>
      </c>
      <c r="T370" s="605" t="s">
        <v>1961</v>
      </c>
      <c r="U370" s="605" t="s">
        <v>3455</v>
      </c>
      <c r="V370" s="588"/>
      <c r="W370" s="603" t="s">
        <v>3321</v>
      </c>
      <c r="X370" s="601"/>
      <c r="Y370" s="602"/>
    </row>
    <row r="371" ht="22.5" customHeight="1">
      <c r="A371" s="630" t="s">
        <v>1445</v>
      </c>
      <c r="B371" s="631" t="s">
        <v>219</v>
      </c>
      <c r="C371" s="564" t="s">
        <v>5152</v>
      </c>
      <c r="D371" s="569" t="s">
        <v>5043</v>
      </c>
      <c r="E371" s="632" t="s">
        <v>5044</v>
      </c>
      <c r="F371" s="570" t="s">
        <v>5153</v>
      </c>
      <c r="G371" s="402" t="s">
        <v>560</v>
      </c>
      <c r="H371" s="396" t="s">
        <v>5046</v>
      </c>
      <c r="I371" s="396" t="s">
        <v>5047</v>
      </c>
      <c r="J371" s="633" t="s">
        <v>5154</v>
      </c>
      <c r="K371" s="568" t="s">
        <v>1338</v>
      </c>
      <c r="L371" s="570" t="s">
        <v>4094</v>
      </c>
      <c r="M371" s="634" t="s">
        <v>1098</v>
      </c>
      <c r="N371" s="614" t="s">
        <v>1108</v>
      </c>
      <c r="O371" s="635" t="s">
        <v>1746</v>
      </c>
      <c r="P371" s="614" t="s">
        <v>1161</v>
      </c>
      <c r="Q371" s="636" t="b">
        <v>1</v>
      </c>
      <c r="R371" s="637" t="s">
        <v>3465</v>
      </c>
      <c r="S371" s="638" t="s">
        <v>4206</v>
      </c>
      <c r="T371" s="599" t="s">
        <v>1961</v>
      </c>
      <c r="U371" s="639" t="s">
        <v>3371</v>
      </c>
      <c r="V371" s="640"/>
      <c r="W371" s="603"/>
      <c r="X371" s="601"/>
      <c r="Y371" s="602"/>
    </row>
    <row r="372" ht="22.5" customHeight="1">
      <c r="A372" s="603" t="s">
        <v>1441</v>
      </c>
      <c r="B372" s="578" t="s">
        <v>4695</v>
      </c>
      <c r="C372" s="564" t="s">
        <v>5155</v>
      </c>
      <c r="D372" s="581" t="s">
        <v>5156</v>
      </c>
      <c r="E372" s="394" t="s">
        <v>5157</v>
      </c>
      <c r="F372" s="353" t="s">
        <v>5158</v>
      </c>
      <c r="G372" s="564" t="s">
        <v>70</v>
      </c>
      <c r="H372" s="394" t="s">
        <v>5159</v>
      </c>
      <c r="I372" s="394" t="s">
        <v>5160</v>
      </c>
      <c r="J372" s="609" t="s">
        <v>5161</v>
      </c>
      <c r="K372" s="75" t="s">
        <v>2684</v>
      </c>
      <c r="L372" s="75" t="s">
        <v>2686</v>
      </c>
      <c r="M372" s="603" t="s">
        <v>1098</v>
      </c>
      <c r="N372" s="603" t="s">
        <v>1108</v>
      </c>
      <c r="O372" s="604" t="s">
        <v>1746</v>
      </c>
      <c r="P372" s="607" t="s">
        <v>3645</v>
      </c>
      <c r="Q372" s="585" t="b">
        <v>1</v>
      </c>
      <c r="R372" s="72" t="s">
        <v>5162</v>
      </c>
      <c r="S372" s="72" t="s">
        <v>5163</v>
      </c>
      <c r="T372" s="605" t="s">
        <v>1843</v>
      </c>
      <c r="U372" s="605" t="s">
        <v>1441</v>
      </c>
      <c r="V372" s="588"/>
      <c r="W372" s="426"/>
      <c r="X372" s="426"/>
      <c r="Y372" s="606"/>
    </row>
    <row r="373" ht="22.5" customHeight="1">
      <c r="A373" s="608" t="s">
        <v>1445</v>
      </c>
      <c r="B373" s="578" t="s">
        <v>219</v>
      </c>
      <c r="C373" s="564" t="s">
        <v>5164</v>
      </c>
      <c r="D373" s="581" t="s">
        <v>5165</v>
      </c>
      <c r="E373" s="65" t="s">
        <v>5166</v>
      </c>
      <c r="F373" s="353" t="s">
        <v>5167</v>
      </c>
      <c r="G373" s="564" t="s">
        <v>91</v>
      </c>
      <c r="H373" s="65" t="s">
        <v>5168</v>
      </c>
      <c r="I373" s="394" t="s">
        <v>5169</v>
      </c>
      <c r="J373" s="609" t="s">
        <v>5170</v>
      </c>
      <c r="K373" s="75" t="s">
        <v>4709</v>
      </c>
      <c r="L373" s="75" t="s">
        <v>4710</v>
      </c>
      <c r="M373" s="610" t="s">
        <v>1098</v>
      </c>
      <c r="N373" s="603" t="s">
        <v>1108</v>
      </c>
      <c r="O373" s="604" t="s">
        <v>1746</v>
      </c>
      <c r="P373" s="607" t="s">
        <v>1161</v>
      </c>
      <c r="Q373" s="585" t="b">
        <v>1</v>
      </c>
      <c r="R373" s="72" t="s">
        <v>5171</v>
      </c>
      <c r="S373" s="72" t="s">
        <v>5172</v>
      </c>
      <c r="T373" s="605" t="s">
        <v>1961</v>
      </c>
      <c r="U373" s="605" t="s">
        <v>3371</v>
      </c>
      <c r="V373" s="591"/>
      <c r="W373" s="603"/>
      <c r="X373" s="601"/>
      <c r="Y373" s="602"/>
    </row>
    <row r="374" ht="22.5" customHeight="1">
      <c r="A374" s="603" t="s">
        <v>1445</v>
      </c>
      <c r="B374" s="578" t="s">
        <v>4695</v>
      </c>
      <c r="C374" s="564" t="s">
        <v>5173</v>
      </c>
      <c r="D374" s="581" t="s">
        <v>5174</v>
      </c>
      <c r="E374" s="65" t="s">
        <v>5175</v>
      </c>
      <c r="F374" s="353" t="s">
        <v>5176</v>
      </c>
      <c r="G374" s="564" t="s">
        <v>3927</v>
      </c>
      <c r="H374" s="65" t="s">
        <v>5177</v>
      </c>
      <c r="I374" s="394" t="s">
        <v>5178</v>
      </c>
      <c r="J374" s="609" t="s">
        <v>5179</v>
      </c>
      <c r="K374" s="75" t="s">
        <v>2684</v>
      </c>
      <c r="L374" s="75" t="s">
        <v>2686</v>
      </c>
      <c r="M374" s="603" t="s">
        <v>1098</v>
      </c>
      <c r="N374" s="603" t="s">
        <v>1108</v>
      </c>
      <c r="O374" s="604" t="s">
        <v>1746</v>
      </c>
      <c r="P374" s="607" t="s">
        <v>3645</v>
      </c>
      <c r="Q374" s="585" t="b">
        <v>1</v>
      </c>
      <c r="R374" s="72" t="s">
        <v>5180</v>
      </c>
      <c r="S374" s="72" t="s">
        <v>5181</v>
      </c>
      <c r="T374" s="605" t="s">
        <v>1961</v>
      </c>
      <c r="U374" s="605" t="s">
        <v>3371</v>
      </c>
      <c r="V374" s="588"/>
      <c r="W374" s="601"/>
      <c r="X374" s="601"/>
      <c r="Y374" s="602"/>
    </row>
    <row r="375" ht="22.5" customHeight="1">
      <c r="A375" s="608" t="s">
        <v>1445</v>
      </c>
      <c r="B375" s="578" t="s">
        <v>1311</v>
      </c>
      <c r="C375" s="564" t="s">
        <v>5182</v>
      </c>
      <c r="D375" s="581" t="s">
        <v>5183</v>
      </c>
      <c r="E375" s="394" t="s">
        <v>5184</v>
      </c>
      <c r="F375" s="353" t="s">
        <v>5185</v>
      </c>
      <c r="G375" s="564" t="s">
        <v>5186</v>
      </c>
      <c r="H375" s="394" t="s">
        <v>5187</v>
      </c>
      <c r="I375" s="394" t="s">
        <v>5188</v>
      </c>
      <c r="J375" s="564" t="s">
        <v>5189</v>
      </c>
      <c r="K375" s="75" t="s">
        <v>2684</v>
      </c>
      <c r="L375" s="75" t="s">
        <v>2686</v>
      </c>
      <c r="M375" s="603" t="s">
        <v>1098</v>
      </c>
      <c r="N375" s="603" t="s">
        <v>1108</v>
      </c>
      <c r="O375" s="604" t="s">
        <v>1746</v>
      </c>
      <c r="P375" s="607" t="s">
        <v>3645</v>
      </c>
      <c r="Q375" s="585" t="b">
        <v>0</v>
      </c>
      <c r="R375" s="72" t="s">
        <v>5190</v>
      </c>
      <c r="S375" s="72" t="s">
        <v>5191</v>
      </c>
      <c r="T375" s="605" t="s">
        <v>1843</v>
      </c>
      <c r="U375" s="605" t="s">
        <v>3371</v>
      </c>
      <c r="V375" s="588"/>
      <c r="W375" s="603" t="s">
        <v>3413</v>
      </c>
      <c r="X375" s="601"/>
      <c r="Y375" s="602"/>
    </row>
    <row r="376" ht="22.5" customHeight="1">
      <c r="A376" s="603" t="s">
        <v>1438</v>
      </c>
      <c r="B376" s="578" t="s">
        <v>1311</v>
      </c>
      <c r="C376" s="564" t="s">
        <v>5192</v>
      </c>
      <c r="D376" s="581" t="s">
        <v>5193</v>
      </c>
      <c r="E376" s="394" t="s">
        <v>5194</v>
      </c>
      <c r="F376" s="353" t="s">
        <v>5195</v>
      </c>
      <c r="G376" s="564" t="s">
        <v>3239</v>
      </c>
      <c r="H376" s="65" t="s">
        <v>5196</v>
      </c>
      <c r="I376" s="394" t="s">
        <v>5197</v>
      </c>
      <c r="J376" s="609" t="s">
        <v>5198</v>
      </c>
      <c r="K376" s="75" t="s">
        <v>2684</v>
      </c>
      <c r="L376" s="75" t="s">
        <v>2686</v>
      </c>
      <c r="M376" s="603" t="s">
        <v>1098</v>
      </c>
      <c r="N376" s="603" t="s">
        <v>1108</v>
      </c>
      <c r="O376" s="641" t="s">
        <v>1430</v>
      </c>
      <c r="P376" s="607" t="s">
        <v>3645</v>
      </c>
      <c r="Q376" s="585" t="b">
        <v>1</v>
      </c>
      <c r="R376" s="72" t="s">
        <v>5199</v>
      </c>
      <c r="S376" s="72" t="s">
        <v>5200</v>
      </c>
      <c r="T376" s="605" t="s">
        <v>1843</v>
      </c>
      <c r="U376" s="605" t="s">
        <v>3319</v>
      </c>
      <c r="V376" s="588"/>
      <c r="W376" s="603" t="s">
        <v>3342</v>
      </c>
      <c r="X376" s="601"/>
      <c r="Y376" s="602"/>
    </row>
    <row r="377" ht="22.5" customHeight="1">
      <c r="A377" s="603" t="s">
        <v>1445</v>
      </c>
      <c r="B377" s="578" t="s">
        <v>4118</v>
      </c>
      <c r="C377" s="564" t="s">
        <v>5201</v>
      </c>
      <c r="D377" s="581" t="s">
        <v>5202</v>
      </c>
      <c r="E377" s="394" t="s">
        <v>5203</v>
      </c>
      <c r="F377" s="642" t="s">
        <v>5204</v>
      </c>
      <c r="G377" s="564" t="s">
        <v>70</v>
      </c>
      <c r="H377" s="394" t="s">
        <v>5205</v>
      </c>
      <c r="I377" s="394" t="s">
        <v>5206</v>
      </c>
      <c r="J377" s="609" t="s">
        <v>5207</v>
      </c>
      <c r="K377" s="75" t="s">
        <v>2684</v>
      </c>
      <c r="L377" s="75" t="s">
        <v>2686</v>
      </c>
      <c r="M377" s="603" t="s">
        <v>1098</v>
      </c>
      <c r="N377" s="603" t="s">
        <v>1108</v>
      </c>
      <c r="O377" s="643" t="s">
        <v>1430</v>
      </c>
      <c r="P377" s="607" t="s">
        <v>3645</v>
      </c>
      <c r="Q377" s="585" t="b">
        <v>1</v>
      </c>
      <c r="R377" s="72" t="s">
        <v>5208</v>
      </c>
      <c r="S377" s="531" t="s">
        <v>5209</v>
      </c>
      <c r="T377" s="605" t="s">
        <v>1843</v>
      </c>
      <c r="U377" s="605" t="s">
        <v>3371</v>
      </c>
      <c r="V377" s="588"/>
      <c r="W377" s="603"/>
      <c r="X377" s="601"/>
      <c r="Y377" s="602"/>
    </row>
    <row r="378" ht="22.5" customHeight="1">
      <c r="A378" s="608" t="s">
        <v>1000</v>
      </c>
      <c r="B378" s="578" t="s">
        <v>219</v>
      </c>
      <c r="C378" s="564" t="s">
        <v>5210</v>
      </c>
      <c r="D378" s="581" t="s">
        <v>5211</v>
      </c>
      <c r="E378" s="394" t="s">
        <v>5212</v>
      </c>
      <c r="F378" s="353" t="s">
        <v>5213</v>
      </c>
      <c r="G378" s="564" t="s">
        <v>3107</v>
      </c>
      <c r="H378" s="394" t="s">
        <v>5214</v>
      </c>
      <c r="I378" s="394" t="s">
        <v>5215</v>
      </c>
      <c r="J378" s="609" t="s">
        <v>5216</v>
      </c>
      <c r="K378" s="75" t="s">
        <v>2684</v>
      </c>
      <c r="L378" s="75" t="s">
        <v>2686</v>
      </c>
      <c r="M378" s="610" t="s">
        <v>1098</v>
      </c>
      <c r="N378" s="603" t="s">
        <v>1108</v>
      </c>
      <c r="O378" s="604" t="s">
        <v>1746</v>
      </c>
      <c r="P378" s="607" t="s">
        <v>3645</v>
      </c>
      <c r="Q378" s="585" t="b">
        <v>0</v>
      </c>
      <c r="R378" s="72" t="s">
        <v>5217</v>
      </c>
      <c r="S378" s="72" t="s">
        <v>5218</v>
      </c>
      <c r="T378" s="605" t="s">
        <v>1961</v>
      </c>
      <c r="U378" s="47" t="s">
        <v>1161</v>
      </c>
      <c r="V378" s="588"/>
      <c r="W378" s="426"/>
      <c r="X378" s="426"/>
      <c r="Y378" s="606"/>
    </row>
    <row r="379" ht="22.5" customHeight="1">
      <c r="A379" s="603" t="s">
        <v>1438</v>
      </c>
      <c r="B379" s="578" t="s">
        <v>4695</v>
      </c>
      <c r="C379" s="564" t="s">
        <v>5219</v>
      </c>
      <c r="D379" s="581" t="s">
        <v>5220</v>
      </c>
      <c r="E379" s="394" t="s">
        <v>5221</v>
      </c>
      <c r="F379" s="353" t="s">
        <v>5222</v>
      </c>
      <c r="G379" s="564" t="s">
        <v>1016</v>
      </c>
      <c r="H379" s="394" t="s">
        <v>5223</v>
      </c>
      <c r="I379" s="394" t="s">
        <v>5224</v>
      </c>
      <c r="J379" s="620" t="s">
        <v>5225</v>
      </c>
      <c r="K379" s="75" t="s">
        <v>2684</v>
      </c>
      <c r="L379" s="75" t="s">
        <v>2686</v>
      </c>
      <c r="M379" s="603" t="s">
        <v>1098</v>
      </c>
      <c r="N379" s="603" t="s">
        <v>1108</v>
      </c>
      <c r="O379" s="604" t="s">
        <v>1746</v>
      </c>
      <c r="P379" s="607" t="s">
        <v>3645</v>
      </c>
      <c r="Q379" s="585" t="b">
        <v>1</v>
      </c>
      <c r="R379" s="72" t="s">
        <v>5226</v>
      </c>
      <c r="S379" s="75" t="s">
        <v>5227</v>
      </c>
      <c r="T379" s="605" t="s">
        <v>1961</v>
      </c>
      <c r="U379" s="605" t="s">
        <v>3319</v>
      </c>
      <c r="V379" s="588"/>
      <c r="W379" s="441" t="s">
        <v>3342</v>
      </c>
      <c r="X379" s="601"/>
      <c r="Y379" s="602"/>
    </row>
    <row r="380" ht="22.5" customHeight="1">
      <c r="A380" s="603" t="s">
        <v>1000</v>
      </c>
      <c r="B380" s="578" t="s">
        <v>4695</v>
      </c>
      <c r="C380" s="564" t="s">
        <v>5228</v>
      </c>
      <c r="D380" s="581" t="s">
        <v>5229</v>
      </c>
      <c r="E380" s="394" t="s">
        <v>5230</v>
      </c>
      <c r="F380" s="353" t="s">
        <v>5231</v>
      </c>
      <c r="G380" s="564" t="s">
        <v>1016</v>
      </c>
      <c r="H380" s="394" t="s">
        <v>5232</v>
      </c>
      <c r="I380" s="394" t="s">
        <v>5233</v>
      </c>
      <c r="J380" s="564" t="s">
        <v>5234</v>
      </c>
      <c r="K380" s="75" t="s">
        <v>2684</v>
      </c>
      <c r="L380" s="75" t="s">
        <v>2686</v>
      </c>
      <c r="M380" s="608" t="s">
        <v>1098</v>
      </c>
      <c r="N380" s="603" t="s">
        <v>1108</v>
      </c>
      <c r="O380" s="604" t="s">
        <v>1746</v>
      </c>
      <c r="P380" s="607" t="s">
        <v>1161</v>
      </c>
      <c r="Q380" s="585" t="b">
        <v>1</v>
      </c>
      <c r="R380" s="72" t="s">
        <v>5235</v>
      </c>
      <c r="S380" s="75" t="s">
        <v>4096</v>
      </c>
      <c r="T380" s="605" t="s">
        <v>1961</v>
      </c>
      <c r="U380" s="605" t="s">
        <v>1441</v>
      </c>
      <c r="V380" s="588"/>
      <c r="W380" s="601"/>
      <c r="X380" s="601"/>
      <c r="Y380" s="602"/>
    </row>
    <row r="381" ht="22.5" customHeight="1">
      <c r="A381" s="644" t="s">
        <v>1442</v>
      </c>
      <c r="B381" s="619" t="s">
        <v>4695</v>
      </c>
      <c r="C381" s="72" t="s">
        <v>5236</v>
      </c>
      <c r="D381" s="581" t="s">
        <v>5237</v>
      </c>
      <c r="E381" s="394" t="s">
        <v>5238</v>
      </c>
      <c r="F381" s="353" t="s">
        <v>5239</v>
      </c>
      <c r="G381" s="564" t="s">
        <v>3239</v>
      </c>
      <c r="H381" s="394" t="s">
        <v>5240</v>
      </c>
      <c r="I381" s="394" t="s">
        <v>5241</v>
      </c>
      <c r="J381" s="609" t="s">
        <v>5242</v>
      </c>
      <c r="K381" s="402" t="s">
        <v>2684</v>
      </c>
      <c r="L381" s="396" t="s">
        <v>2686</v>
      </c>
      <c r="M381" s="610" t="s">
        <v>1098</v>
      </c>
      <c r="N381" s="603" t="s">
        <v>1108</v>
      </c>
      <c r="O381" s="641" t="s">
        <v>2018</v>
      </c>
      <c r="P381" s="607" t="s">
        <v>3645</v>
      </c>
      <c r="Q381" s="585" t="b">
        <v>1</v>
      </c>
      <c r="R381" s="72" t="s">
        <v>5243</v>
      </c>
      <c r="S381" s="72" t="s">
        <v>5244</v>
      </c>
      <c r="T381" s="605" t="s">
        <v>1961</v>
      </c>
      <c r="U381" s="605" t="s">
        <v>3750</v>
      </c>
      <c r="V381" s="588"/>
      <c r="W381" s="67" t="s">
        <v>3321</v>
      </c>
      <c r="X381" s="601"/>
      <c r="Y381" s="602"/>
    </row>
    <row r="382" ht="22.5" customHeight="1">
      <c r="A382" s="519" t="s">
        <v>1445</v>
      </c>
      <c r="B382" s="578" t="s">
        <v>1311</v>
      </c>
      <c r="C382" s="564" t="s">
        <v>5245</v>
      </c>
      <c r="D382" s="581" t="s">
        <v>5246</v>
      </c>
      <c r="E382" s="394" t="s">
        <v>5247</v>
      </c>
      <c r="F382" s="353" t="s">
        <v>5248</v>
      </c>
      <c r="G382" s="564" t="s">
        <v>70</v>
      </c>
      <c r="H382" s="394" t="s">
        <v>5249</v>
      </c>
      <c r="I382" s="394" t="s">
        <v>5250</v>
      </c>
      <c r="J382" s="609" t="s">
        <v>5251</v>
      </c>
      <c r="K382" s="393" t="s">
        <v>2684</v>
      </c>
      <c r="L382" s="395" t="s">
        <v>2686</v>
      </c>
      <c r="M382" s="610" t="s">
        <v>1098</v>
      </c>
      <c r="N382" s="603" t="s">
        <v>1108</v>
      </c>
      <c r="O382" s="604" t="s">
        <v>1746</v>
      </c>
      <c r="P382" s="607" t="s">
        <v>3645</v>
      </c>
      <c r="Q382" s="585" t="b">
        <v>1</v>
      </c>
      <c r="R382" s="72" t="s">
        <v>5252</v>
      </c>
      <c r="S382" s="531" t="s">
        <v>5253</v>
      </c>
      <c r="T382" s="605" t="s">
        <v>1961</v>
      </c>
      <c r="U382" s="605" t="s">
        <v>3750</v>
      </c>
      <c r="V382" s="588"/>
      <c r="W382" s="603" t="s">
        <v>3413</v>
      </c>
      <c r="X382" s="601"/>
      <c r="Y382" s="602"/>
    </row>
    <row r="383" ht="22.5" customHeight="1">
      <c r="A383" s="519" t="s">
        <v>1445</v>
      </c>
      <c r="B383" s="578" t="s">
        <v>1311</v>
      </c>
      <c r="C383" s="564" t="s">
        <v>5254</v>
      </c>
      <c r="D383" s="581" t="s">
        <v>5255</v>
      </c>
      <c r="E383" s="394" t="s">
        <v>5256</v>
      </c>
      <c r="F383" s="353" t="s">
        <v>5257</v>
      </c>
      <c r="G383" s="564" t="s">
        <v>70</v>
      </c>
      <c r="H383" s="394" t="s">
        <v>5258</v>
      </c>
      <c r="I383" s="394" t="s">
        <v>5259</v>
      </c>
      <c r="J383" s="609" t="s">
        <v>5260</v>
      </c>
      <c r="K383" s="393" t="s">
        <v>2684</v>
      </c>
      <c r="L383" s="395" t="s">
        <v>2686</v>
      </c>
      <c r="M383" s="608" t="s">
        <v>1098</v>
      </c>
      <c r="N383" s="603" t="s">
        <v>1108</v>
      </c>
      <c r="O383" s="604" t="s">
        <v>1746</v>
      </c>
      <c r="P383" s="607" t="s">
        <v>3645</v>
      </c>
      <c r="Q383" s="585" t="b">
        <v>1</v>
      </c>
      <c r="R383" s="72" t="s">
        <v>5261</v>
      </c>
      <c r="S383" s="75" t="s">
        <v>5262</v>
      </c>
      <c r="T383" s="605" t="s">
        <v>1843</v>
      </c>
      <c r="U383" s="605" t="s">
        <v>3750</v>
      </c>
      <c r="V383" s="588"/>
      <c r="W383" s="462" t="s">
        <v>3321</v>
      </c>
      <c r="X383" s="426"/>
      <c r="Y383" s="606"/>
    </row>
    <row r="384" ht="22.5" customHeight="1">
      <c r="A384" s="239" t="s">
        <v>1445</v>
      </c>
      <c r="B384" s="75" t="s">
        <v>1212</v>
      </c>
      <c r="C384" s="75" t="s">
        <v>5263</v>
      </c>
      <c r="D384" s="75" t="s">
        <v>1973</v>
      </c>
      <c r="E384" s="518" t="s">
        <v>1974</v>
      </c>
      <c r="F384" s="65" t="s">
        <v>1975</v>
      </c>
      <c r="G384" s="65" t="s">
        <v>695</v>
      </c>
      <c r="H384" s="65" t="s">
        <v>1977</v>
      </c>
      <c r="I384" s="65" t="s">
        <v>1978</v>
      </c>
      <c r="J384" s="65" t="s">
        <v>5264</v>
      </c>
      <c r="K384" s="65" t="s">
        <v>1338</v>
      </c>
      <c r="L384" s="65" t="s">
        <v>5265</v>
      </c>
      <c r="M384" s="70" t="s">
        <v>1628</v>
      </c>
      <c r="N384" s="70" t="s">
        <v>1628</v>
      </c>
      <c r="O384" s="75" t="s">
        <v>1746</v>
      </c>
      <c r="P384" s="70" t="s">
        <v>1161</v>
      </c>
      <c r="Q384" s="71" t="b">
        <v>1</v>
      </c>
      <c r="R384" s="75" t="s">
        <v>3439</v>
      </c>
      <c r="S384" s="531" t="s">
        <v>3313</v>
      </c>
      <c r="T384" s="239" t="s">
        <v>1961</v>
      </c>
      <c r="U384" s="47" t="s">
        <v>3371</v>
      </c>
      <c r="V384" s="47"/>
      <c r="W384" s="511"/>
      <c r="X384" s="511"/>
      <c r="Y384" s="515"/>
    </row>
    <row r="385" ht="22.5" customHeight="1">
      <c r="A385" s="519" t="s">
        <v>1442</v>
      </c>
      <c r="B385" s="546" t="s">
        <v>1311</v>
      </c>
      <c r="C385" s="75" t="s">
        <v>5266</v>
      </c>
      <c r="D385" s="75" t="s">
        <v>5267</v>
      </c>
      <c r="E385" s="95" t="s">
        <v>5268</v>
      </c>
      <c r="F385" s="75" t="s">
        <v>5269</v>
      </c>
      <c r="G385" s="75" t="s">
        <v>5270</v>
      </c>
      <c r="H385" s="75" t="s">
        <v>5271</v>
      </c>
      <c r="I385" s="75" t="s">
        <v>5272</v>
      </c>
      <c r="J385" s="75" t="s">
        <v>5273</v>
      </c>
      <c r="K385" s="393" t="s">
        <v>2684</v>
      </c>
      <c r="L385" s="395" t="s">
        <v>2686</v>
      </c>
      <c r="M385" s="67" t="s">
        <v>1098</v>
      </c>
      <c r="N385" s="67" t="s">
        <v>1108</v>
      </c>
      <c r="O385" s="547" t="s">
        <v>2018</v>
      </c>
      <c r="P385" s="67" t="s">
        <v>1161</v>
      </c>
      <c r="Q385" s="71" t="b">
        <v>1</v>
      </c>
      <c r="R385" s="75" t="s">
        <v>5274</v>
      </c>
      <c r="S385" s="75" t="s">
        <v>3313</v>
      </c>
      <c r="T385" s="67" t="s">
        <v>1961</v>
      </c>
      <c r="U385" s="67" t="s">
        <v>3750</v>
      </c>
      <c r="V385" s="67"/>
      <c r="W385" s="67" t="s">
        <v>3413</v>
      </c>
      <c r="X385" s="284"/>
      <c r="Y385" s="546"/>
    </row>
    <row r="386" ht="22.5" customHeight="1">
      <c r="A386" s="67" t="s">
        <v>1000</v>
      </c>
      <c r="B386" s="65" t="s">
        <v>2884</v>
      </c>
      <c r="C386" s="65" t="s">
        <v>5275</v>
      </c>
      <c r="D386" s="75" t="s">
        <v>2784</v>
      </c>
      <c r="E386" s="65" t="s">
        <v>2785</v>
      </c>
      <c r="F386" s="65" t="s">
        <v>2786</v>
      </c>
      <c r="G386" s="75" t="s">
        <v>560</v>
      </c>
      <c r="H386" s="65" t="s">
        <v>2788</v>
      </c>
      <c r="I386" s="65" t="s">
        <v>5276</v>
      </c>
      <c r="J386" s="65" t="s">
        <v>5277</v>
      </c>
      <c r="K386" s="65" t="s">
        <v>1091</v>
      </c>
      <c r="L386" s="65" t="s">
        <v>1093</v>
      </c>
      <c r="M386" s="70" t="s">
        <v>1746</v>
      </c>
      <c r="N386" s="70" t="s">
        <v>1108</v>
      </c>
      <c r="O386" s="75" t="s">
        <v>1746</v>
      </c>
      <c r="P386" s="70" t="s">
        <v>1401</v>
      </c>
      <c r="Q386" s="71" t="b">
        <v>0</v>
      </c>
      <c r="R386" s="75" t="s">
        <v>5278</v>
      </c>
      <c r="S386" s="75" t="s">
        <v>5279</v>
      </c>
      <c r="T386" s="239" t="s">
        <v>1843</v>
      </c>
      <c r="U386" s="81" t="s">
        <v>5280</v>
      </c>
      <c r="V386" s="57"/>
      <c r="W386" s="58"/>
      <c r="X386" s="58"/>
      <c r="Y386" s="561"/>
    </row>
    <row r="387" ht="22.5" customHeight="1">
      <c r="A387" s="67" t="s">
        <v>1445</v>
      </c>
      <c r="B387" s="546" t="s">
        <v>219</v>
      </c>
      <c r="C387" s="75" t="s">
        <v>5281</v>
      </c>
      <c r="D387" s="75" t="s">
        <v>5282</v>
      </c>
      <c r="E387" s="95" t="s">
        <v>5283</v>
      </c>
      <c r="F387" s="75" t="s">
        <v>5284</v>
      </c>
      <c r="G387" s="75" t="s">
        <v>5270</v>
      </c>
      <c r="H387" s="75" t="s">
        <v>5285</v>
      </c>
      <c r="I387" s="75" t="s">
        <v>5286</v>
      </c>
      <c r="J387" s="75" t="s">
        <v>5287</v>
      </c>
      <c r="K387" s="393" t="s">
        <v>2684</v>
      </c>
      <c r="L387" s="395" t="s">
        <v>2686</v>
      </c>
      <c r="M387" s="67" t="s">
        <v>1098</v>
      </c>
      <c r="N387" s="67" t="s">
        <v>1108</v>
      </c>
      <c r="O387" s="547" t="s">
        <v>2018</v>
      </c>
      <c r="P387" s="67" t="s">
        <v>3645</v>
      </c>
      <c r="Q387" s="71" t="b">
        <v>1</v>
      </c>
      <c r="R387" s="75" t="s">
        <v>5288</v>
      </c>
      <c r="S387" s="75" t="s">
        <v>4946</v>
      </c>
      <c r="T387" s="67" t="s">
        <v>1961</v>
      </c>
      <c r="U387" s="67" t="s">
        <v>3371</v>
      </c>
      <c r="V387" s="67"/>
      <c r="W387" s="67"/>
      <c r="X387" s="284"/>
      <c r="Y387" s="546"/>
    </row>
    <row r="388" ht="20.25" customHeight="1">
      <c r="A388" s="47" t="s">
        <v>1445</v>
      </c>
      <c r="B388" s="65" t="s">
        <v>1311</v>
      </c>
      <c r="C388" s="65" t="s">
        <v>5289</v>
      </c>
      <c r="D388" s="75" t="s">
        <v>4300</v>
      </c>
      <c r="E388" s="65" t="s">
        <v>3162</v>
      </c>
      <c r="F388" s="65" t="s">
        <v>4252</v>
      </c>
      <c r="G388" s="75" t="s">
        <v>278</v>
      </c>
      <c r="H388" s="75" t="s">
        <v>4309</v>
      </c>
      <c r="I388" s="65" t="s">
        <v>4302</v>
      </c>
      <c r="J388" s="65" t="s">
        <v>4310</v>
      </c>
      <c r="K388" s="75" t="s">
        <v>2684</v>
      </c>
      <c r="L388" s="65" t="s">
        <v>2686</v>
      </c>
      <c r="M388" s="67"/>
      <c r="N388" s="70" t="s">
        <v>1549</v>
      </c>
      <c r="O388" s="75" t="s">
        <v>3864</v>
      </c>
      <c r="P388" s="70" t="s">
        <v>1161</v>
      </c>
      <c r="Q388" s="71" t="b">
        <v>1</v>
      </c>
      <c r="R388" s="75" t="s">
        <v>4304</v>
      </c>
      <c r="S388" s="75" t="s">
        <v>3922</v>
      </c>
      <c r="T388" s="239" t="s">
        <v>1843</v>
      </c>
      <c r="U388" s="47" t="s">
        <v>3371</v>
      </c>
      <c r="V388" s="67"/>
      <c r="W388" s="511"/>
      <c r="X388" s="511"/>
      <c r="Y388" s="515"/>
    </row>
    <row r="389" ht="20.25" customHeight="1">
      <c r="A389" s="47" t="s">
        <v>1445</v>
      </c>
      <c r="B389" s="559" t="s">
        <v>1311</v>
      </c>
      <c r="C389" s="65" t="s">
        <v>5290</v>
      </c>
      <c r="D389" s="75" t="s">
        <v>5291</v>
      </c>
      <c r="E389" s="65" t="s">
        <v>5292</v>
      </c>
      <c r="F389" s="65" t="s">
        <v>5293</v>
      </c>
      <c r="G389" s="75" t="s">
        <v>123</v>
      </c>
      <c r="H389" s="75" t="s">
        <v>5294</v>
      </c>
      <c r="I389" s="65" t="s">
        <v>5295</v>
      </c>
      <c r="J389" s="65" t="s">
        <v>5296</v>
      </c>
      <c r="K389" s="75" t="s">
        <v>1566</v>
      </c>
      <c r="L389" s="65" t="s">
        <v>5297</v>
      </c>
      <c r="M389" s="562" t="s">
        <v>1098</v>
      </c>
      <c r="N389" s="562" t="s">
        <v>1108</v>
      </c>
      <c r="O389" s="71" t="s">
        <v>1746</v>
      </c>
      <c r="P389" s="67" t="s">
        <v>1161</v>
      </c>
      <c r="Q389" s="71" t="b">
        <v>1</v>
      </c>
      <c r="R389" s="75" t="s">
        <v>5298</v>
      </c>
      <c r="S389" s="75" t="s">
        <v>5299</v>
      </c>
      <c r="T389" s="47" t="s">
        <v>1843</v>
      </c>
      <c r="U389" s="47" t="s">
        <v>3371</v>
      </c>
      <c r="V389" s="67"/>
      <c r="W389" s="516" t="s">
        <v>3413</v>
      </c>
      <c r="X389" s="511"/>
      <c r="Y389" s="515"/>
    </row>
    <row r="390" ht="20.25" customHeight="1">
      <c r="A390" s="535" t="s">
        <v>1442</v>
      </c>
      <c r="B390" s="546" t="s">
        <v>219</v>
      </c>
      <c r="C390" s="75" t="s">
        <v>5300</v>
      </c>
      <c r="D390" s="75" t="s">
        <v>5301</v>
      </c>
      <c r="E390" s="75" t="s">
        <v>5302</v>
      </c>
      <c r="F390" s="75" t="s">
        <v>5303</v>
      </c>
      <c r="G390" s="75" t="s">
        <v>70</v>
      </c>
      <c r="H390" s="75" t="s">
        <v>5304</v>
      </c>
      <c r="I390" s="75" t="s">
        <v>5305</v>
      </c>
      <c r="J390" s="75" t="s">
        <v>5306</v>
      </c>
      <c r="K390" s="645" t="s">
        <v>2684</v>
      </c>
      <c r="L390" s="646" t="s">
        <v>2686</v>
      </c>
      <c r="M390" s="67" t="s">
        <v>1098</v>
      </c>
      <c r="N390" s="67" t="s">
        <v>1108</v>
      </c>
      <c r="O390" s="71" t="s">
        <v>1746</v>
      </c>
      <c r="P390" s="67" t="s">
        <v>3645</v>
      </c>
      <c r="Q390" s="71" t="b">
        <v>1</v>
      </c>
      <c r="R390" s="75" t="s">
        <v>5307</v>
      </c>
      <c r="S390" s="72" t="s">
        <v>5308</v>
      </c>
      <c r="T390" s="67" t="s">
        <v>1843</v>
      </c>
      <c r="U390" s="67" t="s">
        <v>3750</v>
      </c>
      <c r="V390" s="67"/>
      <c r="W390" s="67"/>
      <c r="X390" s="284"/>
      <c r="Y390" s="546"/>
    </row>
    <row r="391" ht="20.25" customHeight="1">
      <c r="A391" s="67" t="s">
        <v>1447</v>
      </c>
      <c r="B391" s="559" t="s">
        <v>1391</v>
      </c>
      <c r="C391" s="65" t="s">
        <v>5309</v>
      </c>
      <c r="D391" s="75" t="s">
        <v>5310</v>
      </c>
      <c r="E391" s="65" t="s">
        <v>5311</v>
      </c>
      <c r="F391" s="65" t="s">
        <v>5312</v>
      </c>
      <c r="G391" s="75" t="s">
        <v>5270</v>
      </c>
      <c r="H391" s="75" t="s">
        <v>5313</v>
      </c>
      <c r="I391" s="65" t="s">
        <v>5314</v>
      </c>
      <c r="J391" s="647" t="s">
        <v>5315</v>
      </c>
      <c r="K391" s="564" t="s">
        <v>1566</v>
      </c>
      <c r="L391" s="394" t="s">
        <v>5316</v>
      </c>
      <c r="M391" s="67" t="s">
        <v>1098</v>
      </c>
      <c r="N391" s="67" t="s">
        <v>1108</v>
      </c>
      <c r="O391" s="648" t="s">
        <v>1746</v>
      </c>
      <c r="P391" s="67" t="s">
        <v>3645</v>
      </c>
      <c r="Q391" s="71" t="b">
        <v>1</v>
      </c>
      <c r="R391" s="75" t="s">
        <v>5317</v>
      </c>
      <c r="S391" s="95" t="s">
        <v>5318</v>
      </c>
      <c r="T391" s="47" t="s">
        <v>1843</v>
      </c>
      <c r="U391" s="47" t="s">
        <v>5280</v>
      </c>
      <c r="V391" s="67"/>
      <c r="W391" s="516" t="s">
        <v>3321</v>
      </c>
      <c r="X391" s="511"/>
      <c r="Y391" s="515"/>
    </row>
    <row r="392" ht="20.25" customHeight="1">
      <c r="A392" s="67" t="s">
        <v>1447</v>
      </c>
      <c r="B392" s="559" t="s">
        <v>1391</v>
      </c>
      <c r="C392" s="65" t="s">
        <v>5319</v>
      </c>
      <c r="D392" s="75" t="s">
        <v>5310</v>
      </c>
      <c r="E392" s="65" t="s">
        <v>5311</v>
      </c>
      <c r="F392" s="65" t="s">
        <v>5312</v>
      </c>
      <c r="G392" s="75" t="s">
        <v>5270</v>
      </c>
      <c r="H392" s="75" t="s">
        <v>5313</v>
      </c>
      <c r="I392" s="65" t="s">
        <v>5314</v>
      </c>
      <c r="J392" s="65" t="s">
        <v>5320</v>
      </c>
      <c r="K392" s="564" t="s">
        <v>1566</v>
      </c>
      <c r="L392" s="394" t="s">
        <v>4618</v>
      </c>
      <c r="M392" s="67" t="s">
        <v>1098</v>
      </c>
      <c r="N392" s="67" t="s">
        <v>1108</v>
      </c>
      <c r="O392" s="71"/>
      <c r="P392" s="67" t="s">
        <v>2019</v>
      </c>
      <c r="Q392" s="71" t="b">
        <v>0</v>
      </c>
      <c r="R392" s="75" t="s">
        <v>5317</v>
      </c>
      <c r="S392" s="95" t="s">
        <v>5321</v>
      </c>
      <c r="T392" s="47" t="s">
        <v>1961</v>
      </c>
      <c r="U392" s="47" t="s">
        <v>5280</v>
      </c>
      <c r="V392" s="67" t="s">
        <v>3796</v>
      </c>
      <c r="W392" s="516"/>
      <c r="X392" s="511"/>
      <c r="Y392" s="515"/>
    </row>
    <row r="393" ht="20.25" customHeight="1">
      <c r="A393" s="67" t="s">
        <v>1445</v>
      </c>
      <c r="B393" s="546" t="s">
        <v>1311</v>
      </c>
      <c r="C393" s="75" t="s">
        <v>5322</v>
      </c>
      <c r="D393" s="75" t="s">
        <v>5323</v>
      </c>
      <c r="E393" s="75" t="s">
        <v>5324</v>
      </c>
      <c r="F393" s="75" t="s">
        <v>5325</v>
      </c>
      <c r="G393" s="75" t="s">
        <v>70</v>
      </c>
      <c r="H393" s="649" t="s">
        <v>5326</v>
      </c>
      <c r="I393" s="75" t="s">
        <v>5327</v>
      </c>
      <c r="J393" s="75" t="s">
        <v>5328</v>
      </c>
      <c r="K393" s="75" t="s">
        <v>2684</v>
      </c>
      <c r="L393" s="75" t="s">
        <v>5329</v>
      </c>
      <c r="M393" s="67" t="s">
        <v>1098</v>
      </c>
      <c r="N393" s="67" t="s">
        <v>1108</v>
      </c>
      <c r="O393" s="71" t="s">
        <v>1746</v>
      </c>
      <c r="P393" s="67" t="s">
        <v>3645</v>
      </c>
      <c r="Q393" s="71" t="b">
        <v>1</v>
      </c>
      <c r="R393" s="75" t="s">
        <v>5330</v>
      </c>
      <c r="S393" s="75" t="s">
        <v>5331</v>
      </c>
      <c r="T393" s="67" t="s">
        <v>1843</v>
      </c>
      <c r="U393" s="67" t="s">
        <v>3371</v>
      </c>
      <c r="V393" s="67"/>
      <c r="W393" s="67" t="s">
        <v>3573</v>
      </c>
      <c r="X393" s="284"/>
      <c r="Y393" s="546"/>
    </row>
    <row r="394" ht="20.25" customHeight="1">
      <c r="A394" s="67" t="s">
        <v>1000</v>
      </c>
      <c r="B394" s="559" t="s">
        <v>219</v>
      </c>
      <c r="C394" s="65" t="s">
        <v>5332</v>
      </c>
      <c r="D394" s="75" t="s">
        <v>5333</v>
      </c>
      <c r="E394" s="65" t="s">
        <v>5334</v>
      </c>
      <c r="F394" s="65" t="s">
        <v>5335</v>
      </c>
      <c r="G394" s="75" t="s">
        <v>2649</v>
      </c>
      <c r="H394" s="65" t="s">
        <v>5336</v>
      </c>
      <c r="I394" s="65" t="s">
        <v>5337</v>
      </c>
      <c r="J394" s="65" t="s">
        <v>5338</v>
      </c>
      <c r="K394" s="75" t="s">
        <v>5339</v>
      </c>
      <c r="L394" s="65" t="s">
        <v>5340</v>
      </c>
      <c r="M394" s="67" t="s">
        <v>1098</v>
      </c>
      <c r="N394" s="67" t="s">
        <v>1108</v>
      </c>
      <c r="O394" s="71" t="s">
        <v>1430</v>
      </c>
      <c r="P394" s="67" t="s">
        <v>3645</v>
      </c>
      <c r="Q394" s="71" t="b">
        <v>1</v>
      </c>
      <c r="R394" s="75" t="s">
        <v>5341</v>
      </c>
      <c r="S394" s="95" t="s">
        <v>5342</v>
      </c>
      <c r="T394" s="47" t="s">
        <v>1961</v>
      </c>
      <c r="U394" s="47" t="s">
        <v>1441</v>
      </c>
      <c r="V394" s="67"/>
      <c r="W394" s="516" t="s">
        <v>3342</v>
      </c>
      <c r="X394" s="511"/>
      <c r="Y394" s="515"/>
    </row>
    <row r="395" ht="20.25" customHeight="1">
      <c r="A395" s="67" t="s">
        <v>1445</v>
      </c>
      <c r="B395" s="559" t="s">
        <v>1311</v>
      </c>
      <c r="C395" s="75" t="s">
        <v>5343</v>
      </c>
      <c r="D395" s="75" t="s">
        <v>5344</v>
      </c>
      <c r="E395" s="65" t="s">
        <v>5345</v>
      </c>
      <c r="F395" s="65" t="s">
        <v>5346</v>
      </c>
      <c r="G395" s="75" t="s">
        <v>70</v>
      </c>
      <c r="H395" s="65" t="s">
        <v>5347</v>
      </c>
      <c r="I395" s="65" t="s">
        <v>5348</v>
      </c>
      <c r="J395" s="65" t="s">
        <v>5349</v>
      </c>
      <c r="K395" s="75" t="s">
        <v>1566</v>
      </c>
      <c r="L395" s="65" t="s">
        <v>5350</v>
      </c>
      <c r="M395" s="67" t="s">
        <v>1098</v>
      </c>
      <c r="N395" s="67" t="s">
        <v>1108</v>
      </c>
      <c r="O395" s="71" t="s">
        <v>1746</v>
      </c>
      <c r="P395" s="67" t="s">
        <v>1161</v>
      </c>
      <c r="Q395" s="71" t="b">
        <v>1</v>
      </c>
      <c r="R395" s="75" t="s">
        <v>3832</v>
      </c>
      <c r="S395" s="75" t="s">
        <v>5351</v>
      </c>
      <c r="T395" s="47" t="s">
        <v>1843</v>
      </c>
      <c r="U395" s="47" t="s">
        <v>3750</v>
      </c>
      <c r="V395" s="67"/>
      <c r="W395" s="516" t="s">
        <v>3413</v>
      </c>
      <c r="X395" s="511"/>
      <c r="Y395" s="515"/>
    </row>
    <row r="396" ht="20.25" customHeight="1">
      <c r="A396" s="67" t="s">
        <v>1000</v>
      </c>
      <c r="B396" s="559" t="s">
        <v>219</v>
      </c>
      <c r="C396" s="65" t="s">
        <v>5352</v>
      </c>
      <c r="D396" s="75" t="s">
        <v>5353</v>
      </c>
      <c r="E396" s="65" t="s">
        <v>5354</v>
      </c>
      <c r="F396" s="65" t="s">
        <v>5355</v>
      </c>
      <c r="G396" s="75" t="s">
        <v>3927</v>
      </c>
      <c r="H396" s="65" t="s">
        <v>5356</v>
      </c>
      <c r="I396" s="65" t="s">
        <v>5357</v>
      </c>
      <c r="J396" s="65" t="s">
        <v>5358</v>
      </c>
      <c r="K396" s="75" t="s">
        <v>1566</v>
      </c>
      <c r="L396" s="65" t="s">
        <v>5359</v>
      </c>
      <c r="M396" s="67" t="s">
        <v>1098</v>
      </c>
      <c r="N396" s="67" t="s">
        <v>1108</v>
      </c>
      <c r="O396" s="71" t="s">
        <v>1746</v>
      </c>
      <c r="P396" s="67" t="s">
        <v>3645</v>
      </c>
      <c r="Q396" s="71" t="b">
        <v>1</v>
      </c>
      <c r="R396" s="75" t="s">
        <v>5360</v>
      </c>
      <c r="S396" s="75" t="s">
        <v>5361</v>
      </c>
      <c r="T396" s="47" t="s">
        <v>1843</v>
      </c>
      <c r="U396" s="47" t="s">
        <v>5280</v>
      </c>
      <c r="V396" s="67"/>
      <c r="W396" s="516"/>
      <c r="X396" s="511"/>
      <c r="Y396" s="515"/>
    </row>
    <row r="397" ht="20.25" customHeight="1">
      <c r="A397" s="67" t="s">
        <v>1445</v>
      </c>
      <c r="B397" s="559" t="s">
        <v>219</v>
      </c>
      <c r="C397" s="65" t="s">
        <v>5362</v>
      </c>
      <c r="D397" s="65" t="s">
        <v>5363</v>
      </c>
      <c r="E397" s="65" t="s">
        <v>5364</v>
      </c>
      <c r="F397" s="65" t="s">
        <v>5365</v>
      </c>
      <c r="G397" s="75" t="s">
        <v>91</v>
      </c>
      <c r="H397" s="65" t="s">
        <v>5366</v>
      </c>
      <c r="I397" s="65" t="s">
        <v>5367</v>
      </c>
      <c r="J397" s="65" t="s">
        <v>5368</v>
      </c>
      <c r="K397" s="75" t="s">
        <v>1566</v>
      </c>
      <c r="L397" s="65" t="s">
        <v>5369</v>
      </c>
      <c r="M397" s="67" t="s">
        <v>1098</v>
      </c>
      <c r="N397" s="67" t="s">
        <v>1108</v>
      </c>
      <c r="O397" s="71" t="s">
        <v>1746</v>
      </c>
      <c r="P397" s="67" t="s">
        <v>3645</v>
      </c>
      <c r="Q397" s="71" t="b">
        <v>1</v>
      </c>
      <c r="R397" s="75" t="s">
        <v>5370</v>
      </c>
      <c r="S397" s="75" t="s">
        <v>5371</v>
      </c>
      <c r="T397" s="47" t="s">
        <v>1843</v>
      </c>
      <c r="U397" s="47" t="s">
        <v>3371</v>
      </c>
      <c r="V397" s="67"/>
      <c r="W397" s="516" t="s">
        <v>3413</v>
      </c>
      <c r="X397" s="511"/>
      <c r="Y397" s="515"/>
    </row>
    <row r="398" ht="22.5" customHeight="1">
      <c r="A398" s="67" t="s">
        <v>1441</v>
      </c>
      <c r="B398" s="546" t="s">
        <v>219</v>
      </c>
      <c r="C398" s="75" t="s">
        <v>5372</v>
      </c>
      <c r="D398" s="75" t="s">
        <v>5333</v>
      </c>
      <c r="E398" s="75" t="s">
        <v>5334</v>
      </c>
      <c r="F398" s="75" t="s">
        <v>5335</v>
      </c>
      <c r="G398" s="75" t="s">
        <v>2649</v>
      </c>
      <c r="H398" s="75" t="s">
        <v>5336</v>
      </c>
      <c r="I398" s="75" t="s">
        <v>5337</v>
      </c>
      <c r="J398" s="75" t="s">
        <v>5373</v>
      </c>
      <c r="K398" s="650" t="s">
        <v>1338</v>
      </c>
      <c r="L398" s="75" t="s">
        <v>5374</v>
      </c>
      <c r="M398" s="67"/>
      <c r="N398" s="67"/>
      <c r="O398" s="71"/>
      <c r="P398" s="67" t="s">
        <v>1161</v>
      </c>
      <c r="Q398" s="71" t="b">
        <v>1</v>
      </c>
      <c r="R398" s="75" t="s">
        <v>5375</v>
      </c>
      <c r="S398" s="95" t="s">
        <v>5342</v>
      </c>
      <c r="T398" s="67" t="s">
        <v>1961</v>
      </c>
      <c r="U398" s="47" t="s">
        <v>1441</v>
      </c>
      <c r="V398" s="67"/>
      <c r="W398" s="516" t="s">
        <v>3342</v>
      </c>
      <c r="X398" s="284"/>
      <c r="Y398" s="546"/>
    </row>
    <row r="399" ht="21.0" customHeight="1">
      <c r="A399" s="67" t="s">
        <v>1441</v>
      </c>
      <c r="B399" s="559" t="s">
        <v>219</v>
      </c>
      <c r="C399" s="65" t="s">
        <v>5376</v>
      </c>
      <c r="D399" s="75" t="s">
        <v>5333</v>
      </c>
      <c r="E399" s="65" t="s">
        <v>5334</v>
      </c>
      <c r="F399" s="65" t="s">
        <v>5335</v>
      </c>
      <c r="G399" s="75" t="s">
        <v>2649</v>
      </c>
      <c r="H399" s="65" t="s">
        <v>5336</v>
      </c>
      <c r="I399" s="65" t="s">
        <v>5377</v>
      </c>
      <c r="J399" s="65" t="s">
        <v>5378</v>
      </c>
      <c r="K399" s="75" t="s">
        <v>1338</v>
      </c>
      <c r="L399" s="65" t="s">
        <v>5379</v>
      </c>
      <c r="M399" s="67"/>
      <c r="N399" s="67"/>
      <c r="O399" s="71"/>
      <c r="P399" s="67" t="s">
        <v>2019</v>
      </c>
      <c r="Q399" s="71" t="b">
        <v>1</v>
      </c>
      <c r="R399" s="75" t="s">
        <v>5375</v>
      </c>
      <c r="S399" s="95" t="s">
        <v>5342</v>
      </c>
      <c r="T399" s="47" t="s">
        <v>1961</v>
      </c>
      <c r="U399" s="47" t="s">
        <v>1441</v>
      </c>
      <c r="V399" s="67" t="s">
        <v>3796</v>
      </c>
      <c r="W399" s="516" t="s">
        <v>3342</v>
      </c>
      <c r="X399" s="511"/>
      <c r="Y399" s="515"/>
    </row>
    <row r="400" ht="21.75" customHeight="1">
      <c r="A400" s="47" t="s">
        <v>1441</v>
      </c>
      <c r="B400" s="559" t="s">
        <v>1311</v>
      </c>
      <c r="C400" s="65" t="s">
        <v>5380</v>
      </c>
      <c r="D400" s="65" t="s">
        <v>5381</v>
      </c>
      <c r="E400" s="65" t="s">
        <v>5382</v>
      </c>
      <c r="F400" s="65" t="s">
        <v>5383</v>
      </c>
      <c r="G400" s="75" t="s">
        <v>1016</v>
      </c>
      <c r="H400" s="65" t="s">
        <v>5384</v>
      </c>
      <c r="I400" s="65" t="s">
        <v>5385</v>
      </c>
      <c r="J400" s="65" t="s">
        <v>5386</v>
      </c>
      <c r="K400" s="75" t="s">
        <v>5387</v>
      </c>
      <c r="L400" s="65" t="s">
        <v>5388</v>
      </c>
      <c r="M400" s="67" t="s">
        <v>1098</v>
      </c>
      <c r="N400" s="67" t="s">
        <v>1108</v>
      </c>
      <c r="O400" s="71" t="s">
        <v>1746</v>
      </c>
      <c r="P400" s="67"/>
      <c r="Q400" s="71" t="b">
        <v>1</v>
      </c>
      <c r="R400" s="75" t="s">
        <v>5389</v>
      </c>
      <c r="S400" s="75" t="s">
        <v>5390</v>
      </c>
      <c r="T400" s="47" t="s">
        <v>1843</v>
      </c>
      <c r="U400" s="47" t="s">
        <v>5280</v>
      </c>
      <c r="V400" s="67"/>
      <c r="W400" s="516" t="s">
        <v>3342</v>
      </c>
      <c r="X400" s="511"/>
      <c r="Y400" s="515"/>
    </row>
    <row r="401" ht="21.0" customHeight="1">
      <c r="A401" s="47" t="s">
        <v>1445</v>
      </c>
      <c r="B401" s="559" t="s">
        <v>1311</v>
      </c>
      <c r="C401" s="75" t="s">
        <v>5391</v>
      </c>
      <c r="D401" s="65" t="s">
        <v>5392</v>
      </c>
      <c r="E401" s="65" t="s">
        <v>5393</v>
      </c>
      <c r="F401" s="65" t="s">
        <v>5394</v>
      </c>
      <c r="G401" s="75" t="s">
        <v>5395</v>
      </c>
      <c r="H401" s="65" t="s">
        <v>5396</v>
      </c>
      <c r="I401" s="65" t="s">
        <v>5397</v>
      </c>
      <c r="J401" s="65" t="s">
        <v>5398</v>
      </c>
      <c r="K401" s="75" t="s">
        <v>5387</v>
      </c>
      <c r="L401" s="65" t="s">
        <v>5399</v>
      </c>
      <c r="M401" s="67" t="s">
        <v>1746</v>
      </c>
      <c r="N401" s="67" t="s">
        <v>2191</v>
      </c>
      <c r="O401" s="71"/>
      <c r="P401" s="67" t="s">
        <v>1161</v>
      </c>
      <c r="Q401" s="71" t="b">
        <v>1</v>
      </c>
      <c r="R401" s="75" t="s">
        <v>5400</v>
      </c>
      <c r="S401" s="75" t="s">
        <v>5401</v>
      </c>
      <c r="T401" s="47" t="s">
        <v>1843</v>
      </c>
      <c r="U401" s="47" t="s">
        <v>3371</v>
      </c>
      <c r="V401" s="67"/>
      <c r="W401" s="516"/>
      <c r="X401" s="511"/>
      <c r="Y401" s="515"/>
    </row>
    <row r="402" ht="20.25" customHeight="1">
      <c r="A402" s="47" t="s">
        <v>1000</v>
      </c>
      <c r="B402" s="559" t="s">
        <v>1311</v>
      </c>
      <c r="C402" s="65" t="s">
        <v>5402</v>
      </c>
      <c r="D402" s="75" t="s">
        <v>5403</v>
      </c>
      <c r="E402" s="65" t="s">
        <v>5404</v>
      </c>
      <c r="F402" s="65" t="s">
        <v>5405</v>
      </c>
      <c r="G402" s="75" t="s">
        <v>70</v>
      </c>
      <c r="H402" s="65" t="s">
        <v>5406</v>
      </c>
      <c r="I402" s="65" t="s">
        <v>5407</v>
      </c>
      <c r="J402" s="65" t="s">
        <v>5408</v>
      </c>
      <c r="K402" s="75" t="s">
        <v>5387</v>
      </c>
      <c r="L402" s="65" t="s">
        <v>5409</v>
      </c>
      <c r="M402" s="67"/>
      <c r="N402" s="67"/>
      <c r="O402" s="71"/>
      <c r="P402" s="67" t="s">
        <v>3645</v>
      </c>
      <c r="Q402" s="71" t="b">
        <v>1</v>
      </c>
      <c r="R402" s="75" t="s">
        <v>5410</v>
      </c>
      <c r="S402" s="75" t="s">
        <v>5411</v>
      </c>
      <c r="T402" s="47" t="s">
        <v>1961</v>
      </c>
      <c r="U402" s="47"/>
      <c r="V402" s="67"/>
      <c r="W402" s="516"/>
      <c r="X402" s="511"/>
      <c r="Y402" s="515"/>
    </row>
    <row r="403" ht="20.25" customHeight="1">
      <c r="A403" s="47" t="s">
        <v>1445</v>
      </c>
      <c r="B403" s="559" t="s">
        <v>1391</v>
      </c>
      <c r="C403" s="65" t="s">
        <v>5412</v>
      </c>
      <c r="D403" s="75" t="s">
        <v>5413</v>
      </c>
      <c r="E403" s="65" t="s">
        <v>5414</v>
      </c>
      <c r="F403" s="65" t="s">
        <v>5415</v>
      </c>
      <c r="G403" s="75" t="s">
        <v>5416</v>
      </c>
      <c r="H403" s="65" t="s">
        <v>5417</v>
      </c>
      <c r="I403" s="65" t="s">
        <v>5418</v>
      </c>
      <c r="J403" s="65" t="s">
        <v>5419</v>
      </c>
      <c r="K403" s="75" t="s">
        <v>1566</v>
      </c>
      <c r="L403" s="65" t="s">
        <v>5420</v>
      </c>
      <c r="M403" s="67"/>
      <c r="N403" s="67"/>
      <c r="O403" s="71"/>
      <c r="P403" s="67" t="s">
        <v>3645</v>
      </c>
      <c r="Q403" s="71" t="b">
        <v>1</v>
      </c>
      <c r="R403" s="75" t="s">
        <v>5421</v>
      </c>
      <c r="S403" s="75" t="s">
        <v>5422</v>
      </c>
      <c r="T403" s="47" t="s">
        <v>1843</v>
      </c>
      <c r="U403" s="47" t="s">
        <v>3371</v>
      </c>
      <c r="V403" s="67"/>
      <c r="W403" s="516" t="s">
        <v>3413</v>
      </c>
      <c r="X403" s="511"/>
      <c r="Y403" s="515"/>
    </row>
    <row r="404" ht="20.25" customHeight="1">
      <c r="A404" s="47" t="s">
        <v>1438</v>
      </c>
      <c r="B404" s="559" t="s">
        <v>1311</v>
      </c>
      <c r="C404" s="65" t="s">
        <v>5423</v>
      </c>
      <c r="D404" s="75" t="s">
        <v>5424</v>
      </c>
      <c r="E404" s="65" t="s">
        <v>4799</v>
      </c>
      <c r="F404" s="65" t="s">
        <v>5425</v>
      </c>
      <c r="G404" s="75" t="s">
        <v>5395</v>
      </c>
      <c r="H404" s="65" t="s">
        <v>5426</v>
      </c>
      <c r="I404" s="65" t="s">
        <v>5427</v>
      </c>
      <c r="J404" s="65" t="s">
        <v>5428</v>
      </c>
      <c r="K404" s="75" t="s">
        <v>1566</v>
      </c>
      <c r="L404" s="65"/>
      <c r="M404" s="67" t="s">
        <v>1098</v>
      </c>
      <c r="N404" s="67" t="s">
        <v>1108</v>
      </c>
      <c r="O404" s="71" t="s">
        <v>1746</v>
      </c>
      <c r="P404" s="284"/>
      <c r="Q404" s="71" t="b">
        <v>1</v>
      </c>
      <c r="R404" s="75" t="s">
        <v>5429</v>
      </c>
      <c r="S404" s="75" t="s">
        <v>5430</v>
      </c>
      <c r="T404" s="47" t="s">
        <v>1843</v>
      </c>
      <c r="U404" s="47" t="s">
        <v>5280</v>
      </c>
      <c r="V404" s="67"/>
      <c r="W404" s="516"/>
      <c r="X404" s="511"/>
      <c r="Y404" s="515"/>
    </row>
    <row r="405" ht="20.25" customHeight="1">
      <c r="A405" s="47" t="s">
        <v>1000</v>
      </c>
      <c r="B405" s="559" t="s">
        <v>219</v>
      </c>
      <c r="C405" s="65" t="s">
        <v>5431</v>
      </c>
      <c r="D405" s="75" t="s">
        <v>5432</v>
      </c>
      <c r="E405" s="65" t="s">
        <v>5433</v>
      </c>
      <c r="F405" s="90" t="s">
        <v>5434</v>
      </c>
      <c r="G405" s="75" t="s">
        <v>2185</v>
      </c>
      <c r="H405" s="65" t="s">
        <v>5435</v>
      </c>
      <c r="I405" s="65" t="s">
        <v>5436</v>
      </c>
      <c r="J405" s="65" t="s">
        <v>5437</v>
      </c>
      <c r="K405" s="75" t="s">
        <v>1566</v>
      </c>
      <c r="L405" s="65" t="s">
        <v>5438</v>
      </c>
      <c r="M405" s="67" t="s">
        <v>1098</v>
      </c>
      <c r="N405" s="67" t="s">
        <v>1108</v>
      </c>
      <c r="O405" s="71"/>
      <c r="P405" s="67" t="s">
        <v>3645</v>
      </c>
      <c r="Q405" s="71" t="b">
        <v>1</v>
      </c>
      <c r="R405" s="75" t="s">
        <v>4196</v>
      </c>
      <c r="S405" s="75" t="s">
        <v>5439</v>
      </c>
      <c r="T405" s="47" t="s">
        <v>1961</v>
      </c>
      <c r="U405" s="47" t="s">
        <v>5280</v>
      </c>
      <c r="V405" s="67"/>
      <c r="W405" s="516" t="s">
        <v>3321</v>
      </c>
      <c r="X405" s="511"/>
      <c r="Y405" s="515"/>
    </row>
    <row r="406" ht="21.0" customHeight="1">
      <c r="A406" s="47" t="s">
        <v>1445</v>
      </c>
      <c r="B406" s="559" t="s">
        <v>1311</v>
      </c>
      <c r="C406" s="75" t="s">
        <v>5440</v>
      </c>
      <c r="D406" s="65" t="s">
        <v>5392</v>
      </c>
      <c r="E406" s="65" t="s">
        <v>5393</v>
      </c>
      <c r="F406" s="65" t="s">
        <v>5394</v>
      </c>
      <c r="G406" s="75" t="s">
        <v>5395</v>
      </c>
      <c r="H406" s="65" t="s">
        <v>5441</v>
      </c>
      <c r="I406" s="65" t="s">
        <v>5397</v>
      </c>
      <c r="J406" s="65" t="s">
        <v>5442</v>
      </c>
      <c r="K406" s="75" t="s">
        <v>5443</v>
      </c>
      <c r="L406" s="65" t="s">
        <v>5388</v>
      </c>
      <c r="M406" s="67" t="s">
        <v>1746</v>
      </c>
      <c r="N406" s="67" t="s">
        <v>2191</v>
      </c>
      <c r="O406" s="71"/>
      <c r="P406" s="284"/>
      <c r="Q406" s="71" t="b">
        <v>1</v>
      </c>
      <c r="R406" s="75" t="s">
        <v>5400</v>
      </c>
      <c r="S406" s="75" t="s">
        <v>5444</v>
      </c>
      <c r="T406" s="47" t="s">
        <v>1843</v>
      </c>
      <c r="U406" s="47" t="s">
        <v>3371</v>
      </c>
      <c r="V406" s="67"/>
      <c r="W406" s="516"/>
      <c r="X406" s="511"/>
      <c r="Y406" s="515"/>
    </row>
    <row r="407" ht="21.0" customHeight="1">
      <c r="A407" s="47" t="s">
        <v>1447</v>
      </c>
      <c r="B407" s="559" t="s">
        <v>1311</v>
      </c>
      <c r="C407" s="65" t="s">
        <v>5445</v>
      </c>
      <c r="D407" s="65" t="s">
        <v>5446</v>
      </c>
      <c r="E407" s="65" t="s">
        <v>5447</v>
      </c>
      <c r="F407" s="65" t="s">
        <v>5448</v>
      </c>
      <c r="G407" s="75" t="s">
        <v>2677</v>
      </c>
      <c r="H407" s="65" t="s">
        <v>5449</v>
      </c>
      <c r="I407" s="65" t="s">
        <v>5450</v>
      </c>
      <c r="J407" s="65" t="s">
        <v>5451</v>
      </c>
      <c r="K407" s="75" t="s">
        <v>2507</v>
      </c>
      <c r="L407" s="65" t="s">
        <v>5452</v>
      </c>
      <c r="M407" s="67" t="s">
        <v>1098</v>
      </c>
      <c r="N407" s="67" t="s">
        <v>1108</v>
      </c>
      <c r="O407" s="353" t="s">
        <v>1430</v>
      </c>
      <c r="P407" s="67" t="s">
        <v>3645</v>
      </c>
      <c r="Q407" s="71" t="b">
        <v>1</v>
      </c>
      <c r="R407" s="75" t="s">
        <v>4795</v>
      </c>
      <c r="S407" s="75" t="s">
        <v>5453</v>
      </c>
      <c r="T407" s="47" t="s">
        <v>1843</v>
      </c>
      <c r="U407" s="47" t="s">
        <v>5280</v>
      </c>
      <c r="V407" s="67"/>
      <c r="W407" s="516" t="s">
        <v>3321</v>
      </c>
      <c r="X407" s="511"/>
      <c r="Y407" s="515"/>
    </row>
    <row r="408" ht="21.0" customHeight="1">
      <c r="A408" s="47" t="s">
        <v>1445</v>
      </c>
      <c r="B408" s="559" t="s">
        <v>1311</v>
      </c>
      <c r="C408" s="468" t="s">
        <v>5454</v>
      </c>
      <c r="D408" s="65" t="s">
        <v>5455</v>
      </c>
      <c r="E408" s="65" t="s">
        <v>5456</v>
      </c>
      <c r="F408" s="65" t="s">
        <v>5457</v>
      </c>
      <c r="G408" s="75" t="s">
        <v>2891</v>
      </c>
      <c r="H408" s="65" t="s">
        <v>5458</v>
      </c>
      <c r="I408" s="65" t="s">
        <v>5459</v>
      </c>
      <c r="J408" s="65" t="s">
        <v>5460</v>
      </c>
      <c r="K408" s="75" t="s">
        <v>1566</v>
      </c>
      <c r="L408" s="65" t="s">
        <v>5461</v>
      </c>
      <c r="M408" s="67"/>
      <c r="N408" s="67"/>
      <c r="O408" s="71"/>
      <c r="P408" s="284"/>
      <c r="Q408" s="71" t="b">
        <v>0</v>
      </c>
      <c r="R408" s="75" t="s">
        <v>5462</v>
      </c>
      <c r="S408" s="75" t="s">
        <v>5463</v>
      </c>
      <c r="T408" s="47" t="s">
        <v>1843</v>
      </c>
      <c r="U408" s="47" t="s">
        <v>3371</v>
      </c>
      <c r="V408" s="67"/>
      <c r="W408" s="516"/>
      <c r="X408" s="511"/>
      <c r="Y408" s="515"/>
    </row>
    <row r="409" ht="21.0" customHeight="1">
      <c r="A409" s="47" t="s">
        <v>1438</v>
      </c>
      <c r="B409" s="559" t="s">
        <v>1311</v>
      </c>
      <c r="C409" s="65" t="s">
        <v>5464</v>
      </c>
      <c r="D409" s="65" t="s">
        <v>5455</v>
      </c>
      <c r="E409" s="65" t="s">
        <v>5456</v>
      </c>
      <c r="F409" s="65" t="s">
        <v>5465</v>
      </c>
      <c r="G409" s="75" t="s">
        <v>2891</v>
      </c>
      <c r="H409" s="65" t="s">
        <v>5458</v>
      </c>
      <c r="I409" s="65" t="s">
        <v>5459</v>
      </c>
      <c r="J409" s="65" t="s">
        <v>5466</v>
      </c>
      <c r="K409" s="75" t="s">
        <v>1338</v>
      </c>
      <c r="L409" s="65" t="s">
        <v>5467</v>
      </c>
      <c r="M409" s="67" t="s">
        <v>1098</v>
      </c>
      <c r="N409" s="67" t="s">
        <v>1108</v>
      </c>
      <c r="O409" s="71" t="s">
        <v>1746</v>
      </c>
      <c r="P409" s="284"/>
      <c r="Q409" s="71" t="b">
        <v>1</v>
      </c>
      <c r="R409" s="75" t="s">
        <v>5468</v>
      </c>
      <c r="S409" s="75" t="s">
        <v>5469</v>
      </c>
      <c r="T409" s="47" t="s">
        <v>1843</v>
      </c>
      <c r="U409" s="47" t="s">
        <v>5280</v>
      </c>
      <c r="V409" s="67"/>
      <c r="W409" s="516"/>
      <c r="X409" s="511"/>
      <c r="Y409" s="515"/>
    </row>
    <row r="410" ht="21.0" customHeight="1">
      <c r="A410" s="47" t="s">
        <v>1445</v>
      </c>
      <c r="B410" s="559" t="s">
        <v>1311</v>
      </c>
      <c r="C410" s="65" t="s">
        <v>5470</v>
      </c>
      <c r="D410" s="65" t="s">
        <v>5455</v>
      </c>
      <c r="E410" s="65" t="s">
        <v>5456</v>
      </c>
      <c r="F410" s="65" t="s">
        <v>5471</v>
      </c>
      <c r="G410" s="75" t="s">
        <v>2891</v>
      </c>
      <c r="H410" s="65" t="s">
        <v>5458</v>
      </c>
      <c r="I410" s="65" t="s">
        <v>5459</v>
      </c>
      <c r="J410" s="65" t="s">
        <v>5472</v>
      </c>
      <c r="K410" s="75" t="s">
        <v>1566</v>
      </c>
      <c r="L410" s="65" t="s">
        <v>5461</v>
      </c>
      <c r="M410" s="67" t="s">
        <v>1098</v>
      </c>
      <c r="N410" s="67" t="s">
        <v>1108</v>
      </c>
      <c r="O410" s="71" t="s">
        <v>1746</v>
      </c>
      <c r="P410" s="284"/>
      <c r="Q410" s="71" t="b">
        <v>1</v>
      </c>
      <c r="R410" s="75" t="s">
        <v>5473</v>
      </c>
      <c r="S410" s="75" t="s">
        <v>5474</v>
      </c>
      <c r="T410" s="47" t="s">
        <v>1843</v>
      </c>
      <c r="U410" s="47" t="s">
        <v>3371</v>
      </c>
      <c r="V410" s="67"/>
      <c r="W410" s="511"/>
      <c r="X410" s="511"/>
      <c r="Y410" s="515"/>
    </row>
    <row r="411" ht="21.0" customHeight="1">
      <c r="A411" s="47" t="s">
        <v>1434</v>
      </c>
      <c r="B411" s="559" t="s">
        <v>1311</v>
      </c>
      <c r="C411" s="65" t="s">
        <v>5475</v>
      </c>
      <c r="D411" s="65" t="s">
        <v>5476</v>
      </c>
      <c r="E411" s="65" t="s">
        <v>5477</v>
      </c>
      <c r="F411" s="65" t="s">
        <v>5478</v>
      </c>
      <c r="G411" s="75" t="s">
        <v>3927</v>
      </c>
      <c r="H411" s="65" t="s">
        <v>5479</v>
      </c>
      <c r="I411" s="65" t="s">
        <v>5480</v>
      </c>
      <c r="J411" s="65" t="s">
        <v>5481</v>
      </c>
      <c r="K411" s="75" t="s">
        <v>1338</v>
      </c>
      <c r="L411" s="65" t="s">
        <v>5482</v>
      </c>
      <c r="M411" s="67"/>
      <c r="N411" s="67"/>
      <c r="O411" s="71"/>
      <c r="P411" s="284"/>
      <c r="Q411" s="71" t="b">
        <v>0</v>
      </c>
      <c r="R411" s="75" t="s">
        <v>5483</v>
      </c>
      <c r="S411" s="75" t="s">
        <v>5484</v>
      </c>
      <c r="T411" s="47" t="s">
        <v>1843</v>
      </c>
      <c r="U411" s="47" t="s">
        <v>4330</v>
      </c>
      <c r="V411" s="67"/>
      <c r="W411" s="516"/>
      <c r="X411" s="511"/>
      <c r="Y411" s="515"/>
    </row>
    <row r="412" ht="21.0" customHeight="1">
      <c r="A412" s="47" t="s">
        <v>1000</v>
      </c>
      <c r="B412" s="559" t="s">
        <v>1311</v>
      </c>
      <c r="C412" s="65" t="s">
        <v>5485</v>
      </c>
      <c r="D412" s="65" t="s">
        <v>5486</v>
      </c>
      <c r="E412" s="65" t="s">
        <v>5487</v>
      </c>
      <c r="F412" s="65" t="s">
        <v>5488</v>
      </c>
      <c r="G412" s="75" t="s">
        <v>3927</v>
      </c>
      <c r="H412" s="65" t="s">
        <v>5489</v>
      </c>
      <c r="I412" s="65" t="s">
        <v>5490</v>
      </c>
      <c r="J412" s="65" t="s">
        <v>5491</v>
      </c>
      <c r="K412" s="75" t="s">
        <v>1566</v>
      </c>
      <c r="L412" s="65" t="s">
        <v>5492</v>
      </c>
      <c r="M412" s="67" t="s">
        <v>1098</v>
      </c>
      <c r="N412" s="67" t="s">
        <v>1108</v>
      </c>
      <c r="O412" s="71" t="s">
        <v>1746</v>
      </c>
      <c r="P412" s="284"/>
      <c r="Q412" s="71" t="b">
        <v>1</v>
      </c>
      <c r="R412" s="75" t="s">
        <v>5493</v>
      </c>
      <c r="S412" s="75" t="s">
        <v>5494</v>
      </c>
      <c r="T412" s="47" t="s">
        <v>1843</v>
      </c>
      <c r="U412" s="47" t="s">
        <v>3673</v>
      </c>
      <c r="V412" s="67"/>
      <c r="W412" s="516"/>
      <c r="X412" s="511"/>
      <c r="Y412" s="515"/>
    </row>
    <row r="413" ht="21.0" customHeight="1">
      <c r="A413" s="47" t="s">
        <v>1447</v>
      </c>
      <c r="B413" s="559" t="s">
        <v>1391</v>
      </c>
      <c r="C413" s="65" t="s">
        <v>5495</v>
      </c>
      <c r="D413" s="65" t="s">
        <v>5496</v>
      </c>
      <c r="E413" s="65" t="s">
        <v>5497</v>
      </c>
      <c r="F413" s="65" t="s">
        <v>5498</v>
      </c>
      <c r="G413" s="75" t="s">
        <v>1016</v>
      </c>
      <c r="H413" s="65" t="s">
        <v>5499</v>
      </c>
      <c r="I413" s="65" t="s">
        <v>5500</v>
      </c>
      <c r="J413" s="65" t="s">
        <v>5501</v>
      </c>
      <c r="K413" s="75" t="s">
        <v>5502</v>
      </c>
      <c r="L413" s="65" t="s">
        <v>5503</v>
      </c>
      <c r="M413" s="67"/>
      <c r="N413" s="67"/>
      <c r="O413" s="71"/>
      <c r="P413" s="284"/>
      <c r="Q413" s="71" t="b">
        <v>0</v>
      </c>
      <c r="R413" s="75"/>
      <c r="S413" s="75"/>
      <c r="T413" s="47"/>
      <c r="U413" s="47" t="s">
        <v>4330</v>
      </c>
      <c r="V413" s="67"/>
      <c r="W413" s="511"/>
      <c r="X413" s="511"/>
      <c r="Y413" s="515"/>
    </row>
    <row r="414" ht="21.0" customHeight="1">
      <c r="A414" s="47" t="s">
        <v>1435</v>
      </c>
      <c r="B414" s="559" t="s">
        <v>219</v>
      </c>
      <c r="C414" s="65" t="s">
        <v>5504</v>
      </c>
      <c r="D414" s="65" t="s">
        <v>5505</v>
      </c>
      <c r="E414" s="65" t="s">
        <v>5506</v>
      </c>
      <c r="F414" s="65" t="s">
        <v>5507</v>
      </c>
      <c r="G414" s="75" t="s">
        <v>695</v>
      </c>
      <c r="H414" s="65" t="s">
        <v>5508</v>
      </c>
      <c r="I414" s="65" t="s">
        <v>5509</v>
      </c>
      <c r="J414" s="65" t="s">
        <v>5510</v>
      </c>
      <c r="K414" s="75" t="s">
        <v>5511</v>
      </c>
      <c r="L414" s="65" t="s">
        <v>5512</v>
      </c>
      <c r="M414" s="67"/>
      <c r="N414" s="67"/>
      <c r="O414" s="71"/>
      <c r="P414" s="284"/>
      <c r="Q414" s="71" t="b">
        <v>0</v>
      </c>
      <c r="R414" s="75"/>
      <c r="S414" s="75"/>
      <c r="T414" s="47"/>
      <c r="U414" s="47" t="s">
        <v>3673</v>
      </c>
      <c r="V414" s="67"/>
      <c r="W414" s="511"/>
      <c r="X414" s="511"/>
      <c r="Y414" s="515"/>
    </row>
    <row r="415" ht="21.0" customHeight="1">
      <c r="A415" s="355"/>
      <c r="B415" s="559" t="s">
        <v>5513</v>
      </c>
      <c r="C415" s="65" t="s">
        <v>5514</v>
      </c>
      <c r="D415" s="65" t="s">
        <v>5515</v>
      </c>
      <c r="E415" s="65" t="s">
        <v>5516</v>
      </c>
      <c r="F415" s="65" t="s">
        <v>5517</v>
      </c>
      <c r="G415" s="75" t="s">
        <v>3927</v>
      </c>
      <c r="H415" s="65" t="s">
        <v>5518</v>
      </c>
      <c r="I415" s="65" t="s">
        <v>5519</v>
      </c>
      <c r="J415" s="538" t="s">
        <v>5520</v>
      </c>
      <c r="K415" s="75" t="s">
        <v>1338</v>
      </c>
      <c r="L415" s="65" t="s">
        <v>5521</v>
      </c>
      <c r="M415" s="67"/>
      <c r="N415" s="67"/>
      <c r="O415" s="71"/>
      <c r="P415" s="284"/>
      <c r="Q415" s="71" t="b">
        <v>0</v>
      </c>
      <c r="R415" s="75" t="s">
        <v>5522</v>
      </c>
      <c r="S415" s="75"/>
      <c r="T415" s="47" t="s">
        <v>1961</v>
      </c>
      <c r="U415" s="47" t="s">
        <v>5523</v>
      </c>
      <c r="V415" s="67"/>
      <c r="W415" s="511"/>
      <c r="X415" s="511"/>
      <c r="Y415" s="515"/>
    </row>
    <row r="416" ht="21.0" customHeight="1">
      <c r="A416" s="47" t="s">
        <v>1000</v>
      </c>
      <c r="B416" s="559" t="s">
        <v>1311</v>
      </c>
      <c r="C416" s="65" t="s">
        <v>5524</v>
      </c>
      <c r="D416" s="65" t="s">
        <v>5525</v>
      </c>
      <c r="E416" s="65" t="s">
        <v>5526</v>
      </c>
      <c r="F416" s="65" t="s">
        <v>5527</v>
      </c>
      <c r="G416" s="75" t="s">
        <v>695</v>
      </c>
      <c r="H416" s="65" t="s">
        <v>5528</v>
      </c>
      <c r="I416" s="65" t="s">
        <v>5529</v>
      </c>
      <c r="J416" s="528" t="s">
        <v>5530</v>
      </c>
      <c r="K416" s="75" t="s">
        <v>5531</v>
      </c>
      <c r="L416" s="65" t="s">
        <v>5532</v>
      </c>
      <c r="M416" s="67"/>
      <c r="N416" s="67"/>
      <c r="O416" s="71"/>
      <c r="P416" s="284"/>
      <c r="Q416" s="71" t="b">
        <v>0</v>
      </c>
      <c r="R416" s="75" t="s">
        <v>5533</v>
      </c>
      <c r="S416" s="75"/>
      <c r="T416" s="47" t="s">
        <v>1843</v>
      </c>
      <c r="U416" s="47" t="s">
        <v>5523</v>
      </c>
      <c r="V416" s="67"/>
      <c r="W416" s="511"/>
      <c r="X416" s="511"/>
      <c r="Y416" s="515"/>
    </row>
    <row r="417" ht="21.0" customHeight="1">
      <c r="A417" s="47" t="s">
        <v>1435</v>
      </c>
      <c r="B417" s="559" t="s">
        <v>1311</v>
      </c>
      <c r="C417" s="468" t="s">
        <v>5534</v>
      </c>
      <c r="D417" s="65" t="s">
        <v>5535</v>
      </c>
      <c r="E417" s="65" t="s">
        <v>5536</v>
      </c>
      <c r="F417" s="65" t="s">
        <v>5537</v>
      </c>
      <c r="G417" s="75" t="s">
        <v>91</v>
      </c>
      <c r="H417" s="65" t="s">
        <v>5538</v>
      </c>
      <c r="I417" s="65" t="s">
        <v>5539</v>
      </c>
      <c r="J417" s="528" t="s">
        <v>5540</v>
      </c>
      <c r="K417" s="75" t="s">
        <v>5531</v>
      </c>
      <c r="L417" s="65" t="s">
        <v>5532</v>
      </c>
      <c r="M417" s="67"/>
      <c r="N417" s="67"/>
      <c r="O417" s="71"/>
      <c r="P417" s="284"/>
      <c r="Q417" s="71" t="b">
        <v>0</v>
      </c>
      <c r="R417" s="75" t="s">
        <v>5541</v>
      </c>
      <c r="S417" s="75"/>
      <c r="T417" s="47" t="s">
        <v>1843</v>
      </c>
      <c r="U417" s="47" t="s">
        <v>3455</v>
      </c>
      <c r="V417" s="67"/>
      <c r="W417" s="511"/>
      <c r="X417" s="511"/>
      <c r="Y417" s="515"/>
    </row>
    <row r="418" ht="21.0" customHeight="1">
      <c r="A418" s="47" t="s">
        <v>1439</v>
      </c>
      <c r="B418" s="559" t="s">
        <v>1311</v>
      </c>
      <c r="C418" s="65" t="s">
        <v>5542</v>
      </c>
      <c r="D418" s="65" t="s">
        <v>5543</v>
      </c>
      <c r="E418" s="65" t="s">
        <v>5544</v>
      </c>
      <c r="F418" s="65" t="s">
        <v>5545</v>
      </c>
      <c r="G418" s="75" t="s">
        <v>1016</v>
      </c>
      <c r="H418" s="65" t="s">
        <v>5546</v>
      </c>
      <c r="I418" s="65" t="s">
        <v>5547</v>
      </c>
      <c r="J418" s="528" t="s">
        <v>5548</v>
      </c>
      <c r="K418" s="75" t="s">
        <v>5531</v>
      </c>
      <c r="L418" s="65" t="s">
        <v>5532</v>
      </c>
      <c r="M418" s="67"/>
      <c r="N418" s="67"/>
      <c r="O418" s="71"/>
      <c r="P418" s="284"/>
      <c r="Q418" s="71" t="b">
        <v>0</v>
      </c>
      <c r="R418" s="75"/>
      <c r="S418" s="75"/>
      <c r="T418" s="47" t="s">
        <v>1843</v>
      </c>
      <c r="U418" s="47" t="s">
        <v>3673</v>
      </c>
      <c r="V418" s="67"/>
      <c r="W418" s="511"/>
      <c r="X418" s="511"/>
      <c r="Y418" s="512" t="s">
        <v>5549</v>
      </c>
    </row>
    <row r="419" ht="21.0" customHeight="1">
      <c r="A419" s="47" t="s">
        <v>1443</v>
      </c>
      <c r="B419" s="559" t="s">
        <v>1391</v>
      </c>
      <c r="C419" s="65" t="s">
        <v>5550</v>
      </c>
      <c r="D419" s="65" t="s">
        <v>5496</v>
      </c>
      <c r="E419" s="65" t="s">
        <v>5551</v>
      </c>
      <c r="F419" s="65" t="s">
        <v>5498</v>
      </c>
      <c r="G419" s="75" t="s">
        <v>1016</v>
      </c>
      <c r="H419" s="65" t="s">
        <v>5499</v>
      </c>
      <c r="I419" s="65" t="s">
        <v>5500</v>
      </c>
      <c r="J419" s="528" t="s">
        <v>5552</v>
      </c>
      <c r="K419" s="75" t="s">
        <v>1566</v>
      </c>
      <c r="L419" s="65" t="s">
        <v>5553</v>
      </c>
      <c r="M419" s="67"/>
      <c r="N419" s="67"/>
      <c r="O419" s="71"/>
      <c r="P419" s="284"/>
      <c r="Q419" s="71" t="b">
        <v>0</v>
      </c>
      <c r="R419" s="75"/>
      <c r="S419" s="75"/>
      <c r="T419" s="47" t="s">
        <v>1843</v>
      </c>
      <c r="U419" s="47" t="s">
        <v>3455</v>
      </c>
      <c r="V419" s="67"/>
      <c r="W419" s="511"/>
      <c r="X419" s="511"/>
      <c r="Y419" s="515"/>
    </row>
    <row r="420" ht="21.0" customHeight="1">
      <c r="A420" s="47"/>
      <c r="B420" s="559" t="s">
        <v>1391</v>
      </c>
      <c r="C420" s="65" t="s">
        <v>5554</v>
      </c>
      <c r="D420" s="65" t="s">
        <v>1572</v>
      </c>
      <c r="E420" s="65" t="s">
        <v>1573</v>
      </c>
      <c r="F420" s="65" t="s">
        <v>1574</v>
      </c>
      <c r="G420" s="65" t="s">
        <v>3927</v>
      </c>
      <c r="H420" s="65" t="s">
        <v>1575</v>
      </c>
      <c r="I420" s="65" t="s">
        <v>5555</v>
      </c>
      <c r="J420" s="65" t="s">
        <v>5556</v>
      </c>
      <c r="K420" s="65" t="s">
        <v>1566</v>
      </c>
      <c r="L420" s="65" t="s">
        <v>5557</v>
      </c>
      <c r="M420" s="67"/>
      <c r="N420" s="67"/>
      <c r="O420" s="71"/>
      <c r="P420" s="284"/>
      <c r="Q420" s="71" t="b">
        <v>0</v>
      </c>
      <c r="R420" s="75" t="s">
        <v>5558</v>
      </c>
      <c r="S420" s="75"/>
      <c r="T420" s="47" t="s">
        <v>1843</v>
      </c>
      <c r="U420" s="47" t="s">
        <v>5523</v>
      </c>
      <c r="V420" s="67"/>
      <c r="W420" s="511"/>
      <c r="X420" s="511"/>
      <c r="Y420" s="512" t="s">
        <v>5549</v>
      </c>
    </row>
    <row r="421" ht="21.0" customHeight="1">
      <c r="A421" s="47"/>
      <c r="B421" s="559" t="s">
        <v>1391</v>
      </c>
      <c r="C421" s="65" t="s">
        <v>5559</v>
      </c>
      <c r="D421" s="65" t="s">
        <v>5560</v>
      </c>
      <c r="E421" s="65" t="s">
        <v>5561</v>
      </c>
      <c r="F421" s="65" t="s">
        <v>5562</v>
      </c>
      <c r="G421" s="65" t="s">
        <v>5563</v>
      </c>
      <c r="H421" s="65" t="s">
        <v>5564</v>
      </c>
      <c r="I421" s="65" t="s">
        <v>5565</v>
      </c>
      <c r="J421" s="65" t="s">
        <v>5566</v>
      </c>
      <c r="K421" s="65" t="s">
        <v>5567</v>
      </c>
      <c r="L421" s="65" t="s">
        <v>5568</v>
      </c>
      <c r="M421" s="67"/>
      <c r="N421" s="67"/>
      <c r="O421" s="71"/>
      <c r="P421" s="284"/>
      <c r="Q421" s="71" t="b">
        <v>0</v>
      </c>
      <c r="R421" s="75" t="s">
        <v>5569</v>
      </c>
      <c r="S421" s="75"/>
      <c r="T421" s="47" t="s">
        <v>1843</v>
      </c>
      <c r="U421" s="355"/>
      <c r="V421" s="67"/>
      <c r="W421" s="511"/>
      <c r="X421" s="511"/>
      <c r="Y421" s="515"/>
    </row>
    <row r="422" ht="21.0" customHeight="1">
      <c r="A422" s="355"/>
      <c r="B422" s="559" t="s">
        <v>5513</v>
      </c>
      <c r="C422" s="65" t="s">
        <v>5514</v>
      </c>
      <c r="D422" s="65" t="s">
        <v>5515</v>
      </c>
      <c r="E422" s="65" t="s">
        <v>5516</v>
      </c>
      <c r="F422" s="65" t="s">
        <v>5517</v>
      </c>
      <c r="G422" s="75" t="s">
        <v>3927</v>
      </c>
      <c r="H422" s="65" t="s">
        <v>5518</v>
      </c>
      <c r="I422" s="65" t="s">
        <v>5519</v>
      </c>
      <c r="J422" s="538" t="s">
        <v>5570</v>
      </c>
      <c r="K422" s="75" t="s">
        <v>1338</v>
      </c>
      <c r="L422" s="65" t="s">
        <v>5482</v>
      </c>
      <c r="M422" s="67"/>
      <c r="N422" s="67"/>
      <c r="O422" s="71"/>
      <c r="P422" s="284"/>
      <c r="Q422" s="71" t="b">
        <v>0</v>
      </c>
      <c r="R422" s="75" t="s">
        <v>5522</v>
      </c>
      <c r="S422" s="75"/>
      <c r="T422" s="47" t="s">
        <v>1843</v>
      </c>
      <c r="U422" s="47" t="s">
        <v>5523</v>
      </c>
      <c r="V422" s="67"/>
      <c r="W422" s="511"/>
      <c r="X422" s="511"/>
      <c r="Y422" s="515"/>
    </row>
    <row r="423" ht="21.0" customHeight="1">
      <c r="A423" s="355"/>
      <c r="B423" s="559" t="s">
        <v>1311</v>
      </c>
      <c r="C423" s="65" t="s">
        <v>5571</v>
      </c>
      <c r="D423" s="65" t="s">
        <v>5572</v>
      </c>
      <c r="E423" s="65" t="s">
        <v>5573</v>
      </c>
      <c r="F423" s="65" t="s">
        <v>5574</v>
      </c>
      <c r="G423" s="75" t="s">
        <v>3927</v>
      </c>
      <c r="H423" s="65" t="s">
        <v>5575</v>
      </c>
      <c r="I423" s="65" t="s">
        <v>5576</v>
      </c>
      <c r="J423" s="304" t="s">
        <v>5577</v>
      </c>
      <c r="K423" s="75" t="s">
        <v>5531</v>
      </c>
      <c r="L423" s="65" t="s">
        <v>5578</v>
      </c>
      <c r="M423" s="67"/>
      <c r="N423" s="67"/>
      <c r="O423" s="71"/>
      <c r="P423" s="284"/>
      <c r="Q423" s="71" t="b">
        <v>0</v>
      </c>
      <c r="R423" s="75"/>
      <c r="S423" s="75"/>
      <c r="T423" s="47" t="s">
        <v>1843</v>
      </c>
      <c r="U423" s="47" t="s">
        <v>5523</v>
      </c>
      <c r="V423" s="67"/>
      <c r="W423" s="511"/>
      <c r="X423" s="511"/>
      <c r="Y423" s="515"/>
    </row>
    <row r="424" ht="21.0" customHeight="1">
      <c r="A424" s="651"/>
      <c r="B424" s="549"/>
      <c r="C424" s="402"/>
      <c r="D424" s="568"/>
      <c r="E424" s="568"/>
      <c r="F424" s="568"/>
      <c r="G424" s="402"/>
      <c r="H424" s="402"/>
      <c r="I424" s="402"/>
      <c r="J424" s="652"/>
      <c r="K424" s="402"/>
      <c r="L424" s="402"/>
      <c r="M424" s="600"/>
      <c r="N424" s="600"/>
      <c r="O424" s="653"/>
      <c r="P424" s="413"/>
      <c r="Q424" s="415"/>
      <c r="R424" s="422"/>
      <c r="S424" s="422"/>
      <c r="T424" s="654"/>
      <c r="U424" s="655"/>
      <c r="V424" s="600"/>
      <c r="W424" s="413"/>
      <c r="X424" s="656"/>
      <c r="Y424" s="657"/>
    </row>
    <row r="425">
      <c r="A425" s="658"/>
      <c r="B425" s="658"/>
      <c r="C425" s="658"/>
      <c r="D425" s="658"/>
      <c r="E425" s="658"/>
      <c r="F425" s="658"/>
      <c r="G425" s="658"/>
      <c r="H425" s="658"/>
      <c r="I425" s="658"/>
      <c r="J425" s="658"/>
      <c r="K425" s="658"/>
      <c r="L425" s="658"/>
      <c r="M425" s="659"/>
      <c r="N425" s="659"/>
      <c r="O425" s="659"/>
      <c r="P425" s="659"/>
      <c r="Q425" s="659" t="b">
        <v>0</v>
      </c>
      <c r="R425" s="658"/>
      <c r="S425" s="658"/>
      <c r="T425" s="658"/>
      <c r="U425" s="658"/>
      <c r="V425" s="658"/>
      <c r="W425" s="658"/>
      <c r="X425" s="658"/>
      <c r="Y425" s="658"/>
    </row>
    <row r="426">
      <c r="A426" s="658"/>
      <c r="B426" s="658"/>
      <c r="C426" s="658"/>
      <c r="D426" s="658"/>
      <c r="E426" s="658"/>
      <c r="F426" s="658"/>
      <c r="G426" s="658"/>
      <c r="H426" s="658"/>
      <c r="I426" s="658"/>
      <c r="J426" s="658"/>
      <c r="K426" s="658"/>
      <c r="L426" s="658"/>
      <c r="M426" s="659"/>
      <c r="N426" s="659"/>
      <c r="O426" s="659"/>
      <c r="P426" s="659"/>
      <c r="Q426" s="659" t="b">
        <v>0</v>
      </c>
      <c r="R426" s="658"/>
      <c r="S426" s="658"/>
      <c r="T426" s="658"/>
      <c r="U426" s="658"/>
      <c r="V426" s="658"/>
      <c r="W426" s="658"/>
      <c r="X426" s="658"/>
      <c r="Y426" s="658"/>
    </row>
    <row r="427">
      <c r="A427" s="658"/>
      <c r="B427" s="658"/>
      <c r="C427" s="658"/>
      <c r="D427" s="658"/>
      <c r="E427" s="658"/>
      <c r="F427" s="658"/>
      <c r="G427" s="658"/>
      <c r="H427" s="658"/>
      <c r="I427" s="658"/>
      <c r="J427" s="658"/>
      <c r="K427" s="658"/>
      <c r="L427" s="658"/>
      <c r="M427" s="659"/>
      <c r="N427" s="659"/>
      <c r="O427" s="659"/>
      <c r="P427" s="659"/>
      <c r="Q427" s="659" t="b">
        <v>0</v>
      </c>
      <c r="R427" s="658"/>
      <c r="S427" s="658"/>
      <c r="T427" s="658"/>
      <c r="U427" s="658"/>
      <c r="V427" s="658"/>
      <c r="W427" s="658"/>
      <c r="X427" s="658"/>
      <c r="Y427" s="658"/>
    </row>
    <row r="428">
      <c r="A428" s="658"/>
      <c r="B428" s="658"/>
      <c r="C428" s="658"/>
      <c r="D428" s="658"/>
      <c r="E428" s="658"/>
      <c r="F428" s="658"/>
      <c r="G428" s="658"/>
      <c r="H428" s="658"/>
      <c r="I428" s="658"/>
      <c r="J428" s="658"/>
      <c r="K428" s="658"/>
      <c r="L428" s="658"/>
      <c r="M428" s="659"/>
      <c r="N428" s="659"/>
      <c r="O428" s="659"/>
      <c r="P428" s="659"/>
      <c r="Q428" s="659" t="b">
        <v>0</v>
      </c>
      <c r="R428" s="658"/>
      <c r="S428" s="658"/>
      <c r="T428" s="658"/>
      <c r="U428" s="658"/>
      <c r="V428" s="658"/>
      <c r="W428" s="658"/>
      <c r="X428" s="658"/>
      <c r="Y428" s="658"/>
    </row>
    <row r="429">
      <c r="A429" s="658"/>
      <c r="B429" s="658"/>
      <c r="C429" s="658"/>
      <c r="D429" s="658"/>
      <c r="E429" s="658"/>
      <c r="F429" s="658"/>
      <c r="G429" s="658"/>
      <c r="H429" s="658"/>
      <c r="I429" s="658"/>
      <c r="J429" s="658"/>
      <c r="K429" s="658"/>
      <c r="L429" s="658"/>
      <c r="M429" s="659"/>
      <c r="N429" s="659"/>
      <c r="O429" s="659"/>
      <c r="P429" s="659"/>
      <c r="Q429" s="659" t="b">
        <v>0</v>
      </c>
      <c r="R429" s="658"/>
      <c r="S429" s="658"/>
      <c r="T429" s="658"/>
      <c r="U429" s="658"/>
      <c r="V429" s="658"/>
      <c r="W429" s="658"/>
      <c r="X429" s="658"/>
      <c r="Y429" s="658"/>
    </row>
    <row r="430">
      <c r="A430" s="658"/>
      <c r="B430" s="658"/>
      <c r="C430" s="658"/>
      <c r="D430" s="658"/>
      <c r="E430" s="658"/>
      <c r="F430" s="658"/>
      <c r="G430" s="658"/>
      <c r="H430" s="658"/>
      <c r="I430" s="658"/>
      <c r="J430" s="658"/>
      <c r="K430" s="658"/>
      <c r="L430" s="658"/>
      <c r="M430" s="659"/>
      <c r="N430" s="659"/>
      <c r="O430" s="659"/>
      <c r="P430" s="659"/>
      <c r="Q430" s="659" t="b">
        <v>0</v>
      </c>
      <c r="R430" s="658"/>
      <c r="S430" s="658"/>
      <c r="T430" s="658"/>
      <c r="U430" s="658"/>
      <c r="V430" s="658"/>
      <c r="W430" s="658"/>
      <c r="X430" s="658"/>
      <c r="Y430" s="658"/>
    </row>
    <row r="431">
      <c r="A431" s="658"/>
      <c r="B431" s="658"/>
      <c r="C431" s="658"/>
      <c r="D431" s="658"/>
      <c r="E431" s="658"/>
      <c r="F431" s="658"/>
      <c r="G431" s="658"/>
      <c r="H431" s="658"/>
      <c r="I431" s="658"/>
      <c r="J431" s="658"/>
      <c r="K431" s="658"/>
      <c r="L431" s="658"/>
      <c r="M431" s="659"/>
      <c r="N431" s="659"/>
      <c r="O431" s="659"/>
      <c r="P431" s="659"/>
      <c r="Q431" s="659" t="b">
        <v>0</v>
      </c>
      <c r="R431" s="658"/>
      <c r="S431" s="658"/>
      <c r="T431" s="658"/>
      <c r="U431" s="658"/>
      <c r="V431" s="658"/>
      <c r="W431" s="658"/>
      <c r="X431" s="658"/>
      <c r="Y431" s="658"/>
    </row>
    <row r="432">
      <c r="A432" s="658"/>
      <c r="B432" s="658"/>
      <c r="C432" s="658"/>
      <c r="D432" s="658"/>
      <c r="E432" s="658"/>
      <c r="F432" s="658"/>
      <c r="G432" s="658"/>
      <c r="H432" s="658"/>
      <c r="I432" s="658"/>
      <c r="J432" s="658"/>
      <c r="K432" s="658"/>
      <c r="L432" s="658"/>
      <c r="M432" s="659"/>
      <c r="N432" s="659"/>
      <c r="O432" s="659"/>
      <c r="P432" s="659"/>
      <c r="Q432" s="659" t="b">
        <v>0</v>
      </c>
      <c r="R432" s="658"/>
      <c r="S432" s="658"/>
      <c r="T432" s="658"/>
      <c r="U432" s="658"/>
      <c r="V432" s="658"/>
      <c r="W432" s="658"/>
      <c r="X432" s="658"/>
      <c r="Y432" s="658"/>
    </row>
    <row r="433">
      <c r="A433" s="658"/>
      <c r="B433" s="658"/>
      <c r="C433" s="658"/>
      <c r="D433" s="658"/>
      <c r="E433" s="658"/>
      <c r="F433" s="658"/>
      <c r="G433" s="658"/>
      <c r="H433" s="658"/>
      <c r="I433" s="658"/>
      <c r="J433" s="658"/>
      <c r="K433" s="658"/>
      <c r="L433" s="658"/>
      <c r="M433" s="659"/>
      <c r="N433" s="659"/>
      <c r="O433" s="659"/>
      <c r="P433" s="659"/>
      <c r="Q433" s="659" t="b">
        <v>0</v>
      </c>
      <c r="R433" s="658"/>
      <c r="S433" s="658"/>
      <c r="T433" s="658"/>
      <c r="U433" s="658"/>
      <c r="V433" s="658"/>
      <c r="W433" s="658"/>
      <c r="X433" s="658"/>
      <c r="Y433" s="658"/>
    </row>
    <row r="434">
      <c r="A434" s="658"/>
      <c r="B434" s="658"/>
      <c r="C434" s="658"/>
      <c r="D434" s="658"/>
      <c r="E434" s="658"/>
      <c r="F434" s="658"/>
      <c r="G434" s="658"/>
      <c r="H434" s="658"/>
      <c r="I434" s="658"/>
      <c r="J434" s="658"/>
      <c r="K434" s="658"/>
      <c r="L434" s="658"/>
      <c r="M434" s="659"/>
      <c r="N434" s="659"/>
      <c r="O434" s="659"/>
      <c r="P434" s="659"/>
      <c r="Q434" s="659" t="b">
        <v>0</v>
      </c>
      <c r="R434" s="658"/>
      <c r="S434" s="658"/>
      <c r="T434" s="658"/>
      <c r="U434" s="658"/>
      <c r="V434" s="658"/>
      <c r="W434" s="658"/>
      <c r="X434" s="658"/>
      <c r="Y434" s="658"/>
    </row>
    <row r="435">
      <c r="A435" s="658"/>
      <c r="B435" s="658"/>
      <c r="C435" s="658"/>
      <c r="D435" s="658"/>
      <c r="E435" s="658"/>
      <c r="F435" s="658"/>
      <c r="G435" s="658"/>
      <c r="H435" s="658"/>
      <c r="I435" s="658"/>
      <c r="J435" s="658"/>
      <c r="K435" s="658"/>
      <c r="L435" s="658"/>
      <c r="M435" s="659"/>
      <c r="N435" s="659"/>
      <c r="O435" s="659"/>
      <c r="P435" s="659"/>
      <c r="Q435" s="659" t="b">
        <v>0</v>
      </c>
      <c r="R435" s="658"/>
      <c r="S435" s="658"/>
      <c r="T435" s="658"/>
      <c r="U435" s="658"/>
      <c r="V435" s="658"/>
      <c r="W435" s="658"/>
      <c r="X435" s="658"/>
      <c r="Y435" s="658"/>
    </row>
    <row r="436">
      <c r="A436" s="658"/>
      <c r="B436" s="658"/>
      <c r="C436" s="658"/>
      <c r="D436" s="658"/>
      <c r="E436" s="658"/>
      <c r="F436" s="658"/>
      <c r="G436" s="658"/>
      <c r="H436" s="658"/>
      <c r="I436" s="658"/>
      <c r="J436" s="658"/>
      <c r="K436" s="658"/>
      <c r="L436" s="658"/>
      <c r="M436" s="659"/>
      <c r="N436" s="659"/>
      <c r="O436" s="659"/>
      <c r="P436" s="659"/>
      <c r="Q436" s="659" t="b">
        <v>0</v>
      </c>
      <c r="R436" s="658"/>
      <c r="S436" s="658"/>
      <c r="T436" s="658"/>
      <c r="U436" s="658"/>
      <c r="V436" s="658"/>
      <c r="W436" s="658"/>
      <c r="X436" s="658"/>
      <c r="Y436" s="658"/>
    </row>
    <row r="437">
      <c r="A437" s="658"/>
      <c r="B437" s="658"/>
      <c r="C437" s="658"/>
      <c r="D437" s="658"/>
      <c r="E437" s="658"/>
      <c r="F437" s="658"/>
      <c r="G437" s="658"/>
      <c r="H437" s="658"/>
      <c r="I437" s="658"/>
      <c r="J437" s="658"/>
      <c r="K437" s="658"/>
      <c r="L437" s="658"/>
      <c r="M437" s="659"/>
      <c r="N437" s="659"/>
      <c r="O437" s="659"/>
      <c r="P437" s="659"/>
      <c r="Q437" s="659" t="b">
        <v>0</v>
      </c>
      <c r="R437" s="658"/>
      <c r="S437" s="658"/>
      <c r="T437" s="658"/>
      <c r="U437" s="658"/>
      <c r="V437" s="658"/>
      <c r="W437" s="658"/>
      <c r="X437" s="658"/>
      <c r="Y437" s="658"/>
    </row>
    <row r="438">
      <c r="A438" s="658"/>
      <c r="B438" s="658"/>
      <c r="C438" s="658"/>
      <c r="D438" s="658"/>
      <c r="E438" s="658"/>
      <c r="F438" s="658"/>
      <c r="G438" s="658"/>
      <c r="H438" s="658"/>
      <c r="I438" s="658"/>
      <c r="J438" s="658"/>
      <c r="K438" s="658"/>
      <c r="L438" s="658"/>
      <c r="M438" s="659"/>
      <c r="N438" s="659"/>
      <c r="O438" s="659"/>
      <c r="P438" s="659"/>
      <c r="Q438" s="659" t="b">
        <v>0</v>
      </c>
      <c r="R438" s="658"/>
      <c r="S438" s="658"/>
      <c r="T438" s="658"/>
      <c r="U438" s="658"/>
      <c r="V438" s="658"/>
      <c r="W438" s="658"/>
      <c r="X438" s="658"/>
      <c r="Y438" s="658"/>
    </row>
    <row r="439">
      <c r="A439" s="658"/>
      <c r="B439" s="658"/>
      <c r="C439" s="658"/>
      <c r="D439" s="658"/>
      <c r="E439" s="658"/>
      <c r="F439" s="658"/>
      <c r="G439" s="658"/>
      <c r="H439" s="658"/>
      <c r="I439" s="658"/>
      <c r="J439" s="658"/>
      <c r="K439" s="658"/>
      <c r="L439" s="658"/>
      <c r="M439" s="659"/>
      <c r="N439" s="659"/>
      <c r="O439" s="659"/>
      <c r="P439" s="659"/>
      <c r="Q439" s="659" t="b">
        <v>0</v>
      </c>
      <c r="R439" s="658"/>
      <c r="S439" s="658"/>
      <c r="T439" s="658"/>
      <c r="U439" s="658"/>
      <c r="V439" s="658"/>
      <c r="W439" s="658"/>
      <c r="X439" s="658"/>
      <c r="Y439" s="658"/>
    </row>
    <row r="440">
      <c r="A440" s="658"/>
      <c r="B440" s="658"/>
      <c r="C440" s="658"/>
      <c r="D440" s="658"/>
      <c r="E440" s="658"/>
      <c r="F440" s="658"/>
      <c r="G440" s="658"/>
      <c r="H440" s="658"/>
      <c r="I440" s="658"/>
      <c r="J440" s="658"/>
      <c r="K440" s="658"/>
      <c r="L440" s="658"/>
      <c r="M440" s="659"/>
      <c r="N440" s="659"/>
      <c r="O440" s="659"/>
      <c r="P440" s="659"/>
      <c r="Q440" s="659" t="b">
        <v>0</v>
      </c>
      <c r="R440" s="658"/>
      <c r="S440" s="658"/>
      <c r="T440" s="658"/>
      <c r="U440" s="658"/>
      <c r="V440" s="658"/>
      <c r="W440" s="658"/>
      <c r="X440" s="658"/>
      <c r="Y440" s="658"/>
    </row>
    <row r="441">
      <c r="A441" s="658"/>
      <c r="B441" s="658"/>
      <c r="C441" s="658"/>
      <c r="D441" s="658"/>
      <c r="E441" s="658"/>
      <c r="F441" s="658"/>
      <c r="G441" s="658"/>
      <c r="H441" s="658"/>
      <c r="I441" s="658"/>
      <c r="J441" s="658"/>
      <c r="K441" s="658"/>
      <c r="L441" s="658"/>
      <c r="M441" s="659"/>
      <c r="N441" s="659"/>
      <c r="O441" s="659"/>
      <c r="P441" s="659"/>
      <c r="Q441" s="659" t="b">
        <v>0</v>
      </c>
      <c r="R441" s="658"/>
      <c r="S441" s="658"/>
      <c r="T441" s="658"/>
      <c r="U441" s="658"/>
      <c r="V441" s="658"/>
      <c r="W441" s="658"/>
      <c r="X441" s="658"/>
      <c r="Y441" s="658"/>
    </row>
    <row r="442">
      <c r="A442" s="658"/>
      <c r="B442" s="658"/>
      <c r="C442" s="658"/>
      <c r="D442" s="658"/>
      <c r="E442" s="658"/>
      <c r="F442" s="658"/>
      <c r="G442" s="658"/>
      <c r="H442" s="658"/>
      <c r="I442" s="658"/>
      <c r="J442" s="658"/>
      <c r="K442" s="658"/>
      <c r="L442" s="658"/>
      <c r="M442" s="659"/>
      <c r="N442" s="659"/>
      <c r="O442" s="659"/>
      <c r="P442" s="659"/>
      <c r="Q442" s="659" t="b">
        <v>0</v>
      </c>
      <c r="R442" s="658"/>
      <c r="S442" s="658"/>
      <c r="T442" s="658"/>
      <c r="U442" s="658"/>
      <c r="V442" s="658"/>
      <c r="W442" s="658"/>
      <c r="X442" s="658"/>
      <c r="Y442" s="658"/>
    </row>
    <row r="443">
      <c r="A443" s="658"/>
      <c r="B443" s="658"/>
      <c r="C443" s="658"/>
      <c r="D443" s="658"/>
      <c r="E443" s="658"/>
      <c r="F443" s="658"/>
      <c r="G443" s="658"/>
      <c r="H443" s="658"/>
      <c r="I443" s="658"/>
      <c r="J443" s="658"/>
      <c r="K443" s="658"/>
      <c r="L443" s="658"/>
      <c r="M443" s="659"/>
      <c r="N443" s="659"/>
      <c r="O443" s="659"/>
      <c r="P443" s="659"/>
      <c r="Q443" s="659" t="b">
        <v>0</v>
      </c>
      <c r="R443" s="658"/>
      <c r="S443" s="658"/>
      <c r="T443" s="658"/>
      <c r="U443" s="658"/>
      <c r="V443" s="658"/>
      <c r="W443" s="658"/>
      <c r="X443" s="658"/>
      <c r="Y443" s="658"/>
    </row>
    <row r="444">
      <c r="A444" s="658"/>
      <c r="B444" s="658"/>
      <c r="C444" s="658"/>
      <c r="D444" s="658"/>
      <c r="E444" s="658"/>
      <c r="F444" s="658"/>
      <c r="G444" s="658"/>
      <c r="H444" s="658"/>
      <c r="I444" s="658"/>
      <c r="J444" s="658"/>
      <c r="K444" s="658"/>
      <c r="L444" s="658"/>
      <c r="M444" s="659"/>
      <c r="N444" s="659"/>
      <c r="O444" s="659"/>
      <c r="P444" s="659"/>
      <c r="Q444" s="659" t="b">
        <v>0</v>
      </c>
      <c r="R444" s="658"/>
      <c r="S444" s="658"/>
      <c r="T444" s="658"/>
      <c r="U444" s="658"/>
      <c r="V444" s="658"/>
      <c r="W444" s="658"/>
      <c r="X444" s="658"/>
      <c r="Y444" s="658"/>
    </row>
    <row r="445">
      <c r="A445" s="658"/>
      <c r="B445" s="658"/>
      <c r="C445" s="658"/>
      <c r="D445" s="658"/>
      <c r="E445" s="658"/>
      <c r="F445" s="658"/>
      <c r="G445" s="658"/>
      <c r="H445" s="658"/>
      <c r="I445" s="658"/>
      <c r="J445" s="658"/>
      <c r="K445" s="658"/>
      <c r="L445" s="658"/>
      <c r="M445" s="659"/>
      <c r="N445" s="659"/>
      <c r="O445" s="659"/>
      <c r="P445" s="659"/>
      <c r="Q445" s="659" t="b">
        <v>0</v>
      </c>
      <c r="R445" s="658"/>
      <c r="S445" s="658"/>
      <c r="T445" s="658"/>
      <c r="U445" s="658"/>
      <c r="V445" s="658"/>
      <c r="W445" s="658"/>
      <c r="X445" s="658"/>
      <c r="Y445" s="658"/>
    </row>
  </sheetData>
  <customSheetViews>
    <customSheetView guid="{A1802C65-0F66-458C-A7D3-0C2651C83FB5}" filter="1" showAutoFilter="1">
      <autoFilter ref="$A$1:$V$321">
        <filterColumn colId="0">
          <filters>
            <filter val="File a suit"/>
            <filter val="PEND. FILE NOI"/>
            <filter val="PEN O&amp;L/DEPRECIATION"/>
            <filter val="FORCE PLACED"/>
            <filter val="CLSD CLAIMS"/>
          </filters>
        </filterColumn>
        <filterColumn colId="16">
          <filters blank="1">
            <filter val="FALSE"/>
          </filters>
        </filterColumn>
      </autoFilter>
    </customSheetView>
    <customSheetView guid="{85834DB9-5818-48D8-8327-4FD1E846E99A}" filter="1" showAutoFilter="1">
      <autoFilter ref="$A$1:$V$264"/>
    </customSheetView>
    <customSheetView guid="{7197E1B3-296B-453E-B7CD-CB556D7CE3FE}" filter="1" showAutoFilter="1">
      <autoFilter ref="$A$1:$V$307">
        <filterColumn colId="0">
          <filters>
            <filter val="File a suit"/>
            <filter val="PEN O&amp;L/DEPRECIATION"/>
            <filter val="FORCE PLACED"/>
            <filter val="CLSD CLAIMS"/>
          </filters>
        </filterColumn>
      </autoFilter>
    </customSheetView>
    <customSheetView guid="{6C0F1098-CF08-442F-8972-A6E9A52F3E21}" filter="1" showAutoFilter="1">
      <autoFilter ref="$A$1:$V$264"/>
    </customSheetView>
    <customSheetView guid="{0C540628-8DA1-43A2-A8B2-E89A70AF6AAE}" filter="1" showAutoFilter="1">
      <autoFilter ref="$A$1:$V$321">
        <filterColumn colId="0">
          <filters>
            <filter val="FEES PENDING"/>
            <filter val="SETTLED"/>
            <filter val="File a suit"/>
            <filter val="PEND. FILE NOI"/>
            <filter val="PEN O&amp;L/DEPRECIATION"/>
            <filter val="NOI"/>
            <filter val="FORCE PLACED"/>
            <filter val="LITIGATION"/>
            <filter val="CLSD CLAIMS"/>
          </filters>
        </filterColumn>
        <filterColumn colId="14">
          <filters>
            <filter val="SENT to INS."/>
            <filter val="JP, SENT to CLIENT"/>
            <filter val="Ready to be sent"/>
            <filter val="JP, ASKED B.SPOL"/>
            <filter val="PENDING, Caro"/>
            <filter val="Day, NOTARIZE SARAH"/>
            <filter val="SENT to PA"/>
            <filter val="Caro, SENT to CLIENT"/>
          </filters>
        </filterColumn>
        <filterColumn colId="12">
          <filters>
            <filter val="NA"/>
            <filter val="Waiting PA approval"/>
            <filter val="WAITING IA to sent"/>
            <filter val="UPLOADED Univ/Front"/>
            <filter val="SENT"/>
            <filter val="UPLOADED"/>
          </filters>
        </filterColumn>
      </autoFilter>
    </customSheetView>
    <customSheetView guid="{9C05A57C-5BAC-4AF5-92D5-28FEB2464545}" filter="1" showAutoFilter="1">
      <autoFilter ref="$A$1:$V$312">
        <filterColumn colId="0">
          <filters>
            <filter val="File a suit"/>
            <filter val="PEN O&amp;L/DEPRECIATION"/>
            <filter val="FORCE PLACED"/>
            <filter val="CLSD CLAIMS"/>
          </filters>
        </filterColumn>
      </autoFilter>
    </customSheetView>
    <customSheetView guid="{2CEFD5F6-10A1-4CF1-8D85-FAB49CD62783}" filter="1" showAutoFilter="1">
      <autoFilter ref="$A$1:$V$321">
        <filterColumn colId="15">
          <filters>
            <filter val="N/A"/>
            <filter val="IA Report &amp; Policy"/>
            <filter val="New IA &amp; Policy"/>
            <filter val="New determination"/>
            <filter val="Denial Letter"/>
          </filters>
        </filterColumn>
        <filterColumn colId="12">
          <filters blank="1">
            <filter val="Waiting PA approval"/>
            <filter val="WAITING IA to sent"/>
            <filter val="UPLOADED Univ/Front"/>
            <filter val="PENDING"/>
          </filters>
        </filterColumn>
      </autoFilter>
    </customSheetView>
    <customSheetView guid="{894717EF-155A-428B-B336-F3E13F86349D}" filter="1" showAutoFilter="1">
      <autoFilter ref="$A$1:$Y$424">
        <filterColumn colId="0">
          <filters>
            <filter val="PEND. FILE NOI"/>
            <filter val="NOI"/>
            <filter val="FORCE PLACED"/>
            <filter val="File a suit"/>
            <filter val="PEN O&amp;L/DEPRECIATION"/>
            <filter val="LITIGATION"/>
          </filters>
        </filterColumn>
      </autoFilter>
    </customSheetView>
    <customSheetView guid="{C8AFDC13-3DB5-48B5-B700-ECAD233C33B6}" filter="1" showAutoFilter="1">
      <autoFilter ref="$A$1:$V$264"/>
    </customSheetView>
    <customSheetView guid="{84769D6D-E779-4E43-8719-3694B9381386}" filter="1" showAutoFilter="1">
      <autoFilter ref="$A$1:$V$321">
        <filterColumn colId="0">
          <filters>
            <filter val="FEES PENDING"/>
            <filter val="STAND BY"/>
            <filter val="File a suit"/>
            <filter val="PEND. FILE NOI"/>
            <filter val="PEN O&amp;L/DEPRECIATION"/>
            <filter val="FORCE PLACED"/>
            <filter val="CLSD CLAIMS"/>
          </filters>
        </filterColumn>
        <filterColumn colId="15">
          <filters blank="1">
            <filter val="IA Report"/>
            <filter val="IA Report &amp; Policy"/>
            <filter val="New IA &amp; Policy"/>
            <filter val="New determination"/>
          </filters>
        </filterColumn>
      </autoFilter>
    </customSheetView>
    <customSheetView guid="{EAFC0BD0-5D87-485F-92F5-CE7EB168862B}" filter="1" showAutoFilter="1">
      <autoFilter ref="$A$1:$V$321"/>
    </customSheetView>
    <customSheetView guid="{994C77D9-4446-473A-8277-81FAA451F0D7}" filter="1" showAutoFilter="1">
      <autoFilter ref="$A$1:$Y$424"/>
    </customSheetView>
    <customSheetView guid="{CF812BF3-040C-4799-9F74-AC744F8F922E}" filter="1" showAutoFilter="1">
      <autoFilter ref="$A$1:$Y$424">
        <filterColumn colId="21">
          <filters>
            <filter val="Respond DA inquiries"/>
            <filter val="Offer"/>
            <filter val="Take a decision"/>
            <filter val="Pending"/>
          </filters>
        </filterColumn>
      </autoFilter>
    </customSheetView>
    <customSheetView guid="{B78C4896-7813-40C2-98CA-179DBC0C917D}" filter="1" showAutoFilter="1">
      <autoFilter ref="$A$1:$V$299">
        <filterColumn colId="0">
          <filters>
            <filter val="FEES PENDING"/>
            <filter val="STAND BY"/>
            <filter val="File a suit"/>
            <filter val="PEND. FILE NOI"/>
            <filter val="PEN O&amp;L/DEPRECIATION"/>
            <filter val="PEN PAY"/>
            <filter val="FORCE PLACED"/>
            <filter val="CLSD CLAIMS"/>
          </filters>
        </filterColumn>
      </autoFilter>
    </customSheetView>
    <customSheetView guid="{C9D0D4BB-520A-4975-BDE4-025DD331816E}" filter="1" showAutoFilter="1">
      <autoFilter ref="$A$1:$V$307">
        <filterColumn colId="21">
          <filters>
            <filter val="Respond DA inquiries"/>
            <filter val="Offer"/>
            <filter val="Take a decision"/>
            <filter val="Pending"/>
          </filters>
        </filterColumn>
      </autoFilter>
    </customSheetView>
    <customSheetView guid="{DC44FE2D-084A-450B-A2D9-235C2558DA26}" filter="1" showAutoFilter="1">
      <autoFilter ref="$A$1:$V$340">
        <filterColumn colId="0">
          <filters>
            <filter val="STAND BY"/>
            <filter val="File a suit"/>
            <filter val="PEND. FILE NOI"/>
            <filter val="PEN O&amp;L/DEPRECIATION"/>
            <filter val="FORCE PLACED"/>
            <filter val="CLSD CLAIMS"/>
          </filters>
        </filterColumn>
        <filterColumn colId="13">
          <filters blank="1">
            <filter val="NO INFO"/>
            <filter val="SENT TO PA"/>
            <filter val="PENDING"/>
            <filter val="WAITING INFO"/>
          </filters>
        </filterColumn>
      </autoFilter>
    </customSheetView>
    <customSheetView guid="{E8D0C5BF-C061-4682-9F5C-41B05EEBD8D7}" filter="1" showAutoFilter="1">
      <autoFilter ref="$A$1:$V$296"/>
    </customSheetView>
    <customSheetView guid="{E0F69DA0-C35C-4BB8-95CD-F38F9CD56241}" filter="1" showAutoFilter="1">
      <autoFilter ref="$A$1:$V$297">
        <filterColumn colId="0">
          <filters>
            <filter val="STAND BY"/>
            <filter val="File a suit"/>
            <filter val="PEND. FILE NOI"/>
            <filter val="PEN O&amp;L/DEPRECIATION"/>
            <filter val="FORCE PLACED"/>
            <filter val="CLSD CLAIMS"/>
          </filters>
        </filterColumn>
        <filterColumn colId="14">
          <filters blank="1">
            <filter val="SENT to INS."/>
            <filter val="JP, SENT to CLIENT"/>
            <filter val="PENDING"/>
            <filter val="SENT to CLIENT, Ivancho"/>
            <filter val="Day, SENT to CLIENT"/>
            <filter val="Ready to be sent"/>
            <filter val="JP, ASKED B.SPOL"/>
            <filter val="Sarah, SENT to CLIENT"/>
            <filter val="Day, NOTARIZE SARAH"/>
            <filter val="SENT to PA"/>
            <filter val="Caro, SENT to CLIENT"/>
          </filters>
        </filterColumn>
      </autoFilter>
    </customSheetView>
    <customSheetView guid="{6916599B-EA17-4F11-860E-6DE0F9631F8B}" filter="1" showAutoFilter="1">
      <autoFilter ref="$A$1:$V$264"/>
    </customSheetView>
    <customSheetView guid="{A1D1153C-A60F-4BB0-80D1-40DDDD616FFD}" filter="1" showAutoFilter="1">
      <autoFilter ref="$A$1:$Y$424">
        <filterColumn colId="12">
          <filters blank="1">
            <filter val="NA"/>
            <filter val="Waiting PA approval"/>
            <filter val="WAITING IA to sent"/>
            <filter val="PENDING"/>
          </filters>
        </filterColumn>
        <filterColumn colId="13">
          <filters blank="1">
            <filter val="NO INFO"/>
            <filter val="SENT TO PA"/>
            <filter val="PENDING"/>
            <filter val="APPROVED"/>
            <filter val="WAITING INFO"/>
          </filters>
        </filterColumn>
        <filterColumn colId="15">
          <filters>
            <filter val="N/A"/>
            <filter val="New IA &amp; Policy"/>
            <filter val="New determination"/>
            <filter val="Denial Letter"/>
          </filters>
        </filterColumn>
      </autoFilter>
    </customSheetView>
    <customSheetView guid="{4F0F4236-320B-4EBF-97FF-E94023CA7E64}" filter="1" showAutoFilter="1">
      <autoFilter ref="$A$1:$Y$424">
        <filterColumn colId="0">
          <filters>
            <filter val="FORCE PLACED"/>
            <filter val="APPRAISAL"/>
            <filter val="File a suit"/>
            <filter val="PEN O&amp;L/DEPRECIATION"/>
          </filters>
        </filterColumn>
      </autoFilter>
    </customSheetView>
    <customSheetView guid="{41700BB6-7AE4-4913-8075-E11EE9B25229}" filter="1" showAutoFilter="1">
      <autoFilter ref="$A$1:$V$321">
        <filterColumn colId="12">
          <filters blank="1">
            <filter val="Waiting PA approval"/>
            <filter val="WAITING IA to sent"/>
            <filter val="UPLOADED Univ/Front"/>
            <filter val="PENDING"/>
          </filters>
        </filterColumn>
        <filterColumn colId="15">
          <filters>
            <filter val="N/A"/>
            <filter val="IA Report &amp; Policy"/>
            <filter val="New IA &amp; Policy"/>
            <filter val="New determination"/>
            <filter val="Denial Letter"/>
          </filters>
        </filterColumn>
      </autoFilter>
    </customSheetView>
    <customSheetView guid="{76A6011E-8B51-44B5-AFF8-E7BBE1F695B3}" filter="1" showAutoFilter="1">
      <autoFilter ref="$A$1:$V$321"/>
    </customSheetView>
    <customSheetView guid="{9F108107-3A91-4EBA-B327-EAF7204BE6DC}" filter="1" showAutoFilter="1">
      <autoFilter ref="$A$1:$V$312">
        <filterColumn colId="0">
          <filters>
            <filter val="FEES PENDING"/>
            <filter val="STAND BY"/>
            <filter val="File a suit"/>
            <filter val="PEND. FILE NOI"/>
            <filter val="PEN O&amp;L/DEPRECIATION"/>
            <filter val="FORCE PLACED"/>
            <filter val="LITIGATION"/>
            <filter val="CLSD CLAIMS"/>
          </filters>
        </filterColumn>
        <filterColumn colId="6">
          <filters>
            <filter val="American integrity"/>
            <filter val="National Fire and Insurance Company"/>
            <filter val="TAPCO"/>
            <filter val="Proctor Loan Protector"/>
            <filter val="National Fire &amp; Marine Inc Co."/>
            <filter val="Southern Fidelity / FIGA"/>
            <filter val="Universal"/>
            <filter val="SLIDE"/>
            <filter val="Tokio Marine Highland"/>
            <filter val="People’s trust"/>
            <filter val="Security first"/>
            <filter val="American Traditions"/>
            <filter val="Velocity Risk Underwriters"/>
            <filter val="Centauri"/>
            <filter val="Great American Insurance"/>
            <filter val="Arch"/>
            <filter val="Southern Owners"/>
          </filters>
        </filterColumn>
      </autoFilter>
    </customSheetView>
    <customSheetView guid="{EBB80049-9934-464F-84B6-263D1BC61872}" filter="1" showAutoFilter="1">
      <autoFilter ref="$A$1:$V$264"/>
    </customSheetView>
    <customSheetView guid="{2AB6B614-B8E4-4779-8E1E-F7354A666C9B}" filter="1" showAutoFilter="1">
      <autoFilter ref="$T$1:$T$425">
        <filterColumn colId="0">
          <filters>
            <filter val="Reopen"/>
          </filters>
        </filterColumn>
      </autoFilter>
    </customSheetView>
    <customSheetView guid="{4E23EC7E-7191-4823-A3AA-332D0B85696F}" filter="1" showAutoFilter="1">
      <autoFilter ref="$A$1:$Y$424">
        <filterColumn colId="0">
          <filters blank="1">
            <filter val="STAND BY"/>
            <filter val="MEDIATION"/>
            <filter val="FORCE PLACED"/>
            <filter val="APPRAISAL"/>
            <filter val="File a suit"/>
            <filter val="PEN O&amp;L/DEPRECIATION"/>
          </filters>
        </filterColumn>
        <filterColumn colId="12">
          <filters blank="1">
            <filter val="NA"/>
            <filter val="Waiting PA approval"/>
            <filter val="WAITING IA to sent"/>
            <filter val="UPLOADED Univ/Front"/>
            <filter val="PENDING"/>
          </filters>
        </filterColumn>
      </autoFilter>
    </customSheetView>
    <customSheetView guid="{41071884-2C3B-4C8F-AC2C-8CD3846CDB66}" filter="1" showAutoFilter="1">
      <autoFilter ref="$A$1:$V$264"/>
    </customSheetView>
  </customSheetViews>
  <conditionalFormatting sqref="A1:Y1">
    <cfRule type="notContainsBlanks" dxfId="8" priority="1">
      <formula>LEN(TRIM(A1))&gt;0</formula>
    </cfRule>
  </conditionalFormatting>
  <conditionalFormatting sqref="J250">
    <cfRule type="notContainsBlanks" dxfId="8" priority="2">
      <formula>LEN(TRIM(J250))&gt;0</formula>
    </cfRule>
  </conditionalFormatting>
  <conditionalFormatting sqref="W1:Y445 J353">
    <cfRule type="timePeriod" dxfId="9" priority="3" timePeriod="last7Days"/>
  </conditionalFormatting>
  <conditionalFormatting sqref="W1:Y445 J353">
    <cfRule type="timePeriod" dxfId="10" priority="4" timePeriod="tomorrow"/>
  </conditionalFormatting>
  <conditionalFormatting sqref="W1:Y445 J353">
    <cfRule type="timePeriod" dxfId="8" priority="5" timePeriod="today"/>
  </conditionalFormatting>
  <conditionalFormatting sqref="W1:Y445 J353">
    <cfRule type="timePeriod" dxfId="8" priority="6" timePeriod="today"/>
  </conditionalFormatting>
  <dataValidations>
    <dataValidation type="list" allowBlank="1" showErrorMessage="1" sqref="T425:T445">
      <formula1>"New Claim,Reopen"</formula1>
    </dataValidation>
    <dataValidation type="list" allowBlank="1" showErrorMessage="1" sqref="U425:U445">
      <formula1>"N/A,Spoke to client,Recently updated,Stand by,SMS,Left VM,Email"</formula1>
    </dataValidation>
    <dataValidation type="list" allowBlank="1" showErrorMessage="1" sqref="V2:V424">
      <formula1>"Offer,Take a decision,Closed by DA,Undisputted payment,Respond DA inquiries,N/A,Pending"</formula1>
    </dataValidation>
    <dataValidation type="list" allowBlank="1" showErrorMessage="1" sqref="T2:T424">
      <formula1>"New Claim,Reopen"</formula1>
    </dataValidation>
    <dataValidation type="list" allowBlank="1" sqref="X2:X424">
      <formula1>"Sent,Pending"</formula1>
    </dataValidation>
    <dataValidation type="list" allowBlank="1" sqref="W2:W424">
      <formula1>"PAs,Sarah,Ivancho,Day,JP"</formula1>
    </dataValidation>
    <dataValidation type="list" allowBlank="1" showErrorMessage="1" sqref="M425:M445">
      <formula1>"SENT,UPLOADED ,PENDING,NA"</formula1>
    </dataValidation>
    <dataValidation type="list" allowBlank="1" showErrorMessage="1" sqref="N425:N445">
      <formula1>"WAITING INFO,IN PROCESS,SENT TO PA,APPROVED,NA"</formula1>
    </dataValidation>
    <dataValidation type="list" allowBlank="1" showErrorMessage="1" sqref="O2:O424">
      <formula1>"PENDING,SENT to INS,N/A,SENT to CLIENT,SENT to PA,NOTARIZE SARAH,ASKED B.SPOL,Caro,JP,Ivancho,Day,Sarah"</formula1>
    </dataValidation>
    <dataValidation type="list" allowBlank="1" sqref="P2:P424">
      <formula1>"IA Report,Denial Letter,N/A,New determination"</formula1>
    </dataValidation>
    <dataValidation type="list" allowBlank="1" sqref="U2:U424">
      <formula1>"Welcome,Waiting Determ,Negotiating,Rvd offer,Undisputted,Appraisal,Appraisal completed,Pend Pay,Mediation,NOI,Litigation,Settled,N/A,Stand by,Spoke to client,Scheduling updated"</formula1>
    </dataValidation>
    <dataValidation type="list" allowBlank="1" showErrorMessage="1" sqref="P425:P445">
      <formula1>"IA Report,Old IA Report,Offer,Denial Letter,N/A"</formula1>
    </dataValidation>
    <dataValidation type="list" allowBlank="1" sqref="A2:A424">
      <formula1>"SETTLED,LITIGATION,MEDIATION,NOI,APPRAISAL,PEN PAY,CLSD CLAIMS,FORCE PLACED,STAND BY,EUO,FEES PENDING,PEND. APPRAISAL,DEPRECIATION APPRAISAL,PEND. FILE NOI,PEN O&amp;L/DEPRECIATION,File a suit,Scheduling"</formula1>
    </dataValidation>
    <dataValidation type="list" allowBlank="1" showErrorMessage="1" sqref="M2:M424">
      <formula1>"SENT,UPLOADED ,PENDING,NA"</formula1>
    </dataValidation>
    <dataValidation type="list" allowBlank="1" showErrorMessage="1" sqref="V425:V445">
      <formula1>"Offer,Take a decision,Closed by DA,Undisputted payment,Respond DA inquiries,N/A,Pending"</formula1>
    </dataValidation>
    <dataValidation type="list" allowBlank="1" sqref="B2:B424">
      <formula1>"Ivan,Peter,Jakey,Joshua,David M.,Juan,David F.,Angie,Gregory,Myers,Jose P.,Hector,Chris / Joshua"</formula1>
    </dataValidation>
    <dataValidation type="list" allowBlank="1" showErrorMessage="1" sqref="N2:N424">
      <formula1>"WAITING INFO,IN PROCESS,SENT TO PA,APPROVED,NA"</formula1>
    </dataValidation>
    <dataValidation type="list" allowBlank="1" showErrorMessage="1" sqref="O425:O445">
      <formula1>"PENDING,SENT to INS,N/A,SENT to CLIENT,SENT to PA,NOTARIZE SARAH,ASKED B.SPOL,Caro,JP,Ivancho,Day,Sarah"</formula1>
    </dataValidation>
  </dataValidations>
  <hyperlinks>
    <hyperlink r:id="rId4" ref="F7"/>
    <hyperlink r:id="rId5" ref="F45"/>
    <hyperlink r:id="rId6" ref="F46"/>
    <hyperlink r:id="rId7" ref="S149"/>
    <hyperlink r:id="rId8" ref="F162"/>
    <hyperlink r:id="rId9" ref="F189"/>
  </hyperlinks>
  <drawing r:id="rId10"/>
  <legacy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11.38"/>
    <col customWidth="1" min="3" max="3" width="26.0"/>
    <col customWidth="1" min="4" max="4" width="36.0"/>
    <col customWidth="1" min="5" max="5" width="40.88"/>
    <col customWidth="1" min="6" max="6" width="30.5"/>
    <col customWidth="1" min="7" max="7" width="51.5"/>
  </cols>
  <sheetData>
    <row r="1">
      <c r="A1" s="1" t="s">
        <v>0</v>
      </c>
      <c r="B1" s="1" t="s">
        <v>1</v>
      </c>
      <c r="C1" s="2" t="s">
        <v>2</v>
      </c>
      <c r="D1" s="2" t="s">
        <v>3</v>
      </c>
      <c r="E1" s="3" t="s">
        <v>4</v>
      </c>
      <c r="F1" s="1" t="s">
        <v>5</v>
      </c>
      <c r="G1" s="4" t="s">
        <v>6</v>
      </c>
    </row>
    <row r="2">
      <c r="A2" s="5" t="s">
        <v>7</v>
      </c>
      <c r="B2" s="5" t="s">
        <v>8</v>
      </c>
      <c r="C2" s="5"/>
      <c r="D2" s="7" t="s">
        <v>11</v>
      </c>
      <c r="E2" s="8" t="s">
        <v>12</v>
      </c>
      <c r="F2" s="5" t="s">
        <v>13</v>
      </c>
      <c r="G2" s="10" t="s">
        <v>14</v>
      </c>
    </row>
    <row r="3">
      <c r="A3" s="5" t="s">
        <v>16</v>
      </c>
      <c r="B3" s="5" t="s">
        <v>17</v>
      </c>
      <c r="C3" s="5"/>
      <c r="D3" s="7" t="s">
        <v>19</v>
      </c>
      <c r="E3" s="8" t="s">
        <v>20</v>
      </c>
      <c r="F3" s="5" t="s">
        <v>21</v>
      </c>
      <c r="G3" s="10" t="s">
        <v>14</v>
      </c>
    </row>
    <row r="4">
      <c r="A4" s="5" t="s">
        <v>23</v>
      </c>
      <c r="B4" s="5" t="s">
        <v>24</v>
      </c>
      <c r="C4" s="12" t="s">
        <v>25</v>
      </c>
      <c r="D4" s="7" t="s">
        <v>26</v>
      </c>
      <c r="E4" s="8" t="s">
        <v>27</v>
      </c>
      <c r="F4" s="5" t="s">
        <v>28</v>
      </c>
      <c r="G4" s="10" t="s">
        <v>14</v>
      </c>
    </row>
    <row r="5">
      <c r="A5" s="5" t="s">
        <v>29</v>
      </c>
      <c r="B5" s="5" t="s">
        <v>31</v>
      </c>
      <c r="C5" s="12" t="s">
        <v>33</v>
      </c>
      <c r="D5" s="7" t="s">
        <v>34</v>
      </c>
      <c r="E5" s="8" t="s">
        <v>35</v>
      </c>
      <c r="F5" s="5" t="s">
        <v>36</v>
      </c>
      <c r="G5" s="14" t="s">
        <v>14</v>
      </c>
    </row>
    <row r="6">
      <c r="A6" s="5" t="s">
        <v>37</v>
      </c>
      <c r="B6" s="5" t="s">
        <v>38</v>
      </c>
      <c r="C6" s="12" t="s">
        <v>25</v>
      </c>
      <c r="D6" s="7" t="s">
        <v>39</v>
      </c>
      <c r="E6" s="8" t="s">
        <v>40</v>
      </c>
      <c r="F6" s="5" t="s">
        <v>28</v>
      </c>
      <c r="G6" s="10" t="s">
        <v>41</v>
      </c>
    </row>
    <row r="7">
      <c r="A7" s="5" t="s">
        <v>42</v>
      </c>
      <c r="B7" s="5" t="s">
        <v>43</v>
      </c>
      <c r="C7" s="12" t="s">
        <v>25</v>
      </c>
      <c r="D7" s="7" t="s">
        <v>44</v>
      </c>
      <c r="E7" s="8" t="s">
        <v>45</v>
      </c>
      <c r="F7" s="5" t="s">
        <v>28</v>
      </c>
      <c r="G7" s="10" t="s">
        <v>46</v>
      </c>
    </row>
    <row r="8">
      <c r="A8" s="5" t="s">
        <v>47</v>
      </c>
      <c r="B8" s="5" t="s">
        <v>48</v>
      </c>
      <c r="C8" s="5"/>
      <c r="D8" s="7" t="s">
        <v>49</v>
      </c>
      <c r="E8" s="8" t="s">
        <v>50</v>
      </c>
      <c r="F8" s="5" t="s">
        <v>51</v>
      </c>
      <c r="G8" s="10" t="s">
        <v>41</v>
      </c>
    </row>
    <row r="9">
      <c r="A9" s="8" t="s">
        <v>52</v>
      </c>
      <c r="B9" s="5" t="s">
        <v>53</v>
      </c>
      <c r="C9" s="12" t="s">
        <v>33</v>
      </c>
      <c r="D9" s="7"/>
      <c r="E9" s="8" t="s">
        <v>54</v>
      </c>
      <c r="F9" s="5" t="s">
        <v>55</v>
      </c>
      <c r="G9" s="15"/>
    </row>
    <row r="10">
      <c r="A10" s="5" t="s">
        <v>56</v>
      </c>
      <c r="B10" s="5" t="s">
        <v>57</v>
      </c>
      <c r="C10" s="12" t="s">
        <v>33</v>
      </c>
      <c r="D10" s="7" t="s">
        <v>58</v>
      </c>
      <c r="E10" s="8" t="s">
        <v>59</v>
      </c>
      <c r="F10" s="5" t="s">
        <v>28</v>
      </c>
      <c r="G10" s="10" t="s">
        <v>41</v>
      </c>
    </row>
    <row r="11">
      <c r="A11" s="5" t="s">
        <v>60</v>
      </c>
      <c r="B11" s="5" t="s">
        <v>61</v>
      </c>
      <c r="C11" s="12" t="s">
        <v>33</v>
      </c>
      <c r="D11" s="7" t="s">
        <v>62</v>
      </c>
      <c r="E11" s="8" t="s">
        <v>63</v>
      </c>
      <c r="F11" s="5" t="s">
        <v>64</v>
      </c>
      <c r="G11" s="14" t="s">
        <v>41</v>
      </c>
    </row>
    <row r="12">
      <c r="A12" s="5" t="s">
        <v>65</v>
      </c>
      <c r="B12" s="5" t="s">
        <v>66</v>
      </c>
      <c r="C12" s="12" t="s">
        <v>67</v>
      </c>
      <c r="D12" s="7" t="s">
        <v>68</v>
      </c>
      <c r="E12" s="8" t="s">
        <v>69</v>
      </c>
      <c r="F12" s="5" t="s">
        <v>70</v>
      </c>
      <c r="G12" s="10" t="s">
        <v>41</v>
      </c>
    </row>
    <row r="13">
      <c r="A13" s="5" t="s">
        <v>71</v>
      </c>
      <c r="B13" s="5" t="s">
        <v>72</v>
      </c>
      <c r="C13" s="12" t="s">
        <v>67</v>
      </c>
      <c r="D13" s="7" t="s">
        <v>73</v>
      </c>
      <c r="E13" s="8" t="s">
        <v>74</v>
      </c>
      <c r="F13" s="5" t="s">
        <v>75</v>
      </c>
      <c r="G13" s="10" t="s">
        <v>41</v>
      </c>
    </row>
    <row r="14">
      <c r="A14" s="5" t="s">
        <v>71</v>
      </c>
      <c r="B14" s="5" t="s">
        <v>72</v>
      </c>
      <c r="C14" s="12" t="s">
        <v>67</v>
      </c>
      <c r="D14" s="7" t="s">
        <v>73</v>
      </c>
      <c r="E14" s="8" t="s">
        <v>76</v>
      </c>
      <c r="F14" s="5" t="s">
        <v>75</v>
      </c>
      <c r="G14" s="10" t="s">
        <v>41</v>
      </c>
    </row>
    <row r="15">
      <c r="A15" s="5" t="s">
        <v>77</v>
      </c>
      <c r="B15" s="5" t="s">
        <v>78</v>
      </c>
      <c r="C15" s="12" t="s">
        <v>79</v>
      </c>
      <c r="D15" s="7" t="s">
        <v>80</v>
      </c>
      <c r="E15" s="8" t="s">
        <v>81</v>
      </c>
      <c r="F15" s="5" t="s">
        <v>28</v>
      </c>
      <c r="G15" s="10" t="s">
        <v>41</v>
      </c>
    </row>
    <row r="16">
      <c r="A16" s="5" t="s">
        <v>82</v>
      </c>
      <c r="B16" s="5" t="s">
        <v>83</v>
      </c>
      <c r="C16" s="12" t="s">
        <v>25</v>
      </c>
      <c r="D16" s="7" t="s">
        <v>84</v>
      </c>
      <c r="E16" s="8" t="s">
        <v>85</v>
      </c>
      <c r="F16" s="5" t="s">
        <v>28</v>
      </c>
      <c r="G16" s="10" t="s">
        <v>41</v>
      </c>
    </row>
    <row r="17">
      <c r="A17" s="5" t="s">
        <v>87</v>
      </c>
      <c r="B17" s="5" t="s">
        <v>88</v>
      </c>
      <c r="C17" s="12" t="s">
        <v>33</v>
      </c>
      <c r="D17" s="17"/>
      <c r="E17" s="8" t="s">
        <v>90</v>
      </c>
      <c r="F17" s="5" t="s">
        <v>28</v>
      </c>
      <c r="G17" s="18"/>
    </row>
    <row r="18">
      <c r="A18" s="5" t="s">
        <v>92</v>
      </c>
      <c r="B18" s="5" t="s">
        <v>93</v>
      </c>
      <c r="C18" s="12" t="s">
        <v>94</v>
      </c>
      <c r="D18" s="7" t="s">
        <v>95</v>
      </c>
      <c r="E18" s="8" t="s">
        <v>96</v>
      </c>
      <c r="F18" s="5" t="s">
        <v>28</v>
      </c>
      <c r="G18" s="10" t="s">
        <v>41</v>
      </c>
    </row>
    <row r="19">
      <c r="A19" s="5" t="s">
        <v>98</v>
      </c>
      <c r="B19" s="5" t="s">
        <v>99</v>
      </c>
      <c r="C19" s="12" t="s">
        <v>33</v>
      </c>
      <c r="D19" s="17"/>
      <c r="E19" s="8" t="s">
        <v>101</v>
      </c>
      <c r="F19" s="5" t="s">
        <v>28</v>
      </c>
      <c r="G19" s="18"/>
    </row>
    <row r="20">
      <c r="A20" s="5" t="s">
        <v>102</v>
      </c>
      <c r="B20" s="5" t="s">
        <v>103</v>
      </c>
      <c r="C20" s="12" t="s">
        <v>33</v>
      </c>
      <c r="D20" s="7" t="s">
        <v>104</v>
      </c>
      <c r="E20" s="8" t="s">
        <v>105</v>
      </c>
      <c r="F20" s="5" t="s">
        <v>106</v>
      </c>
      <c r="G20" s="10" t="s">
        <v>41</v>
      </c>
    </row>
    <row r="21">
      <c r="A21" s="5" t="s">
        <v>107</v>
      </c>
      <c r="B21" s="5" t="s">
        <v>109</v>
      </c>
      <c r="C21" s="12" t="s">
        <v>33</v>
      </c>
      <c r="D21" s="7" t="s">
        <v>111</v>
      </c>
      <c r="E21" s="8" t="s">
        <v>112</v>
      </c>
      <c r="F21" s="5" t="s">
        <v>113</v>
      </c>
      <c r="G21" s="10" t="s">
        <v>41</v>
      </c>
    </row>
    <row r="22">
      <c r="A22" s="5" t="s">
        <v>114</v>
      </c>
      <c r="B22" s="5" t="s">
        <v>115</v>
      </c>
      <c r="C22" s="12" t="s">
        <v>67</v>
      </c>
      <c r="D22" s="17"/>
      <c r="E22" s="8" t="s">
        <v>117</v>
      </c>
      <c r="F22" s="5" t="s">
        <v>55</v>
      </c>
      <c r="G22" s="19"/>
    </row>
    <row r="23">
      <c r="A23" s="5" t="s">
        <v>119</v>
      </c>
      <c r="B23" s="5" t="s">
        <v>120</v>
      </c>
      <c r="C23" s="12" t="s">
        <v>94</v>
      </c>
      <c r="D23" s="7" t="s">
        <v>121</v>
      </c>
      <c r="E23" s="8" t="s">
        <v>122</v>
      </c>
      <c r="F23" s="5" t="s">
        <v>123</v>
      </c>
      <c r="G23" s="10" t="s">
        <v>124</v>
      </c>
    </row>
    <row r="24">
      <c r="A24" s="5" t="s">
        <v>125</v>
      </c>
      <c r="B24" s="5" t="s">
        <v>126</v>
      </c>
      <c r="C24" s="5"/>
      <c r="D24" s="17"/>
      <c r="E24" s="8" t="s">
        <v>128</v>
      </c>
      <c r="F24" s="5" t="s">
        <v>91</v>
      </c>
      <c r="G24" s="18"/>
    </row>
    <row r="25">
      <c r="A25" s="5" t="s">
        <v>129</v>
      </c>
      <c r="B25" s="5" t="s">
        <v>131</v>
      </c>
      <c r="C25" s="12" t="s">
        <v>67</v>
      </c>
      <c r="D25" s="17"/>
      <c r="E25" s="8" t="s">
        <v>133</v>
      </c>
      <c r="F25" s="5" t="s">
        <v>36</v>
      </c>
      <c r="G25" s="18"/>
    </row>
    <row r="26">
      <c r="A26" s="5" t="s">
        <v>134</v>
      </c>
      <c r="B26" s="5" t="s">
        <v>135</v>
      </c>
      <c r="C26" s="12" t="s">
        <v>67</v>
      </c>
      <c r="D26" s="7" t="s">
        <v>136</v>
      </c>
      <c r="E26" s="8" t="s">
        <v>137</v>
      </c>
      <c r="F26" s="5" t="s">
        <v>21</v>
      </c>
      <c r="G26" s="10" t="s">
        <v>124</v>
      </c>
    </row>
    <row r="27">
      <c r="A27" s="5" t="s">
        <v>140</v>
      </c>
      <c r="B27" s="5" t="s">
        <v>141</v>
      </c>
      <c r="C27" s="12" t="s">
        <v>67</v>
      </c>
      <c r="D27" s="7" t="s">
        <v>142</v>
      </c>
      <c r="E27" s="8" t="s">
        <v>143</v>
      </c>
      <c r="F27" s="5" t="s">
        <v>28</v>
      </c>
      <c r="G27" s="10" t="s">
        <v>124</v>
      </c>
    </row>
    <row r="28">
      <c r="A28" s="5" t="s">
        <v>145</v>
      </c>
      <c r="B28" s="5" t="s">
        <v>147</v>
      </c>
      <c r="C28" s="12" t="s">
        <v>67</v>
      </c>
      <c r="D28" s="17"/>
      <c r="E28" s="8" t="s">
        <v>148</v>
      </c>
      <c r="F28" s="5" t="s">
        <v>149</v>
      </c>
      <c r="G28" s="18"/>
    </row>
    <row r="29">
      <c r="A29" s="5" t="s">
        <v>150</v>
      </c>
      <c r="B29" s="5" t="s">
        <v>151</v>
      </c>
      <c r="C29" s="12" t="s">
        <v>67</v>
      </c>
      <c r="D29" s="17"/>
      <c r="E29" s="8" t="s">
        <v>154</v>
      </c>
      <c r="F29" s="5" t="s">
        <v>155</v>
      </c>
      <c r="G29" s="18"/>
    </row>
    <row r="30">
      <c r="A30" s="5" t="s">
        <v>156</v>
      </c>
      <c r="B30" s="5" t="s">
        <v>157</v>
      </c>
      <c r="C30" s="12" t="s">
        <v>33</v>
      </c>
      <c r="D30" s="17"/>
      <c r="E30" s="8" t="s">
        <v>159</v>
      </c>
      <c r="F30" s="5" t="s">
        <v>149</v>
      </c>
      <c r="G30" s="18"/>
    </row>
    <row r="31">
      <c r="A31" s="5" t="s">
        <v>125</v>
      </c>
      <c r="B31" s="5" t="s">
        <v>126</v>
      </c>
      <c r="C31" s="5"/>
      <c r="D31" s="17"/>
      <c r="E31" s="8" t="s">
        <v>163</v>
      </c>
      <c r="F31" s="5" t="s">
        <v>36</v>
      </c>
      <c r="G31" s="18"/>
    </row>
    <row r="32">
      <c r="A32" s="5" t="s">
        <v>166</v>
      </c>
      <c r="B32" s="5" t="s">
        <v>167</v>
      </c>
      <c r="C32" s="12" t="s">
        <v>94</v>
      </c>
      <c r="D32" s="17"/>
      <c r="E32" s="8" t="s">
        <v>168</v>
      </c>
      <c r="F32" s="5" t="s">
        <v>28</v>
      </c>
      <c r="G32" s="18"/>
    </row>
    <row r="33">
      <c r="A33" s="5" t="s">
        <v>169</v>
      </c>
      <c r="B33" s="5" t="s">
        <v>172</v>
      </c>
      <c r="C33" s="12" t="s">
        <v>67</v>
      </c>
      <c r="D33" s="7" t="s">
        <v>175</v>
      </c>
      <c r="E33" s="8" t="s">
        <v>176</v>
      </c>
      <c r="F33" s="5" t="s">
        <v>70</v>
      </c>
      <c r="G33" s="10" t="s">
        <v>124</v>
      </c>
    </row>
    <row r="34">
      <c r="A34" s="5" t="s">
        <v>177</v>
      </c>
      <c r="B34" s="5" t="s">
        <v>178</v>
      </c>
      <c r="C34" s="12" t="s">
        <v>94</v>
      </c>
      <c r="D34" s="7" t="s">
        <v>180</v>
      </c>
      <c r="E34" s="8" t="s">
        <v>182</v>
      </c>
      <c r="F34" s="5" t="s">
        <v>113</v>
      </c>
      <c r="G34" s="10" t="s">
        <v>124</v>
      </c>
    </row>
    <row r="35">
      <c r="A35" s="5" t="s">
        <v>184</v>
      </c>
      <c r="B35" s="5" t="s">
        <v>185</v>
      </c>
      <c r="C35" s="12" t="s">
        <v>94</v>
      </c>
      <c r="D35" s="17"/>
      <c r="E35" s="8" t="s">
        <v>188</v>
      </c>
      <c r="F35" s="5" t="s">
        <v>113</v>
      </c>
      <c r="G35" s="18"/>
    </row>
    <row r="36">
      <c r="A36" s="5" t="s">
        <v>190</v>
      </c>
      <c r="B36" s="5" t="s">
        <v>192</v>
      </c>
      <c r="C36" s="12" t="s">
        <v>79</v>
      </c>
      <c r="D36" s="7" t="s">
        <v>195</v>
      </c>
      <c r="E36" s="8" t="s">
        <v>196</v>
      </c>
      <c r="F36" s="5" t="s">
        <v>28</v>
      </c>
      <c r="G36" s="10" t="s">
        <v>124</v>
      </c>
    </row>
    <row r="37">
      <c r="A37" s="5" t="s">
        <v>198</v>
      </c>
      <c r="B37" s="5" t="s">
        <v>199</v>
      </c>
      <c r="C37" s="12" t="s">
        <v>25</v>
      </c>
      <c r="D37" s="7" t="s">
        <v>200</v>
      </c>
      <c r="E37" s="8" t="s">
        <v>202</v>
      </c>
      <c r="F37" s="5" t="s">
        <v>28</v>
      </c>
      <c r="G37" s="10" t="s">
        <v>124</v>
      </c>
    </row>
    <row r="38">
      <c r="A38" s="5" t="s">
        <v>203</v>
      </c>
      <c r="B38" s="5" t="s">
        <v>204</v>
      </c>
      <c r="C38" s="5"/>
      <c r="D38" s="7" t="s">
        <v>205</v>
      </c>
      <c r="E38" s="8" t="s">
        <v>206</v>
      </c>
      <c r="F38" s="5" t="s">
        <v>207</v>
      </c>
      <c r="G38" s="10" t="s">
        <v>124</v>
      </c>
    </row>
    <row r="39">
      <c r="A39" s="5" t="s">
        <v>208</v>
      </c>
      <c r="B39" s="5" t="s">
        <v>209</v>
      </c>
      <c r="C39" s="5"/>
      <c r="D39" s="7" t="s">
        <v>210</v>
      </c>
      <c r="E39" s="8" t="s">
        <v>211</v>
      </c>
      <c r="F39" s="5" t="s">
        <v>28</v>
      </c>
      <c r="G39" s="10" t="s">
        <v>124</v>
      </c>
    </row>
    <row r="40">
      <c r="A40" s="5" t="s">
        <v>212</v>
      </c>
      <c r="B40" s="5" t="s">
        <v>213</v>
      </c>
      <c r="C40" s="5"/>
      <c r="D40" s="7" t="s">
        <v>215</v>
      </c>
      <c r="E40" s="8" t="s">
        <v>216</v>
      </c>
      <c r="F40" s="5" t="s">
        <v>218</v>
      </c>
      <c r="G40" s="10" t="s">
        <v>124</v>
      </c>
    </row>
    <row r="41">
      <c r="A41" s="5" t="s">
        <v>220</v>
      </c>
      <c r="B41" s="5" t="s">
        <v>38</v>
      </c>
      <c r="C41" s="5"/>
      <c r="D41" s="7" t="s">
        <v>39</v>
      </c>
      <c r="E41" s="8" t="s">
        <v>222</v>
      </c>
      <c r="F41" s="5" t="s">
        <v>223</v>
      </c>
      <c r="G41" s="10" t="s">
        <v>124</v>
      </c>
    </row>
    <row r="42">
      <c r="A42" s="5" t="s">
        <v>226</v>
      </c>
      <c r="B42" s="5" t="s">
        <v>38</v>
      </c>
      <c r="C42" s="5"/>
      <c r="D42" s="7" t="s">
        <v>39</v>
      </c>
      <c r="E42" s="8" t="s">
        <v>227</v>
      </c>
      <c r="F42" s="5" t="s">
        <v>223</v>
      </c>
      <c r="G42" s="10" t="s">
        <v>124</v>
      </c>
    </row>
    <row r="43">
      <c r="A43" s="5" t="s">
        <v>231</v>
      </c>
      <c r="B43" s="5" t="s">
        <v>232</v>
      </c>
      <c r="C43" s="5"/>
      <c r="D43" s="7" t="s">
        <v>233</v>
      </c>
      <c r="E43" s="8" t="s">
        <v>234</v>
      </c>
      <c r="F43" s="5" t="s">
        <v>236</v>
      </c>
      <c r="G43" s="10" t="s">
        <v>124</v>
      </c>
    </row>
    <row r="44">
      <c r="A44" s="5" t="s">
        <v>238</v>
      </c>
      <c r="B44" s="5" t="s">
        <v>232</v>
      </c>
      <c r="C44" s="5"/>
      <c r="D44" s="7" t="s">
        <v>233</v>
      </c>
      <c r="E44" s="8" t="s">
        <v>240</v>
      </c>
      <c r="F44" s="5" t="s">
        <v>13</v>
      </c>
      <c r="G44" s="10" t="s">
        <v>124</v>
      </c>
    </row>
    <row r="45">
      <c r="A45" s="5" t="s">
        <v>242</v>
      </c>
      <c r="B45" s="5" t="s">
        <v>244</v>
      </c>
      <c r="C45" s="5"/>
      <c r="D45" s="7" t="s">
        <v>246</v>
      </c>
      <c r="E45" s="8" t="s">
        <v>247</v>
      </c>
      <c r="F45" s="5" t="s">
        <v>55</v>
      </c>
      <c r="G45" s="10" t="s">
        <v>124</v>
      </c>
    </row>
    <row r="46">
      <c r="A46" s="5" t="s">
        <v>250</v>
      </c>
      <c r="B46" s="5" t="s">
        <v>252</v>
      </c>
      <c r="C46" s="5"/>
      <c r="D46" s="7" t="s">
        <v>253</v>
      </c>
      <c r="E46" s="8" t="s">
        <v>254</v>
      </c>
      <c r="F46" s="5" t="s">
        <v>64</v>
      </c>
      <c r="G46" s="10" t="s">
        <v>124</v>
      </c>
    </row>
    <row r="47">
      <c r="A47" s="5" t="s">
        <v>256</v>
      </c>
      <c r="B47" s="5" t="s">
        <v>258</v>
      </c>
      <c r="C47" s="5"/>
      <c r="D47" s="7" t="s">
        <v>259</v>
      </c>
      <c r="E47" s="8" t="s">
        <v>260</v>
      </c>
      <c r="F47" s="5" t="s">
        <v>64</v>
      </c>
      <c r="G47" s="10" t="s">
        <v>262</v>
      </c>
    </row>
    <row r="48">
      <c r="A48" s="5" t="s">
        <v>264</v>
      </c>
      <c r="B48" s="5" t="s">
        <v>265</v>
      </c>
      <c r="C48" s="5"/>
      <c r="D48" s="7" t="s">
        <v>266</v>
      </c>
      <c r="E48" s="8" t="s">
        <v>267</v>
      </c>
      <c r="F48" s="5" t="s">
        <v>268</v>
      </c>
      <c r="G48" s="10" t="s">
        <v>262</v>
      </c>
    </row>
    <row r="49">
      <c r="A49" s="5" t="s">
        <v>271</v>
      </c>
      <c r="B49" s="5" t="s">
        <v>272</v>
      </c>
      <c r="C49" s="5"/>
      <c r="D49" s="7" t="s">
        <v>273</v>
      </c>
      <c r="E49" s="8" t="s">
        <v>274</v>
      </c>
      <c r="F49" s="5" t="s">
        <v>28</v>
      </c>
      <c r="G49" s="10" t="s">
        <v>262</v>
      </c>
    </row>
    <row r="50">
      <c r="A50" s="5" t="s">
        <v>277</v>
      </c>
      <c r="B50" s="5" t="s">
        <v>279</v>
      </c>
      <c r="C50" s="5"/>
      <c r="D50" s="7" t="s">
        <v>280</v>
      </c>
      <c r="E50" s="8" t="s">
        <v>281</v>
      </c>
      <c r="F50" s="5" t="s">
        <v>223</v>
      </c>
      <c r="G50" s="10" t="s">
        <v>262</v>
      </c>
    </row>
    <row r="51">
      <c r="A51" s="5" t="s">
        <v>282</v>
      </c>
      <c r="B51" s="5" t="s">
        <v>284</v>
      </c>
      <c r="C51" s="5"/>
      <c r="D51" s="7" t="s">
        <v>285</v>
      </c>
      <c r="E51" s="8" t="s">
        <v>286</v>
      </c>
      <c r="F51" s="5" t="s">
        <v>28</v>
      </c>
      <c r="G51" s="10" t="s">
        <v>262</v>
      </c>
    </row>
    <row r="52">
      <c r="A52" s="5" t="s">
        <v>271</v>
      </c>
      <c r="B52" s="5" t="s">
        <v>272</v>
      </c>
      <c r="C52" s="5"/>
      <c r="D52" s="7" t="s">
        <v>273</v>
      </c>
      <c r="E52" s="8" t="s">
        <v>289</v>
      </c>
      <c r="F52" s="5" t="s">
        <v>64</v>
      </c>
      <c r="G52" s="10" t="s">
        <v>262</v>
      </c>
    </row>
    <row r="53">
      <c r="A53" s="5" t="s">
        <v>290</v>
      </c>
      <c r="B53" s="5" t="s">
        <v>291</v>
      </c>
      <c r="C53" s="5"/>
      <c r="D53" s="17"/>
      <c r="E53" s="8" t="s">
        <v>293</v>
      </c>
      <c r="F53" s="5" t="s">
        <v>91</v>
      </c>
      <c r="G53" s="18"/>
    </row>
    <row r="54">
      <c r="A54" s="5" t="s">
        <v>295</v>
      </c>
      <c r="B54" s="5" t="s">
        <v>296</v>
      </c>
      <c r="C54" s="5"/>
      <c r="D54" s="7" t="s">
        <v>298</v>
      </c>
      <c r="E54" s="8" t="s">
        <v>300</v>
      </c>
      <c r="F54" s="5" t="s">
        <v>91</v>
      </c>
      <c r="G54" s="10" t="s">
        <v>262</v>
      </c>
    </row>
    <row r="55">
      <c r="A55" s="5" t="s">
        <v>301</v>
      </c>
      <c r="B55" s="5" t="s">
        <v>302</v>
      </c>
      <c r="C55" s="5"/>
      <c r="D55" s="7" t="s">
        <v>304</v>
      </c>
      <c r="E55" s="8" t="s">
        <v>306</v>
      </c>
      <c r="F55" s="5" t="s">
        <v>91</v>
      </c>
      <c r="G55" s="10" t="s">
        <v>262</v>
      </c>
    </row>
    <row r="56">
      <c r="A56" s="5" t="s">
        <v>307</v>
      </c>
      <c r="B56" s="5" t="s">
        <v>302</v>
      </c>
      <c r="C56" s="5"/>
      <c r="D56" s="17"/>
      <c r="E56" s="8" t="s">
        <v>308</v>
      </c>
      <c r="F56" s="5" t="s">
        <v>28</v>
      </c>
      <c r="G56" s="18"/>
    </row>
    <row r="57">
      <c r="A57" s="5" t="s">
        <v>310</v>
      </c>
      <c r="B57" s="5" t="s">
        <v>311</v>
      </c>
      <c r="C57" s="5"/>
      <c r="D57" s="7" t="s">
        <v>312</v>
      </c>
      <c r="E57" s="8" t="s">
        <v>313</v>
      </c>
      <c r="F57" s="5" t="s">
        <v>28</v>
      </c>
      <c r="G57" s="10" t="s">
        <v>262</v>
      </c>
    </row>
    <row r="58">
      <c r="A58" s="5" t="s">
        <v>315</v>
      </c>
      <c r="B58" s="5" t="s">
        <v>316</v>
      </c>
      <c r="C58" s="5"/>
      <c r="D58" s="7" t="s">
        <v>318</v>
      </c>
      <c r="E58" s="8" t="s">
        <v>319</v>
      </c>
      <c r="F58" s="5" t="s">
        <v>320</v>
      </c>
      <c r="G58" s="10" t="s">
        <v>262</v>
      </c>
    </row>
    <row r="59">
      <c r="A59" s="5" t="s">
        <v>322</v>
      </c>
      <c r="B59" s="5" t="s">
        <v>324</v>
      </c>
      <c r="C59" s="5"/>
      <c r="D59" s="7" t="s">
        <v>326</v>
      </c>
      <c r="E59" s="8" t="s">
        <v>327</v>
      </c>
      <c r="F59" s="5" t="s">
        <v>28</v>
      </c>
      <c r="G59" s="10" t="s">
        <v>262</v>
      </c>
    </row>
    <row r="60">
      <c r="A60" s="5" t="s">
        <v>328</v>
      </c>
      <c r="B60" s="5" t="s">
        <v>115</v>
      </c>
      <c r="C60" s="5"/>
      <c r="D60" s="7" t="s">
        <v>330</v>
      </c>
      <c r="E60" s="8" t="s">
        <v>332</v>
      </c>
      <c r="F60" s="5" t="s">
        <v>64</v>
      </c>
      <c r="G60" s="10" t="s">
        <v>262</v>
      </c>
    </row>
    <row r="61">
      <c r="A61" s="5" t="s">
        <v>334</v>
      </c>
      <c r="B61" s="5" t="s">
        <v>335</v>
      </c>
      <c r="C61" s="5"/>
      <c r="D61" s="7" t="s">
        <v>336</v>
      </c>
      <c r="E61" s="8" t="s">
        <v>337</v>
      </c>
      <c r="F61" s="5" t="s">
        <v>132</v>
      </c>
      <c r="G61" s="10" t="s">
        <v>262</v>
      </c>
    </row>
    <row r="62">
      <c r="A62" s="5" t="s">
        <v>338</v>
      </c>
      <c r="B62" s="5" t="s">
        <v>339</v>
      </c>
      <c r="C62" s="5"/>
      <c r="D62" s="7" t="s">
        <v>340</v>
      </c>
      <c r="E62" s="8" t="s">
        <v>341</v>
      </c>
      <c r="F62" s="5" t="s">
        <v>342</v>
      </c>
      <c r="G62" s="10" t="s">
        <v>262</v>
      </c>
    </row>
    <row r="63">
      <c r="A63" s="5" t="s">
        <v>343</v>
      </c>
      <c r="B63" s="5" t="s">
        <v>345</v>
      </c>
      <c r="C63" s="5"/>
      <c r="D63" s="7" t="s">
        <v>347</v>
      </c>
      <c r="E63" s="8" t="s">
        <v>348</v>
      </c>
      <c r="F63" s="5" t="s">
        <v>349</v>
      </c>
      <c r="G63" s="10" t="s">
        <v>262</v>
      </c>
    </row>
    <row r="64">
      <c r="A64" s="5" t="s">
        <v>350</v>
      </c>
      <c r="B64" s="5" t="s">
        <v>345</v>
      </c>
      <c r="C64" s="5"/>
      <c r="D64" s="7" t="s">
        <v>347</v>
      </c>
      <c r="E64" s="8" t="s">
        <v>352</v>
      </c>
      <c r="F64" s="5" t="s">
        <v>349</v>
      </c>
      <c r="G64" s="10" t="s">
        <v>353</v>
      </c>
    </row>
    <row r="65">
      <c r="A65" s="5" t="s">
        <v>354</v>
      </c>
      <c r="B65" s="5" t="s">
        <v>345</v>
      </c>
      <c r="C65" s="5"/>
      <c r="D65" s="7" t="s">
        <v>347</v>
      </c>
      <c r="E65" s="8" t="s">
        <v>356</v>
      </c>
      <c r="F65" s="5" t="s">
        <v>349</v>
      </c>
      <c r="G65" s="10" t="s">
        <v>353</v>
      </c>
    </row>
    <row r="66">
      <c r="A66" s="5" t="s">
        <v>357</v>
      </c>
      <c r="B66" s="5" t="s">
        <v>358</v>
      </c>
      <c r="C66" s="5"/>
      <c r="D66" s="7" t="s">
        <v>359</v>
      </c>
      <c r="E66" s="5" t="s">
        <v>361</v>
      </c>
      <c r="F66" s="5" t="s">
        <v>91</v>
      </c>
      <c r="G66" s="28" t="s">
        <v>353</v>
      </c>
    </row>
    <row r="67">
      <c r="A67" s="5" t="s">
        <v>60</v>
      </c>
      <c r="B67" s="5" t="s">
        <v>61</v>
      </c>
      <c r="C67" s="5"/>
      <c r="D67" s="7" t="s">
        <v>62</v>
      </c>
      <c r="E67" s="8" t="s">
        <v>63</v>
      </c>
      <c r="F67" s="5" t="s">
        <v>64</v>
      </c>
      <c r="G67" s="10" t="s">
        <v>353</v>
      </c>
    </row>
    <row r="68">
      <c r="A68" s="5" t="s">
        <v>365</v>
      </c>
      <c r="B68" s="5" t="s">
        <v>366</v>
      </c>
      <c r="C68" s="5"/>
      <c r="D68" s="7" t="s">
        <v>368</v>
      </c>
      <c r="E68" s="8" t="s">
        <v>371</v>
      </c>
      <c r="F68" s="5" t="s">
        <v>149</v>
      </c>
      <c r="G68" s="10" t="s">
        <v>353</v>
      </c>
    </row>
    <row r="69">
      <c r="A69" s="5" t="s">
        <v>374</v>
      </c>
      <c r="B69" s="5" t="s">
        <v>376</v>
      </c>
      <c r="C69" s="5"/>
      <c r="D69" s="7" t="s">
        <v>377</v>
      </c>
      <c r="E69" s="8" t="s">
        <v>378</v>
      </c>
      <c r="F69" s="5" t="s">
        <v>28</v>
      </c>
      <c r="G69" s="10" t="s">
        <v>353</v>
      </c>
    </row>
    <row r="70">
      <c r="A70" s="5" t="s">
        <v>379</v>
      </c>
      <c r="B70" s="5" t="s">
        <v>380</v>
      </c>
      <c r="C70" s="5"/>
      <c r="D70" s="7" t="s">
        <v>383</v>
      </c>
      <c r="E70" s="8" t="s">
        <v>384</v>
      </c>
      <c r="F70" s="5" t="s">
        <v>28</v>
      </c>
      <c r="G70" s="10" t="s">
        <v>353</v>
      </c>
    </row>
    <row r="71">
      <c r="A71" s="5" t="s">
        <v>388</v>
      </c>
      <c r="B71" s="5" t="s">
        <v>389</v>
      </c>
      <c r="C71" s="5"/>
      <c r="D71" s="7" t="s">
        <v>390</v>
      </c>
      <c r="E71" s="8" t="s">
        <v>391</v>
      </c>
      <c r="F71" s="5" t="s">
        <v>123</v>
      </c>
      <c r="G71" s="10" t="s">
        <v>353</v>
      </c>
    </row>
    <row r="72">
      <c r="A72" s="5" t="s">
        <v>392</v>
      </c>
      <c r="B72" s="5" t="s">
        <v>135</v>
      </c>
      <c r="C72" s="5"/>
      <c r="D72" s="7" t="s">
        <v>136</v>
      </c>
      <c r="E72" s="8" t="s">
        <v>137</v>
      </c>
      <c r="F72" s="5" t="s">
        <v>395</v>
      </c>
      <c r="G72" s="10" t="s">
        <v>353</v>
      </c>
    </row>
    <row r="73">
      <c r="A73" s="5" t="s">
        <v>396</v>
      </c>
      <c r="B73" s="5" t="s">
        <v>135</v>
      </c>
      <c r="C73" s="5"/>
      <c r="D73" s="7" t="s">
        <v>136</v>
      </c>
      <c r="E73" s="8" t="s">
        <v>137</v>
      </c>
      <c r="F73" s="5" t="s">
        <v>395</v>
      </c>
      <c r="G73" s="10" t="s">
        <v>353</v>
      </c>
    </row>
    <row r="74">
      <c r="A74" s="5" t="s">
        <v>398</v>
      </c>
      <c r="B74" s="5" t="s">
        <v>366</v>
      </c>
      <c r="C74" s="5"/>
      <c r="D74" s="7" t="s">
        <v>368</v>
      </c>
      <c r="E74" s="8" t="s">
        <v>371</v>
      </c>
      <c r="F74" s="5" t="s">
        <v>149</v>
      </c>
      <c r="G74" s="10" t="s">
        <v>353</v>
      </c>
    </row>
    <row r="75">
      <c r="A75" s="5" t="s">
        <v>400</v>
      </c>
      <c r="B75" s="5" t="s">
        <v>366</v>
      </c>
      <c r="C75" s="5"/>
      <c r="D75" s="7" t="s">
        <v>368</v>
      </c>
      <c r="E75" s="8" t="s">
        <v>371</v>
      </c>
      <c r="F75" s="5" t="s">
        <v>149</v>
      </c>
      <c r="G75" s="10" t="s">
        <v>353</v>
      </c>
    </row>
    <row r="76">
      <c r="A76" s="5" t="s">
        <v>403</v>
      </c>
      <c r="B76" s="5" t="s">
        <v>376</v>
      </c>
      <c r="C76" s="5"/>
      <c r="D76" s="7" t="s">
        <v>377</v>
      </c>
      <c r="E76" s="8" t="s">
        <v>378</v>
      </c>
      <c r="F76" s="5" t="s">
        <v>28</v>
      </c>
      <c r="G76" s="10" t="s">
        <v>353</v>
      </c>
    </row>
    <row r="77">
      <c r="A77" s="5" t="s">
        <v>198</v>
      </c>
      <c r="B77" s="5" t="s">
        <v>199</v>
      </c>
      <c r="C77" s="5"/>
      <c r="D77" s="7" t="s">
        <v>406</v>
      </c>
      <c r="E77" s="8" t="s">
        <v>202</v>
      </c>
      <c r="F77" s="5" t="s">
        <v>28</v>
      </c>
      <c r="G77" s="10" t="s">
        <v>353</v>
      </c>
    </row>
    <row r="78">
      <c r="A78" s="5" t="s">
        <v>125</v>
      </c>
      <c r="B78" s="5" t="s">
        <v>126</v>
      </c>
      <c r="C78" s="5"/>
      <c r="D78" s="17"/>
      <c r="E78" s="8" t="s">
        <v>128</v>
      </c>
      <c r="F78" s="5" t="s">
        <v>91</v>
      </c>
      <c r="G78" s="18"/>
    </row>
    <row r="79">
      <c r="A79" s="5" t="s">
        <v>409</v>
      </c>
      <c r="B79" s="5" t="s">
        <v>411</v>
      </c>
      <c r="C79" s="5"/>
      <c r="D79" s="7" t="s">
        <v>413</v>
      </c>
      <c r="E79" s="8" t="s">
        <v>416</v>
      </c>
      <c r="F79" s="5" t="s">
        <v>28</v>
      </c>
      <c r="G79" s="10" t="s">
        <v>353</v>
      </c>
    </row>
    <row r="80">
      <c r="A80" s="5" t="s">
        <v>418</v>
      </c>
      <c r="B80" s="5" t="s">
        <v>419</v>
      </c>
      <c r="C80" s="5"/>
      <c r="D80" s="7" t="s">
        <v>420</v>
      </c>
      <c r="E80" s="8" t="s">
        <v>422</v>
      </c>
      <c r="F80" s="5" t="s">
        <v>13</v>
      </c>
      <c r="G80" s="10" t="s">
        <v>353</v>
      </c>
    </row>
    <row r="81">
      <c r="A81" s="5" t="s">
        <v>16</v>
      </c>
      <c r="B81" s="5" t="s">
        <v>17</v>
      </c>
      <c r="C81" s="5"/>
      <c r="D81" s="7" t="s">
        <v>19</v>
      </c>
      <c r="E81" s="8" t="s">
        <v>20</v>
      </c>
      <c r="F81" s="5" t="s">
        <v>21</v>
      </c>
      <c r="G81" s="10" t="s">
        <v>425</v>
      </c>
    </row>
    <row r="82">
      <c r="A82" s="5" t="s">
        <v>426</v>
      </c>
      <c r="B82" s="5" t="s">
        <v>427</v>
      </c>
      <c r="C82" s="5"/>
      <c r="D82" s="17"/>
      <c r="E82" s="8" t="s">
        <v>429</v>
      </c>
      <c r="F82" s="5" t="s">
        <v>431</v>
      </c>
      <c r="G82" s="18"/>
    </row>
    <row r="83">
      <c r="A83" s="5" t="s">
        <v>433</v>
      </c>
      <c r="B83" s="5" t="s">
        <v>434</v>
      </c>
      <c r="C83" s="5"/>
      <c r="D83" s="17"/>
      <c r="E83" s="8" t="s">
        <v>435</v>
      </c>
      <c r="F83" s="5" t="s">
        <v>28</v>
      </c>
      <c r="G83" s="18"/>
    </row>
    <row r="84">
      <c r="A84" s="5" t="s">
        <v>437</v>
      </c>
      <c r="B84" s="5" t="s">
        <v>438</v>
      </c>
      <c r="C84" s="5"/>
      <c r="D84" s="7" t="s">
        <v>440</v>
      </c>
      <c r="E84" s="8" t="s">
        <v>441</v>
      </c>
      <c r="F84" s="5" t="s">
        <v>268</v>
      </c>
      <c r="G84" s="10" t="s">
        <v>425</v>
      </c>
    </row>
    <row r="85">
      <c r="A85" s="5" t="s">
        <v>442</v>
      </c>
      <c r="B85" s="5" t="s">
        <v>443</v>
      </c>
      <c r="C85" s="5"/>
      <c r="D85" s="7" t="s">
        <v>445</v>
      </c>
      <c r="E85" s="8" t="s">
        <v>447</v>
      </c>
      <c r="F85" s="5" t="s">
        <v>448</v>
      </c>
      <c r="G85" s="10" t="s">
        <v>425</v>
      </c>
    </row>
    <row r="86">
      <c r="A86" s="5" t="s">
        <v>449</v>
      </c>
      <c r="B86" s="5" t="s">
        <v>450</v>
      </c>
      <c r="C86" s="5"/>
      <c r="D86" s="7" t="s">
        <v>451</v>
      </c>
      <c r="E86" s="8" t="s">
        <v>452</v>
      </c>
      <c r="F86" s="5" t="s">
        <v>349</v>
      </c>
      <c r="G86" s="10" t="s">
        <v>425</v>
      </c>
    </row>
    <row r="87">
      <c r="A87" s="5" t="s">
        <v>455</v>
      </c>
      <c r="B87" s="5" t="s">
        <v>456</v>
      </c>
      <c r="C87" s="5"/>
      <c r="D87" s="7" t="s">
        <v>457</v>
      </c>
      <c r="E87" s="8" t="s">
        <v>458</v>
      </c>
      <c r="F87" s="5" t="s">
        <v>55</v>
      </c>
      <c r="G87" s="33" t="s">
        <v>425</v>
      </c>
    </row>
    <row r="88">
      <c r="A88" s="5" t="s">
        <v>461</v>
      </c>
      <c r="B88" s="5" t="s">
        <v>463</v>
      </c>
      <c r="C88" s="5"/>
      <c r="D88" s="7" t="s">
        <v>465</v>
      </c>
      <c r="E88" s="8" t="s">
        <v>466</v>
      </c>
      <c r="F88" s="5" t="s">
        <v>349</v>
      </c>
      <c r="G88" s="10" t="s">
        <v>425</v>
      </c>
    </row>
    <row r="89">
      <c r="A89" s="5" t="s">
        <v>467</v>
      </c>
      <c r="B89" s="5" t="s">
        <v>469</v>
      </c>
      <c r="C89" s="5"/>
      <c r="D89" s="7" t="s">
        <v>471</v>
      </c>
      <c r="E89" s="8" t="s">
        <v>472</v>
      </c>
      <c r="F89" s="5" t="s">
        <v>268</v>
      </c>
      <c r="G89" s="10" t="s">
        <v>425</v>
      </c>
    </row>
    <row r="90">
      <c r="A90" s="5" t="s">
        <v>474</v>
      </c>
      <c r="B90" s="5" t="s">
        <v>475</v>
      </c>
      <c r="C90" s="5"/>
      <c r="D90" s="7" t="s">
        <v>477</v>
      </c>
      <c r="E90" s="8" t="s">
        <v>479</v>
      </c>
      <c r="F90" s="5" t="s">
        <v>28</v>
      </c>
      <c r="G90" s="10" t="s">
        <v>425</v>
      </c>
    </row>
    <row r="91">
      <c r="A91" s="5" t="s">
        <v>433</v>
      </c>
      <c r="B91" s="5" t="s">
        <v>434</v>
      </c>
      <c r="C91" s="5"/>
      <c r="D91" s="17"/>
      <c r="E91" s="8" t="s">
        <v>435</v>
      </c>
      <c r="F91" s="5" t="s">
        <v>28</v>
      </c>
      <c r="G91" s="18"/>
    </row>
    <row r="92">
      <c r="A92" s="5" t="s">
        <v>483</v>
      </c>
      <c r="B92" s="5" t="s">
        <v>484</v>
      </c>
      <c r="C92" s="5"/>
      <c r="D92" s="7" t="s">
        <v>485</v>
      </c>
      <c r="E92" s="8" t="s">
        <v>486</v>
      </c>
      <c r="F92" s="5" t="s">
        <v>13</v>
      </c>
      <c r="G92" s="10" t="s">
        <v>425</v>
      </c>
    </row>
    <row r="93">
      <c r="A93" s="8" t="s">
        <v>488</v>
      </c>
      <c r="B93" s="8" t="s">
        <v>490</v>
      </c>
      <c r="C93" s="8"/>
      <c r="D93" s="7" t="s">
        <v>491</v>
      </c>
      <c r="E93" s="8" t="s">
        <v>492</v>
      </c>
      <c r="F93" s="8" t="s">
        <v>207</v>
      </c>
      <c r="G93" s="10" t="s">
        <v>425</v>
      </c>
    </row>
    <row r="94">
      <c r="A94" s="8" t="s">
        <v>190</v>
      </c>
      <c r="B94" s="8" t="s">
        <v>192</v>
      </c>
      <c r="C94" s="8"/>
      <c r="D94" s="7" t="s">
        <v>195</v>
      </c>
      <c r="E94" s="8" t="s">
        <v>196</v>
      </c>
      <c r="F94" s="8" t="s">
        <v>28</v>
      </c>
      <c r="G94" s="10" t="s">
        <v>425</v>
      </c>
    </row>
    <row r="95">
      <c r="A95" s="5" t="s">
        <v>495</v>
      </c>
      <c r="B95" s="5" t="s">
        <v>496</v>
      </c>
      <c r="C95" s="5"/>
      <c r="D95" s="7" t="s">
        <v>497</v>
      </c>
      <c r="E95" s="8" t="s">
        <v>498</v>
      </c>
      <c r="F95" s="5" t="s">
        <v>28</v>
      </c>
      <c r="G95" s="10" t="s">
        <v>425</v>
      </c>
    </row>
    <row r="96">
      <c r="A96" s="5" t="s">
        <v>501</v>
      </c>
      <c r="B96" s="5" t="s">
        <v>502</v>
      </c>
      <c r="C96" s="5"/>
      <c r="D96" s="7" t="s">
        <v>504</v>
      </c>
      <c r="E96" s="8" t="s">
        <v>505</v>
      </c>
      <c r="F96" s="5" t="s">
        <v>91</v>
      </c>
      <c r="G96" s="10" t="s">
        <v>507</v>
      </c>
    </row>
    <row r="97">
      <c r="A97" s="5" t="s">
        <v>508</v>
      </c>
      <c r="B97" s="5" t="s">
        <v>509</v>
      </c>
      <c r="C97" s="5"/>
      <c r="D97" s="17"/>
      <c r="E97" s="8" t="s">
        <v>510</v>
      </c>
      <c r="F97" s="5" t="s">
        <v>28</v>
      </c>
      <c r="G97" s="18"/>
    </row>
    <row r="98">
      <c r="A98" s="5" t="s">
        <v>125</v>
      </c>
      <c r="B98" s="5" t="s">
        <v>126</v>
      </c>
      <c r="C98" s="5"/>
      <c r="D98" s="17"/>
      <c r="E98" s="8" t="s">
        <v>128</v>
      </c>
      <c r="F98" s="5" t="s">
        <v>91</v>
      </c>
      <c r="G98" s="18"/>
    </row>
    <row r="99">
      <c r="A99" s="5" t="s">
        <v>517</v>
      </c>
      <c r="B99" s="5" t="s">
        <v>518</v>
      </c>
      <c r="C99" s="5"/>
      <c r="D99" s="7" t="s">
        <v>519</v>
      </c>
      <c r="E99" s="8" t="s">
        <v>520</v>
      </c>
      <c r="F99" s="5" t="s">
        <v>521</v>
      </c>
      <c r="G99" s="10" t="s">
        <v>507</v>
      </c>
    </row>
    <row r="100">
      <c r="A100" s="5" t="s">
        <v>523</v>
      </c>
      <c r="B100" s="5" t="s">
        <v>524</v>
      </c>
      <c r="C100" s="5"/>
      <c r="D100" s="17"/>
      <c r="E100" s="8" t="s">
        <v>525</v>
      </c>
      <c r="F100" s="5" t="s">
        <v>207</v>
      </c>
      <c r="G100" s="18"/>
    </row>
    <row r="101">
      <c r="A101" s="5" t="s">
        <v>527</v>
      </c>
      <c r="B101" s="5" t="s">
        <v>518</v>
      </c>
      <c r="C101" s="5"/>
      <c r="D101" s="7" t="s">
        <v>519</v>
      </c>
      <c r="E101" s="8" t="s">
        <v>520</v>
      </c>
      <c r="F101" s="5" t="s">
        <v>521</v>
      </c>
      <c r="G101" s="10" t="s">
        <v>507</v>
      </c>
    </row>
    <row r="102">
      <c r="A102" s="5" t="s">
        <v>529</v>
      </c>
      <c r="B102" s="5" t="s">
        <v>530</v>
      </c>
      <c r="C102" s="5"/>
      <c r="D102" s="7" t="s">
        <v>531</v>
      </c>
      <c r="E102" s="8" t="s">
        <v>532</v>
      </c>
      <c r="F102" s="5" t="s">
        <v>28</v>
      </c>
      <c r="G102" s="10" t="s">
        <v>507</v>
      </c>
    </row>
    <row r="103">
      <c r="A103" s="5" t="s">
        <v>533</v>
      </c>
      <c r="B103" s="5" t="s">
        <v>534</v>
      </c>
      <c r="C103" s="5"/>
      <c r="D103" s="7" t="s">
        <v>535</v>
      </c>
      <c r="E103" s="8" t="s">
        <v>536</v>
      </c>
      <c r="F103" s="5" t="s">
        <v>28</v>
      </c>
      <c r="G103" s="10" t="s">
        <v>537</v>
      </c>
    </row>
    <row r="104">
      <c r="A104" s="5" t="s">
        <v>538</v>
      </c>
      <c r="B104" s="5" t="s">
        <v>540</v>
      </c>
      <c r="C104" s="5"/>
      <c r="D104" s="7" t="s">
        <v>542</v>
      </c>
      <c r="E104" s="8" t="s">
        <v>545</v>
      </c>
      <c r="F104" s="5" t="s">
        <v>13</v>
      </c>
      <c r="G104" s="10" t="s">
        <v>46</v>
      </c>
    </row>
    <row r="105">
      <c r="A105" s="5" t="s">
        <v>547</v>
      </c>
      <c r="B105" s="5" t="s">
        <v>548</v>
      </c>
      <c r="C105" s="5"/>
      <c r="D105" s="7" t="s">
        <v>549</v>
      </c>
      <c r="E105" s="8" t="s">
        <v>551</v>
      </c>
      <c r="F105" s="5" t="s">
        <v>207</v>
      </c>
      <c r="G105" s="10" t="s">
        <v>537</v>
      </c>
    </row>
    <row r="106">
      <c r="A106" s="5" t="s">
        <v>553</v>
      </c>
      <c r="B106" s="5" t="s">
        <v>554</v>
      </c>
      <c r="C106" s="5"/>
      <c r="D106" s="7" t="s">
        <v>556</v>
      </c>
      <c r="E106" s="8" t="s">
        <v>557</v>
      </c>
      <c r="F106" s="5" t="s">
        <v>342</v>
      </c>
      <c r="G106" s="10" t="s">
        <v>537</v>
      </c>
    </row>
    <row r="107">
      <c r="A107" s="5" t="s">
        <v>561</v>
      </c>
      <c r="B107" s="5" t="s">
        <v>562</v>
      </c>
      <c r="C107" s="5"/>
      <c r="D107" s="7" t="s">
        <v>564</v>
      </c>
      <c r="E107" s="8" t="s">
        <v>565</v>
      </c>
      <c r="F107" s="5" t="s">
        <v>36</v>
      </c>
      <c r="G107" s="10" t="s">
        <v>537</v>
      </c>
    </row>
    <row r="108">
      <c r="A108" s="5" t="s">
        <v>567</v>
      </c>
      <c r="B108" s="5" t="s">
        <v>568</v>
      </c>
      <c r="C108" s="5"/>
      <c r="D108" s="7" t="s">
        <v>569</v>
      </c>
      <c r="E108" s="8" t="s">
        <v>571</v>
      </c>
      <c r="F108" s="5" t="s">
        <v>28</v>
      </c>
      <c r="G108" s="10" t="s">
        <v>537</v>
      </c>
    </row>
    <row r="109">
      <c r="A109" s="5" t="s">
        <v>573</v>
      </c>
      <c r="B109" s="5" t="s">
        <v>574</v>
      </c>
      <c r="C109" s="5"/>
      <c r="D109" s="7" t="s">
        <v>575</v>
      </c>
      <c r="E109" s="8" t="s">
        <v>576</v>
      </c>
      <c r="F109" s="5" t="s">
        <v>28</v>
      </c>
      <c r="G109" s="10" t="s">
        <v>537</v>
      </c>
    </row>
    <row r="110">
      <c r="A110" s="5" t="s">
        <v>578</v>
      </c>
      <c r="B110" s="5" t="s">
        <v>579</v>
      </c>
      <c r="C110" s="5"/>
      <c r="D110" s="7" t="s">
        <v>581</v>
      </c>
      <c r="E110" s="8" t="s">
        <v>582</v>
      </c>
      <c r="F110" s="5" t="s">
        <v>583</v>
      </c>
      <c r="G110" s="10" t="s">
        <v>537</v>
      </c>
    </row>
    <row r="111">
      <c r="A111" s="5" t="s">
        <v>584</v>
      </c>
      <c r="B111" s="5" t="s">
        <v>587</v>
      </c>
      <c r="C111" s="5"/>
      <c r="D111" s="7" t="s">
        <v>588</v>
      </c>
      <c r="E111" s="8" t="s">
        <v>591</v>
      </c>
      <c r="F111" s="5" t="s">
        <v>28</v>
      </c>
      <c r="G111" s="10" t="s">
        <v>537</v>
      </c>
    </row>
    <row r="112">
      <c r="A112" s="5" t="s">
        <v>593</v>
      </c>
      <c r="B112" s="5" t="s">
        <v>594</v>
      </c>
      <c r="C112" s="5"/>
      <c r="D112" s="7" t="s">
        <v>596</v>
      </c>
      <c r="E112" s="8" t="s">
        <v>598</v>
      </c>
      <c r="F112" s="5" t="s">
        <v>599</v>
      </c>
      <c r="G112" s="10" t="s">
        <v>537</v>
      </c>
    </row>
    <row r="113">
      <c r="A113" s="5" t="s">
        <v>573</v>
      </c>
      <c r="B113" s="5" t="s">
        <v>574</v>
      </c>
      <c r="C113" s="5"/>
      <c r="D113" s="7" t="s">
        <v>575</v>
      </c>
      <c r="E113" s="8" t="s">
        <v>576</v>
      </c>
      <c r="F113" s="5" t="s">
        <v>28</v>
      </c>
      <c r="G113" s="10" t="s">
        <v>537</v>
      </c>
    </row>
    <row r="114">
      <c r="A114" s="5" t="s">
        <v>604</v>
      </c>
      <c r="B114" s="5" t="s">
        <v>605</v>
      </c>
      <c r="C114" s="5"/>
      <c r="D114" s="7" t="s">
        <v>606</v>
      </c>
      <c r="E114" s="8" t="s">
        <v>607</v>
      </c>
      <c r="F114" s="5" t="s">
        <v>64</v>
      </c>
      <c r="G114" s="10" t="s">
        <v>537</v>
      </c>
    </row>
    <row r="115">
      <c r="A115" s="5" t="s">
        <v>608</v>
      </c>
      <c r="B115" s="5" t="s">
        <v>609</v>
      </c>
      <c r="C115" s="5"/>
      <c r="D115" s="7" t="s">
        <v>611</v>
      </c>
      <c r="E115" s="5" t="s">
        <v>613</v>
      </c>
      <c r="F115" s="5" t="s">
        <v>207</v>
      </c>
      <c r="G115" s="28" t="s">
        <v>614</v>
      </c>
    </row>
    <row r="116">
      <c r="A116" s="5" t="s">
        <v>616</v>
      </c>
      <c r="B116" s="5" t="s">
        <v>617</v>
      </c>
      <c r="C116" s="5"/>
      <c r="D116" s="7" t="s">
        <v>619</v>
      </c>
      <c r="E116" s="8" t="s">
        <v>621</v>
      </c>
      <c r="F116" s="5" t="s">
        <v>349</v>
      </c>
      <c r="G116" s="10" t="s">
        <v>614</v>
      </c>
    </row>
    <row r="117">
      <c r="A117" s="5" t="s">
        <v>622</v>
      </c>
      <c r="B117" s="5" t="s">
        <v>623</v>
      </c>
      <c r="C117" s="5"/>
      <c r="D117" s="7" t="s">
        <v>625</v>
      </c>
      <c r="E117" s="8" t="s">
        <v>626</v>
      </c>
      <c r="F117" s="5" t="s">
        <v>28</v>
      </c>
      <c r="G117" s="10" t="s">
        <v>614</v>
      </c>
    </row>
    <row r="118">
      <c r="A118" s="5" t="s">
        <v>628</v>
      </c>
      <c r="B118" s="5" t="s">
        <v>629</v>
      </c>
      <c r="C118" s="5"/>
      <c r="D118" s="7" t="s">
        <v>631</v>
      </c>
      <c r="E118" s="8" t="s">
        <v>633</v>
      </c>
      <c r="F118" s="5" t="s">
        <v>634</v>
      </c>
      <c r="G118" s="10" t="s">
        <v>614</v>
      </c>
    </row>
    <row r="119">
      <c r="A119" s="5" t="s">
        <v>635</v>
      </c>
      <c r="B119" s="5" t="s">
        <v>638</v>
      </c>
      <c r="C119" s="5"/>
      <c r="D119" s="7" t="s">
        <v>639</v>
      </c>
      <c r="E119" s="8" t="s">
        <v>640</v>
      </c>
      <c r="F119" s="5" t="s">
        <v>641</v>
      </c>
      <c r="G119" s="10" t="s">
        <v>614</v>
      </c>
    </row>
    <row r="120">
      <c r="A120" s="5" t="s">
        <v>642</v>
      </c>
      <c r="B120" s="5" t="s">
        <v>643</v>
      </c>
      <c r="C120" s="5"/>
      <c r="D120" s="7" t="s">
        <v>645</v>
      </c>
      <c r="E120" s="8" t="s">
        <v>654</v>
      </c>
      <c r="F120" s="5" t="s">
        <v>320</v>
      </c>
      <c r="G120" s="10" t="s">
        <v>614</v>
      </c>
    </row>
    <row r="121">
      <c r="A121" s="5" t="s">
        <v>657</v>
      </c>
      <c r="B121" s="5" t="s">
        <v>659</v>
      </c>
      <c r="C121" s="5"/>
      <c r="D121" s="7" t="s">
        <v>660</v>
      </c>
      <c r="E121" s="8" t="s">
        <v>662</v>
      </c>
      <c r="F121" s="5" t="s">
        <v>664</v>
      </c>
      <c r="G121" s="10" t="s">
        <v>614</v>
      </c>
    </row>
    <row r="122">
      <c r="A122" s="5" t="s">
        <v>666</v>
      </c>
      <c r="B122" s="5" t="s">
        <v>668</v>
      </c>
      <c r="C122" s="5"/>
      <c r="D122" s="7" t="s">
        <v>670</v>
      </c>
      <c r="E122" s="8" t="s">
        <v>671</v>
      </c>
      <c r="F122" s="5" t="s">
        <v>28</v>
      </c>
      <c r="G122" s="10" t="s">
        <v>614</v>
      </c>
    </row>
    <row r="123">
      <c r="A123" s="5" t="s">
        <v>672</v>
      </c>
      <c r="B123" s="5" t="s">
        <v>674</v>
      </c>
      <c r="C123" s="5"/>
      <c r="D123" s="7" t="s">
        <v>676</v>
      </c>
      <c r="E123" s="8" t="s">
        <v>677</v>
      </c>
      <c r="F123" s="5" t="s">
        <v>28</v>
      </c>
      <c r="G123" s="10" t="s">
        <v>614</v>
      </c>
    </row>
    <row r="124">
      <c r="A124" s="5" t="s">
        <v>642</v>
      </c>
      <c r="B124" s="5" t="s">
        <v>643</v>
      </c>
      <c r="C124" s="5"/>
      <c r="D124" s="7" t="s">
        <v>645</v>
      </c>
      <c r="E124" s="8" t="s">
        <v>678</v>
      </c>
      <c r="F124" s="5" t="s">
        <v>28</v>
      </c>
      <c r="G124" s="10" t="s">
        <v>614</v>
      </c>
    </row>
    <row r="125">
      <c r="A125" s="8" t="s">
        <v>679</v>
      </c>
      <c r="B125" s="8" t="s">
        <v>680</v>
      </c>
      <c r="C125" s="8"/>
      <c r="D125" s="17"/>
      <c r="E125" s="8" t="s">
        <v>681</v>
      </c>
      <c r="F125" s="8" t="s">
        <v>320</v>
      </c>
      <c r="G125" s="18"/>
    </row>
    <row r="126">
      <c r="A126" s="5" t="s">
        <v>682</v>
      </c>
      <c r="B126" s="5" t="s">
        <v>683</v>
      </c>
      <c r="C126" s="5"/>
      <c r="D126" s="7" t="s">
        <v>684</v>
      </c>
      <c r="E126" s="8" t="s">
        <v>685</v>
      </c>
      <c r="F126" s="5" t="s">
        <v>64</v>
      </c>
      <c r="G126" s="10" t="s">
        <v>614</v>
      </c>
    </row>
    <row r="127">
      <c r="A127" s="5" t="s">
        <v>686</v>
      </c>
      <c r="B127" s="5" t="s">
        <v>687</v>
      </c>
      <c r="C127" s="5"/>
      <c r="D127" s="7" t="s">
        <v>688</v>
      </c>
      <c r="E127" s="8" t="s">
        <v>689</v>
      </c>
      <c r="F127" s="5" t="s">
        <v>599</v>
      </c>
      <c r="G127" s="10" t="s">
        <v>690</v>
      </c>
    </row>
    <row r="128">
      <c r="A128" s="5" t="s">
        <v>691</v>
      </c>
      <c r="B128" s="5" t="s">
        <v>692</v>
      </c>
      <c r="C128" s="5"/>
      <c r="D128" s="7" t="s">
        <v>693</v>
      </c>
      <c r="E128" s="8" t="s">
        <v>694</v>
      </c>
      <c r="F128" s="5" t="s">
        <v>695</v>
      </c>
      <c r="G128" s="10" t="s">
        <v>690</v>
      </c>
    </row>
    <row r="129">
      <c r="A129" s="5" t="s">
        <v>696</v>
      </c>
      <c r="B129" s="5" t="s">
        <v>697</v>
      </c>
      <c r="C129" s="5"/>
      <c r="D129" s="7" t="s">
        <v>698</v>
      </c>
      <c r="E129" s="8" t="s">
        <v>699</v>
      </c>
      <c r="F129" s="5" t="s">
        <v>268</v>
      </c>
      <c r="G129" s="10" t="s">
        <v>690</v>
      </c>
    </row>
    <row r="130">
      <c r="A130" s="5" t="s">
        <v>701</v>
      </c>
      <c r="B130" s="5" t="s">
        <v>702</v>
      </c>
      <c r="C130" s="5"/>
      <c r="D130" s="7" t="s">
        <v>705</v>
      </c>
      <c r="E130" s="8" t="s">
        <v>706</v>
      </c>
      <c r="F130" s="5" t="s">
        <v>189</v>
      </c>
      <c r="G130" s="10" t="s">
        <v>690</v>
      </c>
    </row>
    <row r="131">
      <c r="A131" s="5" t="s">
        <v>708</v>
      </c>
      <c r="B131" s="5" t="s">
        <v>710</v>
      </c>
      <c r="C131" s="5"/>
      <c r="D131" s="7" t="s">
        <v>711</v>
      </c>
      <c r="E131" s="8" t="s">
        <v>713</v>
      </c>
      <c r="F131" s="5" t="s">
        <v>620</v>
      </c>
      <c r="G131" s="10" t="s">
        <v>690</v>
      </c>
    </row>
    <row r="132">
      <c r="A132" s="5" t="s">
        <v>715</v>
      </c>
      <c r="B132" s="5" t="s">
        <v>716</v>
      </c>
      <c r="C132" s="5"/>
      <c r="D132" s="7" t="s">
        <v>717</v>
      </c>
      <c r="E132" s="8" t="s">
        <v>719</v>
      </c>
      <c r="F132" s="5" t="s">
        <v>36</v>
      </c>
      <c r="G132" s="10" t="s">
        <v>690</v>
      </c>
    </row>
    <row r="133">
      <c r="A133" s="5" t="s">
        <v>721</v>
      </c>
      <c r="B133" s="5" t="s">
        <v>723</v>
      </c>
      <c r="C133" s="5"/>
      <c r="D133" s="7" t="s">
        <v>724</v>
      </c>
      <c r="E133" s="8" t="s">
        <v>725</v>
      </c>
      <c r="F133" s="5" t="s">
        <v>695</v>
      </c>
      <c r="G133" s="10" t="s">
        <v>690</v>
      </c>
    </row>
    <row r="134">
      <c r="A134" s="5" t="s">
        <v>728</v>
      </c>
      <c r="B134" s="5" t="s">
        <v>731</v>
      </c>
      <c r="C134" s="5"/>
      <c r="D134" s="7" t="s">
        <v>733</v>
      </c>
      <c r="E134" s="8" t="s">
        <v>734</v>
      </c>
      <c r="F134" s="5" t="s">
        <v>735</v>
      </c>
      <c r="G134" s="10" t="s">
        <v>690</v>
      </c>
    </row>
    <row r="135">
      <c r="A135" s="5" t="s">
        <v>739</v>
      </c>
      <c r="B135" s="5" t="s">
        <v>740</v>
      </c>
      <c r="C135" s="5"/>
      <c r="D135" s="17"/>
      <c r="E135" s="8" t="s">
        <v>742</v>
      </c>
      <c r="F135" s="5" t="s">
        <v>745</v>
      </c>
      <c r="G135" s="18"/>
    </row>
    <row r="136">
      <c r="A136" s="5" t="s">
        <v>747</v>
      </c>
      <c r="B136" s="5" t="s">
        <v>749</v>
      </c>
      <c r="C136" s="5"/>
      <c r="D136" s="7" t="s">
        <v>750</v>
      </c>
      <c r="E136" s="8" t="s">
        <v>751</v>
      </c>
      <c r="F136" s="5" t="s">
        <v>320</v>
      </c>
      <c r="G136" s="10" t="s">
        <v>690</v>
      </c>
    </row>
    <row r="137">
      <c r="A137" s="5" t="s">
        <v>753</v>
      </c>
      <c r="B137" s="5" t="s">
        <v>579</v>
      </c>
      <c r="C137" s="5"/>
      <c r="D137" s="7" t="s">
        <v>581</v>
      </c>
      <c r="E137" s="8" t="s">
        <v>755</v>
      </c>
      <c r="F137" s="5" t="s">
        <v>695</v>
      </c>
      <c r="G137" s="10" t="s">
        <v>690</v>
      </c>
    </row>
    <row r="138">
      <c r="A138" s="5" t="s">
        <v>756</v>
      </c>
      <c r="B138" s="5" t="s">
        <v>758</v>
      </c>
      <c r="C138" s="5"/>
      <c r="D138" s="17"/>
      <c r="E138" s="8" t="s">
        <v>760</v>
      </c>
      <c r="F138" s="5" t="s">
        <v>64</v>
      </c>
      <c r="G138" s="18"/>
    </row>
    <row r="139">
      <c r="A139" s="5" t="s">
        <v>756</v>
      </c>
      <c r="B139" s="5" t="s">
        <v>758</v>
      </c>
      <c r="C139" s="5"/>
      <c r="D139" s="17"/>
      <c r="E139" s="8" t="s">
        <v>763</v>
      </c>
      <c r="F139" s="5" t="s">
        <v>695</v>
      </c>
      <c r="G139" s="18"/>
    </row>
    <row r="140">
      <c r="A140" s="5" t="s">
        <v>756</v>
      </c>
      <c r="B140" s="5" t="s">
        <v>758</v>
      </c>
      <c r="C140" s="5"/>
      <c r="D140" s="17"/>
      <c r="E140" s="8" t="s">
        <v>765</v>
      </c>
      <c r="F140" s="5" t="s">
        <v>695</v>
      </c>
      <c r="G140" s="18"/>
    </row>
    <row r="141">
      <c r="A141" s="5" t="s">
        <v>756</v>
      </c>
      <c r="B141" s="5" t="s">
        <v>758</v>
      </c>
      <c r="C141" s="5"/>
      <c r="D141" s="17"/>
      <c r="E141" s="8" t="s">
        <v>768</v>
      </c>
      <c r="F141" s="5" t="s">
        <v>695</v>
      </c>
      <c r="G141" s="18"/>
    </row>
    <row r="142">
      <c r="A142" s="5" t="s">
        <v>756</v>
      </c>
      <c r="B142" s="5" t="s">
        <v>758</v>
      </c>
      <c r="C142" s="5"/>
      <c r="D142" s="17"/>
      <c r="E142" s="8" t="s">
        <v>770</v>
      </c>
      <c r="F142" s="5" t="s">
        <v>695</v>
      </c>
      <c r="G142" s="18"/>
    </row>
    <row r="143">
      <c r="A143" s="5" t="s">
        <v>771</v>
      </c>
      <c r="B143" s="5" t="s">
        <v>772</v>
      </c>
      <c r="C143" s="5"/>
      <c r="D143" s="7" t="s">
        <v>773</v>
      </c>
      <c r="E143" s="8" t="s">
        <v>774</v>
      </c>
      <c r="F143" s="5" t="s">
        <v>695</v>
      </c>
      <c r="G143" s="10" t="s">
        <v>780</v>
      </c>
    </row>
    <row r="144">
      <c r="A144" s="5" t="s">
        <v>782</v>
      </c>
      <c r="B144" s="5" t="s">
        <v>783</v>
      </c>
      <c r="C144" s="5"/>
      <c r="D144" s="7" t="s">
        <v>784</v>
      </c>
      <c r="E144" s="8" t="s">
        <v>785</v>
      </c>
      <c r="F144" s="5" t="s">
        <v>641</v>
      </c>
      <c r="G144" s="10" t="s">
        <v>780</v>
      </c>
    </row>
    <row r="145">
      <c r="A145" s="5" t="s">
        <v>786</v>
      </c>
      <c r="B145" s="5" t="s">
        <v>787</v>
      </c>
      <c r="C145" s="5"/>
      <c r="D145" s="7" t="s">
        <v>788</v>
      </c>
      <c r="E145" s="8" t="s">
        <v>789</v>
      </c>
      <c r="F145" s="5" t="s">
        <v>189</v>
      </c>
      <c r="G145" s="10" t="s">
        <v>780</v>
      </c>
    </row>
    <row r="146">
      <c r="A146" s="5" t="s">
        <v>756</v>
      </c>
      <c r="B146" s="5" t="s">
        <v>758</v>
      </c>
      <c r="C146" s="5"/>
      <c r="D146" s="17"/>
      <c r="E146" s="8" t="s">
        <v>791</v>
      </c>
      <c r="F146" s="5" t="s">
        <v>64</v>
      </c>
      <c r="G146" s="18"/>
    </row>
    <row r="147">
      <c r="A147" s="5" t="s">
        <v>756</v>
      </c>
      <c r="B147" s="5" t="s">
        <v>758</v>
      </c>
      <c r="C147" s="5"/>
      <c r="D147" s="17"/>
      <c r="E147" s="8" t="s">
        <v>793</v>
      </c>
      <c r="F147" s="5" t="s">
        <v>278</v>
      </c>
      <c r="G147" s="19"/>
    </row>
    <row r="148">
      <c r="A148" s="5" t="s">
        <v>794</v>
      </c>
      <c r="B148" s="5" t="s">
        <v>795</v>
      </c>
      <c r="C148" s="5"/>
      <c r="D148" s="7" t="s">
        <v>797</v>
      </c>
      <c r="E148" s="8" t="s">
        <v>798</v>
      </c>
      <c r="F148" s="5" t="s">
        <v>64</v>
      </c>
      <c r="G148" s="10" t="s">
        <v>780</v>
      </c>
    </row>
    <row r="149">
      <c r="A149" s="5" t="s">
        <v>801</v>
      </c>
      <c r="B149" s="5" t="s">
        <v>803</v>
      </c>
      <c r="C149" s="5"/>
      <c r="D149" s="7" t="s">
        <v>806</v>
      </c>
      <c r="E149" s="8" t="s">
        <v>808</v>
      </c>
      <c r="F149" s="5" t="s">
        <v>64</v>
      </c>
      <c r="G149" s="10" t="s">
        <v>780</v>
      </c>
    </row>
    <row r="150">
      <c r="A150" s="5" t="s">
        <v>811</v>
      </c>
      <c r="B150" s="5" t="s">
        <v>812</v>
      </c>
      <c r="C150" s="5"/>
      <c r="D150" s="7" t="s">
        <v>814</v>
      </c>
      <c r="E150" s="8" t="s">
        <v>815</v>
      </c>
      <c r="F150" s="5" t="s">
        <v>64</v>
      </c>
      <c r="G150" s="10" t="s">
        <v>780</v>
      </c>
    </row>
    <row r="151">
      <c r="A151" s="5" t="s">
        <v>818</v>
      </c>
      <c r="B151" s="5" t="s">
        <v>819</v>
      </c>
      <c r="C151" s="5"/>
      <c r="D151" s="7" t="s">
        <v>820</v>
      </c>
      <c r="E151" s="8" t="s">
        <v>821</v>
      </c>
      <c r="F151" s="5" t="s">
        <v>695</v>
      </c>
      <c r="G151" s="10" t="s">
        <v>780</v>
      </c>
    </row>
    <row r="152">
      <c r="A152" s="5" t="s">
        <v>824</v>
      </c>
      <c r="B152" s="5" t="s">
        <v>825</v>
      </c>
      <c r="C152" s="5"/>
      <c r="D152" s="7" t="s">
        <v>827</v>
      </c>
      <c r="E152" s="8" t="s">
        <v>828</v>
      </c>
      <c r="F152" s="5" t="s">
        <v>735</v>
      </c>
      <c r="G152" s="10" t="s">
        <v>780</v>
      </c>
    </row>
    <row r="153">
      <c r="A153" s="5" t="s">
        <v>831</v>
      </c>
      <c r="B153" s="5" t="s">
        <v>832</v>
      </c>
      <c r="C153" s="5"/>
      <c r="D153" s="17"/>
      <c r="E153" s="8" t="s">
        <v>833</v>
      </c>
      <c r="F153" s="5" t="s">
        <v>735</v>
      </c>
      <c r="G153" s="18"/>
    </row>
    <row r="154">
      <c r="A154" s="5" t="s">
        <v>834</v>
      </c>
      <c r="B154" s="5" t="s">
        <v>835</v>
      </c>
      <c r="C154" s="5"/>
      <c r="D154" s="7" t="s">
        <v>837</v>
      </c>
      <c r="E154" s="8" t="s">
        <v>838</v>
      </c>
      <c r="F154" s="5" t="s">
        <v>839</v>
      </c>
      <c r="G154" s="10" t="s">
        <v>780</v>
      </c>
    </row>
    <row r="155">
      <c r="A155" s="5" t="s">
        <v>834</v>
      </c>
      <c r="B155" s="5" t="s">
        <v>835</v>
      </c>
      <c r="C155" s="5"/>
      <c r="D155" s="7" t="s">
        <v>837</v>
      </c>
      <c r="E155" s="8" t="s">
        <v>840</v>
      </c>
      <c r="F155" s="5" t="s">
        <v>839</v>
      </c>
      <c r="G155" s="10" t="s">
        <v>780</v>
      </c>
    </row>
    <row r="156">
      <c r="A156" s="5" t="s">
        <v>842</v>
      </c>
      <c r="B156" s="5" t="s">
        <v>843</v>
      </c>
      <c r="C156" s="5"/>
      <c r="D156" s="7" t="s">
        <v>844</v>
      </c>
      <c r="E156" s="8" t="s">
        <v>845</v>
      </c>
      <c r="F156" s="5" t="s">
        <v>28</v>
      </c>
      <c r="G156" s="10" t="s">
        <v>780</v>
      </c>
    </row>
    <row r="157">
      <c r="A157" s="5" t="s">
        <v>847</v>
      </c>
      <c r="B157" s="5" t="s">
        <v>848</v>
      </c>
      <c r="C157" s="5"/>
      <c r="D157" s="7" t="s">
        <v>850</v>
      </c>
      <c r="E157" s="8" t="s">
        <v>851</v>
      </c>
      <c r="F157" s="5" t="s">
        <v>695</v>
      </c>
      <c r="G157" s="10" t="s">
        <v>780</v>
      </c>
    </row>
    <row r="158">
      <c r="A158" s="5" t="s">
        <v>852</v>
      </c>
      <c r="B158" s="5" t="s">
        <v>853</v>
      </c>
      <c r="C158" s="5"/>
      <c r="D158" s="7" t="s">
        <v>855</v>
      </c>
      <c r="E158" s="8" t="s">
        <v>858</v>
      </c>
      <c r="F158" s="5" t="s">
        <v>735</v>
      </c>
      <c r="G158" s="10" t="s">
        <v>859</v>
      </c>
    </row>
    <row r="159">
      <c r="A159" s="5" t="s">
        <v>860</v>
      </c>
      <c r="B159" s="5" t="s">
        <v>861</v>
      </c>
      <c r="C159" s="5"/>
      <c r="D159" s="7" t="s">
        <v>862</v>
      </c>
      <c r="E159" s="8" t="s">
        <v>864</v>
      </c>
      <c r="F159" s="5" t="s">
        <v>866</v>
      </c>
      <c r="G159" s="10" t="s">
        <v>859</v>
      </c>
    </row>
    <row r="160">
      <c r="A160" s="5" t="s">
        <v>868</v>
      </c>
      <c r="B160" s="5" t="s">
        <v>870</v>
      </c>
      <c r="C160" s="5"/>
      <c r="D160" s="7" t="s">
        <v>871</v>
      </c>
      <c r="E160" s="8" t="s">
        <v>872</v>
      </c>
      <c r="F160" s="5" t="s">
        <v>695</v>
      </c>
      <c r="G160" s="10" t="s">
        <v>859</v>
      </c>
    </row>
    <row r="161">
      <c r="A161" s="5" t="s">
        <v>874</v>
      </c>
      <c r="B161" s="5" t="s">
        <v>876</v>
      </c>
      <c r="C161" s="5"/>
      <c r="D161" s="7" t="s">
        <v>878</v>
      </c>
      <c r="E161" s="8" t="s">
        <v>879</v>
      </c>
      <c r="F161" s="5" t="s">
        <v>123</v>
      </c>
      <c r="G161" s="10" t="s">
        <v>859</v>
      </c>
    </row>
    <row r="162">
      <c r="A162" s="5" t="s">
        <v>880</v>
      </c>
      <c r="B162" s="5" t="s">
        <v>881</v>
      </c>
      <c r="C162" s="5"/>
      <c r="D162" s="7" t="s">
        <v>882</v>
      </c>
      <c r="E162" s="8" t="s">
        <v>883</v>
      </c>
      <c r="F162" s="5" t="s">
        <v>189</v>
      </c>
      <c r="G162" s="10" t="s">
        <v>859</v>
      </c>
    </row>
    <row r="163">
      <c r="A163" s="5" t="s">
        <v>886</v>
      </c>
      <c r="B163" s="5" t="s">
        <v>887</v>
      </c>
      <c r="C163" s="5"/>
      <c r="D163" s="7" t="s">
        <v>888</v>
      </c>
      <c r="E163" s="8" t="s">
        <v>889</v>
      </c>
      <c r="F163" s="5" t="s">
        <v>448</v>
      </c>
      <c r="G163" s="10" t="s">
        <v>859</v>
      </c>
    </row>
    <row r="164">
      <c r="A164" s="5" t="s">
        <v>890</v>
      </c>
      <c r="B164" s="5" t="s">
        <v>887</v>
      </c>
      <c r="C164" s="5"/>
      <c r="D164" s="7" t="s">
        <v>894</v>
      </c>
      <c r="E164" s="8" t="s">
        <v>895</v>
      </c>
      <c r="F164" s="5" t="s">
        <v>695</v>
      </c>
      <c r="G164" s="10" t="s">
        <v>859</v>
      </c>
    </row>
    <row r="165">
      <c r="A165" s="5" t="s">
        <v>898</v>
      </c>
      <c r="B165" s="5" t="s">
        <v>900</v>
      </c>
      <c r="C165" s="5"/>
      <c r="D165" s="7" t="s">
        <v>901</v>
      </c>
      <c r="E165" s="8" t="s">
        <v>903</v>
      </c>
      <c r="F165" s="5" t="s">
        <v>64</v>
      </c>
      <c r="G165" s="10" t="s">
        <v>859</v>
      </c>
    </row>
    <row r="166">
      <c r="A166" s="5" t="s">
        <v>905</v>
      </c>
      <c r="B166" s="5" t="s">
        <v>906</v>
      </c>
      <c r="C166" s="5"/>
      <c r="D166" s="7" t="s">
        <v>908</v>
      </c>
      <c r="E166" s="8" t="s">
        <v>909</v>
      </c>
      <c r="F166" s="5" t="s">
        <v>620</v>
      </c>
      <c r="G166" s="10" t="s">
        <v>859</v>
      </c>
    </row>
    <row r="167">
      <c r="A167" s="5" t="s">
        <v>911</v>
      </c>
      <c r="B167" s="5" t="s">
        <v>912</v>
      </c>
      <c r="C167" s="5"/>
      <c r="D167" s="17"/>
      <c r="E167" s="8" t="s">
        <v>913</v>
      </c>
      <c r="F167" s="5" t="s">
        <v>75</v>
      </c>
      <c r="G167" s="18"/>
    </row>
    <row r="168">
      <c r="A168" s="5" t="s">
        <v>915</v>
      </c>
      <c r="B168" s="5" t="s">
        <v>916</v>
      </c>
      <c r="C168" s="5"/>
      <c r="D168" s="17"/>
      <c r="E168" s="8" t="s">
        <v>918</v>
      </c>
      <c r="F168" s="5" t="s">
        <v>695</v>
      </c>
      <c r="G168" s="18"/>
    </row>
    <row r="169">
      <c r="A169" s="5" t="s">
        <v>880</v>
      </c>
      <c r="B169" s="5" t="s">
        <v>881</v>
      </c>
      <c r="C169" s="5"/>
      <c r="D169" s="7" t="s">
        <v>882</v>
      </c>
      <c r="E169" s="8" t="s">
        <v>919</v>
      </c>
      <c r="F169" s="5" t="s">
        <v>91</v>
      </c>
      <c r="G169" s="10" t="s">
        <v>921</v>
      </c>
    </row>
    <row r="170">
      <c r="A170" s="5" t="s">
        <v>923</v>
      </c>
      <c r="B170" s="5" t="s">
        <v>924</v>
      </c>
      <c r="C170" s="5"/>
      <c r="D170" s="7" t="s">
        <v>925</v>
      </c>
      <c r="E170" s="8" t="s">
        <v>926</v>
      </c>
      <c r="F170" s="5" t="s">
        <v>207</v>
      </c>
      <c r="G170" s="10" t="s">
        <v>921</v>
      </c>
    </row>
    <row r="171">
      <c r="A171" s="5" t="s">
        <v>927</v>
      </c>
      <c r="B171" s="5" t="s">
        <v>928</v>
      </c>
      <c r="C171" s="5"/>
      <c r="D171" s="7" t="s">
        <v>929</v>
      </c>
      <c r="E171" s="8" t="s">
        <v>930</v>
      </c>
      <c r="F171" s="5" t="s">
        <v>931</v>
      </c>
      <c r="G171" s="10" t="s">
        <v>921</v>
      </c>
    </row>
    <row r="172">
      <c r="A172" s="8" t="s">
        <v>932</v>
      </c>
      <c r="B172" s="5" t="s">
        <v>934</v>
      </c>
      <c r="C172" s="5"/>
      <c r="D172" s="7" t="s">
        <v>938</v>
      </c>
      <c r="E172" s="8" t="s">
        <v>939</v>
      </c>
      <c r="F172" s="5" t="s">
        <v>940</v>
      </c>
      <c r="G172" s="10" t="s">
        <v>921</v>
      </c>
    </row>
    <row r="173">
      <c r="A173" s="5" t="s">
        <v>941</v>
      </c>
      <c r="B173" s="5" t="s">
        <v>942</v>
      </c>
      <c r="C173" s="5"/>
      <c r="D173" s="7" t="s">
        <v>944</v>
      </c>
      <c r="E173" s="8" t="s">
        <v>945</v>
      </c>
      <c r="F173" s="5" t="s">
        <v>521</v>
      </c>
      <c r="G173" s="10" t="s">
        <v>921</v>
      </c>
    </row>
    <row r="174">
      <c r="A174" s="5" t="s">
        <v>941</v>
      </c>
      <c r="B174" s="5" t="s">
        <v>942</v>
      </c>
      <c r="C174" s="5"/>
      <c r="D174" s="7" t="s">
        <v>944</v>
      </c>
      <c r="E174" s="8" t="s">
        <v>945</v>
      </c>
      <c r="F174" s="5" t="s">
        <v>521</v>
      </c>
      <c r="G174" s="10" t="s">
        <v>921</v>
      </c>
    </row>
    <row r="175">
      <c r="A175" s="5" t="s">
        <v>951</v>
      </c>
      <c r="B175" s="5" t="s">
        <v>952</v>
      </c>
      <c r="C175" s="5"/>
      <c r="D175" s="7" t="s">
        <v>953</v>
      </c>
      <c r="E175" s="8" t="s">
        <v>954</v>
      </c>
      <c r="F175" s="5" t="s">
        <v>695</v>
      </c>
      <c r="G175" s="10" t="s">
        <v>921</v>
      </c>
    </row>
    <row r="176">
      <c r="A176" s="5" t="s">
        <v>955</v>
      </c>
      <c r="B176" s="5" t="s">
        <v>956</v>
      </c>
      <c r="C176" s="5"/>
      <c r="D176" s="7" t="s">
        <v>958</v>
      </c>
      <c r="E176" s="8" t="s">
        <v>959</v>
      </c>
      <c r="F176" s="5" t="s">
        <v>521</v>
      </c>
      <c r="G176" s="10" t="s">
        <v>921</v>
      </c>
    </row>
    <row r="177">
      <c r="A177" s="5" t="s">
        <v>960</v>
      </c>
      <c r="B177" s="5" t="s">
        <v>961</v>
      </c>
      <c r="C177" s="5"/>
      <c r="D177" s="17"/>
      <c r="E177" s="8" t="s">
        <v>962</v>
      </c>
      <c r="F177" s="5" t="s">
        <v>64</v>
      </c>
      <c r="G177" s="18"/>
    </row>
    <row r="178">
      <c r="A178" s="5" t="s">
        <v>963</v>
      </c>
      <c r="B178" s="5" t="s">
        <v>964</v>
      </c>
      <c r="C178" s="5"/>
      <c r="D178" s="7" t="s">
        <v>967</v>
      </c>
      <c r="E178" s="8" t="s">
        <v>969</v>
      </c>
      <c r="F178" s="5" t="s">
        <v>91</v>
      </c>
      <c r="G178" s="10" t="s">
        <v>921</v>
      </c>
    </row>
    <row r="179">
      <c r="A179" s="5" t="s">
        <v>970</v>
      </c>
      <c r="B179" s="5" t="s">
        <v>971</v>
      </c>
      <c r="C179" s="5"/>
      <c r="D179" s="7" t="s">
        <v>972</v>
      </c>
      <c r="E179" s="8" t="s">
        <v>975</v>
      </c>
      <c r="F179" s="5" t="s">
        <v>977</v>
      </c>
      <c r="G179" s="10" t="s">
        <v>978</v>
      </c>
    </row>
    <row r="180">
      <c r="A180" s="5" t="s">
        <v>979</v>
      </c>
      <c r="B180" s="5" t="s">
        <v>980</v>
      </c>
      <c r="C180" s="5"/>
      <c r="D180" s="7" t="s">
        <v>982</v>
      </c>
      <c r="E180" s="8" t="s">
        <v>985</v>
      </c>
      <c r="F180" s="5" t="s">
        <v>987</v>
      </c>
      <c r="G180" s="10" t="s">
        <v>978</v>
      </c>
    </row>
    <row r="181">
      <c r="A181" s="5" t="s">
        <v>988</v>
      </c>
      <c r="B181" s="5" t="s">
        <v>989</v>
      </c>
      <c r="C181" s="5"/>
      <c r="D181" s="7" t="s">
        <v>990</v>
      </c>
      <c r="E181" s="8" t="s">
        <v>991</v>
      </c>
      <c r="F181" s="5" t="s">
        <v>64</v>
      </c>
      <c r="G181" s="10" t="s">
        <v>46</v>
      </c>
    </row>
    <row r="182">
      <c r="A182" s="5" t="s">
        <v>995</v>
      </c>
      <c r="B182" s="5" t="s">
        <v>996</v>
      </c>
      <c r="C182" s="5"/>
      <c r="D182" s="7" t="s">
        <v>144</v>
      </c>
      <c r="E182" s="5" t="s">
        <v>998</v>
      </c>
      <c r="F182" s="5" t="s">
        <v>695</v>
      </c>
      <c r="G182" s="46" t="s">
        <v>978</v>
      </c>
    </row>
    <row r="183">
      <c r="A183" s="5" t="s">
        <v>1002</v>
      </c>
      <c r="B183" s="5" t="s">
        <v>1003</v>
      </c>
      <c r="C183" s="5"/>
      <c r="D183" s="7" t="s">
        <v>1004</v>
      </c>
      <c r="E183" s="8" t="s">
        <v>1005</v>
      </c>
      <c r="F183" s="5" t="s">
        <v>268</v>
      </c>
      <c r="G183" s="10" t="s">
        <v>978</v>
      </c>
    </row>
    <row r="184">
      <c r="A184" s="5" t="s">
        <v>1009</v>
      </c>
      <c r="B184" s="5" t="s">
        <v>1011</v>
      </c>
      <c r="C184" s="5"/>
      <c r="D184" s="7" t="s">
        <v>1013</v>
      </c>
      <c r="E184" s="8" t="s">
        <v>1015</v>
      </c>
      <c r="F184" s="5" t="s">
        <v>64</v>
      </c>
      <c r="G184" s="10" t="s">
        <v>978</v>
      </c>
    </row>
    <row r="185">
      <c r="A185" s="5" t="s">
        <v>1017</v>
      </c>
      <c r="B185" s="5" t="s">
        <v>1018</v>
      </c>
      <c r="C185" s="5"/>
      <c r="D185" s="7" t="s">
        <v>1020</v>
      </c>
      <c r="E185" s="8" t="s">
        <v>1022</v>
      </c>
      <c r="F185" s="5" t="s">
        <v>207</v>
      </c>
      <c r="G185" s="10" t="s">
        <v>1023</v>
      </c>
    </row>
    <row r="186">
      <c r="A186" s="5" t="s">
        <v>1024</v>
      </c>
      <c r="B186" s="5" t="s">
        <v>1025</v>
      </c>
      <c r="C186" s="5"/>
      <c r="D186" s="7" t="s">
        <v>1026</v>
      </c>
      <c r="E186" s="8" t="s">
        <v>1027</v>
      </c>
      <c r="F186" s="5" t="s">
        <v>1028</v>
      </c>
      <c r="G186" s="10" t="s">
        <v>1023</v>
      </c>
    </row>
    <row r="187">
      <c r="A187" s="5" t="s">
        <v>1024</v>
      </c>
      <c r="B187" s="5" t="s">
        <v>1025</v>
      </c>
      <c r="C187" s="5"/>
      <c r="D187" s="7" t="s">
        <v>1026</v>
      </c>
      <c r="E187" s="8" t="s">
        <v>1027</v>
      </c>
      <c r="F187" s="5" t="s">
        <v>1028</v>
      </c>
      <c r="G187" s="10" t="s">
        <v>1023</v>
      </c>
    </row>
    <row r="188">
      <c r="A188" s="5" t="s">
        <v>1030</v>
      </c>
      <c r="B188" s="5" t="s">
        <v>1032</v>
      </c>
      <c r="C188" s="5"/>
      <c r="D188" s="7" t="s">
        <v>1033</v>
      </c>
      <c r="E188" s="8" t="s">
        <v>1034</v>
      </c>
      <c r="F188" s="5" t="s">
        <v>695</v>
      </c>
      <c r="G188" s="10" t="s">
        <v>1023</v>
      </c>
    </row>
    <row r="189">
      <c r="A189" s="5" t="s">
        <v>1035</v>
      </c>
      <c r="B189" s="5" t="s">
        <v>1037</v>
      </c>
      <c r="C189" s="5"/>
      <c r="D189" s="7" t="s">
        <v>1038</v>
      </c>
      <c r="E189" s="8" t="s">
        <v>1039</v>
      </c>
      <c r="F189" s="5" t="s">
        <v>480</v>
      </c>
      <c r="G189" s="10" t="s">
        <v>1023</v>
      </c>
    </row>
    <row r="190">
      <c r="A190" s="5" t="s">
        <v>1042</v>
      </c>
      <c r="B190" s="5" t="s">
        <v>1043</v>
      </c>
      <c r="C190" s="5"/>
      <c r="D190" s="7" t="s">
        <v>1045</v>
      </c>
      <c r="E190" s="8" t="s">
        <v>1047</v>
      </c>
      <c r="F190" s="5" t="s">
        <v>1050</v>
      </c>
      <c r="G190" s="10" t="s">
        <v>1023</v>
      </c>
    </row>
    <row r="191">
      <c r="A191" s="5" t="s">
        <v>1051</v>
      </c>
      <c r="B191" s="5" t="s">
        <v>1052</v>
      </c>
      <c r="C191" s="5"/>
      <c r="D191" s="7" t="s">
        <v>1054</v>
      </c>
      <c r="E191" s="8" t="s">
        <v>1057</v>
      </c>
      <c r="F191" s="5" t="s">
        <v>1059</v>
      </c>
      <c r="G191" s="10" t="s">
        <v>1023</v>
      </c>
    </row>
    <row r="192">
      <c r="A192" s="5" t="s">
        <v>1061</v>
      </c>
      <c r="B192" s="5" t="s">
        <v>1062</v>
      </c>
      <c r="C192" s="5"/>
      <c r="D192" s="7" t="s">
        <v>1064</v>
      </c>
      <c r="E192" s="8" t="s">
        <v>1065</v>
      </c>
      <c r="F192" s="5" t="s">
        <v>132</v>
      </c>
      <c r="G192" s="10" t="s">
        <v>1023</v>
      </c>
    </row>
    <row r="193">
      <c r="A193" s="5" t="s">
        <v>310</v>
      </c>
      <c r="B193" s="5" t="s">
        <v>311</v>
      </c>
      <c r="C193" s="5"/>
      <c r="D193" s="7" t="s">
        <v>312</v>
      </c>
      <c r="E193" s="8" t="s">
        <v>313</v>
      </c>
      <c r="F193" s="5" t="s">
        <v>28</v>
      </c>
      <c r="G193" s="10" t="s">
        <v>1023</v>
      </c>
    </row>
    <row r="194">
      <c r="A194" s="5" t="s">
        <v>1069</v>
      </c>
      <c r="B194" s="5" t="s">
        <v>1070</v>
      </c>
      <c r="C194" s="5"/>
      <c r="D194" s="7" t="s">
        <v>1072</v>
      </c>
      <c r="E194" s="8" t="s">
        <v>1074</v>
      </c>
      <c r="F194" s="5" t="s">
        <v>278</v>
      </c>
      <c r="G194" s="10" t="s">
        <v>1023</v>
      </c>
    </row>
    <row r="195">
      <c r="A195" s="5" t="s">
        <v>1075</v>
      </c>
      <c r="B195" s="5" t="s">
        <v>1076</v>
      </c>
      <c r="C195" s="5"/>
      <c r="D195" s="7" t="s">
        <v>1077</v>
      </c>
      <c r="E195" s="8" t="s">
        <v>1080</v>
      </c>
      <c r="F195" s="5" t="s">
        <v>1082</v>
      </c>
      <c r="G195" s="10" t="s">
        <v>1023</v>
      </c>
    </row>
    <row r="196">
      <c r="A196" s="5" t="s">
        <v>1083</v>
      </c>
      <c r="B196" s="5" t="s">
        <v>1084</v>
      </c>
      <c r="C196" s="5"/>
      <c r="D196" s="7" t="s">
        <v>1087</v>
      </c>
      <c r="E196" s="8" t="s">
        <v>1089</v>
      </c>
      <c r="F196" s="5" t="s">
        <v>75</v>
      </c>
      <c r="G196" s="10" t="s">
        <v>1023</v>
      </c>
    </row>
    <row r="197">
      <c r="A197" s="5" t="s">
        <v>1090</v>
      </c>
      <c r="B197" s="5" t="s">
        <v>1084</v>
      </c>
      <c r="C197" s="5"/>
      <c r="D197" s="7" t="s">
        <v>1087</v>
      </c>
      <c r="E197" s="8" t="s">
        <v>1089</v>
      </c>
      <c r="F197" s="5" t="s">
        <v>75</v>
      </c>
      <c r="G197" s="10" t="s">
        <v>1023</v>
      </c>
    </row>
    <row r="198">
      <c r="A198" s="5" t="s">
        <v>1094</v>
      </c>
      <c r="B198" s="5" t="s">
        <v>1096</v>
      </c>
      <c r="C198" s="5"/>
      <c r="D198" s="7" t="s">
        <v>1097</v>
      </c>
      <c r="E198" s="8" t="s">
        <v>1099</v>
      </c>
      <c r="F198" s="5" t="s">
        <v>1100</v>
      </c>
      <c r="G198" s="10" t="s">
        <v>1023</v>
      </c>
    </row>
    <row r="199">
      <c r="A199" s="5" t="s">
        <v>1102</v>
      </c>
      <c r="B199" s="5" t="s">
        <v>1103</v>
      </c>
      <c r="C199" s="5"/>
      <c r="D199" s="7" t="s">
        <v>1106</v>
      </c>
      <c r="E199" s="8" t="s">
        <v>1107</v>
      </c>
      <c r="F199" s="5" t="s">
        <v>218</v>
      </c>
      <c r="G199" s="10" t="s">
        <v>1023</v>
      </c>
    </row>
    <row r="200">
      <c r="A200" s="5" t="s">
        <v>1111</v>
      </c>
      <c r="B200" s="5" t="s">
        <v>1112</v>
      </c>
      <c r="C200" s="5"/>
      <c r="D200" s="7" t="s">
        <v>1114</v>
      </c>
      <c r="E200" s="8" t="s">
        <v>1118</v>
      </c>
      <c r="F200" s="5" t="s">
        <v>207</v>
      </c>
      <c r="G200" s="10" t="s">
        <v>1119</v>
      </c>
    </row>
    <row r="201">
      <c r="A201" s="5" t="s">
        <v>1120</v>
      </c>
      <c r="B201" s="5" t="s">
        <v>1121</v>
      </c>
      <c r="C201" s="5"/>
      <c r="D201" s="7" t="s">
        <v>1123</v>
      </c>
      <c r="E201" s="8" t="s">
        <v>1125</v>
      </c>
      <c r="F201" s="5" t="s">
        <v>1028</v>
      </c>
      <c r="G201" s="10" t="s">
        <v>1119</v>
      </c>
    </row>
    <row r="202">
      <c r="A202" s="5" t="s">
        <v>1127</v>
      </c>
      <c r="B202" s="5" t="s">
        <v>1130</v>
      </c>
      <c r="C202" s="5"/>
      <c r="D202" s="7" t="s">
        <v>1131</v>
      </c>
      <c r="E202" s="8" t="s">
        <v>1133</v>
      </c>
      <c r="F202" s="5" t="s">
        <v>64</v>
      </c>
      <c r="G202" s="10" t="s">
        <v>1119</v>
      </c>
    </row>
    <row r="203">
      <c r="A203" s="5" t="s">
        <v>1135</v>
      </c>
      <c r="B203" s="5" t="s">
        <v>1136</v>
      </c>
      <c r="C203" s="5"/>
      <c r="D203" s="7" t="s">
        <v>1138</v>
      </c>
      <c r="E203" s="8" t="s">
        <v>1139</v>
      </c>
      <c r="F203" s="5" t="s">
        <v>113</v>
      </c>
      <c r="G203" s="10" t="s">
        <v>1119</v>
      </c>
    </row>
    <row r="204">
      <c r="A204" s="5" t="s">
        <v>1141</v>
      </c>
      <c r="B204" s="5" t="s">
        <v>1142</v>
      </c>
      <c r="C204" s="5"/>
      <c r="D204" s="7" t="s">
        <v>1143</v>
      </c>
      <c r="E204" s="8" t="s">
        <v>1144</v>
      </c>
      <c r="F204" s="5" t="s">
        <v>28</v>
      </c>
      <c r="G204" s="10" t="s">
        <v>1119</v>
      </c>
    </row>
    <row r="205">
      <c r="A205" s="5" t="s">
        <v>538</v>
      </c>
      <c r="B205" s="5" t="s">
        <v>540</v>
      </c>
      <c r="C205" s="5"/>
      <c r="D205" s="7" t="s">
        <v>1148</v>
      </c>
      <c r="E205" s="8" t="s">
        <v>1149</v>
      </c>
      <c r="F205" s="5" t="s">
        <v>695</v>
      </c>
      <c r="G205" s="10" t="s">
        <v>1119</v>
      </c>
    </row>
    <row r="206">
      <c r="A206" s="5" t="s">
        <v>538</v>
      </c>
      <c r="B206" s="5" t="s">
        <v>540</v>
      </c>
      <c r="C206" s="5"/>
      <c r="D206" s="7" t="s">
        <v>549</v>
      </c>
      <c r="E206" s="8" t="s">
        <v>1152</v>
      </c>
      <c r="F206" s="5" t="s">
        <v>1153</v>
      </c>
      <c r="G206" s="10" t="s">
        <v>1119</v>
      </c>
    </row>
    <row r="207">
      <c r="A207" s="54"/>
      <c r="B207" s="54"/>
      <c r="C207" s="54"/>
      <c r="D207" s="17"/>
      <c r="E207" s="54"/>
      <c r="F207" s="54"/>
      <c r="G207" s="55"/>
    </row>
    <row r="208">
      <c r="A208" s="54"/>
      <c r="B208" s="54"/>
      <c r="C208" s="54"/>
      <c r="D208" s="17"/>
      <c r="E208" s="54"/>
      <c r="F208" s="54"/>
      <c r="G208" s="55"/>
    </row>
    <row r="209">
      <c r="A209" s="54"/>
      <c r="B209" s="54"/>
      <c r="C209" s="54"/>
      <c r="D209" s="17"/>
      <c r="E209" s="54"/>
      <c r="F209" s="54"/>
      <c r="G209" s="55"/>
    </row>
    <row r="210">
      <c r="A210" s="54"/>
      <c r="B210" s="54"/>
      <c r="C210" s="54"/>
      <c r="D210" s="17"/>
      <c r="E210" s="54"/>
      <c r="F210" s="54"/>
      <c r="G210" s="55"/>
    </row>
    <row r="211">
      <c r="A211" s="54"/>
      <c r="B211" s="54"/>
      <c r="C211" s="54"/>
      <c r="D211" s="17"/>
      <c r="E211" s="54"/>
      <c r="F211" s="54"/>
      <c r="G211" s="55"/>
    </row>
    <row r="212">
      <c r="A212" s="54"/>
      <c r="B212" s="54"/>
      <c r="C212" s="54"/>
      <c r="D212" s="17"/>
      <c r="E212" s="54"/>
      <c r="F212" s="54"/>
      <c r="G212" s="55"/>
    </row>
    <row r="213">
      <c r="A213" s="54"/>
      <c r="B213" s="54"/>
      <c r="C213" s="54"/>
      <c r="D213" s="17"/>
      <c r="E213" s="54"/>
      <c r="F213" s="54"/>
      <c r="G213" s="55"/>
    </row>
    <row r="214">
      <c r="A214" s="54"/>
      <c r="B214" s="54"/>
      <c r="C214" s="54"/>
      <c r="D214" s="17"/>
      <c r="E214" s="54"/>
      <c r="F214" s="54"/>
      <c r="G214" s="55"/>
    </row>
    <row r="215">
      <c r="A215" s="54"/>
      <c r="B215" s="54"/>
      <c r="C215" s="54"/>
      <c r="D215" s="17"/>
      <c r="E215" s="54"/>
      <c r="F215" s="54"/>
      <c r="G215" s="55"/>
    </row>
    <row r="216">
      <c r="A216" s="54"/>
      <c r="B216" s="54"/>
      <c r="C216" s="54"/>
      <c r="D216" s="17"/>
      <c r="E216" s="54"/>
      <c r="F216" s="54"/>
      <c r="G216" s="55"/>
    </row>
    <row r="217">
      <c r="A217" s="54"/>
      <c r="B217" s="54"/>
      <c r="C217" s="54"/>
      <c r="D217" s="17"/>
      <c r="E217" s="54"/>
      <c r="F217" s="54"/>
      <c r="G217" s="55"/>
    </row>
    <row r="218">
      <c r="A218" s="54"/>
      <c r="B218" s="54"/>
      <c r="C218" s="54"/>
      <c r="D218" s="17"/>
      <c r="E218" s="54"/>
      <c r="F218" s="54"/>
      <c r="G218" s="55"/>
    </row>
    <row r="219">
      <c r="A219" s="54"/>
      <c r="B219" s="54"/>
      <c r="C219" s="54"/>
      <c r="D219" s="17"/>
      <c r="E219" s="54"/>
      <c r="F219" s="54"/>
      <c r="G219" s="55"/>
    </row>
    <row r="220">
      <c r="A220" s="54"/>
      <c r="B220" s="54"/>
      <c r="C220" s="54"/>
      <c r="D220" s="17"/>
      <c r="E220" s="54"/>
      <c r="F220" s="54"/>
      <c r="G220" s="55"/>
    </row>
    <row r="221">
      <c r="A221" s="54"/>
      <c r="B221" s="54"/>
      <c r="C221" s="54"/>
      <c r="D221" s="17"/>
      <c r="E221" s="54"/>
      <c r="F221" s="54"/>
      <c r="G221" s="55"/>
    </row>
    <row r="222">
      <c r="A222" s="54"/>
      <c r="B222" s="54"/>
      <c r="C222" s="54"/>
      <c r="D222" s="17"/>
      <c r="E222" s="54"/>
      <c r="F222" s="54"/>
      <c r="G222" s="55"/>
    </row>
    <row r="223">
      <c r="A223" s="54"/>
      <c r="B223" s="54"/>
      <c r="C223" s="54"/>
      <c r="D223" s="17"/>
      <c r="E223" s="54"/>
      <c r="F223" s="54"/>
      <c r="G223" s="55"/>
    </row>
    <row r="224">
      <c r="A224" s="54"/>
      <c r="B224" s="54"/>
      <c r="C224" s="54"/>
      <c r="D224" s="17"/>
      <c r="E224" s="54"/>
      <c r="F224" s="54"/>
      <c r="G224" s="55"/>
    </row>
    <row r="225">
      <c r="A225" s="54"/>
      <c r="B225" s="54"/>
      <c r="C225" s="54"/>
      <c r="D225" s="17"/>
      <c r="E225" s="54"/>
      <c r="F225" s="54"/>
      <c r="G225" s="55"/>
    </row>
    <row r="226">
      <c r="A226" s="54"/>
      <c r="B226" s="54"/>
      <c r="C226" s="54"/>
      <c r="D226" s="17"/>
      <c r="E226" s="54"/>
      <c r="F226" s="54"/>
      <c r="G226" s="55"/>
    </row>
    <row r="227">
      <c r="A227" s="54"/>
      <c r="B227" s="54"/>
      <c r="C227" s="54"/>
      <c r="D227" s="17"/>
      <c r="E227" s="54"/>
      <c r="F227" s="54"/>
      <c r="G227" s="55"/>
    </row>
    <row r="228">
      <c r="A228" s="54"/>
      <c r="B228" s="54"/>
      <c r="C228" s="54"/>
      <c r="D228" s="17"/>
      <c r="E228" s="54"/>
      <c r="F228" s="54"/>
      <c r="G228" s="55"/>
    </row>
    <row r="229">
      <c r="A229" s="54"/>
      <c r="B229" s="54"/>
      <c r="C229" s="54"/>
      <c r="D229" s="17"/>
      <c r="E229" s="54"/>
      <c r="F229" s="54"/>
      <c r="G229" s="55"/>
    </row>
    <row r="230">
      <c r="A230" s="54"/>
      <c r="B230" s="54"/>
      <c r="C230" s="54"/>
      <c r="D230" s="17"/>
      <c r="E230" s="54"/>
      <c r="F230" s="54"/>
      <c r="G230" s="55"/>
    </row>
    <row r="231">
      <c r="A231" s="54"/>
      <c r="B231" s="54"/>
      <c r="C231" s="54"/>
      <c r="D231" s="17"/>
      <c r="E231" s="54"/>
      <c r="F231" s="54"/>
      <c r="G231" s="55"/>
    </row>
    <row r="232">
      <c r="A232" s="54"/>
      <c r="B232" s="54"/>
      <c r="C232" s="54"/>
      <c r="D232" s="17"/>
      <c r="E232" s="54"/>
      <c r="F232" s="54"/>
      <c r="G232" s="55"/>
    </row>
    <row r="233">
      <c r="A233" s="54"/>
      <c r="B233" s="54"/>
      <c r="C233" s="54"/>
      <c r="D233" s="17"/>
      <c r="E233" s="54"/>
      <c r="F233" s="54"/>
      <c r="G233" s="55"/>
    </row>
    <row r="234">
      <c r="A234" s="54"/>
      <c r="B234" s="54"/>
      <c r="C234" s="54"/>
      <c r="D234" s="17"/>
      <c r="E234" s="54"/>
      <c r="F234" s="54"/>
      <c r="G234" s="55"/>
    </row>
    <row r="235">
      <c r="A235" s="54"/>
      <c r="B235" s="54"/>
      <c r="C235" s="54"/>
      <c r="D235" s="17"/>
      <c r="E235" s="54"/>
      <c r="F235" s="54"/>
      <c r="G235" s="55"/>
    </row>
    <row r="236">
      <c r="A236" s="54"/>
      <c r="B236" s="54"/>
      <c r="C236" s="54"/>
      <c r="D236" s="17"/>
      <c r="E236" s="54"/>
      <c r="F236" s="54"/>
      <c r="G236" s="55"/>
    </row>
    <row r="237">
      <c r="A237" s="54"/>
      <c r="B237" s="54"/>
      <c r="C237" s="54"/>
      <c r="D237" s="17"/>
      <c r="E237" s="54"/>
      <c r="F237" s="54"/>
      <c r="G237" s="55"/>
    </row>
    <row r="238">
      <c r="A238" s="54"/>
      <c r="B238" s="54"/>
      <c r="C238" s="54"/>
      <c r="D238" s="17"/>
      <c r="E238" s="54"/>
      <c r="F238" s="54"/>
      <c r="G238" s="55"/>
    </row>
    <row r="239">
      <c r="A239" s="54"/>
      <c r="B239" s="54"/>
      <c r="C239" s="54"/>
      <c r="D239" s="17"/>
      <c r="E239" s="54"/>
      <c r="F239" s="54"/>
      <c r="G239" s="55"/>
    </row>
    <row r="240">
      <c r="A240" s="54"/>
      <c r="B240" s="54"/>
      <c r="C240" s="54"/>
      <c r="D240" s="17"/>
      <c r="E240" s="54"/>
      <c r="F240" s="54"/>
      <c r="G240" s="55"/>
    </row>
    <row r="241">
      <c r="A241" s="54"/>
      <c r="B241" s="54"/>
      <c r="C241" s="54"/>
      <c r="D241" s="17"/>
      <c r="E241" s="54"/>
      <c r="F241" s="54"/>
      <c r="G241" s="55"/>
    </row>
    <row r="242">
      <c r="A242" s="54"/>
      <c r="B242" s="54"/>
      <c r="C242" s="54"/>
      <c r="D242" s="17"/>
      <c r="E242" s="54"/>
      <c r="F242" s="54"/>
      <c r="G242" s="55"/>
    </row>
    <row r="243">
      <c r="A243" s="54"/>
      <c r="B243" s="54"/>
      <c r="C243" s="54"/>
      <c r="D243" s="17"/>
      <c r="E243" s="54"/>
      <c r="F243" s="54"/>
      <c r="G243" s="55"/>
    </row>
    <row r="244">
      <c r="A244" s="54"/>
      <c r="B244" s="54"/>
      <c r="C244" s="54"/>
      <c r="D244" s="17"/>
      <c r="E244" s="54"/>
      <c r="F244" s="54"/>
      <c r="G244" s="55"/>
    </row>
    <row r="245">
      <c r="A245" s="54"/>
      <c r="B245" s="54"/>
      <c r="C245" s="54"/>
      <c r="D245" s="17"/>
      <c r="E245" s="54"/>
      <c r="F245" s="54"/>
      <c r="G245" s="55"/>
    </row>
    <row r="246">
      <c r="A246" s="54"/>
      <c r="B246" s="54"/>
      <c r="C246" s="54"/>
      <c r="D246" s="17"/>
      <c r="E246" s="54"/>
      <c r="F246" s="54"/>
      <c r="G246" s="55"/>
    </row>
    <row r="247">
      <c r="A247" s="54"/>
      <c r="B247" s="54"/>
      <c r="C247" s="54"/>
      <c r="D247" s="17"/>
      <c r="E247" s="54"/>
      <c r="F247" s="54"/>
      <c r="G247" s="55"/>
    </row>
    <row r="248">
      <c r="A248" s="54"/>
      <c r="B248" s="54"/>
      <c r="C248" s="54"/>
      <c r="D248" s="17"/>
      <c r="E248" s="54"/>
      <c r="F248" s="54"/>
      <c r="G248" s="55"/>
    </row>
    <row r="249">
      <c r="A249" s="54"/>
      <c r="B249" s="54"/>
      <c r="C249" s="54"/>
      <c r="D249" s="17"/>
      <c r="E249" s="54"/>
      <c r="F249" s="54"/>
      <c r="G249" s="55"/>
    </row>
    <row r="250">
      <c r="A250" s="54"/>
      <c r="B250" s="54"/>
      <c r="C250" s="54"/>
      <c r="D250" s="17"/>
      <c r="E250" s="54"/>
      <c r="F250" s="54"/>
      <c r="G250" s="55"/>
    </row>
    <row r="251">
      <c r="A251" s="54"/>
      <c r="B251" s="54"/>
      <c r="C251" s="54"/>
      <c r="D251" s="17"/>
      <c r="E251" s="54"/>
      <c r="F251" s="54"/>
      <c r="G251" s="55"/>
    </row>
    <row r="252">
      <c r="A252" s="54"/>
      <c r="B252" s="54"/>
      <c r="C252" s="54"/>
      <c r="D252" s="17"/>
      <c r="E252" s="54"/>
      <c r="F252" s="54"/>
      <c r="G252" s="55"/>
    </row>
    <row r="253">
      <c r="A253" s="54"/>
      <c r="B253" s="54"/>
      <c r="C253" s="54"/>
      <c r="D253" s="17"/>
      <c r="E253" s="54"/>
      <c r="F253" s="54"/>
      <c r="G253" s="55"/>
    </row>
    <row r="254">
      <c r="A254" s="54"/>
      <c r="B254" s="54"/>
      <c r="C254" s="54"/>
      <c r="D254" s="17"/>
      <c r="E254" s="54"/>
      <c r="F254" s="54"/>
      <c r="G254" s="55"/>
    </row>
    <row r="255">
      <c r="A255" s="54"/>
      <c r="B255" s="54"/>
      <c r="C255" s="54"/>
      <c r="D255" s="17"/>
      <c r="E255" s="54"/>
      <c r="F255" s="54"/>
      <c r="G255" s="55"/>
    </row>
    <row r="256">
      <c r="A256" s="54"/>
      <c r="B256" s="54"/>
      <c r="C256" s="54"/>
      <c r="D256" s="17"/>
      <c r="E256" s="54"/>
      <c r="F256" s="54"/>
      <c r="G256" s="55"/>
    </row>
    <row r="257">
      <c r="A257" s="54"/>
      <c r="B257" s="54"/>
      <c r="C257" s="54"/>
      <c r="D257" s="17"/>
      <c r="E257" s="54"/>
      <c r="F257" s="54"/>
      <c r="G257" s="55"/>
    </row>
    <row r="258">
      <c r="A258" s="54"/>
      <c r="B258" s="54"/>
      <c r="C258" s="54"/>
      <c r="D258" s="17"/>
      <c r="E258" s="54"/>
      <c r="F258" s="54"/>
      <c r="G258" s="55"/>
    </row>
    <row r="259">
      <c r="A259" s="54"/>
      <c r="B259" s="54"/>
      <c r="C259" s="54"/>
      <c r="D259" s="17"/>
      <c r="E259" s="54"/>
      <c r="F259" s="54"/>
      <c r="G259" s="55"/>
    </row>
    <row r="260">
      <c r="A260" s="54"/>
      <c r="B260" s="54"/>
      <c r="C260" s="54"/>
      <c r="D260" s="17"/>
      <c r="E260" s="54"/>
      <c r="F260" s="54"/>
      <c r="G260" s="55"/>
    </row>
    <row r="261">
      <c r="A261" s="54"/>
      <c r="B261" s="54"/>
      <c r="C261" s="54"/>
      <c r="D261" s="17"/>
      <c r="E261" s="54"/>
      <c r="F261" s="54"/>
      <c r="G261" s="55"/>
    </row>
    <row r="262">
      <c r="A262" s="54"/>
      <c r="B262" s="54"/>
      <c r="C262" s="54"/>
      <c r="D262" s="17"/>
      <c r="E262" s="54"/>
      <c r="F262" s="54"/>
      <c r="G262" s="55"/>
    </row>
    <row r="263">
      <c r="A263" s="54"/>
      <c r="B263" s="54"/>
      <c r="C263" s="54"/>
      <c r="D263" s="17"/>
      <c r="E263" s="54"/>
      <c r="F263" s="54"/>
      <c r="G263" s="55"/>
    </row>
    <row r="264">
      <c r="A264" s="54"/>
      <c r="B264" s="54"/>
      <c r="C264" s="54"/>
      <c r="D264" s="17"/>
      <c r="E264" s="54"/>
      <c r="F264" s="54"/>
      <c r="G264" s="55"/>
    </row>
    <row r="265">
      <c r="A265" s="54"/>
      <c r="B265" s="54"/>
      <c r="C265" s="54"/>
      <c r="D265" s="17"/>
      <c r="E265" s="54"/>
      <c r="F265" s="54"/>
      <c r="G265" s="55"/>
    </row>
    <row r="266">
      <c r="A266" s="54"/>
      <c r="B266" s="54"/>
      <c r="C266" s="54"/>
      <c r="D266" s="17"/>
      <c r="E266" s="54"/>
      <c r="F266" s="54"/>
      <c r="G266" s="55"/>
    </row>
    <row r="267">
      <c r="A267" s="54"/>
      <c r="B267" s="54"/>
      <c r="C267" s="54"/>
      <c r="D267" s="17"/>
      <c r="E267" s="54"/>
      <c r="F267" s="54"/>
      <c r="G267" s="55"/>
    </row>
    <row r="268">
      <c r="A268" s="54"/>
      <c r="B268" s="54"/>
      <c r="C268" s="54"/>
      <c r="D268" s="17"/>
      <c r="E268" s="54"/>
      <c r="F268" s="54"/>
      <c r="G268" s="55"/>
    </row>
    <row r="269">
      <c r="A269" s="54"/>
      <c r="B269" s="54"/>
      <c r="C269" s="54"/>
      <c r="D269" s="17"/>
      <c r="E269" s="54"/>
      <c r="F269" s="54"/>
      <c r="G269" s="55"/>
    </row>
    <row r="270">
      <c r="A270" s="54"/>
      <c r="B270" s="54"/>
      <c r="C270" s="54"/>
      <c r="D270" s="17"/>
      <c r="E270" s="54"/>
      <c r="F270" s="54"/>
      <c r="G270" s="55"/>
    </row>
    <row r="271">
      <c r="A271" s="54"/>
      <c r="B271" s="54"/>
      <c r="C271" s="54"/>
      <c r="D271" s="17"/>
      <c r="E271" s="54"/>
      <c r="F271" s="54"/>
      <c r="G271" s="55"/>
    </row>
    <row r="272">
      <c r="A272" s="54"/>
      <c r="B272" s="54"/>
      <c r="C272" s="54"/>
      <c r="D272" s="17"/>
      <c r="E272" s="54"/>
      <c r="F272" s="54"/>
      <c r="G272" s="55"/>
    </row>
    <row r="273">
      <c r="A273" s="54"/>
      <c r="B273" s="54"/>
      <c r="C273" s="54"/>
      <c r="D273" s="17"/>
      <c r="E273" s="54"/>
      <c r="F273" s="54"/>
      <c r="G273" s="55"/>
    </row>
    <row r="274">
      <c r="A274" s="54"/>
      <c r="B274" s="54"/>
      <c r="C274" s="54"/>
      <c r="D274" s="17"/>
      <c r="E274" s="54"/>
      <c r="F274" s="54"/>
      <c r="G274" s="55"/>
    </row>
    <row r="275">
      <c r="A275" s="54"/>
      <c r="B275" s="54"/>
      <c r="C275" s="54"/>
      <c r="D275" s="17"/>
      <c r="E275" s="54"/>
      <c r="F275" s="54"/>
      <c r="G275" s="55"/>
    </row>
    <row r="276">
      <c r="A276" s="54"/>
      <c r="B276" s="54"/>
      <c r="C276" s="54"/>
      <c r="D276" s="17"/>
      <c r="E276" s="54"/>
      <c r="F276" s="54"/>
      <c r="G276" s="55"/>
    </row>
    <row r="277">
      <c r="A277" s="54"/>
      <c r="B277" s="54"/>
      <c r="C277" s="54"/>
      <c r="D277" s="17"/>
      <c r="E277" s="54"/>
      <c r="F277" s="54"/>
      <c r="G277" s="55"/>
    </row>
    <row r="278">
      <c r="A278" s="54"/>
      <c r="B278" s="54"/>
      <c r="C278" s="54"/>
      <c r="D278" s="17"/>
      <c r="E278" s="54"/>
      <c r="F278" s="54"/>
      <c r="G278" s="55"/>
    </row>
    <row r="279">
      <c r="A279" s="54"/>
      <c r="B279" s="54"/>
      <c r="C279" s="54"/>
      <c r="D279" s="17"/>
      <c r="E279" s="54"/>
      <c r="F279" s="54"/>
      <c r="G279" s="55"/>
    </row>
    <row r="280">
      <c r="A280" s="54"/>
      <c r="B280" s="54"/>
      <c r="C280" s="54"/>
      <c r="D280" s="17"/>
      <c r="E280" s="54"/>
      <c r="F280" s="54"/>
      <c r="G280" s="55"/>
    </row>
    <row r="281">
      <c r="A281" s="54"/>
      <c r="B281" s="54"/>
      <c r="C281" s="54"/>
      <c r="D281" s="17"/>
      <c r="E281" s="54"/>
      <c r="F281" s="54"/>
      <c r="G281" s="55"/>
    </row>
    <row r="282">
      <c r="A282" s="54"/>
      <c r="B282" s="54"/>
      <c r="C282" s="54"/>
      <c r="D282" s="17"/>
      <c r="E282" s="54"/>
      <c r="F282" s="54"/>
      <c r="G282" s="55"/>
    </row>
    <row r="283">
      <c r="A283" s="54"/>
      <c r="B283" s="54"/>
      <c r="C283" s="54"/>
      <c r="D283" s="17"/>
      <c r="E283" s="54"/>
      <c r="F283" s="54"/>
      <c r="G283" s="55"/>
    </row>
    <row r="284">
      <c r="A284" s="54"/>
      <c r="B284" s="54"/>
      <c r="C284" s="54"/>
      <c r="D284" s="17"/>
      <c r="E284" s="54"/>
      <c r="F284" s="54"/>
      <c r="G284" s="55"/>
    </row>
    <row r="285">
      <c r="A285" s="54"/>
      <c r="B285" s="54"/>
      <c r="C285" s="54"/>
      <c r="D285" s="17"/>
      <c r="E285" s="54"/>
      <c r="F285" s="54"/>
      <c r="G285" s="55"/>
    </row>
    <row r="286">
      <c r="A286" s="54"/>
      <c r="B286" s="54"/>
      <c r="C286" s="54"/>
      <c r="D286" s="17"/>
      <c r="E286" s="54"/>
      <c r="F286" s="54"/>
      <c r="G286" s="55"/>
    </row>
    <row r="287">
      <c r="A287" s="54"/>
      <c r="B287" s="54"/>
      <c r="C287" s="54"/>
      <c r="D287" s="17"/>
      <c r="E287" s="54"/>
      <c r="F287" s="54"/>
      <c r="G287" s="55"/>
    </row>
    <row r="288">
      <c r="A288" s="54"/>
      <c r="B288" s="54"/>
      <c r="C288" s="54"/>
      <c r="D288" s="17"/>
      <c r="E288" s="54"/>
      <c r="F288" s="54"/>
      <c r="G288" s="55"/>
    </row>
    <row r="289">
      <c r="A289" s="54"/>
      <c r="B289" s="54"/>
      <c r="C289" s="54"/>
      <c r="D289" s="17"/>
      <c r="E289" s="54"/>
      <c r="F289" s="54"/>
      <c r="G289" s="55"/>
    </row>
    <row r="290">
      <c r="A290" s="54"/>
      <c r="B290" s="54"/>
      <c r="C290" s="54"/>
      <c r="D290" s="17"/>
      <c r="E290" s="54"/>
      <c r="F290" s="54"/>
      <c r="G290" s="55"/>
    </row>
    <row r="291">
      <c r="A291" s="54"/>
      <c r="B291" s="54"/>
      <c r="C291" s="54"/>
      <c r="D291" s="17"/>
      <c r="E291" s="54"/>
      <c r="F291" s="54"/>
      <c r="G291" s="55"/>
    </row>
    <row r="292">
      <c r="A292" s="54"/>
      <c r="B292" s="54"/>
      <c r="C292" s="54"/>
      <c r="D292" s="17"/>
      <c r="E292" s="54"/>
      <c r="F292" s="54"/>
      <c r="G292" s="55"/>
    </row>
    <row r="293">
      <c r="A293" s="54"/>
      <c r="B293" s="54"/>
      <c r="C293" s="54"/>
      <c r="D293" s="17"/>
      <c r="E293" s="54"/>
      <c r="F293" s="54"/>
      <c r="G293" s="55"/>
    </row>
    <row r="294">
      <c r="A294" s="54"/>
      <c r="B294" s="54"/>
      <c r="C294" s="54"/>
      <c r="D294" s="17"/>
      <c r="E294" s="54"/>
      <c r="F294" s="54"/>
      <c r="G294" s="55"/>
    </row>
    <row r="295">
      <c r="A295" s="54"/>
      <c r="B295" s="54"/>
      <c r="C295" s="54"/>
      <c r="D295" s="17"/>
      <c r="E295" s="54"/>
      <c r="F295" s="54"/>
      <c r="G295" s="55"/>
    </row>
    <row r="296">
      <c r="A296" s="54"/>
      <c r="B296" s="54"/>
      <c r="C296" s="54"/>
      <c r="D296" s="17"/>
      <c r="E296" s="54"/>
      <c r="F296" s="54"/>
      <c r="G296" s="55"/>
    </row>
    <row r="297">
      <c r="A297" s="54"/>
      <c r="B297" s="54"/>
      <c r="C297" s="54"/>
      <c r="D297" s="17"/>
      <c r="E297" s="54"/>
      <c r="F297" s="54"/>
      <c r="G297" s="55"/>
    </row>
    <row r="298">
      <c r="A298" s="54"/>
      <c r="B298" s="54"/>
      <c r="C298" s="54"/>
      <c r="D298" s="17"/>
      <c r="E298" s="54"/>
      <c r="F298" s="54"/>
      <c r="G298" s="55"/>
    </row>
    <row r="299">
      <c r="A299" s="54"/>
      <c r="B299" s="54"/>
      <c r="C299" s="54"/>
      <c r="D299" s="17"/>
      <c r="E299" s="54"/>
      <c r="F299" s="54"/>
      <c r="G299" s="55"/>
    </row>
    <row r="300">
      <c r="A300" s="54"/>
      <c r="B300" s="54"/>
      <c r="C300" s="54"/>
      <c r="D300" s="17"/>
      <c r="E300" s="54"/>
      <c r="F300" s="54"/>
      <c r="G300" s="55"/>
    </row>
    <row r="301">
      <c r="A301" s="54"/>
      <c r="B301" s="54"/>
      <c r="C301" s="54"/>
      <c r="D301" s="17"/>
      <c r="E301" s="54"/>
      <c r="F301" s="54"/>
      <c r="G301" s="55"/>
    </row>
    <row r="302">
      <c r="A302" s="54"/>
      <c r="B302" s="54"/>
      <c r="C302" s="54"/>
      <c r="D302" s="17"/>
      <c r="E302" s="54"/>
      <c r="F302" s="54"/>
      <c r="G302" s="55"/>
    </row>
    <row r="303">
      <c r="A303" s="54"/>
      <c r="B303" s="54"/>
      <c r="C303" s="54"/>
      <c r="D303" s="17"/>
      <c r="E303" s="54"/>
      <c r="F303" s="54"/>
      <c r="G303" s="55"/>
    </row>
    <row r="304">
      <c r="A304" s="54"/>
      <c r="B304" s="54"/>
      <c r="C304" s="54"/>
      <c r="D304" s="17"/>
      <c r="E304" s="54"/>
      <c r="F304" s="54"/>
      <c r="G304" s="55"/>
    </row>
    <row r="305">
      <c r="A305" s="54"/>
      <c r="B305" s="54"/>
      <c r="C305" s="54"/>
      <c r="D305" s="17"/>
      <c r="E305" s="54"/>
      <c r="F305" s="54"/>
      <c r="G305" s="55"/>
    </row>
    <row r="306">
      <c r="A306" s="54"/>
      <c r="B306" s="54"/>
      <c r="C306" s="54"/>
      <c r="D306" s="17"/>
      <c r="E306" s="54"/>
      <c r="F306" s="54"/>
      <c r="G306" s="55"/>
    </row>
    <row r="307">
      <c r="A307" s="54"/>
      <c r="B307" s="54"/>
      <c r="C307" s="54"/>
      <c r="D307" s="17"/>
      <c r="E307" s="54"/>
      <c r="F307" s="54"/>
      <c r="G307" s="55"/>
    </row>
    <row r="308">
      <c r="A308" s="54"/>
      <c r="B308" s="54"/>
      <c r="C308" s="54"/>
      <c r="D308" s="17"/>
      <c r="E308" s="54"/>
      <c r="F308" s="54"/>
      <c r="G308" s="55"/>
    </row>
    <row r="309">
      <c r="A309" s="54"/>
      <c r="B309" s="54"/>
      <c r="C309" s="54"/>
      <c r="D309" s="17"/>
      <c r="E309" s="54"/>
      <c r="F309" s="54"/>
      <c r="G309" s="55"/>
    </row>
    <row r="310">
      <c r="A310" s="54"/>
      <c r="B310" s="54"/>
      <c r="C310" s="54"/>
      <c r="D310" s="17"/>
      <c r="E310" s="54"/>
      <c r="F310" s="54"/>
      <c r="G310" s="55"/>
    </row>
    <row r="311">
      <c r="A311" s="54"/>
      <c r="B311" s="54"/>
      <c r="C311" s="54"/>
      <c r="D311" s="17"/>
      <c r="E311" s="54"/>
      <c r="F311" s="54"/>
      <c r="G311" s="55"/>
    </row>
    <row r="312">
      <c r="A312" s="54"/>
      <c r="B312" s="54"/>
      <c r="C312" s="54"/>
      <c r="D312" s="17"/>
      <c r="E312" s="54"/>
      <c r="F312" s="54"/>
      <c r="G312" s="55"/>
    </row>
    <row r="313">
      <c r="A313" s="54"/>
      <c r="B313" s="54"/>
      <c r="C313" s="54"/>
      <c r="D313" s="17"/>
      <c r="E313" s="54"/>
      <c r="F313" s="54"/>
      <c r="G313" s="55"/>
    </row>
    <row r="314">
      <c r="A314" s="54"/>
      <c r="B314" s="54"/>
      <c r="C314" s="54"/>
      <c r="D314" s="17"/>
      <c r="E314" s="54"/>
      <c r="F314" s="54"/>
      <c r="G314" s="55"/>
    </row>
    <row r="315">
      <c r="A315" s="54"/>
      <c r="B315" s="54"/>
      <c r="C315" s="54"/>
      <c r="D315" s="17"/>
      <c r="E315" s="54"/>
      <c r="F315" s="54"/>
      <c r="G315" s="55"/>
    </row>
    <row r="316">
      <c r="A316" s="54"/>
      <c r="B316" s="54"/>
      <c r="C316" s="54"/>
      <c r="D316" s="17"/>
      <c r="E316" s="54"/>
      <c r="F316" s="54"/>
      <c r="G316" s="55"/>
    </row>
    <row r="317">
      <c r="A317" s="54"/>
      <c r="B317" s="54"/>
      <c r="C317" s="54"/>
      <c r="D317" s="17"/>
      <c r="E317" s="54"/>
      <c r="F317" s="54"/>
      <c r="G317" s="55"/>
    </row>
    <row r="318">
      <c r="A318" s="54"/>
      <c r="B318" s="54"/>
      <c r="C318" s="54"/>
      <c r="D318" s="17"/>
      <c r="E318" s="54"/>
      <c r="F318" s="54"/>
      <c r="G318" s="55"/>
    </row>
    <row r="319">
      <c r="A319" s="54"/>
      <c r="B319" s="54"/>
      <c r="C319" s="54"/>
      <c r="D319" s="17"/>
      <c r="E319" s="54"/>
      <c r="F319" s="54"/>
      <c r="G319" s="55"/>
    </row>
    <row r="320">
      <c r="A320" s="54"/>
      <c r="B320" s="54"/>
      <c r="C320" s="54"/>
      <c r="D320" s="17"/>
      <c r="E320" s="54"/>
      <c r="F320" s="54"/>
      <c r="G320" s="55"/>
    </row>
    <row r="321">
      <c r="A321" s="54"/>
      <c r="B321" s="54"/>
      <c r="C321" s="54"/>
      <c r="D321" s="17"/>
      <c r="E321" s="54"/>
      <c r="F321" s="54"/>
      <c r="G321" s="55"/>
    </row>
    <row r="322">
      <c r="A322" s="54"/>
      <c r="B322" s="54"/>
      <c r="C322" s="54"/>
      <c r="D322" s="17"/>
      <c r="E322" s="54"/>
      <c r="F322" s="54"/>
      <c r="G322" s="55"/>
    </row>
    <row r="323">
      <c r="A323" s="54"/>
      <c r="B323" s="54"/>
      <c r="C323" s="54"/>
      <c r="D323" s="17"/>
      <c r="E323" s="54"/>
      <c r="F323" s="54"/>
      <c r="G323" s="55"/>
    </row>
    <row r="324">
      <c r="A324" s="54"/>
      <c r="B324" s="54"/>
      <c r="C324" s="54"/>
      <c r="D324" s="17"/>
      <c r="E324" s="54"/>
      <c r="F324" s="54"/>
      <c r="G324" s="55"/>
    </row>
    <row r="325">
      <c r="A325" s="54"/>
      <c r="B325" s="54"/>
      <c r="C325" s="54"/>
      <c r="D325" s="17"/>
      <c r="E325" s="54"/>
      <c r="F325" s="54"/>
      <c r="G325" s="55"/>
    </row>
    <row r="326">
      <c r="A326" s="54"/>
      <c r="B326" s="54"/>
      <c r="C326" s="54"/>
      <c r="D326" s="17"/>
      <c r="E326" s="54"/>
      <c r="F326" s="54"/>
      <c r="G326" s="55"/>
    </row>
    <row r="327">
      <c r="A327" s="54"/>
      <c r="B327" s="54"/>
      <c r="C327" s="54"/>
      <c r="D327" s="17"/>
      <c r="E327" s="54"/>
      <c r="F327" s="54"/>
      <c r="G327" s="55"/>
    </row>
    <row r="328">
      <c r="A328" s="54"/>
      <c r="B328" s="54"/>
      <c r="C328" s="54"/>
      <c r="D328" s="17"/>
      <c r="E328" s="54"/>
      <c r="F328" s="54"/>
      <c r="G328" s="55"/>
    </row>
    <row r="329">
      <c r="A329" s="54"/>
      <c r="B329" s="54"/>
      <c r="C329" s="54"/>
      <c r="D329" s="17"/>
      <c r="E329" s="54"/>
      <c r="F329" s="54"/>
      <c r="G329" s="55"/>
    </row>
    <row r="330">
      <c r="A330" s="54"/>
      <c r="B330" s="54"/>
      <c r="C330" s="54"/>
      <c r="D330" s="17"/>
      <c r="E330" s="54"/>
      <c r="F330" s="54"/>
      <c r="G330" s="55"/>
    </row>
    <row r="331">
      <c r="A331" s="54"/>
      <c r="B331" s="54"/>
      <c r="C331" s="54"/>
      <c r="D331" s="17"/>
      <c r="E331" s="54"/>
      <c r="F331" s="54"/>
      <c r="G331" s="55"/>
    </row>
    <row r="332">
      <c r="A332" s="54"/>
      <c r="B332" s="54"/>
      <c r="C332" s="54"/>
      <c r="D332" s="17"/>
      <c r="E332" s="54"/>
      <c r="F332" s="54"/>
      <c r="G332" s="55"/>
    </row>
    <row r="333">
      <c r="A333" s="54"/>
      <c r="B333" s="54"/>
      <c r="C333" s="54"/>
      <c r="D333" s="17"/>
      <c r="E333" s="54"/>
      <c r="F333" s="54"/>
      <c r="G333" s="55"/>
    </row>
    <row r="334">
      <c r="A334" s="54"/>
      <c r="B334" s="54"/>
      <c r="C334" s="54"/>
      <c r="D334" s="17"/>
      <c r="E334" s="54"/>
      <c r="F334" s="54"/>
      <c r="G334" s="55"/>
    </row>
    <row r="335">
      <c r="A335" s="54"/>
      <c r="B335" s="54"/>
      <c r="C335" s="54"/>
      <c r="D335" s="17"/>
      <c r="E335" s="54"/>
      <c r="F335" s="54"/>
      <c r="G335" s="55"/>
    </row>
    <row r="336">
      <c r="A336" s="54"/>
      <c r="B336" s="54"/>
      <c r="C336" s="54"/>
      <c r="D336" s="17"/>
      <c r="E336" s="54"/>
      <c r="F336" s="54"/>
      <c r="G336" s="55"/>
    </row>
    <row r="337">
      <c r="A337" s="54"/>
      <c r="B337" s="54"/>
      <c r="C337" s="54"/>
      <c r="D337" s="17"/>
      <c r="E337" s="54"/>
      <c r="F337" s="54"/>
      <c r="G337" s="55"/>
    </row>
    <row r="338">
      <c r="A338" s="54"/>
      <c r="B338" s="54"/>
      <c r="C338" s="54"/>
      <c r="D338" s="17"/>
      <c r="E338" s="54"/>
      <c r="F338" s="54"/>
      <c r="G338" s="55"/>
    </row>
    <row r="339">
      <c r="A339" s="54"/>
      <c r="B339" s="54"/>
      <c r="C339" s="54"/>
      <c r="D339" s="17"/>
      <c r="E339" s="54"/>
      <c r="F339" s="54"/>
      <c r="G339" s="55"/>
    </row>
    <row r="340">
      <c r="A340" s="54"/>
      <c r="B340" s="54"/>
      <c r="C340" s="54"/>
      <c r="D340" s="17"/>
      <c r="E340" s="54"/>
      <c r="F340" s="54"/>
      <c r="G340" s="55"/>
    </row>
    <row r="341">
      <c r="A341" s="54"/>
      <c r="B341" s="54"/>
      <c r="C341" s="54"/>
      <c r="D341" s="17"/>
      <c r="E341" s="54"/>
      <c r="F341" s="54"/>
      <c r="G341" s="55"/>
    </row>
    <row r="342">
      <c r="A342" s="54"/>
      <c r="B342" s="54"/>
      <c r="C342" s="54"/>
      <c r="D342" s="17"/>
      <c r="E342" s="54"/>
      <c r="F342" s="54"/>
      <c r="G342" s="55"/>
    </row>
    <row r="343">
      <c r="A343" s="54"/>
      <c r="B343" s="54"/>
      <c r="C343" s="54"/>
      <c r="D343" s="17"/>
      <c r="E343" s="54"/>
      <c r="F343" s="54"/>
      <c r="G343" s="55"/>
    </row>
    <row r="344">
      <c r="A344" s="54"/>
      <c r="B344" s="54"/>
      <c r="C344" s="54"/>
      <c r="D344" s="17"/>
      <c r="E344" s="54"/>
      <c r="F344" s="54"/>
      <c r="G344" s="55"/>
    </row>
    <row r="345">
      <c r="A345" s="54"/>
      <c r="B345" s="54"/>
      <c r="C345" s="54"/>
      <c r="D345" s="17"/>
      <c r="E345" s="54"/>
      <c r="F345" s="54"/>
      <c r="G345" s="55"/>
    </row>
    <row r="346">
      <c r="A346" s="54"/>
      <c r="B346" s="54"/>
      <c r="C346" s="54"/>
      <c r="D346" s="17"/>
      <c r="E346" s="54"/>
      <c r="F346" s="54"/>
      <c r="G346" s="55"/>
    </row>
    <row r="347">
      <c r="A347" s="54"/>
      <c r="B347" s="54"/>
      <c r="C347" s="54"/>
      <c r="D347" s="17"/>
      <c r="E347" s="54"/>
      <c r="F347" s="54"/>
      <c r="G347" s="55"/>
    </row>
    <row r="348">
      <c r="A348" s="54"/>
      <c r="B348" s="54"/>
      <c r="C348" s="54"/>
      <c r="D348" s="17"/>
      <c r="E348" s="54"/>
      <c r="F348" s="54"/>
      <c r="G348" s="55"/>
    </row>
    <row r="349">
      <c r="A349" s="54"/>
      <c r="B349" s="54"/>
      <c r="C349" s="54"/>
      <c r="D349" s="17"/>
      <c r="E349" s="54"/>
      <c r="F349" s="54"/>
      <c r="G349" s="55"/>
    </row>
    <row r="350">
      <c r="A350" s="54"/>
      <c r="B350" s="54"/>
      <c r="C350" s="54"/>
      <c r="D350" s="17"/>
      <c r="E350" s="54"/>
      <c r="F350" s="54"/>
      <c r="G350" s="55"/>
    </row>
    <row r="351">
      <c r="A351" s="54"/>
      <c r="B351" s="54"/>
      <c r="C351" s="54"/>
      <c r="D351" s="17"/>
      <c r="E351" s="54"/>
      <c r="F351" s="54"/>
      <c r="G351" s="55"/>
    </row>
    <row r="352">
      <c r="A352" s="54"/>
      <c r="B352" s="54"/>
      <c r="C352" s="54"/>
      <c r="D352" s="17"/>
      <c r="E352" s="54"/>
      <c r="F352" s="54"/>
      <c r="G352" s="55"/>
    </row>
    <row r="353">
      <c r="A353" s="54"/>
      <c r="B353" s="54"/>
      <c r="C353" s="54"/>
      <c r="D353" s="17"/>
      <c r="E353" s="54"/>
      <c r="F353" s="54"/>
      <c r="G353" s="55"/>
    </row>
    <row r="354">
      <c r="A354" s="54"/>
      <c r="B354" s="54"/>
      <c r="C354" s="54"/>
      <c r="D354" s="17"/>
      <c r="E354" s="54"/>
      <c r="F354" s="54"/>
      <c r="G354" s="55"/>
    </row>
    <row r="355">
      <c r="A355" s="54"/>
      <c r="B355" s="54"/>
      <c r="C355" s="54"/>
      <c r="D355" s="17"/>
      <c r="E355" s="54"/>
      <c r="F355" s="54"/>
      <c r="G355" s="55"/>
    </row>
    <row r="356">
      <c r="A356" s="54"/>
      <c r="B356" s="54"/>
      <c r="C356" s="54"/>
      <c r="D356" s="17"/>
      <c r="E356" s="54"/>
      <c r="F356" s="54"/>
      <c r="G356" s="55"/>
    </row>
    <row r="357">
      <c r="A357" s="54"/>
      <c r="B357" s="54"/>
      <c r="C357" s="54"/>
      <c r="D357" s="17"/>
      <c r="E357" s="54"/>
      <c r="F357" s="54"/>
      <c r="G357" s="55"/>
    </row>
    <row r="358">
      <c r="A358" s="54"/>
      <c r="B358" s="54"/>
      <c r="C358" s="54"/>
      <c r="D358" s="17"/>
      <c r="E358" s="54"/>
      <c r="F358" s="54"/>
      <c r="G358" s="55"/>
    </row>
    <row r="359">
      <c r="A359" s="54"/>
      <c r="B359" s="54"/>
      <c r="C359" s="54"/>
      <c r="D359" s="17"/>
      <c r="E359" s="54"/>
      <c r="F359" s="54"/>
      <c r="G359" s="55"/>
    </row>
    <row r="360">
      <c r="A360" s="54"/>
      <c r="B360" s="54"/>
      <c r="C360" s="54"/>
      <c r="D360" s="17"/>
      <c r="E360" s="54"/>
      <c r="F360" s="54"/>
      <c r="G360" s="55"/>
    </row>
    <row r="361">
      <c r="A361" s="54"/>
      <c r="B361" s="54"/>
      <c r="C361" s="54"/>
      <c r="D361" s="17"/>
      <c r="E361" s="54"/>
      <c r="F361" s="54"/>
      <c r="G361" s="55"/>
    </row>
    <row r="362">
      <c r="A362" s="54"/>
      <c r="B362" s="54"/>
      <c r="C362" s="54"/>
      <c r="D362" s="17"/>
      <c r="E362" s="54"/>
      <c r="F362" s="54"/>
      <c r="G362" s="55"/>
    </row>
    <row r="363">
      <c r="A363" s="54"/>
      <c r="B363" s="54"/>
      <c r="C363" s="54"/>
      <c r="D363" s="17"/>
      <c r="E363" s="54"/>
      <c r="F363" s="54"/>
      <c r="G363" s="55"/>
    </row>
    <row r="364">
      <c r="A364" s="54"/>
      <c r="B364" s="54"/>
      <c r="C364" s="54"/>
      <c r="D364" s="17"/>
      <c r="E364" s="54"/>
      <c r="F364" s="54"/>
      <c r="G364" s="55"/>
    </row>
    <row r="365">
      <c r="A365" s="54"/>
      <c r="B365" s="54"/>
      <c r="C365" s="54"/>
      <c r="D365" s="17"/>
      <c r="E365" s="54"/>
      <c r="F365" s="54"/>
      <c r="G365" s="55"/>
    </row>
    <row r="366">
      <c r="A366" s="54"/>
      <c r="B366" s="54"/>
      <c r="C366" s="54"/>
      <c r="D366" s="17"/>
      <c r="E366" s="54"/>
      <c r="F366" s="54"/>
      <c r="G366" s="55"/>
    </row>
    <row r="367">
      <c r="A367" s="54"/>
      <c r="B367" s="54"/>
      <c r="C367" s="54"/>
      <c r="D367" s="17"/>
      <c r="E367" s="54"/>
      <c r="F367" s="54"/>
      <c r="G367" s="55"/>
    </row>
    <row r="368">
      <c r="A368" s="54"/>
      <c r="B368" s="54"/>
      <c r="C368" s="54"/>
      <c r="D368" s="17"/>
      <c r="E368" s="54"/>
      <c r="F368" s="54"/>
      <c r="G368" s="55"/>
    </row>
    <row r="369">
      <c r="A369" s="54"/>
      <c r="B369" s="54"/>
      <c r="C369" s="54"/>
      <c r="D369" s="17"/>
      <c r="E369" s="54"/>
      <c r="F369" s="54"/>
      <c r="G369" s="55"/>
    </row>
    <row r="370">
      <c r="A370" s="54"/>
      <c r="B370" s="54"/>
      <c r="C370" s="54"/>
      <c r="D370" s="17"/>
      <c r="E370" s="54"/>
      <c r="F370" s="54"/>
      <c r="G370" s="55"/>
    </row>
    <row r="371">
      <c r="A371" s="54"/>
      <c r="B371" s="54"/>
      <c r="C371" s="54"/>
      <c r="D371" s="17"/>
      <c r="E371" s="54"/>
      <c r="F371" s="54"/>
      <c r="G371" s="55"/>
    </row>
    <row r="372">
      <c r="A372" s="54"/>
      <c r="B372" s="54"/>
      <c r="C372" s="54"/>
      <c r="D372" s="17"/>
      <c r="E372" s="54"/>
      <c r="F372" s="54"/>
      <c r="G372" s="55"/>
    </row>
    <row r="373">
      <c r="A373" s="54"/>
      <c r="B373" s="54"/>
      <c r="C373" s="54"/>
      <c r="D373" s="17"/>
      <c r="E373" s="54"/>
      <c r="F373" s="54"/>
      <c r="G373" s="55"/>
    </row>
    <row r="374">
      <c r="A374" s="54"/>
      <c r="B374" s="54"/>
      <c r="C374" s="54"/>
      <c r="D374" s="17"/>
      <c r="E374" s="54"/>
      <c r="F374" s="54"/>
      <c r="G374" s="55"/>
    </row>
    <row r="375">
      <c r="A375" s="54"/>
      <c r="B375" s="54"/>
      <c r="C375" s="54"/>
      <c r="D375" s="17"/>
      <c r="E375" s="54"/>
      <c r="F375" s="54"/>
      <c r="G375" s="55"/>
    </row>
    <row r="376">
      <c r="A376" s="54"/>
      <c r="B376" s="54"/>
      <c r="C376" s="54"/>
      <c r="D376" s="17"/>
      <c r="E376" s="54"/>
      <c r="F376" s="54"/>
      <c r="G376" s="55"/>
    </row>
    <row r="377">
      <c r="A377" s="54"/>
      <c r="B377" s="54"/>
      <c r="C377" s="54"/>
      <c r="D377" s="17"/>
      <c r="E377" s="54"/>
      <c r="F377" s="54"/>
      <c r="G377" s="55"/>
    </row>
    <row r="378">
      <c r="A378" s="54"/>
      <c r="B378" s="54"/>
      <c r="C378" s="54"/>
      <c r="D378" s="17"/>
      <c r="E378" s="54"/>
      <c r="F378" s="54"/>
      <c r="G378" s="55"/>
    </row>
    <row r="379">
      <c r="A379" s="54"/>
      <c r="B379" s="54"/>
      <c r="C379" s="54"/>
      <c r="D379" s="17"/>
      <c r="E379" s="54"/>
      <c r="F379" s="54"/>
      <c r="G379" s="55"/>
    </row>
    <row r="380">
      <c r="A380" s="54"/>
      <c r="B380" s="54"/>
      <c r="C380" s="54"/>
      <c r="D380" s="17"/>
      <c r="E380" s="54"/>
      <c r="F380" s="54"/>
      <c r="G380" s="55"/>
    </row>
    <row r="381">
      <c r="A381" s="54"/>
      <c r="B381" s="54"/>
      <c r="C381" s="54"/>
      <c r="D381" s="17"/>
      <c r="E381" s="54"/>
      <c r="F381" s="54"/>
      <c r="G381" s="55"/>
    </row>
    <row r="382">
      <c r="A382" s="54"/>
      <c r="B382" s="54"/>
      <c r="C382" s="54"/>
      <c r="D382" s="17"/>
      <c r="E382" s="54"/>
      <c r="F382" s="54"/>
      <c r="G382" s="55"/>
    </row>
    <row r="383">
      <c r="A383" s="54"/>
      <c r="B383" s="54"/>
      <c r="C383" s="54"/>
      <c r="D383" s="17"/>
      <c r="E383" s="54"/>
      <c r="F383" s="54"/>
      <c r="G383" s="55"/>
    </row>
    <row r="384">
      <c r="A384" s="54"/>
      <c r="B384" s="54"/>
      <c r="C384" s="54"/>
      <c r="D384" s="17"/>
      <c r="E384" s="54"/>
      <c r="F384" s="54"/>
      <c r="G384" s="55"/>
    </row>
    <row r="385">
      <c r="A385" s="54"/>
      <c r="B385" s="54"/>
      <c r="C385" s="54"/>
      <c r="D385" s="17"/>
      <c r="E385" s="54"/>
      <c r="F385" s="54"/>
      <c r="G385" s="55"/>
    </row>
    <row r="386">
      <c r="A386" s="54"/>
      <c r="B386" s="54"/>
      <c r="C386" s="54"/>
      <c r="D386" s="17"/>
      <c r="E386" s="54"/>
      <c r="F386" s="54"/>
      <c r="G386" s="55"/>
    </row>
    <row r="387">
      <c r="A387" s="54"/>
      <c r="B387" s="54"/>
      <c r="C387" s="54"/>
      <c r="D387" s="17"/>
      <c r="E387" s="54"/>
      <c r="F387" s="54"/>
      <c r="G387" s="55"/>
    </row>
    <row r="388">
      <c r="A388" s="54"/>
      <c r="B388" s="54"/>
      <c r="C388" s="54"/>
      <c r="D388" s="17"/>
      <c r="E388" s="54"/>
      <c r="F388" s="54"/>
      <c r="G388" s="55"/>
    </row>
    <row r="389">
      <c r="A389" s="54"/>
      <c r="B389" s="54"/>
      <c r="C389" s="54"/>
      <c r="D389" s="17"/>
      <c r="E389" s="54"/>
      <c r="F389" s="54"/>
      <c r="G389" s="55"/>
    </row>
    <row r="390">
      <c r="A390" s="54"/>
      <c r="B390" s="54"/>
      <c r="C390" s="54"/>
      <c r="D390" s="17"/>
      <c r="E390" s="54"/>
      <c r="F390" s="54"/>
      <c r="G390" s="55"/>
    </row>
    <row r="391">
      <c r="A391" s="54"/>
      <c r="B391" s="54"/>
      <c r="C391" s="54"/>
      <c r="D391" s="17"/>
      <c r="E391" s="54"/>
      <c r="F391" s="54"/>
      <c r="G391" s="55"/>
    </row>
    <row r="392">
      <c r="A392" s="54"/>
      <c r="B392" s="54"/>
      <c r="C392" s="54"/>
      <c r="D392" s="17"/>
      <c r="E392" s="54"/>
      <c r="F392" s="54"/>
      <c r="G392" s="55"/>
    </row>
    <row r="393">
      <c r="A393" s="54"/>
      <c r="B393" s="54"/>
      <c r="C393" s="54"/>
      <c r="D393" s="17"/>
      <c r="E393" s="54"/>
      <c r="F393" s="54"/>
      <c r="G393" s="55"/>
    </row>
    <row r="394">
      <c r="A394" s="54"/>
      <c r="B394" s="54"/>
      <c r="C394" s="54"/>
      <c r="D394" s="17"/>
      <c r="E394" s="54"/>
      <c r="F394" s="54"/>
      <c r="G394" s="55"/>
    </row>
    <row r="395">
      <c r="A395" s="54"/>
      <c r="B395" s="54"/>
      <c r="C395" s="54"/>
      <c r="D395" s="17"/>
      <c r="E395" s="54"/>
      <c r="F395" s="54"/>
      <c r="G395" s="55"/>
    </row>
    <row r="396">
      <c r="A396" s="54"/>
      <c r="B396" s="54"/>
      <c r="C396" s="54"/>
      <c r="D396" s="17"/>
      <c r="E396" s="54"/>
      <c r="F396" s="54"/>
      <c r="G396" s="55"/>
    </row>
    <row r="397">
      <c r="A397" s="54"/>
      <c r="B397" s="54"/>
      <c r="C397" s="54"/>
      <c r="D397" s="17"/>
      <c r="E397" s="54"/>
      <c r="F397" s="54"/>
      <c r="G397" s="55"/>
    </row>
    <row r="398">
      <c r="A398" s="54"/>
      <c r="B398" s="54"/>
      <c r="C398" s="54"/>
      <c r="D398" s="17"/>
      <c r="E398" s="54"/>
      <c r="F398" s="54"/>
      <c r="G398" s="55"/>
    </row>
    <row r="399">
      <c r="A399" s="54"/>
      <c r="B399" s="54"/>
      <c r="C399" s="54"/>
      <c r="D399" s="17"/>
      <c r="E399" s="54"/>
      <c r="F399" s="54"/>
      <c r="G399" s="55"/>
    </row>
    <row r="400">
      <c r="A400" s="54"/>
      <c r="B400" s="54"/>
      <c r="C400" s="54"/>
      <c r="D400" s="17"/>
      <c r="E400" s="54"/>
      <c r="F400" s="54"/>
      <c r="G400" s="55"/>
    </row>
    <row r="401">
      <c r="A401" s="54"/>
      <c r="B401" s="54"/>
      <c r="C401" s="54"/>
      <c r="D401" s="17"/>
      <c r="E401" s="54"/>
      <c r="F401" s="54"/>
      <c r="G401" s="55"/>
    </row>
    <row r="402">
      <c r="A402" s="54"/>
      <c r="B402" s="54"/>
      <c r="C402" s="54"/>
      <c r="D402" s="17"/>
      <c r="E402" s="54"/>
      <c r="F402" s="54"/>
      <c r="G402" s="55"/>
    </row>
    <row r="403">
      <c r="A403" s="54"/>
      <c r="B403" s="54"/>
      <c r="C403" s="54"/>
      <c r="D403" s="17"/>
      <c r="E403" s="54"/>
      <c r="F403" s="54"/>
      <c r="G403" s="55"/>
    </row>
    <row r="404">
      <c r="A404" s="54"/>
      <c r="B404" s="54"/>
      <c r="C404" s="54"/>
      <c r="D404" s="17"/>
      <c r="E404" s="54"/>
      <c r="F404" s="54"/>
      <c r="G404" s="55"/>
    </row>
    <row r="405">
      <c r="A405" s="54"/>
      <c r="B405" s="54"/>
      <c r="C405" s="54"/>
      <c r="D405" s="17"/>
      <c r="E405" s="54"/>
      <c r="F405" s="54"/>
      <c r="G405" s="55"/>
    </row>
    <row r="406">
      <c r="A406" s="54"/>
      <c r="B406" s="54"/>
      <c r="C406" s="54"/>
      <c r="D406" s="17"/>
      <c r="E406" s="54"/>
      <c r="F406" s="54"/>
      <c r="G406" s="55"/>
    </row>
    <row r="407">
      <c r="A407" s="54"/>
      <c r="B407" s="54"/>
      <c r="C407" s="54"/>
      <c r="D407" s="17"/>
      <c r="E407" s="54"/>
      <c r="F407" s="54"/>
      <c r="G407" s="55"/>
    </row>
    <row r="408">
      <c r="A408" s="54"/>
      <c r="B408" s="54"/>
      <c r="C408" s="54"/>
      <c r="D408" s="17"/>
      <c r="E408" s="54"/>
      <c r="F408" s="54"/>
      <c r="G408" s="55"/>
    </row>
    <row r="409">
      <c r="A409" s="54"/>
      <c r="B409" s="54"/>
      <c r="C409" s="54"/>
      <c r="D409" s="17"/>
      <c r="E409" s="54"/>
      <c r="F409" s="54"/>
      <c r="G409" s="55"/>
    </row>
    <row r="410">
      <c r="A410" s="54"/>
      <c r="B410" s="54"/>
      <c r="C410" s="54"/>
      <c r="D410" s="17"/>
      <c r="E410" s="54"/>
      <c r="F410" s="54"/>
      <c r="G410" s="55"/>
    </row>
    <row r="411">
      <c r="A411" s="54"/>
      <c r="B411" s="54"/>
      <c r="C411" s="54"/>
      <c r="D411" s="17"/>
      <c r="E411" s="54"/>
      <c r="F411" s="54"/>
      <c r="G411" s="55"/>
    </row>
    <row r="412">
      <c r="A412" s="54"/>
      <c r="B412" s="54"/>
      <c r="C412" s="54"/>
      <c r="D412" s="17"/>
      <c r="E412" s="54"/>
      <c r="F412" s="54"/>
      <c r="G412" s="55"/>
    </row>
    <row r="413">
      <c r="A413" s="54"/>
      <c r="B413" s="54"/>
      <c r="C413" s="54"/>
      <c r="D413" s="17"/>
      <c r="E413" s="54"/>
      <c r="F413" s="54"/>
      <c r="G413" s="55"/>
    </row>
    <row r="414">
      <c r="A414" s="54"/>
      <c r="B414" s="54"/>
      <c r="C414" s="54"/>
      <c r="D414" s="17"/>
      <c r="E414" s="54"/>
      <c r="F414" s="54"/>
      <c r="G414" s="55"/>
    </row>
    <row r="415">
      <c r="A415" s="54"/>
      <c r="B415" s="54"/>
      <c r="C415" s="54"/>
      <c r="D415" s="17"/>
      <c r="E415" s="54"/>
      <c r="F415" s="54"/>
      <c r="G415" s="55"/>
    </row>
    <row r="416">
      <c r="A416" s="54"/>
      <c r="B416" s="54"/>
      <c r="C416" s="54"/>
      <c r="D416" s="17"/>
      <c r="E416" s="54"/>
      <c r="F416" s="54"/>
      <c r="G416" s="55"/>
    </row>
    <row r="417">
      <c r="A417" s="54"/>
      <c r="B417" s="54"/>
      <c r="C417" s="54"/>
      <c r="D417" s="17"/>
      <c r="E417" s="54"/>
      <c r="F417" s="54"/>
      <c r="G417" s="55"/>
    </row>
    <row r="418">
      <c r="A418" s="54"/>
      <c r="B418" s="54"/>
      <c r="C418" s="54"/>
      <c r="D418" s="17"/>
      <c r="E418" s="54"/>
      <c r="F418" s="54"/>
      <c r="G418" s="55"/>
    </row>
    <row r="419">
      <c r="A419" s="54"/>
      <c r="B419" s="54"/>
      <c r="C419" s="54"/>
      <c r="D419" s="17"/>
      <c r="E419" s="54"/>
      <c r="F419" s="54"/>
      <c r="G419" s="55"/>
    </row>
    <row r="420">
      <c r="A420" s="54"/>
      <c r="B420" s="54"/>
      <c r="C420" s="54"/>
      <c r="D420" s="17"/>
      <c r="E420" s="54"/>
      <c r="F420" s="54"/>
      <c r="G420" s="55"/>
    </row>
    <row r="421">
      <c r="A421" s="54"/>
      <c r="B421" s="54"/>
      <c r="C421" s="54"/>
      <c r="D421" s="17"/>
      <c r="E421" s="54"/>
      <c r="F421" s="54"/>
      <c r="G421" s="55"/>
    </row>
    <row r="422">
      <c r="A422" s="54"/>
      <c r="B422" s="54"/>
      <c r="C422" s="54"/>
      <c r="D422" s="17"/>
      <c r="E422" s="54"/>
      <c r="F422" s="54"/>
      <c r="G422" s="55"/>
    </row>
    <row r="423">
      <c r="A423" s="54"/>
      <c r="B423" s="54"/>
      <c r="C423" s="54"/>
      <c r="D423" s="17"/>
      <c r="E423" s="54"/>
      <c r="F423" s="54"/>
      <c r="G423" s="55"/>
    </row>
    <row r="424">
      <c r="A424" s="54"/>
      <c r="B424" s="54"/>
      <c r="C424" s="54"/>
      <c r="D424" s="17"/>
      <c r="E424" s="54"/>
      <c r="F424" s="54"/>
      <c r="G424" s="55"/>
    </row>
    <row r="425">
      <c r="A425" s="54"/>
      <c r="B425" s="54"/>
      <c r="C425" s="54"/>
      <c r="D425" s="17"/>
      <c r="E425" s="54"/>
      <c r="F425" s="54"/>
      <c r="G425" s="55"/>
    </row>
    <row r="426">
      <c r="A426" s="54"/>
      <c r="B426" s="54"/>
      <c r="C426" s="54"/>
      <c r="D426" s="17"/>
      <c r="E426" s="54"/>
      <c r="F426" s="54"/>
      <c r="G426" s="55"/>
    </row>
    <row r="427">
      <c r="A427" s="54"/>
      <c r="B427" s="54"/>
      <c r="C427" s="54"/>
      <c r="D427" s="17"/>
      <c r="E427" s="54"/>
      <c r="F427" s="54"/>
      <c r="G427" s="55"/>
    </row>
    <row r="428">
      <c r="A428" s="54"/>
      <c r="B428" s="54"/>
      <c r="C428" s="54"/>
      <c r="D428" s="17"/>
      <c r="E428" s="54"/>
      <c r="F428" s="54"/>
      <c r="G428" s="55"/>
    </row>
    <row r="429">
      <c r="A429" s="54"/>
      <c r="B429" s="54"/>
      <c r="C429" s="54"/>
      <c r="D429" s="17"/>
      <c r="E429" s="54"/>
      <c r="F429" s="54"/>
      <c r="G429" s="55"/>
    </row>
    <row r="430">
      <c r="A430" s="54"/>
      <c r="B430" s="54"/>
      <c r="C430" s="54"/>
      <c r="D430" s="17"/>
      <c r="E430" s="54"/>
      <c r="F430" s="54"/>
      <c r="G430" s="55"/>
    </row>
    <row r="431">
      <c r="A431" s="54"/>
      <c r="B431" s="54"/>
      <c r="C431" s="54"/>
      <c r="D431" s="17"/>
      <c r="E431" s="54"/>
      <c r="F431" s="54"/>
      <c r="G431" s="55"/>
    </row>
    <row r="432">
      <c r="A432" s="54"/>
      <c r="B432" s="54"/>
      <c r="C432" s="54"/>
      <c r="D432" s="17"/>
      <c r="E432" s="54"/>
      <c r="F432" s="54"/>
      <c r="G432" s="55"/>
    </row>
    <row r="433">
      <c r="A433" s="54"/>
      <c r="B433" s="54"/>
      <c r="C433" s="54"/>
      <c r="D433" s="17"/>
      <c r="E433" s="54"/>
      <c r="F433" s="54"/>
      <c r="G433" s="55"/>
    </row>
    <row r="434">
      <c r="A434" s="54"/>
      <c r="B434" s="54"/>
      <c r="C434" s="54"/>
      <c r="D434" s="17"/>
      <c r="E434" s="54"/>
      <c r="F434" s="54"/>
      <c r="G434" s="55"/>
    </row>
    <row r="435">
      <c r="A435" s="54"/>
      <c r="B435" s="54"/>
      <c r="C435" s="54"/>
      <c r="D435" s="17"/>
      <c r="E435" s="54"/>
      <c r="F435" s="54"/>
      <c r="G435" s="55"/>
    </row>
    <row r="436">
      <c r="A436" s="54"/>
      <c r="B436" s="54"/>
      <c r="C436" s="54"/>
      <c r="D436" s="17"/>
      <c r="E436" s="54"/>
      <c r="F436" s="54"/>
      <c r="G436" s="55"/>
    </row>
    <row r="437">
      <c r="A437" s="54"/>
      <c r="B437" s="54"/>
      <c r="C437" s="54"/>
      <c r="D437" s="17"/>
      <c r="E437" s="54"/>
      <c r="F437" s="54"/>
      <c r="G437" s="55"/>
    </row>
    <row r="438">
      <c r="A438" s="54"/>
      <c r="B438" s="54"/>
      <c r="C438" s="54"/>
      <c r="D438" s="17"/>
      <c r="E438" s="54"/>
      <c r="F438" s="54"/>
      <c r="G438" s="55"/>
    </row>
    <row r="439">
      <c r="A439" s="54"/>
      <c r="B439" s="54"/>
      <c r="C439" s="54"/>
      <c r="D439" s="17"/>
      <c r="E439" s="54"/>
      <c r="F439" s="54"/>
      <c r="G439" s="55"/>
    </row>
    <row r="440">
      <c r="A440" s="54"/>
      <c r="B440" s="54"/>
      <c r="C440" s="54"/>
      <c r="D440" s="17"/>
      <c r="E440" s="54"/>
      <c r="F440" s="54"/>
      <c r="G440" s="55"/>
    </row>
    <row r="441">
      <c r="A441" s="54"/>
      <c r="B441" s="54"/>
      <c r="C441" s="54"/>
      <c r="D441" s="17"/>
      <c r="E441" s="54"/>
      <c r="F441" s="54"/>
      <c r="G441" s="55"/>
    </row>
    <row r="442">
      <c r="A442" s="54"/>
      <c r="B442" s="54"/>
      <c r="C442" s="54"/>
      <c r="D442" s="17"/>
      <c r="E442" s="54"/>
      <c r="F442" s="54"/>
      <c r="G442" s="55"/>
    </row>
    <row r="443">
      <c r="A443" s="54"/>
      <c r="B443" s="54"/>
      <c r="C443" s="54"/>
      <c r="D443" s="17"/>
      <c r="E443" s="54"/>
      <c r="F443" s="54"/>
      <c r="G443" s="55"/>
    </row>
    <row r="444">
      <c r="A444" s="54"/>
      <c r="B444" s="54"/>
      <c r="C444" s="54"/>
      <c r="D444" s="17"/>
      <c r="E444" s="54"/>
      <c r="F444" s="54"/>
      <c r="G444" s="55"/>
    </row>
    <row r="445">
      <c r="A445" s="54"/>
      <c r="B445" s="54"/>
      <c r="C445" s="54"/>
      <c r="D445" s="17"/>
      <c r="E445" s="54"/>
      <c r="F445" s="54"/>
      <c r="G445" s="55"/>
    </row>
    <row r="446">
      <c r="A446" s="54"/>
      <c r="B446" s="54"/>
      <c r="C446" s="54"/>
      <c r="D446" s="17"/>
      <c r="E446" s="54"/>
      <c r="F446" s="54"/>
      <c r="G446" s="55"/>
    </row>
    <row r="447">
      <c r="A447" s="54"/>
      <c r="B447" s="54"/>
      <c r="C447" s="54"/>
      <c r="D447" s="17"/>
      <c r="E447" s="54"/>
      <c r="F447" s="54"/>
      <c r="G447" s="55"/>
    </row>
    <row r="448">
      <c r="A448" s="54"/>
      <c r="B448" s="54"/>
      <c r="C448" s="54"/>
      <c r="D448" s="17"/>
      <c r="E448" s="54"/>
      <c r="F448" s="54"/>
      <c r="G448" s="55"/>
    </row>
    <row r="449">
      <c r="A449" s="54"/>
      <c r="B449" s="54"/>
      <c r="C449" s="54"/>
      <c r="D449" s="17"/>
      <c r="E449" s="54"/>
      <c r="F449" s="54"/>
      <c r="G449" s="55"/>
    </row>
    <row r="450">
      <c r="A450" s="54"/>
      <c r="B450" s="54"/>
      <c r="C450" s="54"/>
      <c r="D450" s="17"/>
      <c r="E450" s="54"/>
      <c r="F450" s="54"/>
      <c r="G450" s="55"/>
    </row>
    <row r="451">
      <c r="A451" s="54"/>
      <c r="B451" s="54"/>
      <c r="C451" s="54"/>
      <c r="D451" s="17"/>
      <c r="E451" s="54"/>
      <c r="F451" s="54"/>
      <c r="G451" s="55"/>
    </row>
    <row r="452">
      <c r="A452" s="54"/>
      <c r="B452" s="54"/>
      <c r="C452" s="54"/>
      <c r="D452" s="17"/>
      <c r="E452" s="54"/>
      <c r="F452" s="54"/>
      <c r="G452" s="55"/>
    </row>
    <row r="453">
      <c r="A453" s="54"/>
      <c r="B453" s="54"/>
      <c r="C453" s="54"/>
      <c r="D453" s="17"/>
      <c r="E453" s="54"/>
      <c r="F453" s="54"/>
      <c r="G453" s="55"/>
    </row>
    <row r="454">
      <c r="A454" s="54"/>
      <c r="B454" s="54"/>
      <c r="C454" s="54"/>
      <c r="D454" s="17"/>
      <c r="E454" s="54"/>
      <c r="F454" s="54"/>
      <c r="G454" s="55"/>
    </row>
    <row r="455">
      <c r="A455" s="54"/>
      <c r="B455" s="54"/>
      <c r="C455" s="54"/>
      <c r="D455" s="17"/>
      <c r="E455" s="54"/>
      <c r="F455" s="54"/>
      <c r="G455" s="55"/>
    </row>
    <row r="456">
      <c r="A456" s="54"/>
      <c r="B456" s="54"/>
      <c r="C456" s="54"/>
      <c r="D456" s="17"/>
      <c r="E456" s="54"/>
      <c r="F456" s="54"/>
      <c r="G456" s="55"/>
    </row>
    <row r="457">
      <c r="A457" s="54"/>
      <c r="B457" s="54"/>
      <c r="C457" s="54"/>
      <c r="D457" s="17"/>
      <c r="E457" s="54"/>
      <c r="F457" s="54"/>
      <c r="G457" s="55"/>
    </row>
    <row r="458">
      <c r="A458" s="54"/>
      <c r="B458" s="54"/>
      <c r="C458" s="54"/>
      <c r="D458" s="17"/>
      <c r="E458" s="54"/>
      <c r="F458" s="54"/>
      <c r="G458" s="55"/>
    </row>
    <row r="459">
      <c r="A459" s="54"/>
      <c r="B459" s="54"/>
      <c r="C459" s="54"/>
      <c r="D459" s="17"/>
      <c r="E459" s="54"/>
      <c r="F459" s="54"/>
      <c r="G459" s="55"/>
    </row>
    <row r="460">
      <c r="A460" s="54"/>
      <c r="B460" s="54"/>
      <c r="C460" s="54"/>
      <c r="D460" s="17"/>
      <c r="E460" s="54"/>
      <c r="F460" s="54"/>
      <c r="G460" s="55"/>
    </row>
    <row r="461">
      <c r="A461" s="54"/>
      <c r="B461" s="54"/>
      <c r="C461" s="54"/>
      <c r="D461" s="17"/>
      <c r="E461" s="54"/>
      <c r="F461" s="54"/>
      <c r="G461" s="55"/>
    </row>
    <row r="462">
      <c r="A462" s="54"/>
      <c r="B462" s="54"/>
      <c r="C462" s="54"/>
      <c r="D462" s="17"/>
      <c r="E462" s="54"/>
      <c r="F462" s="54"/>
      <c r="G462" s="55"/>
    </row>
    <row r="463">
      <c r="A463" s="54"/>
      <c r="B463" s="54"/>
      <c r="C463" s="54"/>
      <c r="D463" s="17"/>
      <c r="E463" s="54"/>
      <c r="F463" s="54"/>
      <c r="G463" s="55"/>
    </row>
    <row r="464">
      <c r="A464" s="54"/>
      <c r="B464" s="54"/>
      <c r="C464" s="54"/>
      <c r="D464" s="17"/>
      <c r="E464" s="54"/>
      <c r="F464" s="54"/>
      <c r="G464" s="55"/>
    </row>
    <row r="465">
      <c r="A465" s="54"/>
      <c r="B465" s="54"/>
      <c r="C465" s="54"/>
      <c r="D465" s="17"/>
      <c r="E465" s="54"/>
      <c r="F465" s="54"/>
      <c r="G465" s="55"/>
    </row>
    <row r="466">
      <c r="A466" s="54"/>
      <c r="B466" s="54"/>
      <c r="C466" s="54"/>
      <c r="D466" s="17"/>
      <c r="E466" s="54"/>
      <c r="F466" s="54"/>
      <c r="G466" s="55"/>
    </row>
    <row r="467">
      <c r="A467" s="54"/>
      <c r="B467" s="54"/>
      <c r="C467" s="54"/>
      <c r="D467" s="17"/>
      <c r="E467" s="54"/>
      <c r="F467" s="54"/>
      <c r="G467" s="55"/>
    </row>
    <row r="468">
      <c r="A468" s="54"/>
      <c r="B468" s="54"/>
      <c r="C468" s="54"/>
      <c r="D468" s="17"/>
      <c r="E468" s="54"/>
      <c r="F468" s="54"/>
      <c r="G468" s="55"/>
    </row>
    <row r="469">
      <c r="A469" s="54"/>
      <c r="B469" s="54"/>
      <c r="C469" s="54"/>
      <c r="D469" s="17"/>
      <c r="E469" s="54"/>
      <c r="F469" s="54"/>
      <c r="G469" s="55"/>
    </row>
    <row r="470">
      <c r="A470" s="54"/>
      <c r="B470" s="54"/>
      <c r="C470" s="54"/>
      <c r="D470" s="17"/>
      <c r="E470" s="54"/>
      <c r="F470" s="54"/>
      <c r="G470" s="55"/>
    </row>
    <row r="471">
      <c r="A471" s="54"/>
      <c r="B471" s="54"/>
      <c r="C471" s="54"/>
      <c r="D471" s="17"/>
      <c r="E471" s="54"/>
      <c r="F471" s="54"/>
      <c r="G471" s="55"/>
    </row>
    <row r="472">
      <c r="A472" s="54"/>
      <c r="B472" s="54"/>
      <c r="C472" s="54"/>
      <c r="D472" s="17"/>
      <c r="E472" s="54"/>
      <c r="F472" s="54"/>
      <c r="G472" s="55"/>
    </row>
    <row r="473">
      <c r="A473" s="54"/>
      <c r="B473" s="54"/>
      <c r="C473" s="54"/>
      <c r="D473" s="17"/>
      <c r="E473" s="54"/>
      <c r="F473" s="54"/>
      <c r="G473" s="55"/>
    </row>
    <row r="474">
      <c r="A474" s="54"/>
      <c r="B474" s="54"/>
      <c r="C474" s="54"/>
      <c r="D474" s="17"/>
      <c r="E474" s="54"/>
      <c r="F474" s="54"/>
      <c r="G474" s="55"/>
    </row>
    <row r="475">
      <c r="A475" s="54"/>
      <c r="B475" s="54"/>
      <c r="C475" s="54"/>
      <c r="D475" s="17"/>
      <c r="E475" s="54"/>
      <c r="F475" s="54"/>
      <c r="G475" s="55"/>
    </row>
    <row r="476">
      <c r="A476" s="54"/>
      <c r="B476" s="54"/>
      <c r="C476" s="54"/>
      <c r="D476" s="17"/>
      <c r="E476" s="54"/>
      <c r="F476" s="54"/>
      <c r="G476" s="55"/>
    </row>
    <row r="477">
      <c r="A477" s="54"/>
      <c r="B477" s="54"/>
      <c r="C477" s="54"/>
      <c r="D477" s="17"/>
      <c r="E477" s="54"/>
      <c r="F477" s="54"/>
      <c r="G477" s="55"/>
    </row>
    <row r="478">
      <c r="A478" s="54"/>
      <c r="B478" s="54"/>
      <c r="C478" s="54"/>
      <c r="D478" s="17"/>
      <c r="E478" s="54"/>
      <c r="F478" s="54"/>
      <c r="G478" s="55"/>
    </row>
    <row r="479">
      <c r="A479" s="54"/>
      <c r="B479" s="54"/>
      <c r="C479" s="54"/>
      <c r="D479" s="17"/>
      <c r="E479" s="54"/>
      <c r="F479" s="54"/>
      <c r="G479" s="55"/>
    </row>
    <row r="480">
      <c r="A480" s="54"/>
      <c r="B480" s="54"/>
      <c r="C480" s="54"/>
      <c r="D480" s="17"/>
      <c r="E480" s="54"/>
      <c r="F480" s="54"/>
      <c r="G480" s="55"/>
    </row>
    <row r="481">
      <c r="A481" s="54"/>
      <c r="B481" s="54"/>
      <c r="C481" s="54"/>
      <c r="D481" s="17"/>
      <c r="E481" s="54"/>
      <c r="F481" s="54"/>
      <c r="G481" s="55"/>
    </row>
    <row r="482">
      <c r="A482" s="54"/>
      <c r="B482" s="54"/>
      <c r="C482" s="54"/>
      <c r="D482" s="17"/>
      <c r="E482" s="54"/>
      <c r="F482" s="54"/>
      <c r="G482" s="55"/>
    </row>
    <row r="483">
      <c r="A483" s="54"/>
      <c r="B483" s="54"/>
      <c r="C483" s="54"/>
      <c r="D483" s="17"/>
      <c r="E483" s="54"/>
      <c r="F483" s="54"/>
      <c r="G483" s="55"/>
    </row>
    <row r="484">
      <c r="A484" s="54"/>
      <c r="B484" s="54"/>
      <c r="C484" s="54"/>
      <c r="D484" s="17"/>
      <c r="E484" s="54"/>
      <c r="F484" s="54"/>
      <c r="G484" s="55"/>
    </row>
    <row r="485">
      <c r="A485" s="54"/>
      <c r="B485" s="54"/>
      <c r="C485" s="54"/>
      <c r="D485" s="17"/>
      <c r="E485" s="54"/>
      <c r="F485" s="54"/>
      <c r="G485" s="55"/>
    </row>
    <row r="486">
      <c r="A486" s="54"/>
      <c r="B486" s="54"/>
      <c r="C486" s="54"/>
      <c r="D486" s="17"/>
      <c r="E486" s="54"/>
      <c r="F486" s="54"/>
      <c r="G486" s="55"/>
    </row>
    <row r="487">
      <c r="A487" s="54"/>
      <c r="B487" s="54"/>
      <c r="C487" s="54"/>
      <c r="D487" s="17"/>
      <c r="E487" s="54"/>
      <c r="F487" s="54"/>
      <c r="G487" s="55"/>
    </row>
    <row r="488">
      <c r="A488" s="54"/>
      <c r="B488" s="54"/>
      <c r="C488" s="54"/>
      <c r="D488" s="17"/>
      <c r="E488" s="54"/>
      <c r="F488" s="54"/>
      <c r="G488" s="55"/>
    </row>
    <row r="489">
      <c r="A489" s="54"/>
      <c r="B489" s="54"/>
      <c r="C489" s="54"/>
      <c r="D489" s="17"/>
      <c r="E489" s="54"/>
      <c r="F489" s="54"/>
      <c r="G489" s="55"/>
    </row>
    <row r="490">
      <c r="A490" s="54"/>
      <c r="B490" s="54"/>
      <c r="C490" s="54"/>
      <c r="D490" s="17"/>
      <c r="E490" s="54"/>
      <c r="F490" s="54"/>
      <c r="G490" s="55"/>
    </row>
    <row r="491">
      <c r="A491" s="54"/>
      <c r="B491" s="54"/>
      <c r="C491" s="54"/>
      <c r="D491" s="17"/>
      <c r="E491" s="54"/>
      <c r="F491" s="54"/>
      <c r="G491" s="55"/>
    </row>
    <row r="492">
      <c r="A492" s="54"/>
      <c r="B492" s="54"/>
      <c r="C492" s="54"/>
      <c r="D492" s="17"/>
      <c r="E492" s="54"/>
      <c r="F492" s="54"/>
      <c r="G492" s="55"/>
    </row>
    <row r="493">
      <c r="A493" s="54"/>
      <c r="B493" s="54"/>
      <c r="C493" s="54"/>
      <c r="D493" s="17"/>
      <c r="E493" s="54"/>
      <c r="F493" s="54"/>
      <c r="G493" s="55"/>
    </row>
    <row r="494">
      <c r="A494" s="54"/>
      <c r="B494" s="54"/>
      <c r="C494" s="54"/>
      <c r="D494" s="17"/>
      <c r="E494" s="54"/>
      <c r="F494" s="54"/>
      <c r="G494" s="55"/>
    </row>
    <row r="495">
      <c r="A495" s="54"/>
      <c r="B495" s="54"/>
      <c r="C495" s="54"/>
      <c r="D495" s="17"/>
      <c r="E495" s="54"/>
      <c r="F495" s="54"/>
      <c r="G495" s="55"/>
    </row>
    <row r="496">
      <c r="A496" s="54"/>
      <c r="B496" s="54"/>
      <c r="C496" s="54"/>
      <c r="D496" s="17"/>
      <c r="E496" s="54"/>
      <c r="F496" s="54"/>
      <c r="G496" s="55"/>
    </row>
    <row r="497">
      <c r="A497" s="54"/>
      <c r="B497" s="54"/>
      <c r="C497" s="54"/>
      <c r="D497" s="17"/>
      <c r="E497" s="54"/>
      <c r="F497" s="54"/>
      <c r="G497" s="55"/>
    </row>
    <row r="498">
      <c r="A498" s="54"/>
      <c r="B498" s="54"/>
      <c r="C498" s="54"/>
      <c r="D498" s="17"/>
      <c r="E498" s="54"/>
      <c r="F498" s="54"/>
      <c r="G498" s="55"/>
    </row>
    <row r="499">
      <c r="A499" s="54"/>
      <c r="B499" s="54"/>
      <c r="C499" s="54"/>
      <c r="D499" s="17"/>
      <c r="E499" s="54"/>
      <c r="F499" s="54"/>
      <c r="G499" s="55"/>
    </row>
    <row r="500">
      <c r="A500" s="54"/>
      <c r="B500" s="54"/>
      <c r="C500" s="54"/>
      <c r="D500" s="17"/>
      <c r="E500" s="54"/>
      <c r="F500" s="54"/>
      <c r="G500" s="55"/>
    </row>
    <row r="501">
      <c r="A501" s="54"/>
      <c r="B501" s="54"/>
      <c r="C501" s="54"/>
      <c r="D501" s="17"/>
      <c r="E501" s="54"/>
      <c r="F501" s="54"/>
      <c r="G501" s="55"/>
    </row>
    <row r="502">
      <c r="A502" s="54"/>
      <c r="B502" s="54"/>
      <c r="C502" s="54"/>
      <c r="D502" s="17"/>
      <c r="E502" s="54"/>
      <c r="F502" s="54"/>
      <c r="G502" s="55"/>
    </row>
    <row r="503">
      <c r="A503" s="54"/>
      <c r="B503" s="54"/>
      <c r="C503" s="54"/>
      <c r="D503" s="17"/>
      <c r="E503" s="54"/>
      <c r="F503" s="54"/>
      <c r="G503" s="55"/>
    </row>
    <row r="504">
      <c r="A504" s="54"/>
      <c r="B504" s="54"/>
      <c r="C504" s="54"/>
      <c r="D504" s="17"/>
      <c r="E504" s="54"/>
      <c r="F504" s="54"/>
      <c r="G504" s="55"/>
    </row>
    <row r="505">
      <c r="A505" s="54"/>
      <c r="B505" s="54"/>
      <c r="C505" s="54"/>
      <c r="D505" s="17"/>
      <c r="E505" s="54"/>
      <c r="F505" s="54"/>
      <c r="G505" s="55"/>
    </row>
    <row r="506">
      <c r="A506" s="54"/>
      <c r="B506" s="54"/>
      <c r="C506" s="54"/>
      <c r="D506" s="17"/>
      <c r="E506" s="54"/>
      <c r="F506" s="54"/>
      <c r="G506" s="55"/>
    </row>
    <row r="507">
      <c r="A507" s="54"/>
      <c r="B507" s="54"/>
      <c r="C507" s="54"/>
      <c r="D507" s="17"/>
      <c r="E507" s="54"/>
      <c r="F507" s="54"/>
      <c r="G507" s="55"/>
    </row>
    <row r="508">
      <c r="A508" s="54"/>
      <c r="B508" s="54"/>
      <c r="C508" s="54"/>
      <c r="D508" s="17"/>
      <c r="E508" s="54"/>
      <c r="F508" s="54"/>
      <c r="G508" s="55"/>
    </row>
    <row r="509">
      <c r="A509" s="54"/>
      <c r="B509" s="54"/>
      <c r="C509" s="54"/>
      <c r="D509" s="17"/>
      <c r="E509" s="54"/>
      <c r="F509" s="54"/>
      <c r="G509" s="55"/>
    </row>
    <row r="510">
      <c r="A510" s="54"/>
      <c r="B510" s="54"/>
      <c r="C510" s="54"/>
      <c r="D510" s="17"/>
      <c r="E510" s="54"/>
      <c r="F510" s="54"/>
      <c r="G510" s="55"/>
    </row>
    <row r="511">
      <c r="A511" s="54"/>
      <c r="B511" s="54"/>
      <c r="C511" s="54"/>
      <c r="D511" s="17"/>
      <c r="E511" s="54"/>
      <c r="F511" s="54"/>
      <c r="G511" s="55"/>
    </row>
    <row r="512">
      <c r="A512" s="54"/>
      <c r="B512" s="54"/>
      <c r="C512" s="54"/>
      <c r="D512" s="17"/>
      <c r="E512" s="54"/>
      <c r="F512" s="54"/>
      <c r="G512" s="55"/>
    </row>
    <row r="513">
      <c r="A513" s="54"/>
      <c r="B513" s="54"/>
      <c r="C513" s="54"/>
      <c r="D513" s="17"/>
      <c r="E513" s="54"/>
      <c r="F513" s="54"/>
      <c r="G513" s="55"/>
    </row>
    <row r="514">
      <c r="A514" s="54"/>
      <c r="B514" s="54"/>
      <c r="C514" s="54"/>
      <c r="D514" s="17"/>
      <c r="E514" s="54"/>
      <c r="F514" s="54"/>
      <c r="G514" s="55"/>
    </row>
    <row r="515">
      <c r="A515" s="54"/>
      <c r="B515" s="54"/>
      <c r="C515" s="54"/>
      <c r="D515" s="17"/>
      <c r="E515" s="54"/>
      <c r="F515" s="54"/>
      <c r="G515" s="55"/>
    </row>
    <row r="516">
      <c r="A516" s="54"/>
      <c r="B516" s="54"/>
      <c r="C516" s="54"/>
      <c r="D516" s="17"/>
      <c r="E516" s="54"/>
      <c r="F516" s="54"/>
      <c r="G516" s="55"/>
    </row>
    <row r="517">
      <c r="A517" s="54"/>
      <c r="B517" s="54"/>
      <c r="C517" s="54"/>
      <c r="D517" s="17"/>
      <c r="E517" s="54"/>
      <c r="F517" s="54"/>
      <c r="G517" s="55"/>
    </row>
    <row r="518">
      <c r="A518" s="54"/>
      <c r="B518" s="54"/>
      <c r="C518" s="54"/>
      <c r="D518" s="17"/>
      <c r="E518" s="54"/>
      <c r="F518" s="54"/>
      <c r="G518" s="55"/>
    </row>
    <row r="519">
      <c r="A519" s="54"/>
      <c r="B519" s="54"/>
      <c r="C519" s="54"/>
      <c r="D519" s="17"/>
      <c r="E519" s="54"/>
      <c r="F519" s="54"/>
      <c r="G519" s="55"/>
    </row>
    <row r="520">
      <c r="A520" s="54"/>
      <c r="B520" s="54"/>
      <c r="C520" s="54"/>
      <c r="D520" s="17"/>
      <c r="E520" s="54"/>
      <c r="F520" s="54"/>
      <c r="G520" s="55"/>
    </row>
    <row r="521">
      <c r="A521" s="54"/>
      <c r="B521" s="54"/>
      <c r="C521" s="54"/>
      <c r="D521" s="17"/>
      <c r="E521" s="54"/>
      <c r="F521" s="54"/>
      <c r="G521" s="55"/>
    </row>
    <row r="522">
      <c r="A522" s="54"/>
      <c r="B522" s="54"/>
      <c r="C522" s="54"/>
      <c r="D522" s="17"/>
      <c r="E522" s="54"/>
      <c r="F522" s="54"/>
      <c r="G522" s="55"/>
    </row>
    <row r="523">
      <c r="A523" s="54"/>
      <c r="B523" s="54"/>
      <c r="C523" s="54"/>
      <c r="D523" s="17"/>
      <c r="E523" s="54"/>
      <c r="F523" s="54"/>
      <c r="G523" s="55"/>
    </row>
    <row r="524">
      <c r="A524" s="54"/>
      <c r="B524" s="54"/>
      <c r="C524" s="54"/>
      <c r="D524" s="17"/>
      <c r="E524" s="54"/>
      <c r="F524" s="54"/>
      <c r="G524" s="55"/>
    </row>
    <row r="525">
      <c r="A525" s="54"/>
      <c r="B525" s="54"/>
      <c r="C525" s="54"/>
      <c r="D525" s="17"/>
      <c r="E525" s="54"/>
      <c r="F525" s="54"/>
      <c r="G525" s="55"/>
    </row>
    <row r="526">
      <c r="A526" s="54"/>
      <c r="B526" s="54"/>
      <c r="C526" s="54"/>
      <c r="D526" s="17"/>
      <c r="E526" s="54"/>
      <c r="F526" s="54"/>
      <c r="G526" s="55"/>
    </row>
    <row r="527">
      <c r="A527" s="54"/>
      <c r="B527" s="54"/>
      <c r="C527" s="54"/>
      <c r="D527" s="17"/>
      <c r="E527" s="54"/>
      <c r="F527" s="54"/>
      <c r="G527" s="55"/>
    </row>
    <row r="528">
      <c r="A528" s="54"/>
      <c r="B528" s="54"/>
      <c r="C528" s="54"/>
      <c r="D528" s="17"/>
      <c r="E528" s="54"/>
      <c r="F528" s="54"/>
      <c r="G528" s="55"/>
    </row>
    <row r="529">
      <c r="A529" s="54"/>
      <c r="B529" s="54"/>
      <c r="C529" s="54"/>
      <c r="D529" s="17"/>
      <c r="E529" s="54"/>
      <c r="F529" s="54"/>
      <c r="G529" s="55"/>
    </row>
    <row r="530">
      <c r="A530" s="54"/>
      <c r="B530" s="54"/>
      <c r="C530" s="54"/>
      <c r="D530" s="17"/>
      <c r="E530" s="54"/>
      <c r="F530" s="54"/>
      <c r="G530" s="55"/>
    </row>
    <row r="531">
      <c r="A531" s="54"/>
      <c r="B531" s="54"/>
      <c r="C531" s="54"/>
      <c r="D531" s="17"/>
      <c r="E531" s="54"/>
      <c r="F531" s="54"/>
      <c r="G531" s="55"/>
    </row>
    <row r="532">
      <c r="A532" s="54"/>
      <c r="B532" s="54"/>
      <c r="C532" s="54"/>
      <c r="D532" s="17"/>
      <c r="E532" s="54"/>
      <c r="F532" s="54"/>
      <c r="G532" s="55"/>
    </row>
    <row r="533">
      <c r="A533" s="54"/>
      <c r="B533" s="54"/>
      <c r="C533" s="54"/>
      <c r="D533" s="17"/>
      <c r="E533" s="54"/>
      <c r="F533" s="54"/>
      <c r="G533" s="55"/>
    </row>
    <row r="534">
      <c r="A534" s="54"/>
      <c r="B534" s="54"/>
      <c r="C534" s="54"/>
      <c r="D534" s="17"/>
      <c r="E534" s="54"/>
      <c r="F534" s="54"/>
      <c r="G534" s="55"/>
    </row>
    <row r="535">
      <c r="A535" s="54"/>
      <c r="B535" s="54"/>
      <c r="C535" s="54"/>
      <c r="D535" s="17"/>
      <c r="E535" s="54"/>
      <c r="F535" s="54"/>
      <c r="G535" s="55"/>
    </row>
    <row r="536">
      <c r="A536" s="54"/>
      <c r="B536" s="54"/>
      <c r="C536" s="54"/>
      <c r="D536" s="17"/>
      <c r="E536" s="54"/>
      <c r="F536" s="54"/>
      <c r="G536" s="55"/>
    </row>
    <row r="537">
      <c r="A537" s="54"/>
      <c r="B537" s="54"/>
      <c r="C537" s="54"/>
      <c r="D537" s="17"/>
      <c r="E537" s="54"/>
      <c r="F537" s="54"/>
      <c r="G537" s="55"/>
    </row>
    <row r="538">
      <c r="A538" s="54"/>
      <c r="B538" s="54"/>
      <c r="C538" s="54"/>
      <c r="D538" s="17"/>
      <c r="E538" s="54"/>
      <c r="F538" s="54"/>
      <c r="G538" s="55"/>
    </row>
    <row r="539">
      <c r="A539" s="54"/>
      <c r="B539" s="54"/>
      <c r="C539" s="54"/>
      <c r="D539" s="17"/>
      <c r="E539" s="54"/>
      <c r="F539" s="54"/>
      <c r="G539" s="55"/>
    </row>
    <row r="540">
      <c r="A540" s="54"/>
      <c r="B540" s="54"/>
      <c r="C540" s="54"/>
      <c r="D540" s="17"/>
      <c r="E540" s="54"/>
      <c r="F540" s="54"/>
      <c r="G540" s="55"/>
    </row>
    <row r="541">
      <c r="A541" s="54"/>
      <c r="B541" s="54"/>
      <c r="C541" s="54"/>
      <c r="D541" s="17"/>
      <c r="E541" s="54"/>
      <c r="F541" s="54"/>
      <c r="G541" s="55"/>
    </row>
    <row r="542">
      <c r="A542" s="54"/>
      <c r="B542" s="54"/>
      <c r="C542" s="54"/>
      <c r="D542" s="17"/>
      <c r="E542" s="54"/>
      <c r="F542" s="54"/>
      <c r="G542" s="55"/>
    </row>
    <row r="543">
      <c r="A543" s="54"/>
      <c r="B543" s="54"/>
      <c r="C543" s="54"/>
      <c r="D543" s="17"/>
      <c r="E543" s="54"/>
      <c r="F543" s="54"/>
      <c r="G543" s="55"/>
    </row>
    <row r="544">
      <c r="A544" s="54"/>
      <c r="B544" s="54"/>
      <c r="C544" s="54"/>
      <c r="D544" s="17"/>
      <c r="E544" s="54"/>
      <c r="F544" s="54"/>
      <c r="G544" s="55"/>
    </row>
    <row r="545">
      <c r="A545" s="54"/>
      <c r="B545" s="54"/>
      <c r="C545" s="54"/>
      <c r="D545" s="17"/>
      <c r="E545" s="54"/>
      <c r="F545" s="54"/>
      <c r="G545" s="55"/>
    </row>
    <row r="546">
      <c r="A546" s="54"/>
      <c r="B546" s="54"/>
      <c r="C546" s="54"/>
      <c r="D546" s="17"/>
      <c r="E546" s="54"/>
      <c r="F546" s="54"/>
      <c r="G546" s="55"/>
    </row>
    <row r="547">
      <c r="A547" s="54"/>
      <c r="B547" s="54"/>
      <c r="C547" s="54"/>
      <c r="D547" s="17"/>
      <c r="E547" s="54"/>
      <c r="F547" s="54"/>
      <c r="G547" s="55"/>
    </row>
    <row r="548">
      <c r="A548" s="54"/>
      <c r="B548" s="54"/>
      <c r="C548" s="54"/>
      <c r="D548" s="17"/>
      <c r="E548" s="54"/>
      <c r="F548" s="54"/>
      <c r="G548" s="55"/>
    </row>
    <row r="549">
      <c r="A549" s="54"/>
      <c r="B549" s="54"/>
      <c r="C549" s="54"/>
      <c r="D549" s="17"/>
      <c r="E549" s="54"/>
      <c r="F549" s="54"/>
      <c r="G549" s="55"/>
    </row>
    <row r="550">
      <c r="A550" s="54"/>
      <c r="B550" s="54"/>
      <c r="C550" s="54"/>
      <c r="D550" s="17"/>
      <c r="E550" s="54"/>
      <c r="F550" s="54"/>
      <c r="G550" s="55"/>
    </row>
    <row r="551">
      <c r="A551" s="54"/>
      <c r="B551" s="54"/>
      <c r="C551" s="54"/>
      <c r="D551" s="17"/>
      <c r="E551" s="54"/>
      <c r="F551" s="54"/>
      <c r="G551" s="55"/>
    </row>
    <row r="552">
      <c r="A552" s="54"/>
      <c r="B552" s="54"/>
      <c r="C552" s="54"/>
      <c r="D552" s="17"/>
      <c r="E552" s="54"/>
      <c r="F552" s="54"/>
      <c r="G552" s="55"/>
    </row>
    <row r="553">
      <c r="A553" s="54"/>
      <c r="B553" s="54"/>
      <c r="C553" s="54"/>
      <c r="D553" s="17"/>
      <c r="E553" s="54"/>
      <c r="F553" s="54"/>
      <c r="G553" s="55"/>
    </row>
    <row r="554">
      <c r="A554" s="54"/>
      <c r="B554" s="54"/>
      <c r="C554" s="54"/>
      <c r="D554" s="17"/>
      <c r="E554" s="54"/>
      <c r="F554" s="54"/>
      <c r="G554" s="55"/>
    </row>
    <row r="555">
      <c r="A555" s="54"/>
      <c r="B555" s="54"/>
      <c r="C555" s="54"/>
      <c r="D555" s="17"/>
      <c r="E555" s="54"/>
      <c r="F555" s="54"/>
      <c r="G555" s="55"/>
    </row>
    <row r="556">
      <c r="A556" s="54"/>
      <c r="B556" s="54"/>
      <c r="C556" s="54"/>
      <c r="D556" s="17"/>
      <c r="E556" s="54"/>
      <c r="F556" s="54"/>
      <c r="G556" s="55"/>
    </row>
    <row r="557">
      <c r="A557" s="54"/>
      <c r="B557" s="54"/>
      <c r="C557" s="54"/>
      <c r="D557" s="17"/>
      <c r="E557" s="54"/>
      <c r="F557" s="54"/>
      <c r="G557" s="55"/>
    </row>
    <row r="558">
      <c r="A558" s="54"/>
      <c r="B558" s="54"/>
      <c r="C558" s="54"/>
      <c r="D558" s="17"/>
      <c r="E558" s="54"/>
      <c r="F558" s="54"/>
      <c r="G558" s="55"/>
    </row>
    <row r="559">
      <c r="A559" s="54"/>
      <c r="B559" s="54"/>
      <c r="C559" s="54"/>
      <c r="D559" s="17"/>
      <c r="E559" s="54"/>
      <c r="F559" s="54"/>
      <c r="G559" s="55"/>
    </row>
    <row r="560">
      <c r="A560" s="54"/>
      <c r="B560" s="54"/>
      <c r="C560" s="54"/>
      <c r="D560" s="17"/>
      <c r="E560" s="54"/>
      <c r="F560" s="54"/>
      <c r="G560" s="55"/>
    </row>
    <row r="561">
      <c r="A561" s="54"/>
      <c r="B561" s="54"/>
      <c r="C561" s="54"/>
      <c r="D561" s="17"/>
      <c r="E561" s="54"/>
      <c r="F561" s="54"/>
      <c r="G561" s="55"/>
    </row>
    <row r="562">
      <c r="A562" s="54"/>
      <c r="B562" s="54"/>
      <c r="C562" s="54"/>
      <c r="D562" s="17"/>
      <c r="E562" s="54"/>
      <c r="F562" s="54"/>
      <c r="G562" s="55"/>
    </row>
    <row r="563">
      <c r="A563" s="54"/>
      <c r="B563" s="54"/>
      <c r="C563" s="54"/>
      <c r="D563" s="17"/>
      <c r="E563" s="54"/>
      <c r="F563" s="54"/>
      <c r="G563" s="55"/>
    </row>
    <row r="564">
      <c r="A564" s="54"/>
      <c r="B564" s="54"/>
      <c r="C564" s="54"/>
      <c r="D564" s="17"/>
      <c r="E564" s="54"/>
      <c r="F564" s="54"/>
      <c r="G564" s="55"/>
    </row>
    <row r="565">
      <c r="A565" s="54"/>
      <c r="B565" s="54"/>
      <c r="C565" s="54"/>
      <c r="D565" s="17"/>
      <c r="E565" s="54"/>
      <c r="F565" s="54"/>
      <c r="G565" s="55"/>
    </row>
    <row r="566">
      <c r="A566" s="54"/>
      <c r="B566" s="54"/>
      <c r="C566" s="54"/>
      <c r="D566" s="17"/>
      <c r="E566" s="54"/>
      <c r="F566" s="54"/>
      <c r="G566" s="55"/>
    </row>
    <row r="567">
      <c r="A567" s="54"/>
      <c r="B567" s="54"/>
      <c r="C567" s="54"/>
      <c r="D567" s="17"/>
      <c r="E567" s="54"/>
      <c r="F567" s="54"/>
      <c r="G567" s="55"/>
    </row>
    <row r="568">
      <c r="A568" s="54"/>
      <c r="B568" s="54"/>
      <c r="C568" s="54"/>
      <c r="D568" s="17"/>
      <c r="E568" s="54"/>
      <c r="F568" s="54"/>
      <c r="G568" s="55"/>
    </row>
    <row r="569">
      <c r="A569" s="54"/>
      <c r="B569" s="54"/>
      <c r="C569" s="54"/>
      <c r="D569" s="17"/>
      <c r="E569" s="54"/>
      <c r="F569" s="54"/>
      <c r="G569" s="55"/>
    </row>
    <row r="570">
      <c r="A570" s="54"/>
      <c r="B570" s="54"/>
      <c r="C570" s="54"/>
      <c r="D570" s="17"/>
      <c r="E570" s="54"/>
      <c r="F570" s="54"/>
      <c r="G570" s="55"/>
    </row>
    <row r="571">
      <c r="A571" s="54"/>
      <c r="B571" s="54"/>
      <c r="C571" s="54"/>
      <c r="D571" s="17"/>
      <c r="E571" s="54"/>
      <c r="F571" s="54"/>
      <c r="G571" s="55"/>
    </row>
    <row r="572">
      <c r="A572" s="54"/>
      <c r="B572" s="54"/>
      <c r="C572" s="54"/>
      <c r="D572" s="17"/>
      <c r="E572" s="54"/>
      <c r="F572" s="54"/>
      <c r="G572" s="55"/>
    </row>
    <row r="573">
      <c r="A573" s="54"/>
      <c r="B573" s="54"/>
      <c r="C573" s="54"/>
      <c r="D573" s="17"/>
      <c r="E573" s="54"/>
      <c r="F573" s="54"/>
      <c r="G573" s="55"/>
    </row>
    <row r="574">
      <c r="A574" s="54"/>
      <c r="B574" s="54"/>
      <c r="C574" s="54"/>
      <c r="D574" s="17"/>
      <c r="E574" s="54"/>
      <c r="F574" s="54"/>
      <c r="G574" s="55"/>
    </row>
    <row r="575">
      <c r="A575" s="54"/>
      <c r="B575" s="54"/>
      <c r="C575" s="54"/>
      <c r="D575" s="17"/>
      <c r="E575" s="54"/>
      <c r="F575" s="54"/>
      <c r="G575" s="55"/>
    </row>
    <row r="576">
      <c r="A576" s="54"/>
      <c r="B576" s="54"/>
      <c r="C576" s="54"/>
      <c r="D576" s="17"/>
      <c r="E576" s="54"/>
      <c r="F576" s="54"/>
      <c r="G576" s="55"/>
    </row>
    <row r="577">
      <c r="A577" s="54"/>
      <c r="B577" s="54"/>
      <c r="C577" s="54"/>
      <c r="D577" s="17"/>
      <c r="E577" s="54"/>
      <c r="F577" s="54"/>
      <c r="G577" s="55"/>
    </row>
    <row r="578">
      <c r="A578" s="54"/>
      <c r="B578" s="54"/>
      <c r="C578" s="54"/>
      <c r="D578" s="17"/>
      <c r="E578" s="54"/>
      <c r="F578" s="54"/>
      <c r="G578" s="55"/>
    </row>
    <row r="579">
      <c r="A579" s="54"/>
      <c r="B579" s="54"/>
      <c r="C579" s="54"/>
      <c r="D579" s="17"/>
      <c r="E579" s="54"/>
      <c r="F579" s="54"/>
      <c r="G579" s="55"/>
    </row>
    <row r="580">
      <c r="A580" s="54"/>
      <c r="B580" s="54"/>
      <c r="C580" s="54"/>
      <c r="D580" s="17"/>
      <c r="E580" s="54"/>
      <c r="F580" s="54"/>
      <c r="G580" s="55"/>
    </row>
    <row r="581">
      <c r="A581" s="54"/>
      <c r="B581" s="54"/>
      <c r="C581" s="54"/>
      <c r="D581" s="17"/>
      <c r="E581" s="54"/>
      <c r="F581" s="54"/>
      <c r="G581" s="55"/>
    </row>
    <row r="582">
      <c r="A582" s="54"/>
      <c r="B582" s="54"/>
      <c r="C582" s="54"/>
      <c r="D582" s="17"/>
      <c r="E582" s="54"/>
      <c r="F582" s="54"/>
      <c r="G582" s="55"/>
    </row>
    <row r="583">
      <c r="A583" s="54"/>
      <c r="B583" s="54"/>
      <c r="C583" s="54"/>
      <c r="D583" s="17"/>
      <c r="E583" s="54"/>
      <c r="F583" s="54"/>
      <c r="G583" s="55"/>
    </row>
    <row r="584">
      <c r="A584" s="54"/>
      <c r="B584" s="54"/>
      <c r="C584" s="54"/>
      <c r="D584" s="17"/>
      <c r="E584" s="54"/>
      <c r="F584" s="54"/>
      <c r="G584" s="55"/>
    </row>
    <row r="585">
      <c r="A585" s="54"/>
      <c r="B585" s="54"/>
      <c r="C585" s="54"/>
      <c r="D585" s="17"/>
      <c r="E585" s="54"/>
      <c r="F585" s="54"/>
      <c r="G585" s="55"/>
    </row>
    <row r="586">
      <c r="A586" s="54"/>
      <c r="B586" s="54"/>
      <c r="C586" s="54"/>
      <c r="D586" s="17"/>
      <c r="E586" s="54"/>
      <c r="F586" s="54"/>
      <c r="G586" s="55"/>
    </row>
    <row r="587">
      <c r="A587" s="54"/>
      <c r="B587" s="54"/>
      <c r="C587" s="54"/>
      <c r="D587" s="17"/>
      <c r="E587" s="54"/>
      <c r="F587" s="54"/>
      <c r="G587" s="55"/>
    </row>
    <row r="588">
      <c r="A588" s="54"/>
      <c r="B588" s="54"/>
      <c r="C588" s="54"/>
      <c r="D588" s="17"/>
      <c r="E588" s="54"/>
      <c r="F588" s="54"/>
      <c r="G588" s="55"/>
    </row>
    <row r="589">
      <c r="A589" s="54"/>
      <c r="B589" s="54"/>
      <c r="C589" s="54"/>
      <c r="D589" s="17"/>
      <c r="E589" s="54"/>
      <c r="F589" s="54"/>
      <c r="G589" s="55"/>
    </row>
    <row r="590">
      <c r="A590" s="54"/>
      <c r="B590" s="54"/>
      <c r="C590" s="54"/>
      <c r="D590" s="17"/>
      <c r="E590" s="54"/>
      <c r="F590" s="54"/>
      <c r="G590" s="55"/>
    </row>
    <row r="591">
      <c r="A591" s="54"/>
      <c r="B591" s="54"/>
      <c r="C591" s="54"/>
      <c r="D591" s="17"/>
      <c r="E591" s="54"/>
      <c r="F591" s="54"/>
      <c r="G591" s="55"/>
    </row>
    <row r="592">
      <c r="A592" s="54"/>
      <c r="B592" s="54"/>
      <c r="C592" s="54"/>
      <c r="D592" s="17"/>
      <c r="E592" s="54"/>
      <c r="F592" s="54"/>
      <c r="G592" s="55"/>
    </row>
    <row r="593">
      <c r="A593" s="54"/>
      <c r="B593" s="54"/>
      <c r="C593" s="54"/>
      <c r="D593" s="17"/>
      <c r="E593" s="54"/>
      <c r="F593" s="54"/>
      <c r="G593" s="55"/>
    </row>
    <row r="594">
      <c r="A594" s="54"/>
      <c r="B594" s="54"/>
      <c r="C594" s="54"/>
      <c r="D594" s="17"/>
      <c r="E594" s="54"/>
      <c r="F594" s="54"/>
      <c r="G594" s="55"/>
    </row>
    <row r="595">
      <c r="A595" s="54"/>
      <c r="B595" s="54"/>
      <c r="C595" s="54"/>
      <c r="D595" s="17"/>
      <c r="E595" s="54"/>
      <c r="F595" s="54"/>
      <c r="G595" s="55"/>
    </row>
    <row r="596">
      <c r="A596" s="54"/>
      <c r="B596" s="54"/>
      <c r="C596" s="54"/>
      <c r="D596" s="17"/>
      <c r="E596" s="54"/>
      <c r="F596" s="54"/>
      <c r="G596" s="55"/>
    </row>
    <row r="597">
      <c r="A597" s="54"/>
      <c r="B597" s="54"/>
      <c r="C597" s="54"/>
      <c r="D597" s="17"/>
      <c r="E597" s="54"/>
      <c r="F597" s="54"/>
      <c r="G597" s="55"/>
    </row>
    <row r="598">
      <c r="A598" s="54"/>
      <c r="B598" s="54"/>
      <c r="C598" s="54"/>
      <c r="D598" s="17"/>
      <c r="E598" s="54"/>
      <c r="F598" s="54"/>
      <c r="G598" s="55"/>
    </row>
    <row r="599">
      <c r="A599" s="54"/>
      <c r="B599" s="54"/>
      <c r="C599" s="54"/>
      <c r="D599" s="17"/>
      <c r="E599" s="54"/>
      <c r="F599" s="54"/>
      <c r="G599" s="55"/>
    </row>
    <row r="600">
      <c r="A600" s="54"/>
      <c r="B600" s="54"/>
      <c r="C600" s="54"/>
      <c r="D600" s="17"/>
      <c r="E600" s="54"/>
      <c r="F600" s="54"/>
      <c r="G600" s="55"/>
    </row>
    <row r="601">
      <c r="A601" s="54"/>
      <c r="B601" s="54"/>
      <c r="C601" s="54"/>
      <c r="D601" s="17"/>
      <c r="E601" s="54"/>
      <c r="F601" s="54"/>
      <c r="G601" s="55"/>
    </row>
    <row r="602">
      <c r="A602" s="54"/>
      <c r="B602" s="54"/>
      <c r="C602" s="54"/>
      <c r="D602" s="17"/>
      <c r="E602" s="54"/>
      <c r="F602" s="54"/>
      <c r="G602" s="55"/>
    </row>
    <row r="603">
      <c r="A603" s="54"/>
      <c r="B603" s="54"/>
      <c r="C603" s="54"/>
      <c r="D603" s="17"/>
      <c r="E603" s="54"/>
      <c r="F603" s="54"/>
      <c r="G603" s="55"/>
    </row>
    <row r="604">
      <c r="A604" s="54"/>
      <c r="B604" s="54"/>
      <c r="C604" s="54"/>
      <c r="D604" s="17"/>
      <c r="E604" s="54"/>
      <c r="F604" s="54"/>
      <c r="G604" s="55"/>
    </row>
    <row r="605">
      <c r="A605" s="54"/>
      <c r="B605" s="54"/>
      <c r="C605" s="54"/>
      <c r="D605" s="17"/>
      <c r="E605" s="54"/>
      <c r="F605" s="54"/>
      <c r="G605" s="55"/>
    </row>
    <row r="606">
      <c r="A606" s="54"/>
      <c r="B606" s="54"/>
      <c r="C606" s="54"/>
      <c r="D606" s="17"/>
      <c r="E606" s="54"/>
      <c r="F606" s="54"/>
      <c r="G606" s="55"/>
    </row>
    <row r="607">
      <c r="A607" s="54"/>
      <c r="B607" s="54"/>
      <c r="C607" s="54"/>
      <c r="D607" s="17"/>
      <c r="E607" s="54"/>
      <c r="F607" s="54"/>
      <c r="G607" s="55"/>
    </row>
    <row r="608">
      <c r="A608" s="54"/>
      <c r="B608" s="54"/>
      <c r="C608" s="54"/>
      <c r="D608" s="17"/>
      <c r="E608" s="54"/>
      <c r="F608" s="54"/>
      <c r="G608" s="55"/>
    </row>
    <row r="609">
      <c r="A609" s="54"/>
      <c r="B609" s="54"/>
      <c r="C609" s="54"/>
      <c r="D609" s="17"/>
      <c r="E609" s="54"/>
      <c r="F609" s="54"/>
      <c r="G609" s="55"/>
    </row>
    <row r="610">
      <c r="A610" s="54"/>
      <c r="B610" s="54"/>
      <c r="C610" s="54"/>
      <c r="D610" s="17"/>
      <c r="E610" s="54"/>
      <c r="F610" s="54"/>
      <c r="G610" s="55"/>
    </row>
    <row r="611">
      <c r="A611" s="54"/>
      <c r="B611" s="54"/>
      <c r="C611" s="54"/>
      <c r="D611" s="17"/>
      <c r="E611" s="54"/>
      <c r="F611" s="54"/>
      <c r="G611" s="55"/>
    </row>
    <row r="612">
      <c r="A612" s="54"/>
      <c r="B612" s="54"/>
      <c r="C612" s="54"/>
      <c r="D612" s="17"/>
      <c r="E612" s="54"/>
      <c r="F612" s="54"/>
      <c r="G612" s="55"/>
    </row>
    <row r="613">
      <c r="A613" s="54"/>
      <c r="B613" s="54"/>
      <c r="C613" s="54"/>
      <c r="D613" s="17"/>
      <c r="E613" s="54"/>
      <c r="F613" s="54"/>
      <c r="G613" s="55"/>
    </row>
    <row r="614">
      <c r="A614" s="54"/>
      <c r="B614" s="54"/>
      <c r="C614" s="54"/>
      <c r="D614" s="17"/>
      <c r="E614" s="54"/>
      <c r="F614" s="54"/>
      <c r="G614" s="55"/>
    </row>
    <row r="615">
      <c r="A615" s="54"/>
      <c r="B615" s="54"/>
      <c r="C615" s="54"/>
      <c r="D615" s="17"/>
      <c r="E615" s="54"/>
      <c r="F615" s="54"/>
      <c r="G615" s="55"/>
    </row>
    <row r="616">
      <c r="A616" s="54"/>
      <c r="B616" s="54"/>
      <c r="C616" s="54"/>
      <c r="D616" s="17"/>
      <c r="E616" s="54"/>
      <c r="F616" s="54"/>
      <c r="G616" s="55"/>
    </row>
    <row r="617">
      <c r="A617" s="54"/>
      <c r="B617" s="54"/>
      <c r="C617" s="54"/>
      <c r="D617" s="17"/>
      <c r="E617" s="54"/>
      <c r="F617" s="54"/>
      <c r="G617" s="55"/>
    </row>
    <row r="618">
      <c r="A618" s="54"/>
      <c r="B618" s="54"/>
      <c r="C618" s="54"/>
      <c r="D618" s="17"/>
      <c r="E618" s="54"/>
      <c r="F618" s="54"/>
      <c r="G618" s="55"/>
    </row>
    <row r="619">
      <c r="A619" s="54"/>
      <c r="B619" s="54"/>
      <c r="C619" s="54"/>
      <c r="D619" s="17"/>
      <c r="E619" s="54"/>
      <c r="F619" s="54"/>
      <c r="G619" s="55"/>
    </row>
    <row r="620">
      <c r="A620" s="54"/>
      <c r="B620" s="54"/>
      <c r="C620" s="54"/>
      <c r="D620" s="17"/>
      <c r="E620" s="54"/>
      <c r="F620" s="54"/>
      <c r="G620" s="55"/>
    </row>
    <row r="621">
      <c r="A621" s="54"/>
      <c r="B621" s="54"/>
      <c r="C621" s="54"/>
      <c r="D621" s="17"/>
      <c r="E621" s="54"/>
      <c r="F621" s="54"/>
      <c r="G621" s="55"/>
    </row>
    <row r="622">
      <c r="A622" s="54"/>
      <c r="B622" s="54"/>
      <c r="C622" s="54"/>
      <c r="D622" s="17"/>
      <c r="E622" s="54"/>
      <c r="F622" s="54"/>
      <c r="G622" s="55"/>
    </row>
    <row r="623">
      <c r="A623" s="54"/>
      <c r="B623" s="54"/>
      <c r="C623" s="54"/>
      <c r="D623" s="17"/>
      <c r="E623" s="54"/>
      <c r="F623" s="54"/>
      <c r="G623" s="55"/>
    </row>
    <row r="624">
      <c r="A624" s="54"/>
      <c r="B624" s="54"/>
      <c r="C624" s="54"/>
      <c r="D624" s="17"/>
      <c r="E624" s="54"/>
      <c r="F624" s="54"/>
      <c r="G624" s="55"/>
    </row>
    <row r="625">
      <c r="A625" s="54"/>
      <c r="B625" s="54"/>
      <c r="C625" s="54"/>
      <c r="D625" s="17"/>
      <c r="E625" s="54"/>
      <c r="F625" s="54"/>
      <c r="G625" s="55"/>
    </row>
    <row r="626">
      <c r="A626" s="54"/>
      <c r="B626" s="54"/>
      <c r="C626" s="54"/>
      <c r="D626" s="17"/>
      <c r="E626" s="54"/>
      <c r="F626" s="54"/>
      <c r="G626" s="55"/>
    </row>
    <row r="627">
      <c r="A627" s="54"/>
      <c r="B627" s="54"/>
      <c r="C627" s="54"/>
      <c r="D627" s="17"/>
      <c r="E627" s="54"/>
      <c r="F627" s="54"/>
      <c r="G627" s="55"/>
    </row>
    <row r="628">
      <c r="A628" s="54"/>
      <c r="B628" s="54"/>
      <c r="C628" s="54"/>
      <c r="D628" s="17"/>
      <c r="E628" s="54"/>
      <c r="F628" s="54"/>
      <c r="G628" s="55"/>
    </row>
    <row r="629">
      <c r="A629" s="54"/>
      <c r="B629" s="54"/>
      <c r="C629" s="54"/>
      <c r="D629" s="17"/>
      <c r="E629" s="54"/>
      <c r="F629" s="54"/>
      <c r="G629" s="55"/>
    </row>
    <row r="630">
      <c r="A630" s="54"/>
      <c r="B630" s="54"/>
      <c r="C630" s="54"/>
      <c r="D630" s="17"/>
      <c r="E630" s="54"/>
      <c r="F630" s="54"/>
      <c r="G630" s="55"/>
    </row>
    <row r="631">
      <c r="A631" s="54"/>
      <c r="B631" s="54"/>
      <c r="C631" s="54"/>
      <c r="D631" s="17"/>
      <c r="E631" s="54"/>
      <c r="F631" s="54"/>
      <c r="G631" s="55"/>
    </row>
    <row r="632">
      <c r="A632" s="54"/>
      <c r="B632" s="54"/>
      <c r="C632" s="54"/>
      <c r="D632" s="17"/>
      <c r="E632" s="54"/>
      <c r="F632" s="54"/>
      <c r="G632" s="55"/>
    </row>
    <row r="633">
      <c r="A633" s="54"/>
      <c r="B633" s="54"/>
      <c r="C633" s="54"/>
      <c r="D633" s="17"/>
      <c r="E633" s="54"/>
      <c r="F633" s="54"/>
      <c r="G633" s="55"/>
    </row>
    <row r="634">
      <c r="A634" s="54"/>
      <c r="B634" s="54"/>
      <c r="C634" s="54"/>
      <c r="D634" s="17"/>
      <c r="E634" s="54"/>
      <c r="F634" s="54"/>
      <c r="G634" s="55"/>
    </row>
    <row r="635">
      <c r="A635" s="54"/>
      <c r="B635" s="54"/>
      <c r="C635" s="54"/>
      <c r="D635" s="17"/>
      <c r="E635" s="54"/>
      <c r="F635" s="54"/>
      <c r="G635" s="55"/>
    </row>
    <row r="636">
      <c r="A636" s="54"/>
      <c r="B636" s="54"/>
      <c r="C636" s="54"/>
      <c r="D636" s="17"/>
      <c r="E636" s="54"/>
      <c r="F636" s="54"/>
      <c r="G636" s="55"/>
    </row>
    <row r="637">
      <c r="A637" s="54"/>
      <c r="B637" s="54"/>
      <c r="C637" s="54"/>
      <c r="D637" s="17"/>
      <c r="E637" s="54"/>
      <c r="F637" s="54"/>
      <c r="G637" s="55"/>
    </row>
    <row r="638">
      <c r="A638" s="54"/>
      <c r="B638" s="54"/>
      <c r="C638" s="54"/>
      <c r="D638" s="17"/>
      <c r="E638" s="54"/>
      <c r="F638" s="54"/>
      <c r="G638" s="55"/>
    </row>
    <row r="639">
      <c r="A639" s="54"/>
      <c r="B639" s="54"/>
      <c r="C639" s="54"/>
      <c r="D639" s="17"/>
      <c r="E639" s="54"/>
      <c r="F639" s="54"/>
      <c r="G639" s="55"/>
    </row>
    <row r="640">
      <c r="A640" s="54"/>
      <c r="B640" s="54"/>
      <c r="C640" s="54"/>
      <c r="D640" s="17"/>
      <c r="E640" s="54"/>
      <c r="F640" s="54"/>
      <c r="G640" s="55"/>
    </row>
    <row r="641">
      <c r="A641" s="54"/>
      <c r="B641" s="54"/>
      <c r="C641" s="54"/>
      <c r="D641" s="17"/>
      <c r="E641" s="54"/>
      <c r="F641" s="54"/>
      <c r="G641" s="55"/>
    </row>
    <row r="642">
      <c r="A642" s="54"/>
      <c r="B642" s="54"/>
      <c r="C642" s="54"/>
      <c r="D642" s="17"/>
      <c r="E642" s="54"/>
      <c r="F642" s="54"/>
      <c r="G642" s="55"/>
    </row>
    <row r="643">
      <c r="A643" s="54"/>
      <c r="B643" s="54"/>
      <c r="C643" s="54"/>
      <c r="D643" s="17"/>
      <c r="E643" s="54"/>
      <c r="F643" s="54"/>
      <c r="G643" s="55"/>
    </row>
    <row r="644">
      <c r="A644" s="54"/>
      <c r="B644" s="54"/>
      <c r="C644" s="54"/>
      <c r="D644" s="17"/>
      <c r="E644" s="54"/>
      <c r="F644" s="54"/>
      <c r="G644" s="55"/>
    </row>
    <row r="645">
      <c r="A645" s="54"/>
      <c r="B645" s="54"/>
      <c r="C645" s="54"/>
      <c r="D645" s="17"/>
      <c r="E645" s="54"/>
      <c r="F645" s="54"/>
      <c r="G645" s="55"/>
    </row>
    <row r="646">
      <c r="A646" s="54"/>
      <c r="B646" s="54"/>
      <c r="C646" s="54"/>
      <c r="D646" s="17"/>
      <c r="E646" s="54"/>
      <c r="F646" s="54"/>
      <c r="G646" s="55"/>
    </row>
    <row r="647">
      <c r="A647" s="54"/>
      <c r="B647" s="54"/>
      <c r="C647" s="54"/>
      <c r="D647" s="17"/>
      <c r="E647" s="54"/>
      <c r="F647" s="54"/>
      <c r="G647" s="55"/>
    </row>
    <row r="648">
      <c r="A648" s="54"/>
      <c r="B648" s="54"/>
      <c r="C648" s="54"/>
      <c r="D648" s="17"/>
      <c r="E648" s="54"/>
      <c r="F648" s="54"/>
      <c r="G648" s="55"/>
    </row>
    <row r="649">
      <c r="A649" s="54"/>
      <c r="B649" s="54"/>
      <c r="C649" s="54"/>
      <c r="D649" s="17"/>
      <c r="E649" s="54"/>
      <c r="F649" s="54"/>
      <c r="G649" s="55"/>
    </row>
    <row r="650">
      <c r="A650" s="54"/>
      <c r="B650" s="54"/>
      <c r="C650" s="54"/>
      <c r="D650" s="17"/>
      <c r="E650" s="54"/>
      <c r="F650" s="54"/>
      <c r="G650" s="55"/>
    </row>
    <row r="651">
      <c r="A651" s="54"/>
      <c r="B651" s="54"/>
      <c r="C651" s="54"/>
      <c r="D651" s="17"/>
      <c r="E651" s="54"/>
      <c r="F651" s="54"/>
      <c r="G651" s="55"/>
    </row>
    <row r="652">
      <c r="A652" s="54"/>
      <c r="B652" s="54"/>
      <c r="C652" s="54"/>
      <c r="D652" s="17"/>
      <c r="E652" s="54"/>
      <c r="F652" s="54"/>
      <c r="G652" s="55"/>
    </row>
    <row r="653">
      <c r="A653" s="54"/>
      <c r="B653" s="54"/>
      <c r="C653" s="54"/>
      <c r="D653" s="17"/>
      <c r="E653" s="54"/>
      <c r="F653" s="54"/>
      <c r="G653" s="55"/>
    </row>
    <row r="654">
      <c r="A654" s="54"/>
      <c r="B654" s="54"/>
      <c r="C654" s="54"/>
      <c r="D654" s="17"/>
      <c r="E654" s="54"/>
      <c r="F654" s="54"/>
      <c r="G654" s="55"/>
    </row>
    <row r="655">
      <c r="A655" s="54"/>
      <c r="B655" s="54"/>
      <c r="C655" s="54"/>
      <c r="D655" s="17"/>
      <c r="E655" s="54"/>
      <c r="F655" s="54"/>
      <c r="G655" s="55"/>
    </row>
    <row r="656">
      <c r="A656" s="54"/>
      <c r="B656" s="54"/>
      <c r="C656" s="54"/>
      <c r="D656" s="17"/>
      <c r="E656" s="54"/>
      <c r="F656" s="54"/>
      <c r="G656" s="55"/>
    </row>
    <row r="657">
      <c r="A657" s="54"/>
      <c r="B657" s="54"/>
      <c r="C657" s="54"/>
      <c r="D657" s="17"/>
      <c r="E657" s="54"/>
      <c r="F657" s="54"/>
      <c r="G657" s="55"/>
    </row>
    <row r="658">
      <c r="A658" s="54"/>
      <c r="B658" s="54"/>
      <c r="C658" s="54"/>
      <c r="D658" s="17"/>
      <c r="E658" s="54"/>
      <c r="F658" s="54"/>
      <c r="G658" s="55"/>
    </row>
    <row r="659">
      <c r="A659" s="54"/>
      <c r="B659" s="54"/>
      <c r="C659" s="54"/>
      <c r="D659" s="17"/>
      <c r="E659" s="54"/>
      <c r="F659" s="54"/>
      <c r="G659" s="55"/>
    </row>
    <row r="660">
      <c r="A660" s="54"/>
      <c r="B660" s="54"/>
      <c r="C660" s="54"/>
      <c r="D660" s="17"/>
      <c r="E660" s="54"/>
      <c r="F660" s="54"/>
      <c r="G660" s="55"/>
    </row>
    <row r="661">
      <c r="A661" s="54"/>
      <c r="B661" s="54"/>
      <c r="C661" s="54"/>
      <c r="D661" s="17"/>
      <c r="E661" s="54"/>
      <c r="F661" s="54"/>
      <c r="G661" s="55"/>
    </row>
    <row r="662">
      <c r="A662" s="54"/>
      <c r="B662" s="54"/>
      <c r="C662" s="54"/>
      <c r="D662" s="17"/>
      <c r="E662" s="54"/>
      <c r="F662" s="54"/>
      <c r="G662" s="55"/>
    </row>
    <row r="663">
      <c r="A663" s="54"/>
      <c r="B663" s="54"/>
      <c r="C663" s="54"/>
      <c r="D663" s="17"/>
      <c r="E663" s="54"/>
      <c r="F663" s="54"/>
      <c r="G663" s="55"/>
    </row>
    <row r="664">
      <c r="A664" s="54"/>
      <c r="B664" s="54"/>
      <c r="C664" s="54"/>
      <c r="D664" s="17"/>
      <c r="E664" s="54"/>
      <c r="F664" s="54"/>
      <c r="G664" s="55"/>
    </row>
    <row r="665">
      <c r="A665" s="54"/>
      <c r="B665" s="54"/>
      <c r="C665" s="54"/>
      <c r="D665" s="17"/>
      <c r="E665" s="54"/>
      <c r="F665" s="54"/>
      <c r="G665" s="55"/>
    </row>
    <row r="666">
      <c r="A666" s="54"/>
      <c r="B666" s="54"/>
      <c r="C666" s="54"/>
      <c r="D666" s="17"/>
      <c r="E666" s="54"/>
      <c r="F666" s="54"/>
      <c r="G666" s="55"/>
    </row>
    <row r="667">
      <c r="A667" s="54"/>
      <c r="B667" s="54"/>
      <c r="C667" s="54"/>
      <c r="D667" s="17"/>
      <c r="E667" s="54"/>
      <c r="F667" s="54"/>
      <c r="G667" s="55"/>
    </row>
    <row r="668">
      <c r="A668" s="54"/>
      <c r="B668" s="54"/>
      <c r="C668" s="54"/>
      <c r="D668" s="17"/>
      <c r="E668" s="54"/>
      <c r="F668" s="54"/>
      <c r="G668" s="55"/>
    </row>
    <row r="669">
      <c r="A669" s="54"/>
      <c r="B669" s="54"/>
      <c r="C669" s="54"/>
      <c r="D669" s="17"/>
      <c r="E669" s="54"/>
      <c r="F669" s="54"/>
      <c r="G669" s="55"/>
    </row>
    <row r="670">
      <c r="A670" s="54"/>
      <c r="B670" s="54"/>
      <c r="C670" s="54"/>
      <c r="D670" s="17"/>
      <c r="E670" s="54"/>
      <c r="F670" s="54"/>
      <c r="G670" s="55"/>
    </row>
    <row r="671">
      <c r="A671" s="54"/>
      <c r="B671" s="54"/>
      <c r="C671" s="54"/>
      <c r="D671" s="17"/>
      <c r="E671" s="54"/>
      <c r="F671" s="54"/>
      <c r="G671" s="55"/>
    </row>
    <row r="672">
      <c r="A672" s="54"/>
      <c r="B672" s="54"/>
      <c r="C672" s="54"/>
      <c r="D672" s="17"/>
      <c r="E672" s="54"/>
      <c r="F672" s="54"/>
      <c r="G672" s="55"/>
    </row>
    <row r="673">
      <c r="A673" s="54"/>
      <c r="B673" s="54"/>
      <c r="C673" s="54"/>
      <c r="D673" s="17"/>
      <c r="E673" s="54"/>
      <c r="F673" s="54"/>
      <c r="G673" s="55"/>
    </row>
    <row r="674">
      <c r="A674" s="54"/>
      <c r="B674" s="54"/>
      <c r="C674" s="54"/>
      <c r="D674" s="17"/>
      <c r="E674" s="54"/>
      <c r="F674" s="54"/>
      <c r="G674" s="55"/>
    </row>
    <row r="675">
      <c r="A675" s="54"/>
      <c r="B675" s="54"/>
      <c r="C675" s="54"/>
      <c r="D675" s="17"/>
      <c r="E675" s="54"/>
      <c r="F675" s="54"/>
      <c r="G675" s="55"/>
    </row>
    <row r="676">
      <c r="A676" s="54"/>
      <c r="B676" s="54"/>
      <c r="C676" s="54"/>
      <c r="D676" s="17"/>
      <c r="E676" s="54"/>
      <c r="F676" s="54"/>
      <c r="G676" s="55"/>
    </row>
    <row r="677">
      <c r="A677" s="54"/>
      <c r="B677" s="54"/>
      <c r="C677" s="54"/>
      <c r="D677" s="17"/>
      <c r="E677" s="54"/>
      <c r="F677" s="54"/>
      <c r="G677" s="55"/>
    </row>
    <row r="678">
      <c r="A678" s="54"/>
      <c r="B678" s="54"/>
      <c r="C678" s="54"/>
      <c r="D678" s="17"/>
      <c r="E678" s="54"/>
      <c r="F678" s="54"/>
      <c r="G678" s="55"/>
    </row>
    <row r="679">
      <c r="A679" s="54"/>
      <c r="B679" s="54"/>
      <c r="C679" s="54"/>
      <c r="D679" s="17"/>
      <c r="E679" s="54"/>
      <c r="F679" s="54"/>
      <c r="G679" s="55"/>
    </row>
    <row r="680">
      <c r="A680" s="54"/>
      <c r="B680" s="54"/>
      <c r="C680" s="54"/>
      <c r="D680" s="17"/>
      <c r="E680" s="54"/>
      <c r="F680" s="54"/>
      <c r="G680" s="55"/>
    </row>
    <row r="681">
      <c r="A681" s="54"/>
      <c r="B681" s="54"/>
      <c r="C681" s="54"/>
      <c r="D681" s="17"/>
      <c r="E681" s="54"/>
      <c r="F681" s="54"/>
      <c r="G681" s="55"/>
    </row>
    <row r="682">
      <c r="A682" s="54"/>
      <c r="B682" s="54"/>
      <c r="C682" s="54"/>
      <c r="D682" s="17"/>
      <c r="E682" s="54"/>
      <c r="F682" s="54"/>
      <c r="G682" s="55"/>
    </row>
    <row r="683">
      <c r="A683" s="54"/>
      <c r="B683" s="54"/>
      <c r="C683" s="54"/>
      <c r="D683" s="17"/>
      <c r="E683" s="54"/>
      <c r="F683" s="54"/>
      <c r="G683" s="55"/>
    </row>
    <row r="684">
      <c r="A684" s="54"/>
      <c r="B684" s="54"/>
      <c r="C684" s="54"/>
      <c r="D684" s="17"/>
      <c r="E684" s="54"/>
      <c r="F684" s="54"/>
      <c r="G684" s="55"/>
    </row>
    <row r="685">
      <c r="A685" s="54"/>
      <c r="B685" s="54"/>
      <c r="C685" s="54"/>
      <c r="D685" s="17"/>
      <c r="E685" s="54"/>
      <c r="F685" s="54"/>
      <c r="G685" s="55"/>
    </row>
    <row r="686">
      <c r="A686" s="54"/>
      <c r="B686" s="54"/>
      <c r="C686" s="54"/>
      <c r="D686" s="17"/>
      <c r="E686" s="54"/>
      <c r="F686" s="54"/>
      <c r="G686" s="55"/>
    </row>
    <row r="687">
      <c r="A687" s="54"/>
      <c r="B687" s="54"/>
      <c r="C687" s="54"/>
      <c r="D687" s="17"/>
      <c r="E687" s="54"/>
      <c r="F687" s="54"/>
      <c r="G687" s="55"/>
    </row>
    <row r="688">
      <c r="A688" s="54"/>
      <c r="B688" s="54"/>
      <c r="C688" s="54"/>
      <c r="D688" s="17"/>
      <c r="E688" s="54"/>
      <c r="F688" s="54"/>
      <c r="G688" s="55"/>
    </row>
    <row r="689">
      <c r="A689" s="54"/>
      <c r="B689" s="54"/>
      <c r="C689" s="54"/>
      <c r="D689" s="17"/>
      <c r="E689" s="54"/>
      <c r="F689" s="54"/>
      <c r="G689" s="55"/>
    </row>
    <row r="690">
      <c r="A690" s="54"/>
      <c r="B690" s="54"/>
      <c r="C690" s="54"/>
      <c r="D690" s="17"/>
      <c r="E690" s="54"/>
      <c r="F690" s="54"/>
      <c r="G690" s="55"/>
    </row>
    <row r="691">
      <c r="A691" s="54"/>
      <c r="B691" s="54"/>
      <c r="C691" s="54"/>
      <c r="D691" s="17"/>
      <c r="E691" s="54"/>
      <c r="F691" s="54"/>
      <c r="G691" s="55"/>
    </row>
    <row r="692">
      <c r="A692" s="54"/>
      <c r="B692" s="54"/>
      <c r="C692" s="54"/>
      <c r="D692" s="17"/>
      <c r="E692" s="54"/>
      <c r="F692" s="54"/>
      <c r="G692" s="55"/>
    </row>
    <row r="693">
      <c r="A693" s="54"/>
      <c r="B693" s="54"/>
      <c r="C693" s="54"/>
      <c r="D693" s="17"/>
      <c r="E693" s="54"/>
      <c r="F693" s="54"/>
      <c r="G693" s="55"/>
    </row>
    <row r="694">
      <c r="A694" s="54"/>
      <c r="B694" s="54"/>
      <c r="C694" s="54"/>
      <c r="D694" s="17"/>
      <c r="E694" s="54"/>
      <c r="F694" s="54"/>
      <c r="G694" s="55"/>
    </row>
    <row r="695">
      <c r="A695" s="54"/>
      <c r="B695" s="54"/>
      <c r="C695" s="54"/>
      <c r="D695" s="17"/>
      <c r="E695" s="54"/>
      <c r="F695" s="54"/>
      <c r="G695" s="55"/>
    </row>
    <row r="696">
      <c r="A696" s="54"/>
      <c r="B696" s="54"/>
      <c r="C696" s="54"/>
      <c r="D696" s="17"/>
      <c r="E696" s="54"/>
      <c r="F696" s="54"/>
      <c r="G696" s="55"/>
    </row>
    <row r="697">
      <c r="A697" s="54"/>
      <c r="B697" s="54"/>
      <c r="C697" s="54"/>
      <c r="D697" s="17"/>
      <c r="E697" s="54"/>
      <c r="F697" s="54"/>
      <c r="G697" s="55"/>
    </row>
    <row r="698">
      <c r="A698" s="54"/>
      <c r="B698" s="54"/>
      <c r="C698" s="54"/>
      <c r="D698" s="17"/>
      <c r="E698" s="54"/>
      <c r="F698" s="54"/>
      <c r="G698" s="55"/>
    </row>
    <row r="699">
      <c r="A699" s="54"/>
      <c r="B699" s="54"/>
      <c r="C699" s="54"/>
      <c r="D699" s="17"/>
      <c r="E699" s="54"/>
      <c r="F699" s="54"/>
      <c r="G699" s="55"/>
    </row>
    <row r="700">
      <c r="A700" s="54"/>
      <c r="B700" s="54"/>
      <c r="C700" s="54"/>
      <c r="D700" s="17"/>
      <c r="E700" s="54"/>
      <c r="F700" s="54"/>
      <c r="G700" s="55"/>
    </row>
    <row r="701">
      <c r="A701" s="54"/>
      <c r="B701" s="54"/>
      <c r="C701" s="54"/>
      <c r="D701" s="17"/>
      <c r="E701" s="54"/>
      <c r="F701" s="54"/>
      <c r="G701" s="55"/>
    </row>
    <row r="702">
      <c r="A702" s="54"/>
      <c r="B702" s="54"/>
      <c r="C702" s="54"/>
      <c r="D702" s="17"/>
      <c r="E702" s="54"/>
      <c r="F702" s="54"/>
      <c r="G702" s="55"/>
    </row>
    <row r="703">
      <c r="A703" s="54"/>
      <c r="B703" s="54"/>
      <c r="C703" s="54"/>
      <c r="D703" s="17"/>
      <c r="E703" s="54"/>
      <c r="F703" s="54"/>
      <c r="G703" s="55"/>
    </row>
    <row r="704">
      <c r="A704" s="54"/>
      <c r="B704" s="54"/>
      <c r="C704" s="54"/>
      <c r="D704" s="17"/>
      <c r="E704" s="54"/>
      <c r="F704" s="54"/>
      <c r="G704" s="55"/>
    </row>
    <row r="705">
      <c r="A705" s="54"/>
      <c r="B705" s="54"/>
      <c r="C705" s="54"/>
      <c r="D705" s="17"/>
      <c r="E705" s="54"/>
      <c r="F705" s="54"/>
      <c r="G705" s="55"/>
    </row>
    <row r="706">
      <c r="A706" s="54"/>
      <c r="B706" s="54"/>
      <c r="C706" s="54"/>
      <c r="D706" s="17"/>
      <c r="E706" s="54"/>
      <c r="F706" s="54"/>
      <c r="G706" s="55"/>
    </row>
    <row r="707">
      <c r="A707" s="54"/>
      <c r="B707" s="54"/>
      <c r="C707" s="54"/>
      <c r="D707" s="17"/>
      <c r="E707" s="54"/>
      <c r="F707" s="54"/>
      <c r="G707" s="55"/>
    </row>
    <row r="708">
      <c r="A708" s="54"/>
      <c r="B708" s="54"/>
      <c r="C708" s="54"/>
      <c r="D708" s="17"/>
      <c r="E708" s="54"/>
      <c r="F708" s="54"/>
      <c r="G708" s="55"/>
    </row>
    <row r="709">
      <c r="A709" s="54"/>
      <c r="B709" s="54"/>
      <c r="C709" s="54"/>
      <c r="D709" s="17"/>
      <c r="E709" s="54"/>
      <c r="F709" s="54"/>
      <c r="G709" s="55"/>
    </row>
    <row r="710">
      <c r="A710" s="54"/>
      <c r="B710" s="54"/>
      <c r="C710" s="54"/>
      <c r="D710" s="17"/>
      <c r="E710" s="54"/>
      <c r="F710" s="54"/>
      <c r="G710" s="55"/>
    </row>
    <row r="711">
      <c r="A711" s="54"/>
      <c r="B711" s="54"/>
      <c r="C711" s="54"/>
      <c r="D711" s="17"/>
      <c r="E711" s="54"/>
      <c r="F711" s="54"/>
      <c r="G711" s="55"/>
    </row>
    <row r="712">
      <c r="A712" s="54"/>
      <c r="B712" s="54"/>
      <c r="C712" s="54"/>
      <c r="D712" s="17"/>
      <c r="E712" s="54"/>
      <c r="F712" s="54"/>
      <c r="G712" s="55"/>
    </row>
    <row r="713">
      <c r="A713" s="54"/>
      <c r="B713" s="54"/>
      <c r="C713" s="54"/>
      <c r="D713" s="17"/>
      <c r="E713" s="54"/>
      <c r="F713" s="54"/>
      <c r="G713" s="55"/>
    </row>
    <row r="714">
      <c r="A714" s="54"/>
      <c r="B714" s="54"/>
      <c r="C714" s="54"/>
      <c r="D714" s="17"/>
      <c r="E714" s="54"/>
      <c r="F714" s="54"/>
      <c r="G714" s="55"/>
    </row>
    <row r="715">
      <c r="A715" s="54"/>
      <c r="B715" s="54"/>
      <c r="C715" s="54"/>
      <c r="D715" s="17"/>
      <c r="E715" s="54"/>
      <c r="F715" s="54"/>
      <c r="G715" s="55"/>
    </row>
    <row r="716">
      <c r="A716" s="54"/>
      <c r="B716" s="54"/>
      <c r="C716" s="54"/>
      <c r="D716" s="17"/>
      <c r="E716" s="54"/>
      <c r="F716" s="54"/>
      <c r="G716" s="55"/>
    </row>
    <row r="717">
      <c r="A717" s="54"/>
      <c r="B717" s="54"/>
      <c r="C717" s="54"/>
      <c r="D717" s="17"/>
      <c r="E717" s="54"/>
      <c r="F717" s="54"/>
      <c r="G717" s="55"/>
    </row>
    <row r="718">
      <c r="A718" s="54"/>
      <c r="B718" s="54"/>
      <c r="C718" s="54"/>
      <c r="D718" s="17"/>
      <c r="E718" s="54"/>
      <c r="F718" s="54"/>
      <c r="G718" s="55"/>
    </row>
    <row r="719">
      <c r="A719" s="54"/>
      <c r="B719" s="54"/>
      <c r="C719" s="54"/>
      <c r="D719" s="17"/>
      <c r="E719" s="54"/>
      <c r="F719" s="54"/>
      <c r="G719" s="55"/>
    </row>
    <row r="720">
      <c r="A720" s="54"/>
      <c r="B720" s="54"/>
      <c r="C720" s="54"/>
      <c r="D720" s="17"/>
      <c r="E720" s="54"/>
      <c r="F720" s="54"/>
      <c r="G720" s="55"/>
    </row>
    <row r="721">
      <c r="A721" s="54"/>
      <c r="B721" s="54"/>
      <c r="C721" s="54"/>
      <c r="D721" s="17"/>
      <c r="E721" s="54"/>
      <c r="F721" s="54"/>
      <c r="G721" s="55"/>
    </row>
    <row r="722">
      <c r="A722" s="54"/>
      <c r="B722" s="54"/>
      <c r="C722" s="54"/>
      <c r="D722" s="17"/>
      <c r="E722" s="54"/>
      <c r="F722" s="54"/>
      <c r="G722" s="55"/>
    </row>
    <row r="723">
      <c r="A723" s="54"/>
      <c r="B723" s="54"/>
      <c r="C723" s="54"/>
      <c r="D723" s="17"/>
      <c r="E723" s="54"/>
      <c r="F723" s="54"/>
      <c r="G723" s="55"/>
    </row>
    <row r="724">
      <c r="A724" s="54"/>
      <c r="B724" s="54"/>
      <c r="C724" s="54"/>
      <c r="D724" s="17"/>
      <c r="E724" s="54"/>
      <c r="F724" s="54"/>
      <c r="G724" s="55"/>
    </row>
    <row r="725">
      <c r="A725" s="54"/>
      <c r="B725" s="54"/>
      <c r="C725" s="54"/>
      <c r="D725" s="17"/>
      <c r="E725" s="54"/>
      <c r="F725" s="54"/>
      <c r="G725" s="55"/>
    </row>
    <row r="726">
      <c r="A726" s="54"/>
      <c r="B726" s="54"/>
      <c r="C726" s="54"/>
      <c r="D726" s="17"/>
      <c r="E726" s="54"/>
      <c r="F726" s="54"/>
      <c r="G726" s="55"/>
    </row>
    <row r="727">
      <c r="A727" s="54"/>
      <c r="B727" s="54"/>
      <c r="C727" s="54"/>
      <c r="D727" s="17"/>
      <c r="E727" s="54"/>
      <c r="F727" s="54"/>
      <c r="G727" s="55"/>
    </row>
    <row r="728">
      <c r="A728" s="54"/>
      <c r="B728" s="54"/>
      <c r="C728" s="54"/>
      <c r="D728" s="17"/>
      <c r="E728" s="54"/>
      <c r="F728" s="54"/>
      <c r="G728" s="55"/>
    </row>
    <row r="729">
      <c r="A729" s="54"/>
      <c r="B729" s="54"/>
      <c r="C729" s="54"/>
      <c r="D729" s="17"/>
      <c r="E729" s="54"/>
      <c r="F729" s="54"/>
      <c r="G729" s="55"/>
    </row>
    <row r="730">
      <c r="A730" s="54"/>
      <c r="B730" s="54"/>
      <c r="C730" s="54"/>
      <c r="D730" s="17"/>
      <c r="E730" s="54"/>
      <c r="F730" s="54"/>
      <c r="G730" s="55"/>
    </row>
    <row r="731">
      <c r="A731" s="54"/>
      <c r="B731" s="54"/>
      <c r="C731" s="54"/>
      <c r="D731" s="17"/>
      <c r="E731" s="54"/>
      <c r="F731" s="54"/>
      <c r="G731" s="55"/>
    </row>
    <row r="732">
      <c r="A732" s="54"/>
      <c r="B732" s="54"/>
      <c r="C732" s="54"/>
      <c r="D732" s="17"/>
      <c r="E732" s="54"/>
      <c r="F732" s="54"/>
      <c r="G732" s="55"/>
    </row>
    <row r="733">
      <c r="A733" s="54"/>
      <c r="B733" s="54"/>
      <c r="C733" s="54"/>
      <c r="D733" s="17"/>
      <c r="E733" s="54"/>
      <c r="F733" s="54"/>
      <c r="G733" s="55"/>
    </row>
    <row r="734">
      <c r="A734" s="54"/>
      <c r="B734" s="54"/>
      <c r="C734" s="54"/>
      <c r="D734" s="17"/>
      <c r="E734" s="54"/>
      <c r="F734" s="54"/>
      <c r="G734" s="55"/>
    </row>
    <row r="735">
      <c r="A735" s="54"/>
      <c r="B735" s="54"/>
      <c r="C735" s="54"/>
      <c r="D735" s="17"/>
      <c r="E735" s="54"/>
      <c r="F735" s="54"/>
      <c r="G735" s="55"/>
    </row>
    <row r="736">
      <c r="A736" s="54"/>
      <c r="B736" s="54"/>
      <c r="C736" s="54"/>
      <c r="D736" s="17"/>
      <c r="E736" s="54"/>
      <c r="F736" s="54"/>
      <c r="G736" s="55"/>
    </row>
    <row r="737">
      <c r="A737" s="54"/>
      <c r="B737" s="54"/>
      <c r="C737" s="54"/>
      <c r="D737" s="17"/>
      <c r="E737" s="54"/>
      <c r="F737" s="54"/>
      <c r="G737" s="55"/>
    </row>
    <row r="738">
      <c r="A738" s="54"/>
      <c r="B738" s="54"/>
      <c r="C738" s="54"/>
      <c r="D738" s="17"/>
      <c r="E738" s="54"/>
      <c r="F738" s="54"/>
      <c r="G738" s="55"/>
    </row>
    <row r="739">
      <c r="A739" s="54"/>
      <c r="B739" s="54"/>
      <c r="C739" s="54"/>
      <c r="D739" s="17"/>
      <c r="E739" s="54"/>
      <c r="F739" s="54"/>
      <c r="G739" s="55"/>
    </row>
    <row r="740">
      <c r="A740" s="54"/>
      <c r="B740" s="54"/>
      <c r="C740" s="54"/>
      <c r="D740" s="17"/>
      <c r="E740" s="54"/>
      <c r="F740" s="54"/>
      <c r="G740" s="55"/>
    </row>
    <row r="741">
      <c r="A741" s="54"/>
      <c r="B741" s="54"/>
      <c r="C741" s="54"/>
      <c r="D741" s="17"/>
      <c r="E741" s="54"/>
      <c r="F741" s="54"/>
      <c r="G741" s="55"/>
    </row>
    <row r="742">
      <c r="A742" s="54"/>
      <c r="B742" s="54"/>
      <c r="C742" s="54"/>
      <c r="D742" s="17"/>
      <c r="E742" s="54"/>
      <c r="F742" s="54"/>
      <c r="G742" s="55"/>
    </row>
    <row r="743">
      <c r="A743" s="54"/>
      <c r="B743" s="54"/>
      <c r="C743" s="54"/>
      <c r="D743" s="17"/>
      <c r="E743" s="54"/>
      <c r="F743" s="54"/>
      <c r="G743" s="55"/>
    </row>
    <row r="744">
      <c r="A744" s="54"/>
      <c r="B744" s="54"/>
      <c r="C744" s="54"/>
      <c r="D744" s="17"/>
      <c r="E744" s="54"/>
      <c r="F744" s="54"/>
      <c r="G744" s="55"/>
    </row>
    <row r="745">
      <c r="A745" s="54"/>
      <c r="B745" s="54"/>
      <c r="C745" s="54"/>
      <c r="D745" s="17"/>
      <c r="E745" s="54"/>
      <c r="F745" s="54"/>
      <c r="G745" s="55"/>
    </row>
    <row r="746">
      <c r="A746" s="54"/>
      <c r="B746" s="54"/>
      <c r="C746" s="54"/>
      <c r="D746" s="17"/>
      <c r="E746" s="54"/>
      <c r="F746" s="54"/>
      <c r="G746" s="55"/>
    </row>
    <row r="747">
      <c r="A747" s="54"/>
      <c r="B747" s="54"/>
      <c r="C747" s="54"/>
      <c r="D747" s="17"/>
      <c r="E747" s="54"/>
      <c r="F747" s="54"/>
      <c r="G747" s="55"/>
    </row>
    <row r="748">
      <c r="A748" s="54"/>
      <c r="B748" s="54"/>
      <c r="C748" s="54"/>
      <c r="D748" s="17"/>
      <c r="E748" s="54"/>
      <c r="F748" s="54"/>
      <c r="G748" s="55"/>
    </row>
    <row r="749">
      <c r="A749" s="54"/>
      <c r="B749" s="54"/>
      <c r="C749" s="54"/>
      <c r="D749" s="17"/>
      <c r="E749" s="54"/>
      <c r="F749" s="54"/>
      <c r="G749" s="55"/>
    </row>
    <row r="750">
      <c r="A750" s="54"/>
      <c r="B750" s="54"/>
      <c r="C750" s="54"/>
      <c r="D750" s="17"/>
      <c r="E750" s="54"/>
      <c r="F750" s="54"/>
      <c r="G750" s="55"/>
    </row>
    <row r="751">
      <c r="A751" s="54"/>
      <c r="B751" s="54"/>
      <c r="C751" s="54"/>
      <c r="D751" s="17"/>
      <c r="E751" s="54"/>
      <c r="F751" s="54"/>
      <c r="G751" s="55"/>
    </row>
    <row r="752">
      <c r="A752" s="54"/>
      <c r="B752" s="54"/>
      <c r="C752" s="54"/>
      <c r="D752" s="17"/>
      <c r="E752" s="54"/>
      <c r="F752" s="54"/>
      <c r="G752" s="55"/>
    </row>
    <row r="753">
      <c r="A753" s="54"/>
      <c r="B753" s="54"/>
      <c r="C753" s="54"/>
      <c r="D753" s="17"/>
      <c r="E753" s="54"/>
      <c r="F753" s="54"/>
      <c r="G753" s="55"/>
    </row>
    <row r="754">
      <c r="A754" s="54"/>
      <c r="B754" s="54"/>
      <c r="C754" s="54"/>
      <c r="D754" s="17"/>
      <c r="E754" s="54"/>
      <c r="F754" s="54"/>
      <c r="G754" s="55"/>
    </row>
    <row r="755">
      <c r="A755" s="54"/>
      <c r="B755" s="54"/>
      <c r="C755" s="54"/>
      <c r="D755" s="17"/>
      <c r="E755" s="54"/>
      <c r="F755" s="54"/>
      <c r="G755" s="55"/>
    </row>
    <row r="756">
      <c r="A756" s="54"/>
      <c r="B756" s="54"/>
      <c r="C756" s="54"/>
      <c r="D756" s="17"/>
      <c r="E756" s="54"/>
      <c r="F756" s="54"/>
      <c r="G756" s="55"/>
    </row>
    <row r="757">
      <c r="A757" s="54"/>
      <c r="B757" s="54"/>
      <c r="C757" s="54"/>
      <c r="D757" s="17"/>
      <c r="E757" s="54"/>
      <c r="F757" s="54"/>
      <c r="G757" s="55"/>
    </row>
    <row r="758">
      <c r="A758" s="54"/>
      <c r="B758" s="54"/>
      <c r="C758" s="54"/>
      <c r="D758" s="17"/>
      <c r="E758" s="54"/>
      <c r="F758" s="54"/>
      <c r="G758" s="55"/>
    </row>
    <row r="759">
      <c r="A759" s="54"/>
      <c r="B759" s="54"/>
      <c r="C759" s="54"/>
      <c r="D759" s="17"/>
      <c r="E759" s="54"/>
      <c r="F759" s="54"/>
      <c r="G759" s="55"/>
    </row>
    <row r="760">
      <c r="A760" s="54"/>
      <c r="B760" s="54"/>
      <c r="C760" s="54"/>
      <c r="D760" s="17"/>
      <c r="E760" s="54"/>
      <c r="F760" s="54"/>
      <c r="G760" s="55"/>
    </row>
    <row r="761">
      <c r="A761" s="54"/>
      <c r="B761" s="54"/>
      <c r="C761" s="54"/>
      <c r="D761" s="17"/>
      <c r="E761" s="54"/>
      <c r="F761" s="54"/>
      <c r="G761" s="55"/>
    </row>
    <row r="762">
      <c r="A762" s="54"/>
      <c r="B762" s="54"/>
      <c r="C762" s="54"/>
      <c r="D762" s="17"/>
      <c r="E762" s="54"/>
      <c r="F762" s="54"/>
      <c r="G762" s="55"/>
    </row>
    <row r="763">
      <c r="A763" s="54"/>
      <c r="B763" s="54"/>
      <c r="C763" s="54"/>
      <c r="D763" s="17"/>
      <c r="E763" s="54"/>
      <c r="F763" s="54"/>
      <c r="G763" s="55"/>
    </row>
    <row r="764">
      <c r="A764" s="54"/>
      <c r="B764" s="54"/>
      <c r="C764" s="54"/>
      <c r="D764" s="17"/>
      <c r="E764" s="54"/>
      <c r="F764" s="54"/>
      <c r="G764" s="55"/>
    </row>
    <row r="765">
      <c r="A765" s="54"/>
      <c r="B765" s="54"/>
      <c r="C765" s="54"/>
      <c r="D765" s="17"/>
      <c r="E765" s="54"/>
      <c r="F765" s="54"/>
      <c r="G765" s="55"/>
    </row>
    <row r="766">
      <c r="A766" s="54"/>
      <c r="B766" s="54"/>
      <c r="C766" s="54"/>
      <c r="D766" s="17"/>
      <c r="E766" s="54"/>
      <c r="F766" s="54"/>
      <c r="G766" s="55"/>
    </row>
    <row r="767">
      <c r="A767" s="54"/>
      <c r="B767" s="54"/>
      <c r="C767" s="54"/>
      <c r="D767" s="17"/>
      <c r="E767" s="54"/>
      <c r="F767" s="54"/>
      <c r="G767" s="55"/>
    </row>
    <row r="768">
      <c r="A768" s="54"/>
      <c r="B768" s="54"/>
      <c r="C768" s="54"/>
      <c r="D768" s="17"/>
      <c r="E768" s="54"/>
      <c r="F768" s="54"/>
      <c r="G768" s="55"/>
    </row>
    <row r="769">
      <c r="A769" s="54"/>
      <c r="B769" s="54"/>
      <c r="C769" s="54"/>
      <c r="D769" s="17"/>
      <c r="E769" s="54"/>
      <c r="F769" s="54"/>
      <c r="G769" s="55"/>
    </row>
    <row r="770">
      <c r="A770" s="54"/>
      <c r="B770" s="54"/>
      <c r="C770" s="54"/>
      <c r="D770" s="17"/>
      <c r="E770" s="54"/>
      <c r="F770" s="54"/>
      <c r="G770" s="55"/>
    </row>
    <row r="771">
      <c r="A771" s="54"/>
      <c r="B771" s="54"/>
      <c r="C771" s="54"/>
      <c r="D771" s="17"/>
      <c r="E771" s="54"/>
      <c r="F771" s="54"/>
      <c r="G771" s="55"/>
    </row>
    <row r="772">
      <c r="A772" s="54"/>
      <c r="B772" s="54"/>
      <c r="C772" s="54"/>
      <c r="D772" s="17"/>
      <c r="E772" s="54"/>
      <c r="F772" s="54"/>
      <c r="G772" s="55"/>
    </row>
    <row r="773">
      <c r="A773" s="54"/>
      <c r="B773" s="54"/>
      <c r="C773" s="54"/>
      <c r="D773" s="17"/>
      <c r="E773" s="54"/>
      <c r="F773" s="54"/>
      <c r="G773" s="55"/>
    </row>
    <row r="774">
      <c r="A774" s="54"/>
      <c r="B774" s="54"/>
      <c r="C774" s="54"/>
      <c r="D774" s="17"/>
      <c r="E774" s="54"/>
      <c r="F774" s="54"/>
      <c r="G774" s="55"/>
    </row>
    <row r="775">
      <c r="A775" s="54"/>
      <c r="B775" s="54"/>
      <c r="C775" s="54"/>
      <c r="D775" s="17"/>
      <c r="E775" s="54"/>
      <c r="F775" s="54"/>
      <c r="G775" s="55"/>
    </row>
    <row r="776">
      <c r="A776" s="54"/>
      <c r="B776" s="54"/>
      <c r="C776" s="54"/>
      <c r="D776" s="17"/>
      <c r="E776" s="54"/>
      <c r="F776" s="54"/>
      <c r="G776" s="55"/>
    </row>
    <row r="777">
      <c r="A777" s="54"/>
      <c r="B777" s="54"/>
      <c r="C777" s="54"/>
      <c r="D777" s="17"/>
      <c r="E777" s="54"/>
      <c r="F777" s="54"/>
      <c r="G777" s="55"/>
    </row>
    <row r="778">
      <c r="A778" s="54"/>
      <c r="B778" s="54"/>
      <c r="C778" s="54"/>
      <c r="D778" s="17"/>
      <c r="E778" s="54"/>
      <c r="F778" s="54"/>
      <c r="G778" s="55"/>
    </row>
    <row r="779">
      <c r="A779" s="54"/>
      <c r="B779" s="54"/>
      <c r="C779" s="54"/>
      <c r="D779" s="17"/>
      <c r="E779" s="54"/>
      <c r="F779" s="54"/>
      <c r="G779" s="55"/>
    </row>
    <row r="780">
      <c r="A780" s="54"/>
      <c r="B780" s="54"/>
      <c r="C780" s="54"/>
      <c r="D780" s="17"/>
      <c r="E780" s="54"/>
      <c r="F780" s="54"/>
      <c r="G780" s="55"/>
    </row>
    <row r="781">
      <c r="A781" s="54"/>
      <c r="B781" s="54"/>
      <c r="C781" s="54"/>
      <c r="D781" s="17"/>
      <c r="E781" s="54"/>
      <c r="F781" s="54"/>
      <c r="G781" s="55"/>
    </row>
    <row r="782">
      <c r="A782" s="54"/>
      <c r="B782" s="54"/>
      <c r="C782" s="54"/>
      <c r="D782" s="17"/>
      <c r="E782" s="54"/>
      <c r="F782" s="54"/>
      <c r="G782" s="55"/>
    </row>
    <row r="783">
      <c r="A783" s="54"/>
      <c r="B783" s="54"/>
      <c r="C783" s="54"/>
      <c r="D783" s="17"/>
      <c r="E783" s="54"/>
      <c r="F783" s="54"/>
      <c r="G783" s="55"/>
    </row>
    <row r="784">
      <c r="A784" s="54"/>
      <c r="B784" s="54"/>
      <c r="C784" s="54"/>
      <c r="D784" s="17"/>
      <c r="E784" s="54"/>
      <c r="F784" s="54"/>
      <c r="G784" s="55"/>
    </row>
    <row r="785">
      <c r="A785" s="54"/>
      <c r="B785" s="54"/>
      <c r="C785" s="54"/>
      <c r="D785" s="17"/>
      <c r="E785" s="54"/>
      <c r="F785" s="54"/>
      <c r="G785" s="55"/>
    </row>
    <row r="786">
      <c r="A786" s="54"/>
      <c r="B786" s="54"/>
      <c r="C786" s="54"/>
      <c r="D786" s="17"/>
      <c r="E786" s="54"/>
      <c r="F786" s="54"/>
      <c r="G786" s="55"/>
    </row>
    <row r="787">
      <c r="A787" s="54"/>
      <c r="B787" s="54"/>
      <c r="C787" s="54"/>
      <c r="D787" s="17"/>
      <c r="E787" s="54"/>
      <c r="F787" s="54"/>
      <c r="G787" s="55"/>
    </row>
    <row r="788">
      <c r="A788" s="54"/>
      <c r="B788" s="54"/>
      <c r="C788" s="54"/>
      <c r="D788" s="17"/>
      <c r="E788" s="54"/>
      <c r="F788" s="54"/>
      <c r="G788" s="55"/>
    </row>
    <row r="789">
      <c r="A789" s="54"/>
      <c r="B789" s="54"/>
      <c r="C789" s="54"/>
      <c r="D789" s="17"/>
      <c r="E789" s="54"/>
      <c r="F789" s="54"/>
      <c r="G789" s="55"/>
    </row>
    <row r="790">
      <c r="A790" s="54"/>
      <c r="B790" s="54"/>
      <c r="C790" s="54"/>
      <c r="D790" s="17"/>
      <c r="E790" s="54"/>
      <c r="F790" s="54"/>
      <c r="G790" s="55"/>
    </row>
    <row r="791">
      <c r="A791" s="54"/>
      <c r="B791" s="54"/>
      <c r="C791" s="54"/>
      <c r="D791" s="17"/>
      <c r="E791" s="54"/>
      <c r="F791" s="54"/>
      <c r="G791" s="55"/>
    </row>
    <row r="792">
      <c r="A792" s="54"/>
      <c r="B792" s="54"/>
      <c r="C792" s="54"/>
      <c r="D792" s="17"/>
      <c r="E792" s="54"/>
      <c r="F792" s="54"/>
      <c r="G792" s="55"/>
    </row>
    <row r="793">
      <c r="A793" s="54"/>
      <c r="B793" s="54"/>
      <c r="C793" s="54"/>
      <c r="D793" s="17"/>
      <c r="E793" s="54"/>
      <c r="F793" s="54"/>
      <c r="G793" s="55"/>
    </row>
    <row r="794">
      <c r="A794" s="54"/>
      <c r="B794" s="54"/>
      <c r="C794" s="54"/>
      <c r="D794" s="17"/>
      <c r="E794" s="54"/>
      <c r="F794" s="54"/>
      <c r="G794" s="55"/>
    </row>
    <row r="795">
      <c r="A795" s="54"/>
      <c r="B795" s="54"/>
      <c r="C795" s="54"/>
      <c r="D795" s="17"/>
      <c r="E795" s="54"/>
      <c r="F795" s="54"/>
      <c r="G795" s="55"/>
    </row>
    <row r="796">
      <c r="A796" s="54"/>
      <c r="B796" s="54"/>
      <c r="C796" s="54"/>
      <c r="D796" s="17"/>
      <c r="E796" s="54"/>
      <c r="F796" s="54"/>
      <c r="G796" s="55"/>
    </row>
    <row r="797">
      <c r="A797" s="54"/>
      <c r="B797" s="54"/>
      <c r="C797" s="54"/>
      <c r="D797" s="17"/>
      <c r="E797" s="54"/>
      <c r="F797" s="54"/>
      <c r="G797" s="55"/>
    </row>
    <row r="798">
      <c r="A798" s="54"/>
      <c r="B798" s="54"/>
      <c r="C798" s="54"/>
      <c r="D798" s="17"/>
      <c r="E798" s="54"/>
      <c r="F798" s="54"/>
      <c r="G798" s="55"/>
    </row>
    <row r="799">
      <c r="A799" s="54"/>
      <c r="B799" s="54"/>
      <c r="C799" s="54"/>
      <c r="D799" s="17"/>
      <c r="E799" s="54"/>
      <c r="F799" s="54"/>
      <c r="G799" s="55"/>
    </row>
    <row r="800">
      <c r="A800" s="54"/>
      <c r="B800" s="54"/>
      <c r="C800" s="54"/>
      <c r="D800" s="17"/>
      <c r="E800" s="54"/>
      <c r="F800" s="54"/>
      <c r="G800" s="55"/>
    </row>
    <row r="801">
      <c r="A801" s="54"/>
      <c r="B801" s="54"/>
      <c r="C801" s="54"/>
      <c r="D801" s="17"/>
      <c r="E801" s="54"/>
      <c r="F801" s="54"/>
      <c r="G801" s="55"/>
    </row>
    <row r="802">
      <c r="A802" s="54"/>
      <c r="B802" s="54"/>
      <c r="C802" s="54"/>
      <c r="D802" s="17"/>
      <c r="E802" s="54"/>
      <c r="F802" s="54"/>
      <c r="G802" s="55"/>
    </row>
    <row r="803">
      <c r="A803" s="54"/>
      <c r="B803" s="54"/>
      <c r="C803" s="54"/>
      <c r="D803" s="17"/>
      <c r="E803" s="54"/>
      <c r="F803" s="54"/>
      <c r="G803" s="55"/>
    </row>
    <row r="804">
      <c r="A804" s="54"/>
      <c r="B804" s="54"/>
      <c r="C804" s="54"/>
      <c r="D804" s="17"/>
      <c r="E804" s="54"/>
      <c r="F804" s="54"/>
      <c r="G804" s="55"/>
    </row>
    <row r="805">
      <c r="A805" s="54"/>
      <c r="B805" s="54"/>
      <c r="C805" s="54"/>
      <c r="D805" s="17"/>
      <c r="E805" s="54"/>
      <c r="F805" s="54"/>
      <c r="G805" s="55"/>
    </row>
    <row r="806">
      <c r="A806" s="54"/>
      <c r="B806" s="54"/>
      <c r="C806" s="54"/>
      <c r="D806" s="17"/>
      <c r="E806" s="54"/>
      <c r="F806" s="54"/>
      <c r="G806" s="55"/>
    </row>
    <row r="807">
      <c r="A807" s="54"/>
      <c r="B807" s="54"/>
      <c r="C807" s="54"/>
      <c r="D807" s="17"/>
      <c r="E807" s="54"/>
      <c r="F807" s="54"/>
      <c r="G807" s="55"/>
    </row>
    <row r="808">
      <c r="A808" s="54"/>
      <c r="B808" s="54"/>
      <c r="C808" s="54"/>
      <c r="D808" s="17"/>
      <c r="E808" s="54"/>
      <c r="F808" s="54"/>
      <c r="G808" s="55"/>
    </row>
    <row r="809">
      <c r="A809" s="54"/>
      <c r="B809" s="54"/>
      <c r="C809" s="54"/>
      <c r="D809" s="17"/>
      <c r="E809" s="54"/>
      <c r="F809" s="54"/>
      <c r="G809" s="55"/>
    </row>
    <row r="810">
      <c r="A810" s="54"/>
      <c r="B810" s="54"/>
      <c r="C810" s="54"/>
      <c r="D810" s="17"/>
      <c r="E810" s="54"/>
      <c r="F810" s="54"/>
      <c r="G810" s="55"/>
    </row>
    <row r="811">
      <c r="A811" s="54"/>
      <c r="B811" s="54"/>
      <c r="C811" s="54"/>
      <c r="D811" s="17"/>
      <c r="E811" s="54"/>
      <c r="F811" s="54"/>
      <c r="G811" s="55"/>
    </row>
    <row r="812">
      <c r="A812" s="54"/>
      <c r="B812" s="54"/>
      <c r="C812" s="54"/>
      <c r="D812" s="17"/>
      <c r="E812" s="54"/>
      <c r="F812" s="54"/>
      <c r="G812" s="55"/>
    </row>
    <row r="813">
      <c r="A813" s="54"/>
      <c r="B813" s="54"/>
      <c r="C813" s="54"/>
      <c r="D813" s="17"/>
      <c r="E813" s="54"/>
      <c r="F813" s="54"/>
      <c r="G813" s="55"/>
    </row>
    <row r="814">
      <c r="A814" s="54"/>
      <c r="B814" s="54"/>
      <c r="C814" s="54"/>
      <c r="D814" s="17"/>
      <c r="E814" s="54"/>
      <c r="F814" s="54"/>
      <c r="G814" s="55"/>
    </row>
    <row r="815">
      <c r="A815" s="54"/>
      <c r="B815" s="54"/>
      <c r="C815" s="54"/>
      <c r="D815" s="17"/>
      <c r="E815" s="54"/>
      <c r="F815" s="54"/>
      <c r="G815" s="55"/>
    </row>
    <row r="816">
      <c r="A816" s="54"/>
      <c r="B816" s="54"/>
      <c r="C816" s="54"/>
      <c r="D816" s="17"/>
      <c r="E816" s="54"/>
      <c r="F816" s="54"/>
      <c r="G816" s="55"/>
    </row>
    <row r="817">
      <c r="A817" s="54"/>
      <c r="B817" s="54"/>
      <c r="C817" s="54"/>
      <c r="D817" s="17"/>
      <c r="E817" s="54"/>
      <c r="F817" s="54"/>
      <c r="G817" s="55"/>
    </row>
    <row r="818">
      <c r="A818" s="54"/>
      <c r="B818" s="54"/>
      <c r="C818" s="54"/>
      <c r="D818" s="17"/>
      <c r="E818" s="54"/>
      <c r="F818" s="54"/>
      <c r="G818" s="55"/>
    </row>
    <row r="819">
      <c r="A819" s="54"/>
      <c r="B819" s="54"/>
      <c r="C819" s="54"/>
      <c r="D819" s="17"/>
      <c r="E819" s="54"/>
      <c r="F819" s="54"/>
      <c r="G819" s="55"/>
    </row>
    <row r="820">
      <c r="A820" s="54"/>
      <c r="B820" s="54"/>
      <c r="C820" s="54"/>
      <c r="D820" s="17"/>
      <c r="E820" s="54"/>
      <c r="F820" s="54"/>
      <c r="G820" s="55"/>
    </row>
    <row r="821">
      <c r="A821" s="54"/>
      <c r="B821" s="54"/>
      <c r="C821" s="54"/>
      <c r="D821" s="17"/>
      <c r="E821" s="54"/>
      <c r="F821" s="54"/>
      <c r="G821" s="55"/>
    </row>
    <row r="822">
      <c r="A822" s="54"/>
      <c r="B822" s="54"/>
      <c r="C822" s="54"/>
      <c r="D822" s="17"/>
      <c r="E822" s="54"/>
      <c r="F822" s="54"/>
      <c r="G822" s="55"/>
    </row>
    <row r="823">
      <c r="A823" s="54"/>
      <c r="B823" s="54"/>
      <c r="C823" s="54"/>
      <c r="D823" s="17"/>
      <c r="E823" s="54"/>
      <c r="F823" s="54"/>
      <c r="G823" s="55"/>
    </row>
    <row r="824">
      <c r="A824" s="54"/>
      <c r="B824" s="54"/>
      <c r="C824" s="54"/>
      <c r="D824" s="17"/>
      <c r="E824" s="54"/>
      <c r="F824" s="54"/>
      <c r="G824" s="55"/>
    </row>
    <row r="825">
      <c r="A825" s="54"/>
      <c r="B825" s="54"/>
      <c r="C825" s="54"/>
      <c r="D825" s="17"/>
      <c r="E825" s="54"/>
      <c r="F825" s="54"/>
      <c r="G825" s="55"/>
    </row>
    <row r="826">
      <c r="A826" s="54"/>
      <c r="B826" s="54"/>
      <c r="C826" s="54"/>
      <c r="D826" s="17"/>
      <c r="E826" s="54"/>
      <c r="F826" s="54"/>
      <c r="G826" s="55"/>
    </row>
    <row r="827">
      <c r="A827" s="54"/>
      <c r="B827" s="54"/>
      <c r="C827" s="54"/>
      <c r="D827" s="17"/>
      <c r="E827" s="54"/>
      <c r="F827" s="54"/>
      <c r="G827" s="55"/>
    </row>
    <row r="828">
      <c r="A828" s="54"/>
      <c r="B828" s="54"/>
      <c r="C828" s="54"/>
      <c r="D828" s="17"/>
      <c r="E828" s="54"/>
      <c r="F828" s="54"/>
      <c r="G828" s="55"/>
    </row>
    <row r="829">
      <c r="A829" s="54"/>
      <c r="B829" s="54"/>
      <c r="C829" s="54"/>
      <c r="D829" s="17"/>
      <c r="E829" s="54"/>
      <c r="F829" s="54"/>
      <c r="G829" s="55"/>
    </row>
    <row r="830">
      <c r="A830" s="54"/>
      <c r="B830" s="54"/>
      <c r="C830" s="54"/>
      <c r="D830" s="17"/>
      <c r="E830" s="54"/>
      <c r="F830" s="54"/>
      <c r="G830" s="55"/>
    </row>
    <row r="831">
      <c r="A831" s="54"/>
      <c r="B831" s="54"/>
      <c r="C831" s="54"/>
      <c r="D831" s="17"/>
      <c r="E831" s="54"/>
      <c r="F831" s="54"/>
      <c r="G831" s="55"/>
    </row>
    <row r="832">
      <c r="A832" s="54"/>
      <c r="B832" s="54"/>
      <c r="C832" s="54"/>
      <c r="D832" s="17"/>
      <c r="E832" s="54"/>
      <c r="F832" s="54"/>
      <c r="G832" s="55"/>
    </row>
    <row r="833">
      <c r="A833" s="54"/>
      <c r="B833" s="54"/>
      <c r="C833" s="54"/>
      <c r="D833" s="17"/>
      <c r="E833" s="54"/>
      <c r="F833" s="54"/>
      <c r="G833" s="55"/>
    </row>
    <row r="834">
      <c r="A834" s="54"/>
      <c r="B834" s="54"/>
      <c r="C834" s="54"/>
      <c r="D834" s="17"/>
      <c r="E834" s="54"/>
      <c r="F834" s="54"/>
      <c r="G834" s="55"/>
    </row>
    <row r="835">
      <c r="A835" s="54"/>
      <c r="B835" s="54"/>
      <c r="C835" s="54"/>
      <c r="D835" s="17"/>
      <c r="E835" s="54"/>
      <c r="F835" s="54"/>
      <c r="G835" s="55"/>
    </row>
    <row r="836">
      <c r="A836" s="54"/>
      <c r="B836" s="54"/>
      <c r="C836" s="54"/>
      <c r="D836" s="17"/>
      <c r="E836" s="54"/>
      <c r="F836" s="54"/>
      <c r="G836" s="55"/>
    </row>
    <row r="837">
      <c r="A837" s="54"/>
      <c r="B837" s="54"/>
      <c r="C837" s="54"/>
      <c r="D837" s="17"/>
      <c r="E837" s="54"/>
      <c r="F837" s="54"/>
      <c r="G837" s="55"/>
    </row>
    <row r="838">
      <c r="A838" s="54"/>
      <c r="B838" s="54"/>
      <c r="C838" s="54"/>
      <c r="D838" s="17"/>
      <c r="E838" s="54"/>
      <c r="F838" s="54"/>
      <c r="G838" s="55"/>
    </row>
    <row r="839">
      <c r="A839" s="54"/>
      <c r="B839" s="54"/>
      <c r="C839" s="54"/>
      <c r="D839" s="17"/>
      <c r="E839" s="54"/>
      <c r="F839" s="54"/>
      <c r="G839" s="55"/>
    </row>
    <row r="840">
      <c r="A840" s="54"/>
      <c r="B840" s="54"/>
      <c r="C840" s="54"/>
      <c r="D840" s="17"/>
      <c r="E840" s="54"/>
      <c r="F840" s="54"/>
      <c r="G840" s="55"/>
    </row>
    <row r="841">
      <c r="A841" s="54"/>
      <c r="B841" s="54"/>
      <c r="C841" s="54"/>
      <c r="D841" s="17"/>
      <c r="E841" s="54"/>
      <c r="F841" s="54"/>
      <c r="G841" s="55"/>
    </row>
    <row r="842">
      <c r="A842" s="54"/>
      <c r="B842" s="54"/>
      <c r="C842" s="54"/>
      <c r="D842" s="17"/>
      <c r="E842" s="54"/>
      <c r="F842" s="54"/>
      <c r="G842" s="55"/>
    </row>
    <row r="843">
      <c r="A843" s="54"/>
      <c r="B843" s="54"/>
      <c r="C843" s="54"/>
      <c r="D843" s="17"/>
      <c r="E843" s="54"/>
      <c r="F843" s="54"/>
      <c r="G843" s="55"/>
    </row>
    <row r="844">
      <c r="A844" s="54"/>
      <c r="B844" s="54"/>
      <c r="C844" s="54"/>
      <c r="D844" s="17"/>
      <c r="E844" s="54"/>
      <c r="F844" s="54"/>
      <c r="G844" s="55"/>
    </row>
    <row r="845">
      <c r="A845" s="54"/>
      <c r="B845" s="54"/>
      <c r="C845" s="54"/>
      <c r="D845" s="17"/>
      <c r="E845" s="54"/>
      <c r="F845" s="54"/>
      <c r="G845" s="55"/>
    </row>
    <row r="846">
      <c r="A846" s="54"/>
      <c r="B846" s="54"/>
      <c r="C846" s="54"/>
      <c r="D846" s="17"/>
      <c r="E846" s="54"/>
      <c r="F846" s="54"/>
      <c r="G846" s="55"/>
    </row>
    <row r="847">
      <c r="A847" s="54"/>
      <c r="B847" s="54"/>
      <c r="C847" s="54"/>
      <c r="D847" s="17"/>
      <c r="E847" s="54"/>
      <c r="F847" s="54"/>
      <c r="G847" s="55"/>
    </row>
    <row r="848">
      <c r="A848" s="54"/>
      <c r="B848" s="54"/>
      <c r="C848" s="54"/>
      <c r="D848" s="17"/>
      <c r="E848" s="54"/>
      <c r="F848" s="54"/>
      <c r="G848" s="55"/>
    </row>
    <row r="849">
      <c r="A849" s="54"/>
      <c r="B849" s="54"/>
      <c r="C849" s="54"/>
      <c r="D849" s="17"/>
      <c r="E849" s="54"/>
      <c r="F849" s="54"/>
      <c r="G849" s="55"/>
    </row>
    <row r="850">
      <c r="A850" s="54"/>
      <c r="B850" s="54"/>
      <c r="C850" s="54"/>
      <c r="D850" s="17"/>
      <c r="E850" s="54"/>
      <c r="F850" s="54"/>
      <c r="G850" s="55"/>
    </row>
    <row r="851">
      <c r="A851" s="54"/>
      <c r="B851" s="54"/>
      <c r="C851" s="54"/>
      <c r="D851" s="17"/>
      <c r="E851" s="54"/>
      <c r="F851" s="54"/>
      <c r="G851" s="55"/>
    </row>
    <row r="852">
      <c r="A852" s="54"/>
      <c r="B852" s="54"/>
      <c r="C852" s="54"/>
      <c r="D852" s="17"/>
      <c r="E852" s="54"/>
      <c r="F852" s="54"/>
      <c r="G852" s="55"/>
    </row>
    <row r="853">
      <c r="A853" s="54"/>
      <c r="B853" s="54"/>
      <c r="C853" s="54"/>
      <c r="D853" s="17"/>
      <c r="E853" s="54"/>
      <c r="F853" s="54"/>
      <c r="G853" s="55"/>
    </row>
    <row r="854">
      <c r="A854" s="54"/>
      <c r="B854" s="54"/>
      <c r="C854" s="54"/>
      <c r="D854" s="17"/>
      <c r="E854" s="54"/>
      <c r="F854" s="54"/>
      <c r="G854" s="55"/>
    </row>
    <row r="855">
      <c r="A855" s="54"/>
      <c r="B855" s="54"/>
      <c r="C855" s="54"/>
      <c r="D855" s="17"/>
      <c r="E855" s="54"/>
      <c r="F855" s="54"/>
      <c r="G855" s="55"/>
    </row>
    <row r="856">
      <c r="A856" s="54"/>
      <c r="B856" s="54"/>
      <c r="C856" s="54"/>
      <c r="D856" s="17"/>
      <c r="E856" s="54"/>
      <c r="F856" s="54"/>
      <c r="G856" s="55"/>
    </row>
    <row r="857">
      <c r="A857" s="54"/>
      <c r="B857" s="54"/>
      <c r="C857" s="54"/>
      <c r="D857" s="17"/>
      <c r="E857" s="54"/>
      <c r="F857" s="54"/>
      <c r="G857" s="55"/>
    </row>
    <row r="858">
      <c r="A858" s="54"/>
      <c r="B858" s="54"/>
      <c r="C858" s="54"/>
      <c r="D858" s="17"/>
      <c r="E858" s="54"/>
      <c r="F858" s="54"/>
      <c r="G858" s="55"/>
    </row>
    <row r="859">
      <c r="A859" s="54"/>
      <c r="B859" s="54"/>
      <c r="C859" s="54"/>
      <c r="D859" s="17"/>
      <c r="E859" s="54"/>
      <c r="F859" s="54"/>
      <c r="G859" s="55"/>
    </row>
    <row r="860">
      <c r="A860" s="54"/>
      <c r="B860" s="54"/>
      <c r="C860" s="54"/>
      <c r="D860" s="17"/>
      <c r="E860" s="54"/>
      <c r="F860" s="54"/>
      <c r="G860" s="55"/>
    </row>
    <row r="861">
      <c r="A861" s="54"/>
      <c r="B861" s="54"/>
      <c r="C861" s="54"/>
      <c r="D861" s="17"/>
      <c r="E861" s="54"/>
      <c r="F861" s="54"/>
      <c r="G861" s="55"/>
    </row>
    <row r="862">
      <c r="A862" s="54"/>
      <c r="B862" s="54"/>
      <c r="C862" s="54"/>
      <c r="D862" s="17"/>
      <c r="E862" s="54"/>
      <c r="F862" s="54"/>
      <c r="G862" s="55"/>
    </row>
    <row r="863">
      <c r="A863" s="54"/>
      <c r="B863" s="54"/>
      <c r="C863" s="54"/>
      <c r="D863" s="17"/>
      <c r="E863" s="54"/>
      <c r="F863" s="54"/>
      <c r="G863" s="55"/>
    </row>
    <row r="864">
      <c r="A864" s="54"/>
      <c r="B864" s="54"/>
      <c r="C864" s="54"/>
      <c r="D864" s="17"/>
      <c r="E864" s="54"/>
      <c r="F864" s="54"/>
      <c r="G864" s="55"/>
    </row>
    <row r="865">
      <c r="A865" s="54"/>
      <c r="B865" s="54"/>
      <c r="C865" s="54"/>
      <c r="D865" s="17"/>
      <c r="E865" s="54"/>
      <c r="F865" s="54"/>
      <c r="G865" s="55"/>
    </row>
    <row r="866">
      <c r="A866" s="54"/>
      <c r="B866" s="54"/>
      <c r="C866" s="54"/>
      <c r="D866" s="17"/>
      <c r="E866" s="54"/>
      <c r="F866" s="54"/>
      <c r="G866" s="55"/>
    </row>
    <row r="867">
      <c r="A867" s="54"/>
      <c r="B867" s="54"/>
      <c r="C867" s="54"/>
      <c r="D867" s="17"/>
      <c r="E867" s="54"/>
      <c r="F867" s="54"/>
      <c r="G867" s="55"/>
    </row>
    <row r="868">
      <c r="A868" s="54"/>
      <c r="B868" s="54"/>
      <c r="C868" s="54"/>
      <c r="D868" s="17"/>
      <c r="E868" s="54"/>
      <c r="F868" s="54"/>
      <c r="G868" s="55"/>
    </row>
    <row r="869">
      <c r="A869" s="54"/>
      <c r="B869" s="54"/>
      <c r="C869" s="54"/>
      <c r="D869" s="17"/>
      <c r="E869" s="54"/>
      <c r="F869" s="54"/>
      <c r="G869" s="55"/>
    </row>
    <row r="870">
      <c r="A870" s="54"/>
      <c r="B870" s="54"/>
      <c r="C870" s="54"/>
      <c r="D870" s="17"/>
      <c r="E870" s="54"/>
      <c r="F870" s="54"/>
      <c r="G870" s="55"/>
    </row>
    <row r="871">
      <c r="A871" s="54"/>
      <c r="B871" s="54"/>
      <c r="C871" s="54"/>
      <c r="D871" s="17"/>
      <c r="E871" s="54"/>
      <c r="F871" s="54"/>
      <c r="G871" s="55"/>
    </row>
    <row r="872">
      <c r="A872" s="54"/>
      <c r="B872" s="54"/>
      <c r="C872" s="54"/>
      <c r="D872" s="17"/>
      <c r="E872" s="54"/>
      <c r="F872" s="54"/>
      <c r="G872" s="55"/>
    </row>
    <row r="873">
      <c r="A873" s="54"/>
      <c r="B873" s="54"/>
      <c r="C873" s="54"/>
      <c r="D873" s="17"/>
      <c r="E873" s="54"/>
      <c r="F873" s="54"/>
      <c r="G873" s="55"/>
    </row>
    <row r="874">
      <c r="A874" s="54"/>
      <c r="B874" s="54"/>
      <c r="C874" s="54"/>
      <c r="D874" s="17"/>
      <c r="E874" s="54"/>
      <c r="F874" s="54"/>
      <c r="G874" s="55"/>
    </row>
    <row r="875">
      <c r="A875" s="54"/>
      <c r="B875" s="54"/>
      <c r="C875" s="54"/>
      <c r="D875" s="17"/>
      <c r="E875" s="54"/>
      <c r="F875" s="54"/>
      <c r="G875" s="55"/>
    </row>
    <row r="876">
      <c r="A876" s="54"/>
      <c r="B876" s="54"/>
      <c r="C876" s="54"/>
      <c r="D876" s="17"/>
      <c r="E876" s="54"/>
      <c r="F876" s="54"/>
      <c r="G876" s="55"/>
    </row>
    <row r="877">
      <c r="A877" s="54"/>
      <c r="B877" s="54"/>
      <c r="C877" s="54"/>
      <c r="D877" s="17"/>
      <c r="E877" s="54"/>
      <c r="F877" s="54"/>
      <c r="G877" s="55"/>
    </row>
    <row r="878">
      <c r="A878" s="54"/>
      <c r="B878" s="54"/>
      <c r="C878" s="54"/>
      <c r="D878" s="17"/>
      <c r="E878" s="54"/>
      <c r="F878" s="54"/>
      <c r="G878" s="55"/>
    </row>
    <row r="879">
      <c r="A879" s="54"/>
      <c r="B879" s="54"/>
      <c r="C879" s="54"/>
      <c r="D879" s="17"/>
      <c r="E879" s="54"/>
      <c r="F879" s="54"/>
      <c r="G879" s="55"/>
    </row>
    <row r="880">
      <c r="A880" s="54"/>
      <c r="B880" s="54"/>
      <c r="C880" s="54"/>
      <c r="D880" s="17"/>
      <c r="E880" s="54"/>
      <c r="F880" s="54"/>
      <c r="G880" s="55"/>
    </row>
    <row r="881">
      <c r="A881" s="54"/>
      <c r="B881" s="54"/>
      <c r="C881" s="54"/>
      <c r="D881" s="17"/>
      <c r="E881" s="54"/>
      <c r="F881" s="54"/>
      <c r="G881" s="55"/>
    </row>
    <row r="882">
      <c r="A882" s="54"/>
      <c r="B882" s="54"/>
      <c r="C882" s="54"/>
      <c r="D882" s="17"/>
      <c r="E882" s="54"/>
      <c r="F882" s="54"/>
      <c r="G882" s="55"/>
    </row>
    <row r="883">
      <c r="A883" s="54"/>
      <c r="B883" s="54"/>
      <c r="C883" s="54"/>
      <c r="D883" s="17"/>
      <c r="E883" s="54"/>
      <c r="F883" s="54"/>
      <c r="G883" s="55"/>
    </row>
    <row r="884">
      <c r="A884" s="54"/>
      <c r="B884" s="54"/>
      <c r="C884" s="54"/>
      <c r="D884" s="17"/>
      <c r="E884" s="54"/>
      <c r="F884" s="54"/>
      <c r="G884" s="55"/>
    </row>
    <row r="885">
      <c r="A885" s="54"/>
      <c r="B885" s="54"/>
      <c r="C885" s="54"/>
      <c r="D885" s="17"/>
      <c r="E885" s="54"/>
      <c r="F885" s="54"/>
      <c r="G885" s="55"/>
    </row>
    <row r="886">
      <c r="A886" s="54"/>
      <c r="B886" s="54"/>
      <c r="C886" s="54"/>
      <c r="D886" s="17"/>
      <c r="E886" s="54"/>
      <c r="F886" s="54"/>
      <c r="G886" s="55"/>
    </row>
    <row r="887">
      <c r="A887" s="54"/>
      <c r="B887" s="54"/>
      <c r="C887" s="54"/>
      <c r="D887" s="17"/>
      <c r="E887" s="54"/>
      <c r="F887" s="54"/>
      <c r="G887" s="55"/>
    </row>
    <row r="888">
      <c r="A888" s="54"/>
      <c r="B888" s="54"/>
      <c r="C888" s="54"/>
      <c r="D888" s="17"/>
      <c r="E888" s="54"/>
      <c r="F888" s="54"/>
      <c r="G888" s="55"/>
    </row>
    <row r="889">
      <c r="A889" s="54"/>
      <c r="B889" s="54"/>
      <c r="C889" s="54"/>
      <c r="D889" s="17"/>
      <c r="E889" s="54"/>
      <c r="F889" s="54"/>
      <c r="G889" s="55"/>
    </row>
    <row r="890">
      <c r="A890" s="54"/>
      <c r="B890" s="54"/>
      <c r="C890" s="54"/>
      <c r="D890" s="17"/>
      <c r="E890" s="54"/>
      <c r="F890" s="54"/>
      <c r="G890" s="55"/>
    </row>
    <row r="891">
      <c r="A891" s="54"/>
      <c r="B891" s="54"/>
      <c r="C891" s="54"/>
      <c r="D891" s="17"/>
      <c r="E891" s="54"/>
      <c r="F891" s="54"/>
      <c r="G891" s="55"/>
    </row>
    <row r="892">
      <c r="A892" s="54"/>
      <c r="B892" s="54"/>
      <c r="C892" s="54"/>
      <c r="D892" s="17"/>
      <c r="E892" s="54"/>
      <c r="F892" s="54"/>
      <c r="G892" s="55"/>
    </row>
    <row r="893">
      <c r="A893" s="54"/>
      <c r="B893" s="54"/>
      <c r="C893" s="54"/>
      <c r="D893" s="17"/>
      <c r="E893" s="54"/>
      <c r="F893" s="54"/>
      <c r="G893" s="55"/>
    </row>
    <row r="894">
      <c r="A894" s="54"/>
      <c r="B894" s="54"/>
      <c r="C894" s="54"/>
      <c r="D894" s="17"/>
      <c r="E894" s="54"/>
      <c r="F894" s="54"/>
      <c r="G894" s="55"/>
    </row>
    <row r="895">
      <c r="A895" s="54"/>
      <c r="B895" s="54"/>
      <c r="C895" s="54"/>
      <c r="D895" s="17"/>
      <c r="E895" s="54"/>
      <c r="F895" s="54"/>
      <c r="G895" s="55"/>
    </row>
    <row r="896">
      <c r="A896" s="54"/>
      <c r="B896" s="54"/>
      <c r="C896" s="54"/>
      <c r="D896" s="17"/>
      <c r="E896" s="54"/>
      <c r="F896" s="54"/>
      <c r="G896" s="55"/>
    </row>
    <row r="897">
      <c r="A897" s="54"/>
      <c r="B897" s="54"/>
      <c r="C897" s="54"/>
      <c r="D897" s="17"/>
      <c r="E897" s="54"/>
      <c r="F897" s="54"/>
      <c r="G897" s="55"/>
    </row>
    <row r="898">
      <c r="A898" s="54"/>
      <c r="B898" s="54"/>
      <c r="C898" s="54"/>
      <c r="D898" s="17"/>
      <c r="E898" s="54"/>
      <c r="F898" s="54"/>
      <c r="G898" s="55"/>
    </row>
    <row r="899">
      <c r="A899" s="54"/>
      <c r="B899" s="54"/>
      <c r="C899" s="54"/>
      <c r="D899" s="17"/>
      <c r="E899" s="54"/>
      <c r="F899" s="54"/>
      <c r="G899" s="55"/>
    </row>
    <row r="900">
      <c r="A900" s="54"/>
      <c r="B900" s="54"/>
      <c r="C900" s="54"/>
      <c r="D900" s="17"/>
      <c r="E900" s="54"/>
      <c r="F900" s="54"/>
      <c r="G900" s="55"/>
    </row>
    <row r="901">
      <c r="A901" s="54"/>
      <c r="B901" s="54"/>
      <c r="C901" s="54"/>
      <c r="D901" s="17"/>
      <c r="E901" s="54"/>
      <c r="F901" s="54"/>
      <c r="G901" s="55"/>
    </row>
    <row r="902">
      <c r="A902" s="54"/>
      <c r="B902" s="54"/>
      <c r="C902" s="54"/>
      <c r="D902" s="17"/>
      <c r="E902" s="54"/>
      <c r="F902" s="54"/>
      <c r="G902" s="55"/>
    </row>
    <row r="903">
      <c r="A903" s="54"/>
      <c r="B903" s="54"/>
      <c r="C903" s="54"/>
      <c r="D903" s="17"/>
      <c r="E903" s="54"/>
      <c r="F903" s="54"/>
      <c r="G903" s="55"/>
    </row>
    <row r="904">
      <c r="A904" s="54"/>
      <c r="B904" s="54"/>
      <c r="C904" s="54"/>
      <c r="D904" s="17"/>
      <c r="E904" s="54"/>
      <c r="F904" s="54"/>
      <c r="G904" s="55"/>
    </row>
    <row r="905">
      <c r="A905" s="54"/>
      <c r="B905" s="54"/>
      <c r="C905" s="54"/>
      <c r="D905" s="17"/>
      <c r="E905" s="54"/>
      <c r="F905" s="54"/>
      <c r="G905" s="55"/>
    </row>
    <row r="906">
      <c r="A906" s="54"/>
      <c r="B906" s="54"/>
      <c r="C906" s="54"/>
      <c r="D906" s="17"/>
      <c r="E906" s="54"/>
      <c r="F906" s="54"/>
      <c r="G906" s="55"/>
    </row>
    <row r="907">
      <c r="A907" s="54"/>
      <c r="B907" s="54"/>
      <c r="C907" s="54"/>
      <c r="D907" s="17"/>
      <c r="E907" s="54"/>
      <c r="F907" s="54"/>
      <c r="G907" s="55"/>
    </row>
    <row r="908">
      <c r="A908" s="54"/>
      <c r="B908" s="54"/>
      <c r="C908" s="54"/>
      <c r="D908" s="17"/>
      <c r="E908" s="54"/>
      <c r="F908" s="54"/>
      <c r="G908" s="55"/>
    </row>
    <row r="909">
      <c r="A909" s="54"/>
      <c r="B909" s="54"/>
      <c r="C909" s="54"/>
      <c r="D909" s="17"/>
      <c r="E909" s="54"/>
      <c r="F909" s="54"/>
      <c r="G909" s="55"/>
    </row>
    <row r="910">
      <c r="A910" s="54"/>
      <c r="B910" s="54"/>
      <c r="C910" s="54"/>
      <c r="D910" s="17"/>
      <c r="E910" s="54"/>
      <c r="F910" s="54"/>
      <c r="G910" s="55"/>
    </row>
    <row r="911">
      <c r="A911" s="54"/>
      <c r="B911" s="54"/>
      <c r="C911" s="54"/>
      <c r="D911" s="17"/>
      <c r="E911" s="54"/>
      <c r="F911" s="54"/>
      <c r="G911" s="55"/>
    </row>
    <row r="912">
      <c r="A912" s="54"/>
      <c r="B912" s="54"/>
      <c r="C912" s="54"/>
      <c r="D912" s="17"/>
      <c r="E912" s="54"/>
      <c r="F912" s="54"/>
      <c r="G912" s="55"/>
    </row>
    <row r="913">
      <c r="A913" s="54"/>
      <c r="B913" s="54"/>
      <c r="C913" s="54"/>
      <c r="D913" s="17"/>
      <c r="E913" s="54"/>
      <c r="F913" s="54"/>
      <c r="G913" s="55"/>
    </row>
    <row r="914">
      <c r="A914" s="54"/>
      <c r="B914" s="54"/>
      <c r="C914" s="54"/>
      <c r="D914" s="17"/>
      <c r="E914" s="54"/>
      <c r="F914" s="54"/>
      <c r="G914" s="55"/>
    </row>
    <row r="915">
      <c r="A915" s="54"/>
      <c r="B915" s="54"/>
      <c r="C915" s="54"/>
      <c r="D915" s="17"/>
      <c r="E915" s="54"/>
      <c r="F915" s="54"/>
      <c r="G915" s="55"/>
    </row>
    <row r="916">
      <c r="A916" s="54"/>
      <c r="B916" s="54"/>
      <c r="C916" s="54"/>
      <c r="D916" s="17"/>
      <c r="E916" s="54"/>
      <c r="F916" s="54"/>
      <c r="G916" s="55"/>
    </row>
    <row r="917">
      <c r="A917" s="54"/>
      <c r="B917" s="54"/>
      <c r="C917" s="54"/>
      <c r="D917" s="17"/>
      <c r="E917" s="54"/>
      <c r="F917" s="54"/>
      <c r="G917" s="55"/>
    </row>
    <row r="918">
      <c r="A918" s="54"/>
      <c r="B918" s="54"/>
      <c r="C918" s="54"/>
      <c r="D918" s="17"/>
      <c r="E918" s="54"/>
      <c r="F918" s="54"/>
      <c r="G918" s="55"/>
    </row>
    <row r="919">
      <c r="A919" s="54"/>
      <c r="B919" s="54"/>
      <c r="C919" s="54"/>
      <c r="D919" s="17"/>
      <c r="E919" s="54"/>
      <c r="F919" s="54"/>
      <c r="G919" s="55"/>
    </row>
    <row r="920">
      <c r="A920" s="54"/>
      <c r="B920" s="54"/>
      <c r="C920" s="54"/>
      <c r="D920" s="17"/>
      <c r="E920" s="54"/>
      <c r="F920" s="54"/>
      <c r="G920" s="55"/>
    </row>
    <row r="921">
      <c r="A921" s="54"/>
      <c r="B921" s="54"/>
      <c r="C921" s="54"/>
      <c r="D921" s="17"/>
      <c r="E921" s="54"/>
      <c r="F921" s="54"/>
      <c r="G921" s="55"/>
    </row>
    <row r="922">
      <c r="A922" s="54"/>
      <c r="B922" s="54"/>
      <c r="C922" s="54"/>
      <c r="D922" s="17"/>
      <c r="E922" s="54"/>
      <c r="F922" s="54"/>
      <c r="G922" s="55"/>
    </row>
    <row r="923">
      <c r="A923" s="54"/>
      <c r="B923" s="54"/>
      <c r="C923" s="54"/>
      <c r="D923" s="17"/>
      <c r="E923" s="54"/>
      <c r="F923" s="54"/>
      <c r="G923" s="55"/>
    </row>
    <row r="924">
      <c r="A924" s="54"/>
      <c r="B924" s="54"/>
      <c r="C924" s="54"/>
      <c r="D924" s="17"/>
      <c r="E924" s="54"/>
      <c r="F924" s="54"/>
      <c r="G924" s="55"/>
    </row>
    <row r="925">
      <c r="A925" s="54"/>
      <c r="B925" s="54"/>
      <c r="C925" s="54"/>
      <c r="D925" s="17"/>
      <c r="E925" s="54"/>
      <c r="F925" s="54"/>
      <c r="G925" s="55"/>
    </row>
    <row r="926">
      <c r="A926" s="54"/>
      <c r="B926" s="54"/>
      <c r="C926" s="54"/>
      <c r="D926" s="17"/>
      <c r="E926" s="54"/>
      <c r="F926" s="54"/>
      <c r="G926" s="55"/>
    </row>
    <row r="927">
      <c r="A927" s="54"/>
      <c r="B927" s="54"/>
      <c r="C927" s="54"/>
      <c r="D927" s="17"/>
      <c r="E927" s="54"/>
      <c r="F927" s="54"/>
      <c r="G927" s="55"/>
    </row>
    <row r="928">
      <c r="A928" s="54"/>
      <c r="B928" s="54"/>
      <c r="C928" s="54"/>
      <c r="D928" s="17"/>
      <c r="E928" s="54"/>
      <c r="F928" s="54"/>
      <c r="G928" s="55"/>
    </row>
    <row r="929">
      <c r="A929" s="54"/>
      <c r="B929" s="54"/>
      <c r="C929" s="54"/>
      <c r="D929" s="17"/>
      <c r="E929" s="54"/>
      <c r="F929" s="54"/>
      <c r="G929" s="55"/>
    </row>
    <row r="930">
      <c r="A930" s="54"/>
      <c r="B930" s="54"/>
      <c r="C930" s="54"/>
      <c r="D930" s="17"/>
      <c r="E930" s="54"/>
      <c r="F930" s="54"/>
      <c r="G930" s="55"/>
    </row>
    <row r="931">
      <c r="A931" s="54"/>
      <c r="B931" s="54"/>
      <c r="C931" s="54"/>
      <c r="D931" s="17"/>
      <c r="E931" s="54"/>
      <c r="F931" s="54"/>
      <c r="G931" s="55"/>
    </row>
    <row r="932">
      <c r="A932" s="54"/>
      <c r="B932" s="54"/>
      <c r="C932" s="54"/>
      <c r="D932" s="17"/>
      <c r="E932" s="54"/>
      <c r="F932" s="54"/>
      <c r="G932" s="55"/>
    </row>
    <row r="933">
      <c r="A933" s="54"/>
      <c r="B933" s="54"/>
      <c r="C933" s="54"/>
      <c r="D933" s="17"/>
      <c r="E933" s="54"/>
      <c r="F933" s="54"/>
      <c r="G933" s="55"/>
    </row>
    <row r="934">
      <c r="A934" s="54"/>
      <c r="B934" s="54"/>
      <c r="C934" s="54"/>
      <c r="D934" s="17"/>
      <c r="E934" s="54"/>
      <c r="F934" s="54"/>
      <c r="G934" s="55"/>
    </row>
    <row r="935">
      <c r="A935" s="54"/>
      <c r="B935" s="54"/>
      <c r="C935" s="54"/>
      <c r="D935" s="17"/>
      <c r="E935" s="54"/>
      <c r="F935" s="54"/>
      <c r="G935" s="55"/>
    </row>
    <row r="936">
      <c r="A936" s="54"/>
      <c r="B936" s="54"/>
      <c r="C936" s="54"/>
      <c r="D936" s="17"/>
      <c r="E936" s="54"/>
      <c r="F936" s="54"/>
      <c r="G936" s="55"/>
    </row>
    <row r="937">
      <c r="A937" s="54"/>
      <c r="B937" s="54"/>
      <c r="C937" s="54"/>
      <c r="D937" s="17"/>
      <c r="E937" s="54"/>
      <c r="F937" s="54"/>
      <c r="G937" s="55"/>
    </row>
    <row r="938">
      <c r="A938" s="54"/>
      <c r="B938" s="54"/>
      <c r="C938" s="54"/>
      <c r="D938" s="17"/>
      <c r="E938" s="54"/>
      <c r="F938" s="54"/>
      <c r="G938" s="55"/>
    </row>
    <row r="939">
      <c r="A939" s="54"/>
      <c r="B939" s="54"/>
      <c r="C939" s="54"/>
      <c r="D939" s="17"/>
      <c r="E939" s="54"/>
      <c r="F939" s="54"/>
      <c r="G939" s="55"/>
    </row>
    <row r="940">
      <c r="A940" s="54"/>
      <c r="B940" s="54"/>
      <c r="C940" s="54"/>
      <c r="D940" s="17"/>
      <c r="E940" s="54"/>
      <c r="F940" s="54"/>
      <c r="G940" s="55"/>
    </row>
    <row r="941">
      <c r="A941" s="54"/>
      <c r="B941" s="54"/>
      <c r="C941" s="54"/>
      <c r="D941" s="17"/>
      <c r="E941" s="54"/>
      <c r="F941" s="54"/>
      <c r="G941" s="55"/>
    </row>
    <row r="942">
      <c r="A942" s="54"/>
      <c r="B942" s="54"/>
      <c r="C942" s="54"/>
      <c r="D942" s="17"/>
      <c r="E942" s="54"/>
      <c r="F942" s="54"/>
      <c r="G942" s="55"/>
    </row>
    <row r="943">
      <c r="A943" s="54"/>
      <c r="B943" s="54"/>
      <c r="C943" s="54"/>
      <c r="D943" s="17"/>
      <c r="E943" s="54"/>
      <c r="F943" s="54"/>
      <c r="G943" s="55"/>
    </row>
    <row r="944">
      <c r="A944" s="54"/>
      <c r="B944" s="54"/>
      <c r="C944" s="54"/>
      <c r="D944" s="17"/>
      <c r="E944" s="54"/>
      <c r="F944" s="54"/>
      <c r="G944" s="55"/>
    </row>
    <row r="945">
      <c r="A945" s="54"/>
      <c r="B945" s="54"/>
      <c r="C945" s="54"/>
      <c r="D945" s="17"/>
      <c r="E945" s="54"/>
      <c r="F945" s="54"/>
      <c r="G945" s="55"/>
    </row>
    <row r="946">
      <c r="A946" s="54"/>
      <c r="B946" s="54"/>
      <c r="C946" s="54"/>
      <c r="D946" s="17"/>
      <c r="E946" s="54"/>
      <c r="F946" s="54"/>
      <c r="G946" s="55"/>
    </row>
    <row r="947">
      <c r="A947" s="54"/>
      <c r="B947" s="54"/>
      <c r="C947" s="54"/>
      <c r="D947" s="17"/>
      <c r="E947" s="54"/>
      <c r="F947" s="54"/>
      <c r="G947" s="55"/>
    </row>
    <row r="948">
      <c r="A948" s="54"/>
      <c r="B948" s="54"/>
      <c r="C948" s="54"/>
      <c r="D948" s="17"/>
      <c r="E948" s="54"/>
      <c r="F948" s="54"/>
      <c r="G948" s="55"/>
    </row>
    <row r="949">
      <c r="A949" s="54"/>
      <c r="B949" s="54"/>
      <c r="C949" s="54"/>
      <c r="D949" s="17"/>
      <c r="E949" s="54"/>
      <c r="F949" s="54"/>
      <c r="G949" s="55"/>
    </row>
    <row r="950">
      <c r="A950" s="54"/>
      <c r="B950" s="54"/>
      <c r="C950" s="54"/>
      <c r="D950" s="17"/>
      <c r="E950" s="54"/>
      <c r="F950" s="54"/>
      <c r="G950" s="55"/>
    </row>
    <row r="951">
      <c r="A951" s="54"/>
      <c r="B951" s="54"/>
      <c r="C951" s="54"/>
      <c r="D951" s="17"/>
      <c r="E951" s="54"/>
      <c r="F951" s="54"/>
      <c r="G951" s="55"/>
    </row>
    <row r="952">
      <c r="A952" s="54"/>
      <c r="B952" s="54"/>
      <c r="C952" s="54"/>
      <c r="D952" s="17"/>
      <c r="E952" s="54"/>
      <c r="F952" s="54"/>
      <c r="G952" s="55"/>
    </row>
    <row r="953">
      <c r="A953" s="54"/>
      <c r="B953" s="54"/>
      <c r="C953" s="54"/>
      <c r="D953" s="17"/>
      <c r="E953" s="54"/>
      <c r="F953" s="54"/>
      <c r="G953" s="55"/>
    </row>
    <row r="954">
      <c r="A954" s="54"/>
      <c r="B954" s="54"/>
      <c r="C954" s="54"/>
      <c r="D954" s="17"/>
      <c r="E954" s="54"/>
      <c r="F954" s="54"/>
      <c r="G954" s="55"/>
    </row>
    <row r="955">
      <c r="A955" s="54"/>
      <c r="B955" s="54"/>
      <c r="C955" s="54"/>
      <c r="D955" s="17"/>
      <c r="E955" s="54"/>
      <c r="F955" s="54"/>
      <c r="G955" s="55"/>
    </row>
    <row r="956">
      <c r="A956" s="54"/>
      <c r="B956" s="54"/>
      <c r="C956" s="54"/>
      <c r="D956" s="17"/>
      <c r="E956" s="54"/>
      <c r="F956" s="54"/>
      <c r="G956" s="55"/>
    </row>
    <row r="957">
      <c r="A957" s="54"/>
      <c r="B957" s="54"/>
      <c r="C957" s="54"/>
      <c r="D957" s="17"/>
      <c r="E957" s="54"/>
      <c r="F957" s="54"/>
      <c r="G957" s="55"/>
    </row>
    <row r="958">
      <c r="A958" s="54"/>
      <c r="B958" s="54"/>
      <c r="C958" s="54"/>
      <c r="D958" s="17"/>
      <c r="E958" s="54"/>
      <c r="F958" s="54"/>
      <c r="G958" s="55"/>
    </row>
    <row r="959">
      <c r="A959" s="54"/>
      <c r="B959" s="54"/>
      <c r="C959" s="54"/>
      <c r="D959" s="17"/>
      <c r="E959" s="54"/>
      <c r="F959" s="54"/>
      <c r="G959" s="55"/>
    </row>
    <row r="960">
      <c r="A960" s="54"/>
      <c r="B960" s="54"/>
      <c r="C960" s="54"/>
      <c r="D960" s="17"/>
      <c r="E960" s="54"/>
      <c r="F960" s="54"/>
      <c r="G960" s="55"/>
    </row>
    <row r="961">
      <c r="A961" s="54"/>
      <c r="B961" s="54"/>
      <c r="C961" s="54"/>
      <c r="D961" s="17"/>
      <c r="E961" s="54"/>
      <c r="F961" s="54"/>
      <c r="G961" s="55"/>
    </row>
    <row r="962">
      <c r="A962" s="54"/>
      <c r="B962" s="54"/>
      <c r="C962" s="54"/>
      <c r="D962" s="17"/>
      <c r="E962" s="54"/>
      <c r="F962" s="54"/>
      <c r="G962" s="55"/>
    </row>
    <row r="963">
      <c r="A963" s="54"/>
      <c r="B963" s="54"/>
      <c r="C963" s="54"/>
      <c r="D963" s="17"/>
      <c r="E963" s="54"/>
      <c r="F963" s="54"/>
      <c r="G963" s="55"/>
    </row>
    <row r="964">
      <c r="A964" s="54"/>
      <c r="B964" s="54"/>
      <c r="C964" s="54"/>
      <c r="D964" s="17"/>
      <c r="E964" s="54"/>
      <c r="F964" s="54"/>
      <c r="G964" s="55"/>
    </row>
    <row r="965">
      <c r="A965" s="54"/>
      <c r="B965" s="54"/>
      <c r="C965" s="54"/>
      <c r="D965" s="17"/>
      <c r="E965" s="54"/>
      <c r="F965" s="54"/>
      <c r="G965" s="55"/>
    </row>
    <row r="966">
      <c r="A966" s="54"/>
      <c r="B966" s="54"/>
      <c r="C966" s="54"/>
      <c r="D966" s="17"/>
      <c r="E966" s="54"/>
      <c r="F966" s="54"/>
      <c r="G966" s="55"/>
    </row>
    <row r="967">
      <c r="A967" s="54"/>
      <c r="B967" s="54"/>
      <c r="C967" s="54"/>
      <c r="D967" s="17"/>
      <c r="E967" s="54"/>
      <c r="F967" s="54"/>
      <c r="G967" s="55"/>
    </row>
    <row r="968">
      <c r="A968" s="54"/>
      <c r="B968" s="54"/>
      <c r="C968" s="54"/>
      <c r="D968" s="17"/>
      <c r="E968" s="54"/>
      <c r="F968" s="54"/>
      <c r="G968" s="55"/>
    </row>
    <row r="969">
      <c r="A969" s="54"/>
      <c r="B969" s="54"/>
      <c r="C969" s="54"/>
      <c r="D969" s="17"/>
      <c r="E969" s="54"/>
      <c r="F969" s="54"/>
      <c r="G969" s="55"/>
    </row>
    <row r="970">
      <c r="A970" s="54"/>
      <c r="B970" s="54"/>
      <c r="C970" s="54"/>
      <c r="D970" s="17"/>
      <c r="E970" s="54"/>
      <c r="F970" s="54"/>
      <c r="G970" s="55"/>
    </row>
    <row r="971">
      <c r="A971" s="54"/>
      <c r="B971" s="54"/>
      <c r="C971" s="54"/>
      <c r="D971" s="17"/>
      <c r="E971" s="54"/>
      <c r="F971" s="54"/>
      <c r="G971" s="55"/>
    </row>
    <row r="972">
      <c r="A972" s="54"/>
      <c r="B972" s="54"/>
      <c r="C972" s="54"/>
      <c r="D972" s="17"/>
      <c r="E972" s="54"/>
      <c r="F972" s="54"/>
      <c r="G972" s="55"/>
    </row>
    <row r="973">
      <c r="A973" s="54"/>
      <c r="B973" s="54"/>
      <c r="C973" s="54"/>
      <c r="D973" s="17"/>
      <c r="E973" s="54"/>
      <c r="F973" s="54"/>
      <c r="G973" s="55"/>
    </row>
    <row r="974">
      <c r="A974" s="54"/>
      <c r="B974" s="54"/>
      <c r="C974" s="54"/>
      <c r="D974" s="17"/>
      <c r="E974" s="54"/>
      <c r="F974" s="54"/>
      <c r="G974" s="55"/>
    </row>
    <row r="975">
      <c r="A975" s="54"/>
      <c r="B975" s="54"/>
      <c r="C975" s="54"/>
      <c r="D975" s="17"/>
      <c r="E975" s="54"/>
      <c r="F975" s="54"/>
      <c r="G975" s="55"/>
    </row>
    <row r="976">
      <c r="A976" s="54"/>
      <c r="B976" s="54"/>
      <c r="C976" s="54"/>
      <c r="D976" s="17"/>
      <c r="E976" s="54"/>
      <c r="F976" s="54"/>
      <c r="G976" s="55"/>
    </row>
    <row r="977">
      <c r="A977" s="54"/>
      <c r="B977" s="54"/>
      <c r="C977" s="54"/>
      <c r="D977" s="17"/>
      <c r="E977" s="54"/>
      <c r="F977" s="54"/>
      <c r="G977" s="55"/>
    </row>
    <row r="978">
      <c r="A978" s="54"/>
      <c r="B978" s="54"/>
      <c r="C978" s="54"/>
      <c r="D978" s="17"/>
      <c r="E978" s="54"/>
      <c r="F978" s="54"/>
      <c r="G978" s="55"/>
    </row>
    <row r="979">
      <c r="A979" s="54"/>
      <c r="B979" s="54"/>
      <c r="C979" s="54"/>
      <c r="D979" s="17"/>
      <c r="E979" s="54"/>
      <c r="F979" s="54"/>
      <c r="G979" s="55"/>
    </row>
    <row r="980">
      <c r="A980" s="54"/>
      <c r="B980" s="54"/>
      <c r="C980" s="54"/>
      <c r="D980" s="17"/>
      <c r="E980" s="54"/>
      <c r="F980" s="54"/>
      <c r="G980" s="55"/>
    </row>
    <row r="981">
      <c r="A981" s="54"/>
      <c r="B981" s="54"/>
      <c r="C981" s="54"/>
      <c r="D981" s="17"/>
      <c r="E981" s="54"/>
      <c r="F981" s="54"/>
      <c r="G981" s="55"/>
    </row>
    <row r="982">
      <c r="A982" s="54"/>
      <c r="B982" s="54"/>
      <c r="C982" s="54"/>
      <c r="D982" s="17"/>
      <c r="E982" s="54"/>
      <c r="F982" s="54"/>
      <c r="G982" s="55"/>
    </row>
    <row r="983">
      <c r="A983" s="54"/>
      <c r="B983" s="54"/>
      <c r="C983" s="54"/>
      <c r="D983" s="17"/>
      <c r="E983" s="54"/>
      <c r="F983" s="54"/>
      <c r="G983" s="55"/>
    </row>
    <row r="984">
      <c r="A984" s="54"/>
      <c r="B984" s="54"/>
      <c r="C984" s="54"/>
      <c r="D984" s="17"/>
      <c r="E984" s="54"/>
      <c r="F984" s="54"/>
      <c r="G984" s="55"/>
    </row>
    <row r="985">
      <c r="A985" s="54"/>
      <c r="B985" s="54"/>
      <c r="C985" s="54"/>
      <c r="D985" s="17"/>
      <c r="E985" s="54"/>
      <c r="F985" s="54"/>
      <c r="G985" s="55"/>
    </row>
    <row r="986">
      <c r="A986" s="54"/>
      <c r="B986" s="54"/>
      <c r="C986" s="54"/>
      <c r="D986" s="17"/>
      <c r="E986" s="54"/>
      <c r="F986" s="54"/>
      <c r="G986" s="55"/>
    </row>
    <row r="987">
      <c r="A987" s="54"/>
      <c r="B987" s="54"/>
      <c r="C987" s="54"/>
      <c r="D987" s="17"/>
      <c r="E987" s="54"/>
      <c r="F987" s="54"/>
      <c r="G987" s="55"/>
    </row>
    <row r="988">
      <c r="A988" s="54"/>
      <c r="B988" s="54"/>
      <c r="C988" s="54"/>
      <c r="D988" s="17"/>
      <c r="E988" s="54"/>
      <c r="F988" s="54"/>
      <c r="G988" s="55"/>
    </row>
    <row r="989">
      <c r="A989" s="54"/>
      <c r="B989" s="54"/>
      <c r="C989" s="54"/>
      <c r="D989" s="17"/>
      <c r="E989" s="54"/>
      <c r="F989" s="54"/>
      <c r="G989" s="55"/>
    </row>
    <row r="990">
      <c r="A990" s="54"/>
      <c r="B990" s="54"/>
      <c r="C990" s="54"/>
      <c r="D990" s="17"/>
      <c r="E990" s="54"/>
      <c r="F990" s="54"/>
      <c r="G990" s="55"/>
    </row>
    <row r="991">
      <c r="A991" s="54"/>
      <c r="B991" s="54"/>
      <c r="C991" s="54"/>
      <c r="D991" s="17"/>
      <c r="E991" s="54"/>
      <c r="F991" s="54"/>
      <c r="G991" s="55"/>
    </row>
    <row r="992">
      <c r="A992" s="54"/>
      <c r="B992" s="54"/>
      <c r="C992" s="54"/>
      <c r="D992" s="17"/>
      <c r="E992" s="54"/>
      <c r="F992" s="54"/>
      <c r="G992" s="55"/>
    </row>
    <row r="993">
      <c r="A993" s="54"/>
      <c r="B993" s="54"/>
      <c r="C993" s="54"/>
      <c r="D993" s="17"/>
      <c r="E993" s="54"/>
      <c r="F993" s="54"/>
      <c r="G993" s="55"/>
    </row>
    <row r="994">
      <c r="A994" s="54"/>
      <c r="B994" s="54"/>
      <c r="C994" s="54"/>
      <c r="D994" s="17"/>
      <c r="E994" s="54"/>
      <c r="F994" s="54"/>
      <c r="G994" s="55"/>
    </row>
    <row r="995">
      <c r="A995" s="54"/>
      <c r="B995" s="54"/>
      <c r="C995" s="54"/>
      <c r="D995" s="17"/>
      <c r="E995" s="54"/>
      <c r="F995" s="54"/>
      <c r="G995" s="55"/>
    </row>
    <row r="996">
      <c r="A996" s="54"/>
      <c r="B996" s="54"/>
      <c r="C996" s="54"/>
      <c r="D996" s="17"/>
      <c r="E996" s="54"/>
      <c r="F996" s="54"/>
      <c r="G996" s="55"/>
    </row>
    <row r="997">
      <c r="A997" s="54"/>
      <c r="B997" s="54"/>
      <c r="C997" s="54"/>
      <c r="D997" s="17"/>
      <c r="E997" s="54"/>
      <c r="F997" s="54"/>
      <c r="G997" s="55"/>
    </row>
    <row r="998">
      <c r="A998" s="54"/>
      <c r="B998" s="54"/>
      <c r="C998" s="54"/>
      <c r="D998" s="17"/>
      <c r="E998" s="54"/>
      <c r="F998" s="54"/>
      <c r="G998" s="55"/>
    </row>
    <row r="999">
      <c r="A999" s="54"/>
      <c r="B999" s="54"/>
      <c r="C999" s="54"/>
      <c r="D999" s="17"/>
      <c r="E999" s="54"/>
      <c r="F999" s="54"/>
      <c r="G999" s="55"/>
    </row>
  </sheetData>
  <dataValidations>
    <dataValidation type="list" allowBlank="1" showErrorMessage="1" sqref="C2:C999">
      <formula1>"Called,Emailed,Prospect,No response ,Not Interested,Phone Disconected,Does not apply,No Response right number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3" max="4" width="26.0"/>
    <col customWidth="1" min="5" max="5" width="42.75"/>
    <col customWidth="1" min="6" max="6" width="26.0"/>
  </cols>
  <sheetData>
    <row r="1">
      <c r="A1" s="6" t="s">
        <v>9</v>
      </c>
      <c r="B1" s="6" t="s">
        <v>10</v>
      </c>
      <c r="C1" s="9" t="s">
        <v>2</v>
      </c>
      <c r="D1" s="9" t="s">
        <v>15</v>
      </c>
      <c r="E1" s="6" t="s">
        <v>18</v>
      </c>
      <c r="F1" s="11" t="s">
        <v>22</v>
      </c>
      <c r="G1" s="13"/>
      <c r="H1" s="13"/>
      <c r="I1" s="13"/>
      <c r="J1" s="13"/>
      <c r="K1" s="13"/>
      <c r="L1" s="13"/>
    </row>
    <row r="2">
      <c r="A2" s="13" t="s">
        <v>30</v>
      </c>
      <c r="B2" s="13" t="s">
        <v>32</v>
      </c>
      <c r="C2" s="8"/>
      <c r="D2" s="16" t="s">
        <v>86</v>
      </c>
      <c r="E2" s="13" t="s">
        <v>89</v>
      </c>
      <c r="F2" s="13" t="s">
        <v>91</v>
      </c>
      <c r="G2" s="13"/>
      <c r="H2" s="13"/>
      <c r="I2" s="13"/>
      <c r="J2" s="13"/>
      <c r="K2" s="13"/>
      <c r="L2" s="13"/>
    </row>
    <row r="3">
      <c r="A3" s="13" t="s">
        <v>97</v>
      </c>
      <c r="B3" s="13" t="s">
        <v>100</v>
      </c>
      <c r="C3" s="8"/>
      <c r="D3" s="16" t="s">
        <v>11</v>
      </c>
      <c r="E3" s="13" t="s">
        <v>108</v>
      </c>
      <c r="F3" s="13" t="s">
        <v>110</v>
      </c>
      <c r="G3" s="13"/>
      <c r="H3" s="13"/>
      <c r="I3" s="13"/>
      <c r="J3" s="13"/>
      <c r="K3" s="13"/>
      <c r="L3" s="13"/>
    </row>
    <row r="4">
      <c r="A4" s="13" t="s">
        <v>116</v>
      </c>
      <c r="B4" s="13" t="s">
        <v>118</v>
      </c>
      <c r="C4" s="20"/>
      <c r="D4" s="13"/>
      <c r="E4" s="13" t="s">
        <v>130</v>
      </c>
      <c r="F4" s="13" t="s">
        <v>132</v>
      </c>
      <c r="G4" s="13"/>
      <c r="H4" s="13"/>
      <c r="I4" s="13"/>
      <c r="J4" s="13"/>
      <c r="K4" s="13"/>
      <c r="L4" s="13"/>
    </row>
    <row r="5">
      <c r="A5" s="13" t="s">
        <v>138</v>
      </c>
      <c r="B5" s="13" t="s">
        <v>139</v>
      </c>
      <c r="C5" s="20"/>
      <c r="D5" s="16" t="s">
        <v>144</v>
      </c>
      <c r="E5" s="13" t="s">
        <v>146</v>
      </c>
      <c r="F5" s="13" t="s">
        <v>51</v>
      </c>
      <c r="G5" s="13"/>
      <c r="H5" s="13"/>
      <c r="I5" s="13"/>
      <c r="J5" s="13"/>
      <c r="K5" s="13"/>
      <c r="L5" s="13"/>
    </row>
    <row r="6">
      <c r="A6" s="13" t="s">
        <v>152</v>
      </c>
      <c r="B6" s="13" t="s">
        <v>153</v>
      </c>
      <c r="C6" s="20"/>
      <c r="D6" s="16" t="s">
        <v>158</v>
      </c>
      <c r="E6" s="13" t="s">
        <v>160</v>
      </c>
      <c r="F6" s="13" t="s">
        <v>161</v>
      </c>
      <c r="G6" s="13"/>
      <c r="H6" s="13"/>
      <c r="I6" s="13"/>
      <c r="J6" s="13"/>
      <c r="K6" s="13"/>
      <c r="L6" s="13"/>
    </row>
    <row r="7">
      <c r="A7" s="13" t="s">
        <v>164</v>
      </c>
      <c r="B7" s="13" t="s">
        <v>165</v>
      </c>
      <c r="C7" s="20"/>
      <c r="D7" s="16" t="s">
        <v>170</v>
      </c>
      <c r="E7" s="13" t="s">
        <v>173</v>
      </c>
      <c r="F7" s="13" t="s">
        <v>174</v>
      </c>
      <c r="G7" s="13"/>
      <c r="H7" s="13"/>
      <c r="I7" s="13"/>
      <c r="J7" s="13"/>
      <c r="K7" s="13"/>
      <c r="L7" s="13"/>
    </row>
    <row r="8">
      <c r="A8" s="13" t="s">
        <v>179</v>
      </c>
      <c r="B8" s="13" t="s">
        <v>181</v>
      </c>
      <c r="C8" s="8"/>
      <c r="D8" s="16" t="s">
        <v>186</v>
      </c>
      <c r="E8" s="13" t="s">
        <v>187</v>
      </c>
      <c r="F8" s="13" t="s">
        <v>189</v>
      </c>
      <c r="G8" s="13"/>
      <c r="H8" s="13"/>
      <c r="I8" s="13"/>
      <c r="J8" s="13"/>
      <c r="K8" s="13"/>
      <c r="L8" s="13"/>
    </row>
    <row r="9">
      <c r="A9" s="13" t="s">
        <v>193</v>
      </c>
      <c r="B9" s="13" t="s">
        <v>194</v>
      </c>
      <c r="C9" s="20"/>
      <c r="D9" s="16" t="s">
        <v>197</v>
      </c>
      <c r="E9" s="23" t="s">
        <v>201</v>
      </c>
      <c r="F9" s="13" t="s">
        <v>174</v>
      </c>
      <c r="G9" s="13"/>
      <c r="H9" s="13"/>
      <c r="I9" s="13"/>
      <c r="J9" s="13"/>
      <c r="K9" s="13"/>
      <c r="L9" s="13"/>
    </row>
    <row r="10">
      <c r="A10" s="13" t="s">
        <v>214</v>
      </c>
      <c r="B10" s="13" t="s">
        <v>217</v>
      </c>
      <c r="C10" s="20"/>
      <c r="D10" s="16" t="s">
        <v>221</v>
      </c>
      <c r="E10" s="23" t="s">
        <v>224</v>
      </c>
      <c r="F10" s="13" t="s">
        <v>225</v>
      </c>
      <c r="G10" s="13"/>
      <c r="H10" s="13"/>
      <c r="I10" s="13"/>
      <c r="J10" s="13"/>
      <c r="K10" s="13"/>
      <c r="L10" s="13"/>
    </row>
    <row r="11">
      <c r="A11" s="13" t="s">
        <v>229</v>
      </c>
      <c r="B11" s="13" t="s">
        <v>230</v>
      </c>
      <c r="C11" s="20"/>
      <c r="D11" s="16" t="s">
        <v>235</v>
      </c>
      <c r="E11" s="23" t="s">
        <v>237</v>
      </c>
      <c r="F11" s="13" t="s">
        <v>239</v>
      </c>
      <c r="G11" s="13"/>
      <c r="H11" s="13"/>
      <c r="I11" s="13"/>
      <c r="J11" s="13"/>
      <c r="K11" s="13"/>
      <c r="L11" s="13"/>
    </row>
    <row r="12">
      <c r="A12" s="13" t="s">
        <v>241</v>
      </c>
      <c r="B12" s="13" t="s">
        <v>243</v>
      </c>
      <c r="C12" s="20"/>
      <c r="D12" s="16" t="s">
        <v>248</v>
      </c>
      <c r="E12" s="23" t="s">
        <v>249</v>
      </c>
      <c r="F12" s="13" t="s">
        <v>251</v>
      </c>
      <c r="G12" s="13"/>
      <c r="H12" s="13"/>
      <c r="I12" s="13"/>
      <c r="J12" s="13"/>
      <c r="K12" s="13"/>
      <c r="L12" s="13"/>
    </row>
    <row r="13">
      <c r="A13" s="13" t="s">
        <v>255</v>
      </c>
      <c r="B13" s="13" t="s">
        <v>257</v>
      </c>
      <c r="C13" s="20"/>
      <c r="D13" s="16" t="s">
        <v>261</v>
      </c>
      <c r="E13" s="23" t="s">
        <v>263</v>
      </c>
      <c r="F13" s="13" t="s">
        <v>251</v>
      </c>
      <c r="G13" s="13"/>
      <c r="H13" s="13"/>
      <c r="I13" s="13"/>
      <c r="J13" s="13"/>
      <c r="K13" s="13"/>
      <c r="L13" s="13"/>
    </row>
    <row r="14">
      <c r="A14" s="13" t="s">
        <v>269</v>
      </c>
      <c r="B14" s="13" t="s">
        <v>270</v>
      </c>
      <c r="C14" s="20"/>
      <c r="D14" s="16" t="s">
        <v>275</v>
      </c>
      <c r="E14" s="23" t="s">
        <v>276</v>
      </c>
      <c r="F14" s="13" t="s">
        <v>278</v>
      </c>
      <c r="G14" s="13"/>
      <c r="H14" s="13"/>
      <c r="I14" s="13"/>
      <c r="J14" s="13"/>
      <c r="K14" s="13"/>
      <c r="L14" s="13"/>
    </row>
    <row r="15">
      <c r="A15" s="13" t="s">
        <v>283</v>
      </c>
      <c r="B15" s="23" t="s">
        <v>270</v>
      </c>
      <c r="C15" s="20"/>
      <c r="D15" s="16" t="s">
        <v>287</v>
      </c>
      <c r="E15" s="23" t="s">
        <v>288</v>
      </c>
      <c r="F15" s="13" t="s">
        <v>28</v>
      </c>
      <c r="G15" s="13"/>
      <c r="H15" s="13"/>
      <c r="I15" s="13"/>
      <c r="J15" s="13"/>
      <c r="K15" s="13"/>
      <c r="L15" s="13"/>
    </row>
    <row r="16">
      <c r="A16" s="13" t="s">
        <v>292</v>
      </c>
      <c r="B16" s="13" t="s">
        <v>294</v>
      </c>
      <c r="C16" s="20"/>
      <c r="D16" s="16" t="s">
        <v>297</v>
      </c>
      <c r="E16" s="23" t="s">
        <v>299</v>
      </c>
      <c r="F16" s="13" t="s">
        <v>278</v>
      </c>
      <c r="G16" s="13"/>
      <c r="H16" s="13"/>
      <c r="I16" s="13"/>
      <c r="J16" s="13"/>
      <c r="K16" s="13"/>
      <c r="L16" s="13"/>
    </row>
    <row r="17">
      <c r="A17" s="13" t="s">
        <v>303</v>
      </c>
      <c r="B17" s="13" t="s">
        <v>305</v>
      </c>
      <c r="C17" s="8"/>
      <c r="D17" s="13"/>
      <c r="E17" s="23" t="s">
        <v>309</v>
      </c>
      <c r="F17" s="13" t="s">
        <v>28</v>
      </c>
      <c r="G17" s="13"/>
      <c r="H17" s="13"/>
      <c r="I17" s="13"/>
      <c r="J17" s="13"/>
      <c r="K17" s="13"/>
      <c r="L17" s="13"/>
    </row>
    <row r="18">
      <c r="A18" s="13" t="s">
        <v>314</v>
      </c>
      <c r="B18" s="13" t="s">
        <v>317</v>
      </c>
      <c r="C18" s="20"/>
      <c r="D18" s="13"/>
      <c r="E18" s="13" t="s">
        <v>323</v>
      </c>
      <c r="F18" s="13" t="s">
        <v>325</v>
      </c>
      <c r="G18" s="13"/>
      <c r="H18" s="13"/>
      <c r="I18" s="13"/>
      <c r="J18" s="13"/>
      <c r="K18" s="13"/>
      <c r="L18" s="13"/>
    </row>
    <row r="19">
      <c r="A19" s="13" t="s">
        <v>329</v>
      </c>
      <c r="B19" s="13" t="s">
        <v>331</v>
      </c>
      <c r="C19" s="20"/>
      <c r="D19" s="16" t="s">
        <v>344</v>
      </c>
      <c r="E19" s="23" t="s">
        <v>346</v>
      </c>
      <c r="F19" s="13" t="s">
        <v>28</v>
      </c>
      <c r="G19" s="13"/>
      <c r="H19" s="13"/>
      <c r="I19" s="13"/>
      <c r="J19" s="13"/>
      <c r="K19" s="13"/>
      <c r="L19" s="13"/>
    </row>
    <row r="20">
      <c r="A20" s="13" t="s">
        <v>351</v>
      </c>
      <c r="B20" s="13" t="s">
        <v>294</v>
      </c>
      <c r="C20" s="20"/>
      <c r="D20" s="27" t="s">
        <v>297</v>
      </c>
      <c r="E20" s="13" t="s">
        <v>355</v>
      </c>
      <c r="F20" s="13" t="s">
        <v>123</v>
      </c>
      <c r="G20" s="13"/>
      <c r="H20" s="13"/>
      <c r="I20" s="13"/>
      <c r="J20" s="13"/>
      <c r="K20" s="13"/>
      <c r="L20" s="13"/>
    </row>
    <row r="21">
      <c r="A21" s="13" t="s">
        <v>360</v>
      </c>
      <c r="B21" s="23" t="s">
        <v>362</v>
      </c>
      <c r="C21" s="8"/>
      <c r="D21" s="27" t="s">
        <v>363</v>
      </c>
      <c r="E21" s="13" t="s">
        <v>364</v>
      </c>
      <c r="F21" s="13" t="s">
        <v>28</v>
      </c>
      <c r="G21" s="13"/>
      <c r="H21" s="13"/>
      <c r="I21" s="13"/>
      <c r="J21" s="13"/>
      <c r="K21" s="13"/>
      <c r="L21" s="13"/>
    </row>
    <row r="22">
      <c r="A22" s="13" t="s">
        <v>367</v>
      </c>
      <c r="B22" s="13" t="s">
        <v>369</v>
      </c>
      <c r="C22" s="8"/>
      <c r="D22" s="16" t="s">
        <v>372</v>
      </c>
      <c r="E22" s="13" t="s">
        <v>373</v>
      </c>
      <c r="F22" s="13" t="s">
        <v>375</v>
      </c>
      <c r="G22" s="13"/>
      <c r="H22" s="13"/>
      <c r="I22" s="13"/>
      <c r="J22" s="13"/>
      <c r="K22" s="13"/>
      <c r="L22" s="13"/>
    </row>
    <row r="23">
      <c r="A23" s="13" t="s">
        <v>382</v>
      </c>
      <c r="B23" s="13" t="s">
        <v>385</v>
      </c>
      <c r="C23" s="8"/>
      <c r="D23" s="16" t="s">
        <v>386</v>
      </c>
      <c r="E23" s="23" t="s">
        <v>387</v>
      </c>
      <c r="F23" s="13" t="s">
        <v>149</v>
      </c>
      <c r="G23" s="13"/>
      <c r="H23" s="13"/>
      <c r="I23" s="13"/>
      <c r="J23" s="13"/>
      <c r="K23" s="13"/>
      <c r="L23" s="13"/>
    </row>
    <row r="24">
      <c r="A24" s="13" t="s">
        <v>393</v>
      </c>
      <c r="B24" s="13" t="s">
        <v>394</v>
      </c>
      <c r="C24" s="8"/>
      <c r="D24" s="16" t="s">
        <v>397</v>
      </c>
      <c r="E24" s="13" t="s">
        <v>399</v>
      </c>
      <c r="F24" s="13" t="s">
        <v>189</v>
      </c>
      <c r="G24" s="13"/>
      <c r="H24" s="13"/>
      <c r="I24" s="13"/>
      <c r="J24" s="13"/>
      <c r="K24" s="13"/>
      <c r="L24" s="13"/>
    </row>
    <row r="25">
      <c r="A25" s="13" t="s">
        <v>401</v>
      </c>
      <c r="B25" s="13" t="s">
        <v>402</v>
      </c>
      <c r="C25" s="8"/>
      <c r="D25" s="27" t="s">
        <v>404</v>
      </c>
      <c r="E25" s="13" t="s">
        <v>405</v>
      </c>
      <c r="F25" s="13" t="s">
        <v>28</v>
      </c>
      <c r="G25" s="13"/>
      <c r="H25" s="13"/>
      <c r="I25" s="13"/>
      <c r="J25" s="13"/>
      <c r="K25" s="13"/>
      <c r="L25" s="13"/>
    </row>
    <row r="26">
      <c r="A26" s="13" t="s">
        <v>407</v>
      </c>
      <c r="B26" s="13" t="s">
        <v>408</v>
      </c>
      <c r="C26" s="8"/>
      <c r="D26" s="16" t="s">
        <v>410</v>
      </c>
      <c r="E26" s="13" t="s">
        <v>412</v>
      </c>
      <c r="F26" s="13" t="s">
        <v>28</v>
      </c>
      <c r="G26" s="13"/>
      <c r="H26" s="13"/>
      <c r="I26" s="13"/>
      <c r="J26" s="13"/>
      <c r="K26" s="13"/>
      <c r="L26" s="13"/>
    </row>
    <row r="27">
      <c r="A27" s="13" t="s">
        <v>415</v>
      </c>
      <c r="B27" s="13" t="s">
        <v>417</v>
      </c>
      <c r="C27" s="8"/>
      <c r="D27" s="13"/>
      <c r="E27" s="13" t="s">
        <v>421</v>
      </c>
      <c r="F27" s="13" t="s">
        <v>123</v>
      </c>
      <c r="G27" s="13"/>
      <c r="H27" s="13"/>
      <c r="I27" s="13"/>
      <c r="J27" s="13"/>
      <c r="K27" s="13"/>
      <c r="L27" s="13"/>
    </row>
    <row r="28">
      <c r="A28" s="13" t="s">
        <v>423</v>
      </c>
      <c r="B28" s="13" t="s">
        <v>424</v>
      </c>
      <c r="C28" s="8"/>
      <c r="D28" s="27" t="s">
        <v>428</v>
      </c>
      <c r="E28" s="13" t="s">
        <v>432</v>
      </c>
      <c r="F28" s="13" t="s">
        <v>28</v>
      </c>
      <c r="G28" s="13"/>
      <c r="H28" s="13"/>
      <c r="I28" s="13"/>
      <c r="J28" s="13"/>
      <c r="K28" s="13"/>
      <c r="L28" s="13"/>
    </row>
    <row r="29">
      <c r="A29" s="13" t="s">
        <v>436</v>
      </c>
      <c r="B29" s="13" t="s">
        <v>439</v>
      </c>
      <c r="C29" s="8"/>
      <c r="D29" s="16" t="s">
        <v>444</v>
      </c>
      <c r="E29" s="23" t="s">
        <v>446</v>
      </c>
      <c r="F29" s="13" t="s">
        <v>278</v>
      </c>
      <c r="G29" s="13"/>
      <c r="H29" s="13"/>
      <c r="I29" s="13"/>
      <c r="J29" s="13"/>
      <c r="K29" s="13"/>
      <c r="L29" s="13"/>
    </row>
    <row r="30">
      <c r="A30" s="13" t="s">
        <v>453</v>
      </c>
      <c r="B30" s="13" t="s">
        <v>454</v>
      </c>
      <c r="C30" s="8"/>
      <c r="D30" s="13"/>
      <c r="E30" s="13" t="s">
        <v>459</v>
      </c>
      <c r="F30" s="13" t="s">
        <v>460</v>
      </c>
      <c r="G30" s="13"/>
      <c r="H30" s="13"/>
      <c r="I30" s="13"/>
      <c r="J30" s="13"/>
      <c r="K30" s="13"/>
      <c r="L30" s="13"/>
    </row>
    <row r="31">
      <c r="A31" s="13" t="s">
        <v>462</v>
      </c>
      <c r="B31" s="13" t="s">
        <v>464</v>
      </c>
      <c r="C31" s="8"/>
      <c r="D31" s="16" t="s">
        <v>468</v>
      </c>
      <c r="E31" s="13" t="s">
        <v>470</v>
      </c>
      <c r="F31" s="13" t="s">
        <v>28</v>
      </c>
      <c r="G31" s="13"/>
      <c r="H31" s="13"/>
      <c r="I31" s="13"/>
      <c r="J31" s="13"/>
      <c r="K31" s="13"/>
      <c r="L31" s="13"/>
    </row>
    <row r="32">
      <c r="A32" s="13" t="s">
        <v>473</v>
      </c>
      <c r="B32" s="13" t="s">
        <v>464</v>
      </c>
      <c r="C32" s="8"/>
      <c r="D32" s="16" t="s">
        <v>476</v>
      </c>
      <c r="E32" s="13" t="s">
        <v>478</v>
      </c>
      <c r="F32" s="13" t="s">
        <v>480</v>
      </c>
      <c r="G32" s="13"/>
      <c r="H32" s="13"/>
      <c r="I32" s="13"/>
      <c r="J32" s="13"/>
      <c r="K32" s="13"/>
      <c r="L32" s="13"/>
    </row>
    <row r="33">
      <c r="A33" s="13" t="s">
        <v>481</v>
      </c>
      <c r="B33" s="13" t="s">
        <v>482</v>
      </c>
      <c r="C33" s="8"/>
      <c r="D33" s="16" t="s">
        <v>487</v>
      </c>
      <c r="E33" s="23" t="s">
        <v>489</v>
      </c>
      <c r="F33" s="13" t="s">
        <v>460</v>
      </c>
      <c r="G33" s="13"/>
      <c r="H33" s="13"/>
      <c r="I33" s="13"/>
      <c r="J33" s="13"/>
      <c r="K33" s="13"/>
      <c r="L33" s="13"/>
    </row>
    <row r="34">
      <c r="A34" s="13" t="s">
        <v>493</v>
      </c>
      <c r="B34" s="8" t="s">
        <v>494</v>
      </c>
      <c r="C34" s="8"/>
      <c r="D34" s="16" t="s">
        <v>80</v>
      </c>
      <c r="E34" s="23" t="s">
        <v>499</v>
      </c>
      <c r="F34" s="13" t="s">
        <v>28</v>
      </c>
      <c r="G34" s="13"/>
      <c r="H34" s="13"/>
      <c r="I34" s="13"/>
      <c r="J34" s="13"/>
      <c r="K34" s="13"/>
      <c r="L34" s="13"/>
    </row>
    <row r="35">
      <c r="A35" s="13" t="s">
        <v>503</v>
      </c>
      <c r="B35" s="13" t="s">
        <v>506</v>
      </c>
      <c r="C35" s="8"/>
      <c r="D35" s="16" t="s">
        <v>511</v>
      </c>
      <c r="E35" s="13" t="s">
        <v>513</v>
      </c>
      <c r="F35" s="13" t="s">
        <v>514</v>
      </c>
      <c r="G35" s="13"/>
      <c r="H35" s="13"/>
      <c r="I35" s="13"/>
      <c r="J35" s="13"/>
      <c r="K35" s="13"/>
      <c r="L35" s="13"/>
    </row>
    <row r="36">
      <c r="A36" s="13" t="s">
        <v>515</v>
      </c>
      <c r="B36" s="13" t="s">
        <v>516</v>
      </c>
      <c r="C36" s="8"/>
      <c r="D36" s="13"/>
      <c r="E36" s="13" t="s">
        <v>522</v>
      </c>
      <c r="F36" s="13" t="s">
        <v>521</v>
      </c>
      <c r="G36" s="13"/>
      <c r="H36" s="13"/>
      <c r="I36" s="13"/>
      <c r="J36" s="13"/>
      <c r="K36" s="13"/>
      <c r="L36" s="13"/>
    </row>
    <row r="37">
      <c r="A37" s="13" t="s">
        <v>526</v>
      </c>
      <c r="B37" s="13" t="s">
        <v>528</v>
      </c>
      <c r="C37" s="8"/>
      <c r="D37" s="16" t="s">
        <v>511</v>
      </c>
      <c r="E37" s="13" t="s">
        <v>513</v>
      </c>
      <c r="F37" s="13" t="s">
        <v>278</v>
      </c>
      <c r="G37" s="13"/>
      <c r="H37" s="13"/>
      <c r="I37" s="13"/>
      <c r="J37" s="13"/>
      <c r="K37" s="13"/>
      <c r="L37" s="13"/>
    </row>
    <row r="38">
      <c r="A38" s="13" t="s">
        <v>539</v>
      </c>
      <c r="B38" s="13" t="s">
        <v>541</v>
      </c>
      <c r="C38" s="8"/>
      <c r="D38" s="16" t="s">
        <v>543</v>
      </c>
      <c r="E38" s="13" t="s">
        <v>546</v>
      </c>
      <c r="F38" s="13" t="s">
        <v>28</v>
      </c>
      <c r="G38" s="13"/>
      <c r="H38" s="13"/>
      <c r="I38" s="13"/>
      <c r="J38" s="13"/>
      <c r="K38" s="13"/>
      <c r="L38" s="13"/>
    </row>
    <row r="39">
      <c r="A39" s="13" t="s">
        <v>550</v>
      </c>
      <c r="B39" s="13" t="s">
        <v>552</v>
      </c>
      <c r="C39" s="8"/>
      <c r="D39" s="16" t="s">
        <v>558</v>
      </c>
      <c r="E39" s="13" t="s">
        <v>559</v>
      </c>
      <c r="F39" s="13" t="s">
        <v>560</v>
      </c>
      <c r="G39" s="13"/>
      <c r="H39" s="13"/>
      <c r="I39" s="13"/>
      <c r="J39" s="13"/>
      <c r="K39" s="13"/>
      <c r="L39" s="13"/>
    </row>
    <row r="40">
      <c r="A40" s="13" t="s">
        <v>563</v>
      </c>
      <c r="B40" s="13" t="s">
        <v>566</v>
      </c>
      <c r="C40" s="8"/>
      <c r="D40" s="16" t="s">
        <v>570</v>
      </c>
      <c r="E40" s="13" t="s">
        <v>572</v>
      </c>
      <c r="F40" s="13" t="s">
        <v>28</v>
      </c>
      <c r="G40" s="13"/>
      <c r="H40" s="13"/>
      <c r="I40" s="13"/>
      <c r="J40" s="13"/>
      <c r="K40" s="13"/>
      <c r="L40" s="13"/>
    </row>
    <row r="41">
      <c r="A41" s="13" t="s">
        <v>577</v>
      </c>
      <c r="B41" s="13" t="s">
        <v>580</v>
      </c>
      <c r="C41" s="8"/>
      <c r="D41" s="13"/>
      <c r="E41" s="13" t="s">
        <v>585</v>
      </c>
      <c r="F41" s="13" t="s">
        <v>64</v>
      </c>
      <c r="G41" s="13"/>
      <c r="H41" s="13"/>
      <c r="I41" s="13"/>
      <c r="J41" s="13"/>
      <c r="K41" s="13"/>
      <c r="L41" s="13"/>
    </row>
    <row r="42">
      <c r="A42" s="13" t="s">
        <v>589</v>
      </c>
      <c r="B42" s="13" t="s">
        <v>592</v>
      </c>
      <c r="C42" s="8"/>
      <c r="D42" s="16" t="s">
        <v>595</v>
      </c>
      <c r="E42" s="13" t="s">
        <v>597</v>
      </c>
      <c r="F42" s="13" t="s">
        <v>13</v>
      </c>
      <c r="G42" s="13"/>
      <c r="H42" s="13"/>
      <c r="I42" s="13"/>
      <c r="J42" s="13"/>
      <c r="K42" s="13"/>
      <c r="L42" s="13"/>
    </row>
    <row r="43">
      <c r="A43" s="13" t="s">
        <v>600</v>
      </c>
      <c r="B43" s="13" t="s">
        <v>601</v>
      </c>
      <c r="C43" s="8"/>
      <c r="D43" s="16" t="s">
        <v>602</v>
      </c>
      <c r="E43" s="13" t="s">
        <v>603</v>
      </c>
      <c r="F43" s="13" t="s">
        <v>123</v>
      </c>
      <c r="G43" s="13"/>
      <c r="H43" s="13"/>
      <c r="I43" s="13"/>
      <c r="J43" s="13"/>
      <c r="K43" s="13"/>
      <c r="L43" s="13"/>
    </row>
    <row r="44">
      <c r="A44" s="13" t="s">
        <v>610</v>
      </c>
      <c r="B44" s="13" t="s">
        <v>612</v>
      </c>
      <c r="C44" s="8"/>
      <c r="D44" s="16" t="s">
        <v>615</v>
      </c>
      <c r="E44" s="13" t="s">
        <v>618</v>
      </c>
      <c r="F44" s="13" t="s">
        <v>620</v>
      </c>
      <c r="G44" s="13"/>
      <c r="H44" s="13"/>
      <c r="I44" s="13"/>
      <c r="J44" s="13"/>
      <c r="K44" s="13"/>
      <c r="L44" s="13"/>
    </row>
    <row r="45">
      <c r="A45" s="13" t="s">
        <v>624</v>
      </c>
      <c r="B45" s="13" t="s">
        <v>627</v>
      </c>
      <c r="C45" s="8"/>
      <c r="D45" s="16" t="s">
        <v>630</v>
      </c>
      <c r="E45" s="13" t="s">
        <v>632</v>
      </c>
      <c r="F45" s="13" t="s">
        <v>514</v>
      </c>
      <c r="G45" s="13"/>
      <c r="H45" s="13"/>
      <c r="I45" s="13"/>
      <c r="J45" s="13"/>
      <c r="K45" s="13"/>
      <c r="L45" s="13"/>
    </row>
    <row r="46">
      <c r="A46" s="13" t="s">
        <v>637</v>
      </c>
      <c r="B46" s="13" t="s">
        <v>311</v>
      </c>
      <c r="C46" s="8"/>
      <c r="D46" s="16" t="s">
        <v>312</v>
      </c>
      <c r="E46" s="13" t="s">
        <v>313</v>
      </c>
      <c r="F46" s="13" t="s">
        <v>28</v>
      </c>
      <c r="G46" s="13"/>
      <c r="H46" s="13"/>
      <c r="I46" s="13"/>
      <c r="J46" s="13"/>
      <c r="K46" s="13"/>
      <c r="L46" s="13"/>
    </row>
    <row r="47">
      <c r="A47" s="13" t="s">
        <v>644</v>
      </c>
      <c r="B47" s="13" t="s">
        <v>646</v>
      </c>
      <c r="C47" s="8"/>
      <c r="D47" s="16" t="s">
        <v>648</v>
      </c>
      <c r="E47" s="13" t="s">
        <v>649</v>
      </c>
      <c r="F47" s="13" t="s">
        <v>620</v>
      </c>
      <c r="G47" s="13"/>
      <c r="H47" s="13"/>
      <c r="I47" s="13"/>
      <c r="J47" s="13"/>
      <c r="K47" s="13"/>
      <c r="L47" s="13"/>
    </row>
    <row r="48">
      <c r="A48" s="13" t="s">
        <v>650</v>
      </c>
      <c r="B48" s="13" t="s">
        <v>651</v>
      </c>
      <c r="C48" s="8"/>
      <c r="D48" s="16" t="s">
        <v>652</v>
      </c>
      <c r="E48" s="13" t="s">
        <v>653</v>
      </c>
      <c r="F48" s="13" t="s">
        <v>655</v>
      </c>
      <c r="G48" s="13"/>
      <c r="H48" s="13"/>
      <c r="I48" s="13"/>
      <c r="J48" s="13"/>
      <c r="K48" s="13"/>
      <c r="L48" s="13"/>
    </row>
    <row r="49">
      <c r="A49" s="13" t="s">
        <v>656</v>
      </c>
      <c r="B49" s="13" t="s">
        <v>658</v>
      </c>
      <c r="C49" s="8"/>
      <c r="D49" s="13"/>
      <c r="E49" s="13" t="s">
        <v>661</v>
      </c>
      <c r="F49" s="13" t="s">
        <v>663</v>
      </c>
      <c r="G49" s="13"/>
      <c r="H49" s="13"/>
      <c r="I49" s="13"/>
      <c r="J49" s="13"/>
      <c r="K49" s="13"/>
      <c r="L49" s="13"/>
    </row>
    <row r="50">
      <c r="A50" s="13" t="s">
        <v>665</v>
      </c>
      <c r="B50" s="13" t="s">
        <v>667</v>
      </c>
      <c r="C50" s="8"/>
      <c r="D50" s="13"/>
      <c r="E50" s="13" t="s">
        <v>669</v>
      </c>
      <c r="F50" s="13" t="s">
        <v>28</v>
      </c>
      <c r="G50" s="13"/>
      <c r="H50" s="13"/>
      <c r="I50" s="13"/>
      <c r="J50" s="13"/>
      <c r="K50" s="13"/>
      <c r="L50" s="13"/>
    </row>
    <row r="51">
      <c r="A51" s="13" t="s">
        <v>673</v>
      </c>
      <c r="B51" s="23" t="s">
        <v>675</v>
      </c>
      <c r="C51" s="8"/>
      <c r="D51" s="16" t="s">
        <v>297</v>
      </c>
      <c r="E51" s="13" t="s">
        <v>704</v>
      </c>
      <c r="F51" s="13" t="s">
        <v>123</v>
      </c>
      <c r="G51" s="13"/>
      <c r="H51" s="13"/>
      <c r="I51" s="13"/>
      <c r="J51" s="13"/>
      <c r="K51" s="13"/>
      <c r="L51" s="13"/>
    </row>
    <row r="52">
      <c r="A52" s="13" t="s">
        <v>707</v>
      </c>
      <c r="B52" s="13" t="s">
        <v>709</v>
      </c>
      <c r="C52" s="8"/>
      <c r="D52" s="16" t="s">
        <v>712</v>
      </c>
      <c r="E52" s="13" t="s">
        <v>714</v>
      </c>
      <c r="F52" s="13" t="s">
        <v>28</v>
      </c>
      <c r="G52" s="13"/>
      <c r="H52" s="13"/>
      <c r="I52" s="13"/>
      <c r="J52" s="13"/>
      <c r="K52" s="13"/>
      <c r="L52" s="13"/>
    </row>
    <row r="53">
      <c r="A53" s="13" t="s">
        <v>718</v>
      </c>
      <c r="B53" s="13" t="s">
        <v>720</v>
      </c>
      <c r="C53" s="8"/>
      <c r="D53" s="13"/>
      <c r="E53" s="13" t="s">
        <v>722</v>
      </c>
      <c r="F53" s="13" t="s">
        <v>28</v>
      </c>
      <c r="G53" s="13"/>
      <c r="H53" s="13"/>
      <c r="I53" s="13"/>
      <c r="J53" s="13"/>
      <c r="K53" s="13"/>
      <c r="L53" s="13"/>
    </row>
    <row r="54">
      <c r="A54" s="13" t="s">
        <v>726</v>
      </c>
      <c r="B54" s="13" t="s">
        <v>727</v>
      </c>
      <c r="C54" s="8"/>
      <c r="D54" s="16" t="s">
        <v>729</v>
      </c>
      <c r="E54" s="13" t="s">
        <v>730</v>
      </c>
      <c r="F54" s="13" t="s">
        <v>732</v>
      </c>
      <c r="G54" s="13"/>
      <c r="H54" s="13"/>
      <c r="I54" s="13"/>
      <c r="J54" s="13"/>
      <c r="K54" s="13"/>
      <c r="L54" s="13"/>
    </row>
    <row r="55">
      <c r="A55" s="13" t="s">
        <v>737</v>
      </c>
      <c r="B55" s="13" t="s">
        <v>738</v>
      </c>
      <c r="C55" s="8"/>
      <c r="D55" s="13"/>
      <c r="E55" s="13" t="s">
        <v>741</v>
      </c>
      <c r="F55" s="13" t="s">
        <v>743</v>
      </c>
      <c r="G55" s="13"/>
      <c r="H55" s="13"/>
      <c r="I55" s="13"/>
      <c r="J55" s="13"/>
      <c r="K55" s="13"/>
      <c r="L55" s="13"/>
    </row>
    <row r="56">
      <c r="A56" s="13" t="s">
        <v>746</v>
      </c>
      <c r="B56" s="13" t="s">
        <v>748</v>
      </c>
      <c r="C56" s="8"/>
      <c r="D56" s="16" t="s">
        <v>752</v>
      </c>
      <c r="E56" s="13" t="s">
        <v>754</v>
      </c>
      <c r="F56" s="13" t="s">
        <v>132</v>
      </c>
      <c r="G56" s="13"/>
      <c r="H56" s="13"/>
      <c r="I56" s="13"/>
      <c r="J56" s="13"/>
      <c r="K56" s="13"/>
      <c r="L56" s="13"/>
    </row>
    <row r="57">
      <c r="A57" s="13" t="s">
        <v>757</v>
      </c>
      <c r="B57" s="13" t="s">
        <v>759</v>
      </c>
      <c r="C57" s="8"/>
      <c r="D57" s="13"/>
      <c r="E57" s="13" t="s">
        <v>761</v>
      </c>
      <c r="F57" s="13" t="s">
        <v>64</v>
      </c>
      <c r="G57" s="13"/>
      <c r="H57" s="13"/>
      <c r="I57" s="13"/>
      <c r="J57" s="13"/>
      <c r="K57" s="13"/>
      <c r="L57" s="13"/>
    </row>
    <row r="58">
      <c r="A58" s="13" t="s">
        <v>762</v>
      </c>
      <c r="B58" s="13" t="s">
        <v>764</v>
      </c>
      <c r="C58" s="8"/>
      <c r="D58" s="16" t="s">
        <v>766</v>
      </c>
      <c r="E58" s="13" t="s">
        <v>767</v>
      </c>
      <c r="F58" s="13" t="s">
        <v>560</v>
      </c>
      <c r="G58" s="13"/>
      <c r="H58" s="13"/>
      <c r="I58" s="13"/>
      <c r="J58" s="13"/>
      <c r="K58" s="13"/>
      <c r="L58" s="13"/>
    </row>
    <row r="59">
      <c r="A59" s="13" t="s">
        <v>775</v>
      </c>
      <c r="B59" s="13" t="s">
        <v>776</v>
      </c>
      <c r="C59" s="8"/>
      <c r="D59" s="16" t="s">
        <v>777</v>
      </c>
      <c r="E59" s="13" t="s">
        <v>778</v>
      </c>
      <c r="F59" s="13" t="s">
        <v>91</v>
      </c>
      <c r="G59" s="13"/>
      <c r="H59" s="13"/>
      <c r="I59" s="13"/>
      <c r="J59" s="13"/>
      <c r="K59" s="13"/>
      <c r="L59" s="13"/>
    </row>
    <row r="60">
      <c r="A60" s="23" t="s">
        <v>779</v>
      </c>
      <c r="B60" s="23" t="s">
        <v>781</v>
      </c>
      <c r="C60" s="8"/>
      <c r="D60" s="40" t="s">
        <v>511</v>
      </c>
      <c r="E60" s="23" t="s">
        <v>792</v>
      </c>
      <c r="F60" s="23" t="s">
        <v>28</v>
      </c>
      <c r="G60" s="13"/>
      <c r="H60" s="13"/>
      <c r="I60" s="13"/>
      <c r="J60" s="13"/>
      <c r="K60" s="13"/>
      <c r="L60" s="13"/>
    </row>
    <row r="61">
      <c r="A61" s="13" t="s">
        <v>796</v>
      </c>
      <c r="B61" s="13" t="s">
        <v>799</v>
      </c>
      <c r="C61" s="8"/>
      <c r="D61" s="16" t="s">
        <v>802</v>
      </c>
      <c r="E61" s="13" t="s">
        <v>804</v>
      </c>
      <c r="F61" s="13" t="s">
        <v>805</v>
      </c>
      <c r="G61" s="13"/>
      <c r="H61" s="13"/>
      <c r="I61" s="13"/>
      <c r="J61" s="13"/>
      <c r="K61" s="13"/>
      <c r="L61" s="13"/>
    </row>
    <row r="62">
      <c r="A62" s="13" t="s">
        <v>809</v>
      </c>
      <c r="B62" s="13" t="s">
        <v>810</v>
      </c>
      <c r="C62" s="8"/>
      <c r="D62" s="16" t="s">
        <v>813</v>
      </c>
      <c r="E62" s="13" t="s">
        <v>816</v>
      </c>
      <c r="F62" s="13" t="s">
        <v>817</v>
      </c>
      <c r="G62" s="13"/>
      <c r="H62" s="13"/>
      <c r="I62" s="13"/>
      <c r="J62" s="13"/>
      <c r="K62" s="13"/>
      <c r="L62" s="13"/>
    </row>
    <row r="63">
      <c r="A63" s="13" t="s">
        <v>822</v>
      </c>
      <c r="B63" s="13" t="s">
        <v>823</v>
      </c>
      <c r="C63" s="8"/>
      <c r="D63" s="16" t="s">
        <v>829</v>
      </c>
      <c r="E63" s="13" t="s">
        <v>830</v>
      </c>
      <c r="F63" s="13" t="s">
        <v>28</v>
      </c>
      <c r="G63" s="13"/>
      <c r="H63" s="13"/>
      <c r="I63" s="13"/>
      <c r="J63" s="13"/>
      <c r="K63" s="13"/>
      <c r="L63" s="13"/>
    </row>
    <row r="64">
      <c r="A64" s="13" t="s">
        <v>836</v>
      </c>
      <c r="B64" s="13" t="s">
        <v>126</v>
      </c>
      <c r="C64" s="8"/>
      <c r="D64" s="13"/>
      <c r="E64" s="13" t="s">
        <v>841</v>
      </c>
      <c r="F64" s="13" t="s">
        <v>91</v>
      </c>
      <c r="G64" s="13"/>
      <c r="H64" s="13"/>
      <c r="I64" s="13"/>
      <c r="J64" s="13"/>
      <c r="K64" s="13"/>
      <c r="L64" s="13"/>
    </row>
    <row r="65">
      <c r="A65" s="13" t="s">
        <v>846</v>
      </c>
      <c r="B65" s="13" t="s">
        <v>849</v>
      </c>
      <c r="C65" s="8"/>
      <c r="D65" s="16" t="s">
        <v>854</v>
      </c>
      <c r="E65" s="13" t="s">
        <v>856</v>
      </c>
      <c r="F65" s="13" t="s">
        <v>123</v>
      </c>
      <c r="G65" s="13"/>
      <c r="H65" s="13"/>
      <c r="I65" s="13"/>
      <c r="J65" s="13"/>
      <c r="K65" s="13"/>
      <c r="L65" s="13"/>
    </row>
    <row r="66">
      <c r="A66" s="13" t="s">
        <v>865</v>
      </c>
      <c r="B66" s="13" t="s">
        <v>867</v>
      </c>
      <c r="C66" s="8"/>
      <c r="D66" s="16" t="s">
        <v>873</v>
      </c>
      <c r="E66" s="13" t="s">
        <v>875</v>
      </c>
      <c r="F66" s="13" t="s">
        <v>70</v>
      </c>
      <c r="G66" s="13"/>
      <c r="H66" s="13"/>
      <c r="I66" s="13"/>
      <c r="J66" s="13"/>
      <c r="K66" s="13"/>
      <c r="L66" s="13"/>
    </row>
    <row r="67">
      <c r="A67" s="13" t="s">
        <v>884</v>
      </c>
      <c r="B67" s="13" t="s">
        <v>885</v>
      </c>
      <c r="C67" s="8"/>
      <c r="D67" s="13"/>
      <c r="E67" s="13" t="s">
        <v>891</v>
      </c>
      <c r="F67" s="13" t="s">
        <v>893</v>
      </c>
      <c r="G67" s="13"/>
      <c r="H67" s="13"/>
      <c r="I67" s="13"/>
      <c r="J67" s="13"/>
      <c r="K67" s="13"/>
      <c r="L67" s="13"/>
    </row>
    <row r="68">
      <c r="A68" s="13" t="s">
        <v>896</v>
      </c>
      <c r="B68" s="13" t="s">
        <v>897</v>
      </c>
      <c r="C68" s="8"/>
      <c r="D68" s="16" t="s">
        <v>902</v>
      </c>
      <c r="E68" s="13" t="s">
        <v>904</v>
      </c>
      <c r="F68" s="13" t="s">
        <v>663</v>
      </c>
      <c r="G68" s="13"/>
      <c r="H68" s="13"/>
      <c r="I68" s="13"/>
      <c r="J68" s="13"/>
      <c r="K68" s="13"/>
      <c r="L68" s="13"/>
    </row>
    <row r="69">
      <c r="A69" s="13" t="s">
        <v>910</v>
      </c>
      <c r="B69" s="13" t="s">
        <v>710</v>
      </c>
      <c r="C69" s="8"/>
      <c r="D69" s="16" t="s">
        <v>711</v>
      </c>
      <c r="E69" s="13" t="s">
        <v>917</v>
      </c>
      <c r="F69" s="13" t="s">
        <v>620</v>
      </c>
      <c r="G69" s="13"/>
      <c r="H69" s="13"/>
      <c r="I69" s="13"/>
      <c r="J69" s="13"/>
      <c r="K69" s="13"/>
      <c r="L69" s="13"/>
    </row>
    <row r="70">
      <c r="A70" s="13" t="s">
        <v>922</v>
      </c>
      <c r="B70" s="13" t="s">
        <v>897</v>
      </c>
      <c r="C70" s="8"/>
      <c r="D70" s="16" t="s">
        <v>902</v>
      </c>
      <c r="E70" s="13" t="s">
        <v>904</v>
      </c>
      <c r="F70" s="13" t="s">
        <v>663</v>
      </c>
      <c r="G70" s="13"/>
      <c r="H70" s="13"/>
      <c r="I70" s="13"/>
      <c r="J70" s="13"/>
      <c r="K70" s="13"/>
      <c r="L70" s="13"/>
    </row>
    <row r="71">
      <c r="A71" s="13" t="s">
        <v>933</v>
      </c>
      <c r="B71" s="13" t="s">
        <v>936</v>
      </c>
      <c r="C71" s="8"/>
      <c r="D71" s="16" t="s">
        <v>943</v>
      </c>
      <c r="E71" s="13" t="s">
        <v>946</v>
      </c>
      <c r="F71" s="13" t="s">
        <v>207</v>
      </c>
      <c r="G71" s="13"/>
      <c r="H71" s="13"/>
      <c r="I71" s="13"/>
      <c r="J71" s="13"/>
      <c r="K71" s="13"/>
      <c r="L71" s="13"/>
    </row>
    <row r="72">
      <c r="A72" s="13" t="s">
        <v>948</v>
      </c>
      <c r="B72" s="13" t="s">
        <v>949</v>
      </c>
      <c r="C72" s="8"/>
      <c r="D72" s="16" t="s">
        <v>965</v>
      </c>
      <c r="E72" s="13" t="s">
        <v>968</v>
      </c>
      <c r="F72" s="13" t="s">
        <v>132</v>
      </c>
      <c r="G72" s="13"/>
      <c r="H72" s="13"/>
      <c r="I72" s="13"/>
      <c r="J72" s="13"/>
      <c r="K72" s="13"/>
      <c r="L72" s="13"/>
    </row>
    <row r="73">
      <c r="A73" s="13" t="s">
        <v>974</v>
      </c>
      <c r="B73" s="13" t="s">
        <v>976</v>
      </c>
      <c r="C73" s="8"/>
      <c r="D73" s="16" t="s">
        <v>981</v>
      </c>
      <c r="E73" s="13" t="s">
        <v>983</v>
      </c>
      <c r="F73" s="13" t="s">
        <v>986</v>
      </c>
      <c r="G73" s="13"/>
      <c r="H73" s="13"/>
      <c r="I73" s="13"/>
      <c r="J73" s="13"/>
      <c r="K73" s="13"/>
      <c r="L73" s="13"/>
    </row>
    <row r="74">
      <c r="A74" s="13" t="s">
        <v>992</v>
      </c>
      <c r="B74" s="13" t="s">
        <v>994</v>
      </c>
      <c r="C74" s="8"/>
      <c r="D74" s="16" t="s">
        <v>997</v>
      </c>
      <c r="E74" s="13" t="s">
        <v>999</v>
      </c>
      <c r="F74" s="13" t="s">
        <v>977</v>
      </c>
      <c r="G74" s="13"/>
      <c r="H74" s="13"/>
      <c r="I74" s="13"/>
      <c r="J74" s="13"/>
      <c r="K74" s="13"/>
      <c r="L74" s="13"/>
    </row>
    <row r="75">
      <c r="A75" s="13" t="s">
        <v>1001</v>
      </c>
      <c r="B75" s="13" t="s">
        <v>832</v>
      </c>
      <c r="C75" s="8"/>
      <c r="D75" s="13"/>
      <c r="E75" s="13" t="s">
        <v>833</v>
      </c>
      <c r="F75" s="13" t="s">
        <v>735</v>
      </c>
      <c r="G75" s="13"/>
      <c r="H75" s="13"/>
      <c r="I75" s="13"/>
      <c r="J75" s="13"/>
      <c r="K75" s="13"/>
      <c r="L75" s="13"/>
    </row>
    <row r="76">
      <c r="A76" s="13" t="s">
        <v>1006</v>
      </c>
      <c r="B76" s="13" t="s">
        <v>1008</v>
      </c>
      <c r="C76" s="8"/>
      <c r="D76" s="16" t="s">
        <v>1012</v>
      </c>
      <c r="E76" s="13" t="s">
        <v>1014</v>
      </c>
      <c r="F76" s="13" t="s">
        <v>1016</v>
      </c>
      <c r="G76" s="13"/>
      <c r="H76" s="13"/>
      <c r="I76" s="13"/>
      <c r="J76" s="13"/>
      <c r="K76" s="13"/>
      <c r="L76" s="13"/>
    </row>
    <row r="77">
      <c r="A77" s="13" t="s">
        <v>1019</v>
      </c>
      <c r="B77" s="13" t="s">
        <v>1021</v>
      </c>
      <c r="C77" s="8"/>
      <c r="D77" s="13"/>
      <c r="E77" s="13" t="s">
        <v>1029</v>
      </c>
      <c r="F77" s="13" t="s">
        <v>70</v>
      </c>
      <c r="G77" s="13"/>
      <c r="H77" s="13"/>
      <c r="I77" s="13"/>
      <c r="J77" s="13"/>
      <c r="K77" s="13"/>
      <c r="L77" s="13"/>
    </row>
    <row r="78">
      <c r="A78" s="13" t="s">
        <v>1031</v>
      </c>
      <c r="B78" s="13" t="s">
        <v>799</v>
      </c>
      <c r="C78" s="8"/>
      <c r="D78" s="16" t="s">
        <v>802</v>
      </c>
      <c r="E78" s="13" t="s">
        <v>804</v>
      </c>
      <c r="F78" s="13" t="s">
        <v>1036</v>
      </c>
      <c r="G78" s="13"/>
      <c r="H78" s="13"/>
      <c r="I78" s="13"/>
      <c r="J78" s="13"/>
      <c r="K78" s="13"/>
      <c r="L78" s="13"/>
    </row>
    <row r="79">
      <c r="A79" s="13" t="s">
        <v>1040</v>
      </c>
      <c r="B79" s="13" t="s">
        <v>1041</v>
      </c>
      <c r="C79" s="8"/>
      <c r="D79" s="16" t="s">
        <v>1044</v>
      </c>
      <c r="E79" s="13" t="s">
        <v>1046</v>
      </c>
      <c r="F79" s="13" t="s">
        <v>986</v>
      </c>
      <c r="G79" s="13"/>
      <c r="H79" s="13"/>
      <c r="I79" s="13"/>
      <c r="J79" s="13"/>
      <c r="K79" s="13"/>
      <c r="L79" s="13"/>
    </row>
    <row r="80">
      <c r="A80" s="13" t="s">
        <v>1055</v>
      </c>
      <c r="B80" s="13" t="s">
        <v>1058</v>
      </c>
      <c r="C80" s="8"/>
      <c r="D80" s="13"/>
      <c r="E80" s="13" t="s">
        <v>585</v>
      </c>
      <c r="F80" s="13" t="s">
        <v>1063</v>
      </c>
      <c r="G80" s="13"/>
      <c r="H80" s="13"/>
      <c r="I80" s="13"/>
      <c r="J80" s="13"/>
      <c r="K80" s="13"/>
      <c r="L80" s="13"/>
    </row>
    <row r="81">
      <c r="A81" s="13" t="s">
        <v>1067</v>
      </c>
      <c r="B81" s="13" t="s">
        <v>1068</v>
      </c>
      <c r="C81" s="8"/>
      <c r="D81" s="16" t="s">
        <v>476</v>
      </c>
      <c r="E81" s="13" t="s">
        <v>1071</v>
      </c>
      <c r="F81" s="13" t="s">
        <v>480</v>
      </c>
      <c r="G81" s="13"/>
      <c r="H81" s="13"/>
      <c r="I81" s="13"/>
      <c r="J81" s="13"/>
      <c r="K81" s="13"/>
      <c r="L81" s="13"/>
    </row>
    <row r="82">
      <c r="A82" s="13" t="s">
        <v>1078</v>
      </c>
      <c r="B82" s="13" t="s">
        <v>1081</v>
      </c>
      <c r="C82" s="8"/>
      <c r="D82" s="13"/>
      <c r="E82" s="13" t="s">
        <v>1086</v>
      </c>
      <c r="F82" s="13" t="s">
        <v>1088</v>
      </c>
      <c r="G82" s="13"/>
      <c r="H82" s="13"/>
      <c r="I82" s="13"/>
      <c r="J82" s="13"/>
      <c r="K82" s="13"/>
      <c r="L82" s="13"/>
    </row>
    <row r="83">
      <c r="A83" s="13" t="s">
        <v>1092</v>
      </c>
      <c r="B83" s="13" t="s">
        <v>1095</v>
      </c>
      <c r="C83" s="8"/>
      <c r="D83" s="16" t="s">
        <v>1101</v>
      </c>
      <c r="E83" s="13" t="s">
        <v>1104</v>
      </c>
      <c r="F83" s="13" t="s">
        <v>695</v>
      </c>
      <c r="G83" s="13"/>
      <c r="H83" s="13"/>
      <c r="I83" s="13"/>
      <c r="J83" s="13"/>
      <c r="K83" s="13"/>
      <c r="L83" s="13"/>
    </row>
    <row r="84">
      <c r="A84" s="13" t="s">
        <v>1109</v>
      </c>
      <c r="B84" s="13" t="s">
        <v>1110</v>
      </c>
      <c r="C84" s="8"/>
      <c r="D84" s="16" t="s">
        <v>1113</v>
      </c>
      <c r="E84" s="13" t="s">
        <v>1116</v>
      </c>
      <c r="F84" s="13" t="s">
        <v>695</v>
      </c>
      <c r="G84" s="13"/>
      <c r="H84" s="13"/>
      <c r="I84" s="13"/>
      <c r="J84" s="13"/>
      <c r="K84" s="13"/>
      <c r="L84" s="13"/>
    </row>
    <row r="85">
      <c r="A85" s="13" t="s">
        <v>1122</v>
      </c>
      <c r="B85" s="13" t="s">
        <v>1124</v>
      </c>
      <c r="C85" s="8"/>
      <c r="D85" s="13"/>
      <c r="E85" s="13" t="s">
        <v>1126</v>
      </c>
      <c r="F85" s="13" t="s">
        <v>1128</v>
      </c>
      <c r="G85" s="13"/>
      <c r="H85" s="13"/>
      <c r="I85" s="13"/>
      <c r="J85" s="13"/>
      <c r="K85" s="13"/>
      <c r="L85" s="13"/>
    </row>
    <row r="86">
      <c r="A86" s="13" t="s">
        <v>1132</v>
      </c>
      <c r="B86" s="13" t="s">
        <v>1134</v>
      </c>
      <c r="C86" s="8"/>
      <c r="D86" s="16" t="s">
        <v>1137</v>
      </c>
      <c r="E86" s="13" t="s">
        <v>1140</v>
      </c>
      <c r="F86" s="13" t="s">
        <v>1036</v>
      </c>
      <c r="G86" s="13"/>
      <c r="H86" s="13"/>
      <c r="I86" s="13"/>
      <c r="J86" s="13"/>
      <c r="K86" s="13"/>
      <c r="L86" s="13"/>
    </row>
    <row r="87">
      <c r="A87" s="13" t="s">
        <v>1145</v>
      </c>
      <c r="B87" s="13" t="s">
        <v>1147</v>
      </c>
      <c r="C87" s="8"/>
      <c r="D87" s="13"/>
      <c r="E87" s="13" t="s">
        <v>1150</v>
      </c>
      <c r="F87" s="13" t="s">
        <v>695</v>
      </c>
      <c r="G87" s="13"/>
      <c r="H87" s="13"/>
      <c r="I87" s="13"/>
      <c r="J87" s="13"/>
      <c r="K87" s="13"/>
      <c r="L87" s="13"/>
    </row>
    <row r="88">
      <c r="A88" s="13" t="s">
        <v>1154</v>
      </c>
      <c r="B88" s="13" t="s">
        <v>1155</v>
      </c>
      <c r="C88" s="8"/>
      <c r="D88" s="16" t="s">
        <v>1156</v>
      </c>
      <c r="E88" s="13" t="s">
        <v>1157</v>
      </c>
      <c r="F88" s="13" t="s">
        <v>91</v>
      </c>
      <c r="G88" s="13"/>
      <c r="H88" s="13"/>
      <c r="I88" s="13"/>
      <c r="J88" s="13"/>
      <c r="K88" s="13"/>
      <c r="L88" s="13"/>
    </row>
    <row r="89">
      <c r="A89" s="13" t="s">
        <v>1158</v>
      </c>
      <c r="B89" s="13" t="s">
        <v>1159</v>
      </c>
      <c r="C89" s="8"/>
      <c r="D89" s="16" t="s">
        <v>1162</v>
      </c>
      <c r="E89" s="13" t="s">
        <v>1163</v>
      </c>
      <c r="F89" s="13" t="s">
        <v>695</v>
      </c>
      <c r="G89" s="13"/>
      <c r="H89" s="13"/>
      <c r="I89" s="13"/>
      <c r="J89" s="13"/>
      <c r="K89" s="13"/>
      <c r="L89" s="13"/>
    </row>
    <row r="90">
      <c r="A90" s="13" t="s">
        <v>1165</v>
      </c>
      <c r="B90" s="13" t="s">
        <v>1166</v>
      </c>
      <c r="C90" s="8"/>
      <c r="D90" s="16" t="s">
        <v>1167</v>
      </c>
      <c r="E90" s="13" t="s">
        <v>1168</v>
      </c>
      <c r="F90" s="13" t="s">
        <v>1169</v>
      </c>
      <c r="G90" s="13"/>
      <c r="H90" s="13"/>
      <c r="I90" s="13"/>
      <c r="J90" s="13"/>
      <c r="K90" s="13"/>
      <c r="L90" s="13"/>
    </row>
    <row r="91">
      <c r="A91" s="13" t="s">
        <v>1170</v>
      </c>
      <c r="B91" s="13" t="s">
        <v>1171</v>
      </c>
      <c r="C91" s="8"/>
      <c r="D91" s="13"/>
      <c r="E91" s="13" t="s">
        <v>1172</v>
      </c>
      <c r="F91" s="13" t="s">
        <v>132</v>
      </c>
      <c r="G91" s="13"/>
      <c r="H91" s="13"/>
      <c r="I91" s="13"/>
      <c r="J91" s="13"/>
      <c r="K91" s="13"/>
      <c r="L91" s="13"/>
    </row>
    <row r="92">
      <c r="A92" s="13" t="s">
        <v>1173</v>
      </c>
      <c r="B92" s="13" t="s">
        <v>1174</v>
      </c>
      <c r="C92" s="8"/>
      <c r="D92" s="13"/>
      <c r="E92" s="13" t="s">
        <v>1175</v>
      </c>
      <c r="F92" s="13" t="s">
        <v>278</v>
      </c>
      <c r="G92" s="13"/>
      <c r="H92" s="13"/>
      <c r="I92" s="13"/>
      <c r="J92" s="13"/>
      <c r="K92" s="13"/>
      <c r="L92" s="13"/>
    </row>
    <row r="93">
      <c r="A93" s="13" t="s">
        <v>1176</v>
      </c>
      <c r="B93" s="59" t="s">
        <v>1177</v>
      </c>
      <c r="C93" s="8"/>
      <c r="D93" s="16" t="s">
        <v>1179</v>
      </c>
      <c r="E93" s="13" t="s">
        <v>1180</v>
      </c>
      <c r="F93" s="13" t="s">
        <v>695</v>
      </c>
      <c r="G93" s="13"/>
      <c r="H93" s="13"/>
      <c r="I93" s="13"/>
      <c r="J93" s="13"/>
      <c r="K93" s="13"/>
      <c r="L93" s="13"/>
    </row>
    <row r="94">
      <c r="A94" s="13" t="s">
        <v>1182</v>
      </c>
      <c r="B94" s="13"/>
      <c r="C94" s="8"/>
      <c r="D94" s="16" t="s">
        <v>1183</v>
      </c>
      <c r="E94" s="13" t="s">
        <v>1184</v>
      </c>
      <c r="F94" s="13" t="s">
        <v>1185</v>
      </c>
      <c r="G94" s="13"/>
      <c r="H94" s="13"/>
      <c r="I94" s="13"/>
      <c r="J94" s="13"/>
      <c r="K94" s="13"/>
      <c r="L94" s="13"/>
    </row>
    <row r="95">
      <c r="A95" s="13" t="s">
        <v>1186</v>
      </c>
      <c r="B95" s="13" t="s">
        <v>1187</v>
      </c>
      <c r="C95" s="8"/>
      <c r="D95" s="16" t="s">
        <v>1188</v>
      </c>
      <c r="E95" s="13" t="s">
        <v>1189</v>
      </c>
      <c r="F95" s="13" t="s">
        <v>1190</v>
      </c>
      <c r="G95" s="13"/>
      <c r="H95" s="13"/>
      <c r="I95" s="13"/>
      <c r="J95" s="13"/>
      <c r="K95" s="13"/>
      <c r="L95" s="13"/>
    </row>
    <row r="96">
      <c r="A96" s="13" t="s">
        <v>1191</v>
      </c>
      <c r="B96" s="13" t="s">
        <v>1192</v>
      </c>
      <c r="C96" s="8"/>
      <c r="D96" s="16" t="s">
        <v>1193</v>
      </c>
      <c r="E96" s="13" t="s">
        <v>1194</v>
      </c>
      <c r="F96" s="13" t="s">
        <v>123</v>
      </c>
      <c r="G96" s="13"/>
      <c r="H96" s="13"/>
      <c r="I96" s="13"/>
      <c r="J96" s="13"/>
      <c r="K96" s="13"/>
      <c r="L96" s="13"/>
    </row>
    <row r="97">
      <c r="A97" s="13" t="s">
        <v>1195</v>
      </c>
      <c r="B97" s="13" t="s">
        <v>1196</v>
      </c>
      <c r="C97" s="8"/>
      <c r="D97" s="16" t="s">
        <v>1197</v>
      </c>
      <c r="E97" s="13" t="s">
        <v>1198</v>
      </c>
      <c r="F97" s="13" t="s">
        <v>1199</v>
      </c>
      <c r="G97" s="13"/>
      <c r="H97" s="13"/>
      <c r="I97" s="13"/>
      <c r="J97" s="13"/>
      <c r="K97" s="13"/>
      <c r="L97" s="13"/>
    </row>
    <row r="98">
      <c r="A98" s="13" t="s">
        <v>1200</v>
      </c>
      <c r="B98" s="13" t="s">
        <v>1201</v>
      </c>
      <c r="C98" s="8"/>
      <c r="D98" s="16" t="s">
        <v>1202</v>
      </c>
      <c r="E98" s="13" t="s">
        <v>1203</v>
      </c>
      <c r="F98" s="13" t="s">
        <v>70</v>
      </c>
      <c r="G98" s="13"/>
      <c r="H98" s="13"/>
      <c r="I98" s="13"/>
      <c r="J98" s="13"/>
      <c r="K98" s="13"/>
      <c r="L98" s="13"/>
    </row>
    <row r="99">
      <c r="A99" s="13" t="s">
        <v>1204</v>
      </c>
      <c r="B99" s="13" t="s">
        <v>1205</v>
      </c>
      <c r="C99" s="8"/>
      <c r="D99" s="16" t="s">
        <v>1206</v>
      </c>
      <c r="E99" s="13" t="s">
        <v>1207</v>
      </c>
      <c r="F99" s="13" t="s">
        <v>735</v>
      </c>
      <c r="G99" s="13"/>
      <c r="H99" s="13"/>
      <c r="I99" s="13"/>
      <c r="J99" s="13"/>
      <c r="K99" s="13"/>
      <c r="L99" s="13"/>
    </row>
    <row r="100">
      <c r="A100" s="13" t="s">
        <v>1208</v>
      </c>
      <c r="B100" s="13" t="s">
        <v>1209</v>
      </c>
      <c r="C100" s="8"/>
      <c r="D100" s="16" t="s">
        <v>1210</v>
      </c>
      <c r="E100" s="13" t="s">
        <v>1211</v>
      </c>
      <c r="F100" s="13" t="s">
        <v>70</v>
      </c>
      <c r="G100" s="13"/>
      <c r="H100" s="13"/>
      <c r="I100" s="13"/>
      <c r="J100" s="13"/>
      <c r="K100" s="13"/>
      <c r="L100" s="13"/>
    </row>
    <row r="101">
      <c r="A101" s="13" t="s">
        <v>1213</v>
      </c>
      <c r="B101" s="13" t="s">
        <v>1214</v>
      </c>
      <c r="C101" s="8"/>
      <c r="D101" s="16" t="s">
        <v>1215</v>
      </c>
      <c r="E101" s="13" t="s">
        <v>1216</v>
      </c>
      <c r="F101" s="13" t="s">
        <v>278</v>
      </c>
      <c r="G101" s="13"/>
      <c r="H101" s="13"/>
      <c r="I101" s="13"/>
      <c r="J101" s="13"/>
      <c r="K101" s="13"/>
      <c r="L101" s="13"/>
    </row>
    <row r="102">
      <c r="A102" s="13" t="s">
        <v>1218</v>
      </c>
      <c r="B102" s="13" t="s">
        <v>1219</v>
      </c>
      <c r="C102" s="8"/>
      <c r="D102" s="16" t="s">
        <v>1221</v>
      </c>
      <c r="E102" s="13" t="s">
        <v>1222</v>
      </c>
      <c r="F102" s="13" t="s">
        <v>1088</v>
      </c>
      <c r="G102" s="13"/>
      <c r="H102" s="13"/>
      <c r="I102" s="13"/>
      <c r="J102" s="13"/>
      <c r="K102" s="13"/>
      <c r="L102" s="13"/>
    </row>
    <row r="103">
      <c r="A103" s="13" t="s">
        <v>1223</v>
      </c>
      <c r="B103" s="13" t="s">
        <v>1224</v>
      </c>
      <c r="C103" s="8"/>
      <c r="D103" s="16" t="s">
        <v>1226</v>
      </c>
      <c r="E103" s="13" t="s">
        <v>1227</v>
      </c>
      <c r="F103" s="13" t="s">
        <v>70</v>
      </c>
      <c r="G103" s="13"/>
      <c r="H103" s="13"/>
      <c r="I103" s="13"/>
      <c r="J103" s="13"/>
      <c r="K103" s="13"/>
      <c r="L103" s="13"/>
    </row>
    <row r="104">
      <c r="A104" s="13" t="s">
        <v>1228</v>
      </c>
      <c r="B104" s="13" t="s">
        <v>1229</v>
      </c>
      <c r="C104" s="8"/>
      <c r="D104" s="16" t="s">
        <v>1230</v>
      </c>
      <c r="E104" s="13" t="s">
        <v>1231</v>
      </c>
      <c r="F104" s="13" t="s">
        <v>695</v>
      </c>
      <c r="G104" s="13"/>
      <c r="H104" s="13"/>
      <c r="I104" s="13"/>
      <c r="J104" s="13"/>
      <c r="K104" s="13"/>
      <c r="L104" s="13"/>
    </row>
    <row r="105">
      <c r="A105" s="13" t="s">
        <v>1232</v>
      </c>
      <c r="B105" s="13" t="s">
        <v>1233</v>
      </c>
      <c r="C105" s="8"/>
      <c r="D105" s="16" t="s">
        <v>1234</v>
      </c>
      <c r="E105" s="13" t="s">
        <v>1235</v>
      </c>
      <c r="F105" s="13" t="s">
        <v>1236</v>
      </c>
      <c r="G105" s="13"/>
      <c r="H105" s="13"/>
      <c r="I105" s="13"/>
      <c r="J105" s="13"/>
      <c r="K105" s="13"/>
      <c r="L105" s="13"/>
    </row>
    <row r="106">
      <c r="A106" s="13" t="s">
        <v>1237</v>
      </c>
      <c r="B106" s="13" t="s">
        <v>1238</v>
      </c>
      <c r="C106" s="8"/>
      <c r="D106" s="16" t="s">
        <v>1239</v>
      </c>
      <c r="E106" s="13" t="s">
        <v>1240</v>
      </c>
      <c r="F106" s="13" t="s">
        <v>1016</v>
      </c>
      <c r="G106" s="13"/>
      <c r="H106" s="13"/>
      <c r="I106" s="13"/>
      <c r="J106" s="13"/>
      <c r="K106" s="13"/>
      <c r="L106" s="13"/>
    </row>
    <row r="107">
      <c r="A107" s="13" t="s">
        <v>1241</v>
      </c>
      <c r="B107" s="13" t="s">
        <v>1242</v>
      </c>
      <c r="C107" s="8"/>
      <c r="D107" s="16" t="s">
        <v>1243</v>
      </c>
      <c r="E107" s="13" t="s">
        <v>1244</v>
      </c>
      <c r="F107" s="13" t="s">
        <v>1245</v>
      </c>
      <c r="G107" s="13"/>
      <c r="H107" s="13"/>
      <c r="I107" s="13"/>
      <c r="J107" s="13"/>
      <c r="K107" s="13"/>
      <c r="L107" s="13"/>
    </row>
    <row r="108">
      <c r="A108" s="13" t="s">
        <v>1247</v>
      </c>
      <c r="B108" s="13" t="s">
        <v>1248</v>
      </c>
      <c r="C108" s="8"/>
      <c r="D108" s="16" t="s">
        <v>1250</v>
      </c>
      <c r="E108" s="13" t="s">
        <v>1251</v>
      </c>
      <c r="F108" s="13" t="s">
        <v>695</v>
      </c>
      <c r="G108" s="13"/>
      <c r="H108" s="13"/>
      <c r="I108" s="13"/>
      <c r="J108" s="13"/>
      <c r="K108" s="13"/>
      <c r="L108" s="13"/>
    </row>
    <row r="109">
      <c r="A109" s="13" t="s">
        <v>1252</v>
      </c>
      <c r="B109" s="13" t="s">
        <v>1253</v>
      </c>
      <c r="C109" s="8"/>
      <c r="D109" s="16" t="s">
        <v>1254</v>
      </c>
      <c r="E109" s="13" t="s">
        <v>1255</v>
      </c>
      <c r="F109" s="13" t="s">
        <v>695</v>
      </c>
      <c r="G109" s="13"/>
      <c r="H109" s="13"/>
      <c r="I109" s="13"/>
      <c r="J109" s="13"/>
      <c r="K109" s="13"/>
      <c r="L109" s="13"/>
    </row>
    <row r="110">
      <c r="A110" s="13" t="s">
        <v>1256</v>
      </c>
      <c r="B110" s="13" t="s">
        <v>1257</v>
      </c>
      <c r="C110" s="8"/>
      <c r="D110" s="16" t="s">
        <v>1258</v>
      </c>
      <c r="E110" s="13" t="s">
        <v>1259</v>
      </c>
      <c r="F110" s="13" t="s">
        <v>1260</v>
      </c>
      <c r="G110" s="13"/>
      <c r="H110" s="13"/>
      <c r="I110" s="13"/>
      <c r="J110" s="13"/>
      <c r="K110" s="13"/>
      <c r="L110" s="13"/>
    </row>
    <row r="111">
      <c r="A111" s="13" t="s">
        <v>1261</v>
      </c>
      <c r="B111" s="13" t="s">
        <v>1262</v>
      </c>
      <c r="C111" s="8"/>
      <c r="D111" s="16" t="s">
        <v>1263</v>
      </c>
      <c r="E111" s="13" t="s">
        <v>1264</v>
      </c>
      <c r="F111" s="13" t="s">
        <v>1265</v>
      </c>
      <c r="G111" s="13"/>
      <c r="H111" s="13"/>
      <c r="I111" s="13"/>
      <c r="J111" s="13"/>
      <c r="K111" s="13"/>
      <c r="L111" s="13"/>
    </row>
    <row r="112">
      <c r="A112" s="13" t="s">
        <v>1266</v>
      </c>
      <c r="B112" s="13" t="s">
        <v>1267</v>
      </c>
      <c r="C112" s="8"/>
      <c r="D112" s="16" t="s">
        <v>1269</v>
      </c>
      <c r="E112" s="13" t="s">
        <v>1270</v>
      </c>
      <c r="F112" s="13" t="s">
        <v>1016</v>
      </c>
      <c r="G112" s="13"/>
      <c r="H112" s="13"/>
      <c r="I112" s="13"/>
      <c r="J112" s="13"/>
      <c r="K112" s="13"/>
      <c r="L112" s="13"/>
    </row>
    <row r="113">
      <c r="A113" s="13" t="s">
        <v>1271</v>
      </c>
      <c r="B113" s="13" t="s">
        <v>1272</v>
      </c>
      <c r="C113" s="8"/>
      <c r="D113" s="16" t="s">
        <v>1274</v>
      </c>
      <c r="E113" s="13" t="s">
        <v>1275</v>
      </c>
      <c r="F113" s="13" t="s">
        <v>1016</v>
      </c>
      <c r="G113" s="13"/>
      <c r="H113" s="13"/>
      <c r="I113" s="13"/>
      <c r="J113" s="13"/>
      <c r="K113" s="13"/>
      <c r="L113" s="13"/>
    </row>
    <row r="114">
      <c r="A114" s="13" t="s">
        <v>1277</v>
      </c>
      <c r="B114" s="13" t="s">
        <v>1278</v>
      </c>
      <c r="C114" s="8"/>
      <c r="D114" s="16" t="s">
        <v>1279</v>
      </c>
      <c r="E114" s="13" t="s">
        <v>1280</v>
      </c>
      <c r="F114" s="13" t="s">
        <v>1036</v>
      </c>
      <c r="G114" s="13"/>
      <c r="H114" s="13"/>
      <c r="I114" s="13"/>
      <c r="J114" s="13"/>
      <c r="K114" s="13"/>
      <c r="L114" s="13"/>
    </row>
    <row r="115">
      <c r="A115" s="13" t="s">
        <v>1281</v>
      </c>
      <c r="B115" s="13" t="s">
        <v>1159</v>
      </c>
      <c r="C115" s="8"/>
      <c r="D115" s="16" t="s">
        <v>1162</v>
      </c>
      <c r="E115" s="13" t="s">
        <v>1163</v>
      </c>
      <c r="F115" s="13" t="s">
        <v>28</v>
      </c>
      <c r="G115" s="13"/>
      <c r="H115" s="13"/>
      <c r="I115" s="13"/>
      <c r="J115" s="13"/>
      <c r="K115" s="13"/>
      <c r="L115" s="13"/>
    </row>
    <row r="116">
      <c r="A116" s="13" t="s">
        <v>1283</v>
      </c>
      <c r="B116" s="63" t="s">
        <v>1285</v>
      </c>
      <c r="C116" s="8"/>
      <c r="D116" s="16" t="s">
        <v>1287</v>
      </c>
      <c r="E116" s="13" t="s">
        <v>1288</v>
      </c>
      <c r="F116" s="13" t="s">
        <v>1016</v>
      </c>
      <c r="G116" s="13"/>
      <c r="H116" s="13"/>
      <c r="I116" s="13"/>
      <c r="J116" s="13"/>
      <c r="K116" s="13"/>
      <c r="L116" s="13"/>
    </row>
    <row r="117">
      <c r="A117" s="13" t="s">
        <v>1289</v>
      </c>
      <c r="B117" s="23" t="s">
        <v>1290</v>
      </c>
      <c r="C117" s="8"/>
      <c r="D117" s="16" t="s">
        <v>1291</v>
      </c>
      <c r="E117" s="13" t="s">
        <v>1292</v>
      </c>
      <c r="F117" s="13" t="s">
        <v>28</v>
      </c>
      <c r="G117" s="13"/>
      <c r="H117" s="13"/>
      <c r="I117" s="13"/>
      <c r="J117" s="13"/>
      <c r="K117" s="13"/>
      <c r="L117" s="13"/>
    </row>
    <row r="118">
      <c r="A118" s="13" t="s">
        <v>1293</v>
      </c>
      <c r="B118" s="13" t="s">
        <v>1295</v>
      </c>
      <c r="C118" s="8"/>
      <c r="D118" s="16" t="s">
        <v>1297</v>
      </c>
      <c r="E118" s="13" t="s">
        <v>1298</v>
      </c>
      <c r="F118" s="13" t="s">
        <v>1245</v>
      </c>
      <c r="G118" s="13"/>
      <c r="H118" s="13"/>
      <c r="I118" s="13"/>
      <c r="J118" s="13"/>
      <c r="K118" s="13"/>
      <c r="L118" s="13"/>
    </row>
    <row r="119">
      <c r="A119" s="13" t="s">
        <v>1299</v>
      </c>
      <c r="B119" s="13" t="s">
        <v>1300</v>
      </c>
      <c r="C119" s="8"/>
      <c r="D119" s="16" t="s">
        <v>1301</v>
      </c>
      <c r="E119" s="13" t="s">
        <v>1302</v>
      </c>
      <c r="F119" s="13" t="s">
        <v>1303</v>
      </c>
      <c r="G119" s="13"/>
      <c r="H119" s="13"/>
      <c r="I119" s="13"/>
      <c r="J119" s="13"/>
      <c r="K119" s="13"/>
      <c r="L119" s="13"/>
    </row>
    <row r="120">
      <c r="A120" s="13" t="s">
        <v>1304</v>
      </c>
      <c r="B120" s="13" t="s">
        <v>1306</v>
      </c>
      <c r="C120" s="8"/>
      <c r="D120" s="16" t="s">
        <v>1308</v>
      </c>
      <c r="E120" s="13" t="s">
        <v>1309</v>
      </c>
      <c r="F120" s="13" t="s">
        <v>91</v>
      </c>
      <c r="G120" s="13"/>
      <c r="H120" s="13"/>
      <c r="I120" s="13"/>
      <c r="J120" s="13"/>
      <c r="K120" s="13"/>
      <c r="L120" s="13"/>
    </row>
    <row r="121">
      <c r="A121" s="13" t="s">
        <v>1310</v>
      </c>
      <c r="B121" s="13" t="s">
        <v>1312</v>
      </c>
      <c r="C121" s="8"/>
      <c r="D121" s="16" t="s">
        <v>1313</v>
      </c>
      <c r="E121" s="13" t="s">
        <v>1314</v>
      </c>
      <c r="F121" s="13" t="s">
        <v>1260</v>
      </c>
      <c r="G121" s="13"/>
      <c r="H121" s="13"/>
      <c r="I121" s="13"/>
      <c r="J121" s="13"/>
      <c r="K121" s="13"/>
      <c r="L121" s="13"/>
    </row>
    <row r="122">
      <c r="A122" s="13" t="s">
        <v>1315</v>
      </c>
      <c r="B122" s="13" t="s">
        <v>1317</v>
      </c>
      <c r="C122" s="8"/>
      <c r="D122" s="13"/>
      <c r="E122" s="13" t="s">
        <v>1319</v>
      </c>
      <c r="F122" s="13" t="s">
        <v>278</v>
      </c>
      <c r="G122" s="13"/>
      <c r="H122" s="13"/>
      <c r="I122" s="13"/>
      <c r="J122" s="13"/>
      <c r="K122" s="13"/>
      <c r="L122" s="13"/>
    </row>
    <row r="123">
      <c r="A123" s="13" t="s">
        <v>1323</v>
      </c>
      <c r="B123" s="13" t="s">
        <v>1324</v>
      </c>
      <c r="C123" s="8"/>
      <c r="D123" s="16" t="s">
        <v>1326</v>
      </c>
      <c r="E123" s="13" t="s">
        <v>1327</v>
      </c>
      <c r="F123" s="13" t="s">
        <v>1245</v>
      </c>
      <c r="G123" s="13"/>
      <c r="H123" s="13"/>
      <c r="I123" s="13"/>
      <c r="J123" s="13"/>
      <c r="K123" s="13"/>
      <c r="L123" s="13"/>
    </row>
    <row r="124">
      <c r="A124" s="13" t="s">
        <v>1329</v>
      </c>
      <c r="B124" s="13" t="s">
        <v>1331</v>
      </c>
      <c r="C124" s="8"/>
      <c r="D124" s="16" t="s">
        <v>1333</v>
      </c>
      <c r="E124" s="13" t="s">
        <v>1335</v>
      </c>
      <c r="F124" s="13" t="s">
        <v>1336</v>
      </c>
      <c r="G124" s="13"/>
      <c r="H124" s="13"/>
      <c r="I124" s="13"/>
      <c r="J124" s="13"/>
      <c r="K124" s="13"/>
      <c r="L124" s="13"/>
    </row>
    <row r="125">
      <c r="A125" s="13" t="s">
        <v>1339</v>
      </c>
      <c r="B125" s="13" t="s">
        <v>1341</v>
      </c>
      <c r="C125" s="8"/>
      <c r="D125" s="16" t="s">
        <v>1342</v>
      </c>
      <c r="E125" s="13" t="s">
        <v>1343</v>
      </c>
      <c r="F125" s="13" t="s">
        <v>732</v>
      </c>
      <c r="G125" s="13"/>
      <c r="H125" s="13"/>
      <c r="I125" s="13"/>
      <c r="J125" s="13"/>
      <c r="K125" s="13"/>
      <c r="L125" s="13"/>
    </row>
    <row r="126">
      <c r="A126" s="13" t="s">
        <v>1344</v>
      </c>
      <c r="B126" s="13" t="s">
        <v>1345</v>
      </c>
      <c r="C126" s="8"/>
      <c r="D126" s="16" t="s">
        <v>1346</v>
      </c>
      <c r="E126" s="13" t="s">
        <v>1348</v>
      </c>
      <c r="F126" s="13" t="s">
        <v>1336</v>
      </c>
      <c r="G126" s="13"/>
      <c r="H126" s="13"/>
      <c r="I126" s="13"/>
      <c r="J126" s="13"/>
      <c r="K126" s="13"/>
      <c r="L126" s="13"/>
    </row>
    <row r="127">
      <c r="A127" s="13" t="s">
        <v>1349</v>
      </c>
      <c r="B127" s="13" t="s">
        <v>1350</v>
      </c>
      <c r="C127" s="8"/>
      <c r="D127" s="16" t="s">
        <v>1354</v>
      </c>
      <c r="E127" s="13" t="s">
        <v>1355</v>
      </c>
      <c r="F127" s="13" t="s">
        <v>91</v>
      </c>
      <c r="G127" s="13"/>
      <c r="H127" s="13"/>
      <c r="I127" s="13"/>
      <c r="J127" s="13"/>
      <c r="K127" s="13"/>
      <c r="L127" s="13"/>
    </row>
    <row r="128">
      <c r="A128" s="13" t="s">
        <v>1356</v>
      </c>
      <c r="B128" s="13" t="s">
        <v>1357</v>
      </c>
      <c r="C128" s="8"/>
      <c r="D128" s="16" t="s">
        <v>1358</v>
      </c>
      <c r="E128" s="13" t="s">
        <v>1359</v>
      </c>
      <c r="F128" s="13" t="s">
        <v>268</v>
      </c>
      <c r="G128" s="13"/>
      <c r="H128" s="13"/>
      <c r="I128" s="13"/>
      <c r="J128" s="13"/>
      <c r="K128" s="13"/>
      <c r="L128" s="13"/>
    </row>
    <row r="129">
      <c r="A129" s="13" t="s">
        <v>1361</v>
      </c>
      <c r="B129" s="13" t="s">
        <v>1362</v>
      </c>
      <c r="C129" s="8"/>
      <c r="D129" s="16" t="s">
        <v>1364</v>
      </c>
      <c r="E129" s="13" t="s">
        <v>1365</v>
      </c>
      <c r="F129" s="13" t="s">
        <v>268</v>
      </c>
      <c r="G129" s="13"/>
      <c r="H129" s="13"/>
      <c r="I129" s="13"/>
      <c r="J129" s="13"/>
      <c r="K129" s="13"/>
      <c r="L129" s="13"/>
    </row>
    <row r="130">
      <c r="A130" s="13" t="s">
        <v>1366</v>
      </c>
      <c r="B130" s="13" t="s">
        <v>1367</v>
      </c>
      <c r="C130" s="8"/>
      <c r="D130" s="16" t="s">
        <v>1368</v>
      </c>
      <c r="E130" s="13" t="s">
        <v>1369</v>
      </c>
      <c r="F130" s="13" t="s">
        <v>1370</v>
      </c>
      <c r="G130" s="13"/>
      <c r="H130" s="13"/>
      <c r="I130" s="13"/>
      <c r="J130" s="13"/>
      <c r="K130" s="13"/>
      <c r="L130" s="13"/>
    </row>
    <row r="131">
      <c r="A131" s="13" t="s">
        <v>1371</v>
      </c>
      <c r="B131" s="13" t="s">
        <v>1372</v>
      </c>
      <c r="C131" s="8"/>
      <c r="D131" s="16" t="s">
        <v>1373</v>
      </c>
      <c r="E131" s="13" t="s">
        <v>1374</v>
      </c>
      <c r="F131" s="13" t="s">
        <v>1063</v>
      </c>
      <c r="G131" s="13"/>
      <c r="H131" s="13"/>
      <c r="I131" s="13"/>
      <c r="J131" s="13"/>
      <c r="K131" s="13"/>
      <c r="L131" s="13"/>
    </row>
    <row r="132">
      <c r="A132" s="23" t="s">
        <v>1376</v>
      </c>
      <c r="B132" s="13" t="s">
        <v>1378</v>
      </c>
      <c r="C132" s="8"/>
      <c r="D132" s="16" t="s">
        <v>1379</v>
      </c>
      <c r="E132" s="13" t="s">
        <v>1380</v>
      </c>
      <c r="F132" s="13" t="s">
        <v>1381</v>
      </c>
      <c r="G132" s="13"/>
      <c r="H132" s="13"/>
      <c r="I132" s="13"/>
      <c r="J132" s="13"/>
      <c r="K132" s="13"/>
      <c r="L132" s="13"/>
    </row>
    <row r="133">
      <c r="A133" s="13" t="s">
        <v>1382</v>
      </c>
      <c r="B133" s="13" t="s">
        <v>1112</v>
      </c>
      <c r="C133" s="8"/>
      <c r="D133" s="16" t="s">
        <v>1114</v>
      </c>
      <c r="E133" s="13" t="s">
        <v>1118</v>
      </c>
      <c r="F133" s="13" t="s">
        <v>1036</v>
      </c>
      <c r="G133" s="13"/>
      <c r="H133" s="13"/>
      <c r="I133" s="13"/>
      <c r="J133" s="13"/>
      <c r="K133" s="13"/>
      <c r="L133" s="13"/>
    </row>
    <row r="134">
      <c r="A134" s="13"/>
      <c r="B134" s="13"/>
      <c r="C134" s="13"/>
      <c r="D134" s="13"/>
      <c r="E134" s="13"/>
      <c r="F134" s="13"/>
      <c r="G134" s="13"/>
      <c r="H134" s="13"/>
      <c r="I134" s="13"/>
      <c r="J134" s="13"/>
      <c r="K134" s="13"/>
      <c r="L134" s="13"/>
    </row>
    <row r="135">
      <c r="A135" s="13"/>
      <c r="B135" s="13"/>
      <c r="C135" s="13"/>
      <c r="D135" s="13"/>
      <c r="E135" s="13"/>
      <c r="F135" s="13"/>
      <c r="G135" s="13"/>
      <c r="H135" s="13"/>
      <c r="I135" s="13"/>
      <c r="J135" s="13"/>
      <c r="K135" s="13"/>
      <c r="L135" s="13"/>
    </row>
    <row r="136">
      <c r="A136" s="13"/>
      <c r="B136" s="13"/>
      <c r="C136" s="13"/>
      <c r="D136" s="13"/>
      <c r="E136" s="13"/>
      <c r="F136" s="13"/>
      <c r="G136" s="13"/>
      <c r="H136" s="13"/>
      <c r="I136" s="13"/>
      <c r="J136" s="13"/>
      <c r="K136" s="13"/>
      <c r="L136" s="13"/>
    </row>
    <row r="137">
      <c r="A137" s="13"/>
      <c r="B137" s="13"/>
      <c r="C137" s="13"/>
      <c r="D137" s="13"/>
      <c r="E137" s="13"/>
      <c r="F137" s="13"/>
      <c r="G137" s="13"/>
      <c r="H137" s="13"/>
      <c r="I137" s="13"/>
      <c r="J137" s="13"/>
      <c r="K137" s="13"/>
      <c r="L137" s="13"/>
    </row>
    <row r="138">
      <c r="A138" s="13"/>
      <c r="B138" s="13"/>
      <c r="C138" s="13"/>
      <c r="D138" s="13"/>
      <c r="E138" s="13"/>
      <c r="F138" s="13"/>
      <c r="G138" s="13"/>
      <c r="H138" s="13"/>
      <c r="I138" s="13"/>
      <c r="J138" s="13"/>
      <c r="K138" s="13"/>
      <c r="L138" s="13"/>
    </row>
    <row r="139">
      <c r="A139" s="13"/>
      <c r="B139" s="13"/>
      <c r="C139" s="13"/>
      <c r="D139" s="13"/>
      <c r="E139" s="13"/>
      <c r="F139" s="13"/>
      <c r="G139" s="13"/>
      <c r="H139" s="13"/>
      <c r="I139" s="13"/>
      <c r="J139" s="13"/>
      <c r="K139" s="13"/>
      <c r="L139" s="13"/>
    </row>
    <row r="140">
      <c r="A140" s="13"/>
      <c r="B140" s="13"/>
      <c r="C140" s="13"/>
      <c r="D140" s="13"/>
      <c r="E140" s="13"/>
      <c r="F140" s="13"/>
      <c r="G140" s="13"/>
      <c r="H140" s="13"/>
      <c r="I140" s="13"/>
      <c r="J140" s="13"/>
      <c r="K140" s="13"/>
      <c r="L140" s="13"/>
    </row>
    <row r="141">
      <c r="A141" s="13"/>
      <c r="B141" s="13"/>
      <c r="C141" s="13"/>
      <c r="D141" s="13"/>
      <c r="E141" s="13"/>
      <c r="F141" s="13"/>
      <c r="G141" s="13"/>
      <c r="H141" s="13"/>
      <c r="I141" s="13"/>
      <c r="J141" s="13"/>
      <c r="K141" s="13"/>
      <c r="L141" s="13"/>
    </row>
    <row r="142">
      <c r="A142" s="13"/>
      <c r="B142" s="13"/>
      <c r="C142" s="13"/>
      <c r="D142" s="13"/>
      <c r="E142" s="13"/>
      <c r="F142" s="13"/>
      <c r="G142" s="13"/>
      <c r="H142" s="13"/>
      <c r="I142" s="13"/>
      <c r="J142" s="13"/>
      <c r="K142" s="13"/>
      <c r="L142" s="13"/>
    </row>
    <row r="143">
      <c r="A143" s="13"/>
      <c r="B143" s="13"/>
      <c r="C143" s="13"/>
      <c r="D143" s="13"/>
      <c r="E143" s="13"/>
      <c r="F143" s="13"/>
      <c r="G143" s="13"/>
      <c r="H143" s="13"/>
      <c r="I143" s="13"/>
      <c r="J143" s="13"/>
      <c r="K143" s="13"/>
      <c r="L143" s="13"/>
    </row>
    <row r="144">
      <c r="A144" s="13"/>
      <c r="B144" s="13"/>
      <c r="C144" s="13"/>
      <c r="D144" s="13"/>
      <c r="E144" s="13"/>
      <c r="F144" s="13"/>
      <c r="G144" s="13"/>
      <c r="H144" s="13"/>
      <c r="I144" s="13"/>
      <c r="J144" s="13"/>
      <c r="K144" s="13"/>
      <c r="L144" s="13"/>
    </row>
    <row r="145">
      <c r="A145" s="13"/>
      <c r="B145" s="13"/>
      <c r="C145" s="13"/>
      <c r="D145" s="13"/>
      <c r="E145" s="13"/>
      <c r="F145" s="13"/>
      <c r="G145" s="13"/>
      <c r="H145" s="13"/>
      <c r="I145" s="13"/>
      <c r="J145" s="13"/>
      <c r="K145" s="13"/>
      <c r="L145" s="13"/>
    </row>
    <row r="146">
      <c r="A146" s="13"/>
      <c r="B146" s="13"/>
      <c r="C146" s="13"/>
      <c r="D146" s="13"/>
      <c r="E146" s="13"/>
      <c r="F146" s="13"/>
      <c r="G146" s="13"/>
      <c r="H146" s="13"/>
      <c r="I146" s="13"/>
      <c r="J146" s="13"/>
      <c r="K146" s="13"/>
      <c r="L146" s="13"/>
    </row>
    <row r="147">
      <c r="A147" s="13"/>
      <c r="B147" s="13"/>
      <c r="C147" s="13"/>
      <c r="D147" s="13"/>
      <c r="E147" s="13"/>
      <c r="F147" s="13"/>
      <c r="G147" s="13"/>
      <c r="H147" s="13"/>
      <c r="I147" s="13"/>
      <c r="J147" s="13"/>
      <c r="K147" s="13"/>
      <c r="L147" s="13"/>
    </row>
    <row r="148">
      <c r="A148" s="13" t="s">
        <v>402</v>
      </c>
      <c r="B148" s="13"/>
      <c r="C148" s="13"/>
      <c r="D148" s="13"/>
      <c r="E148" s="13"/>
      <c r="F148" s="13"/>
      <c r="G148" s="13"/>
      <c r="H148" s="13"/>
      <c r="I148" s="13"/>
      <c r="J148" s="13"/>
      <c r="K148" s="13"/>
      <c r="L148" s="13"/>
    </row>
    <row r="149">
      <c r="A149" s="13"/>
      <c r="B149" s="13"/>
      <c r="C149" s="13"/>
      <c r="D149" s="13"/>
      <c r="E149" s="13"/>
      <c r="F149" s="13"/>
      <c r="G149" s="13"/>
      <c r="H149" s="13"/>
      <c r="I149" s="13"/>
      <c r="J149" s="13"/>
      <c r="K149" s="13"/>
      <c r="L149" s="13"/>
    </row>
    <row r="150">
      <c r="A150" s="13"/>
      <c r="B150" s="13"/>
      <c r="C150" s="13"/>
      <c r="D150" s="13"/>
      <c r="E150" s="13"/>
      <c r="F150" s="13"/>
      <c r="G150" s="13"/>
      <c r="H150" s="13"/>
      <c r="I150" s="13"/>
      <c r="J150" s="13"/>
      <c r="K150" s="13"/>
      <c r="L150" s="13"/>
    </row>
    <row r="151">
      <c r="A151" s="13"/>
      <c r="B151" s="13"/>
      <c r="C151" s="13"/>
      <c r="D151" s="13"/>
      <c r="E151" s="13"/>
      <c r="F151" s="13"/>
      <c r="G151" s="13"/>
      <c r="H151" s="13"/>
      <c r="I151" s="13"/>
      <c r="J151" s="13"/>
      <c r="K151" s="13"/>
      <c r="L151" s="13"/>
    </row>
    <row r="152">
      <c r="A152" s="13"/>
      <c r="B152" s="13"/>
      <c r="C152" s="13"/>
      <c r="D152" s="13"/>
      <c r="E152" s="13"/>
      <c r="F152" s="13"/>
      <c r="G152" s="13"/>
      <c r="H152" s="13"/>
      <c r="I152" s="13"/>
      <c r="J152" s="13"/>
      <c r="K152" s="13"/>
      <c r="L152" s="13"/>
    </row>
    <row r="153">
      <c r="A153" s="13"/>
      <c r="B153" s="13"/>
      <c r="C153" s="13"/>
      <c r="D153" s="13"/>
      <c r="E153" s="13"/>
      <c r="F153" s="13"/>
      <c r="G153" s="13"/>
      <c r="H153" s="13"/>
      <c r="I153" s="13"/>
      <c r="J153" s="13"/>
      <c r="K153" s="13"/>
      <c r="L153" s="13"/>
    </row>
    <row r="154">
      <c r="A154" s="13"/>
      <c r="B154" s="13"/>
      <c r="C154" s="13"/>
      <c r="D154" s="13"/>
      <c r="E154" s="13"/>
      <c r="F154" s="13"/>
      <c r="G154" s="13"/>
      <c r="H154" s="13"/>
      <c r="I154" s="13"/>
      <c r="J154" s="13"/>
      <c r="K154" s="13"/>
      <c r="L154" s="13"/>
    </row>
    <row r="155">
      <c r="A155" s="13"/>
      <c r="B155" s="13"/>
      <c r="C155" s="13"/>
      <c r="D155" s="13"/>
      <c r="E155" s="13"/>
      <c r="F155" s="13"/>
      <c r="G155" s="13"/>
      <c r="H155" s="13"/>
      <c r="I155" s="13"/>
      <c r="J155" s="13"/>
      <c r="K155" s="13"/>
      <c r="L155" s="13"/>
    </row>
    <row r="156">
      <c r="A156" s="13"/>
      <c r="B156" s="13"/>
      <c r="C156" s="13"/>
      <c r="D156" s="13"/>
      <c r="E156" s="13"/>
      <c r="F156" s="13"/>
      <c r="G156" s="13"/>
      <c r="H156" s="13"/>
      <c r="I156" s="13"/>
      <c r="J156" s="13"/>
      <c r="K156" s="13"/>
      <c r="L156" s="13"/>
    </row>
    <row r="157">
      <c r="A157" s="13"/>
      <c r="B157" s="13"/>
      <c r="C157" s="13"/>
      <c r="D157" s="13"/>
      <c r="E157" s="13"/>
      <c r="F157" s="13"/>
      <c r="G157" s="13"/>
      <c r="H157" s="13"/>
      <c r="I157" s="13"/>
      <c r="J157" s="13"/>
      <c r="K157" s="13"/>
      <c r="L157" s="13"/>
    </row>
    <row r="158">
      <c r="A158" s="13"/>
      <c r="B158" s="13"/>
      <c r="C158" s="13"/>
      <c r="D158" s="13"/>
      <c r="E158" s="13"/>
      <c r="F158" s="13"/>
      <c r="G158" s="13"/>
      <c r="H158" s="13"/>
      <c r="I158" s="13"/>
      <c r="J158" s="13"/>
      <c r="K158" s="13"/>
      <c r="L158" s="13"/>
    </row>
    <row r="159">
      <c r="A159" s="13"/>
      <c r="B159" s="13"/>
      <c r="C159" s="13"/>
      <c r="D159" s="13"/>
      <c r="E159" s="13"/>
      <c r="F159" s="13"/>
      <c r="G159" s="13"/>
      <c r="H159" s="13"/>
      <c r="I159" s="13"/>
      <c r="J159" s="13"/>
      <c r="K159" s="13"/>
      <c r="L159" s="13"/>
    </row>
    <row r="160">
      <c r="A160" s="13"/>
      <c r="B160" s="13"/>
      <c r="C160" s="13"/>
      <c r="D160" s="13"/>
      <c r="E160" s="13"/>
      <c r="F160" s="13"/>
      <c r="G160" s="13"/>
      <c r="H160" s="13"/>
      <c r="I160" s="13"/>
      <c r="J160" s="13"/>
      <c r="K160" s="13"/>
      <c r="L160" s="13"/>
    </row>
    <row r="161">
      <c r="A161" s="13"/>
      <c r="B161" s="13"/>
      <c r="C161" s="13"/>
      <c r="D161" s="13"/>
      <c r="E161" s="13"/>
      <c r="F161" s="13"/>
      <c r="G161" s="13"/>
      <c r="H161" s="13"/>
      <c r="I161" s="13"/>
      <c r="J161" s="13"/>
      <c r="K161" s="13"/>
      <c r="L161" s="13"/>
    </row>
    <row r="162">
      <c r="A162" s="13"/>
      <c r="B162" s="13"/>
      <c r="C162" s="13"/>
      <c r="D162" s="13"/>
      <c r="E162" s="13"/>
      <c r="F162" s="13"/>
      <c r="G162" s="13"/>
      <c r="H162" s="13"/>
      <c r="I162" s="13"/>
      <c r="J162" s="13"/>
      <c r="K162" s="13"/>
      <c r="L162" s="13"/>
    </row>
    <row r="163">
      <c r="A163" s="13"/>
      <c r="B163" s="13"/>
      <c r="C163" s="13"/>
      <c r="D163" s="13"/>
      <c r="E163" s="13"/>
      <c r="F163" s="13"/>
      <c r="G163" s="13"/>
      <c r="H163" s="13"/>
      <c r="I163" s="13"/>
      <c r="J163" s="13"/>
      <c r="K163" s="13"/>
      <c r="L163" s="13"/>
    </row>
    <row r="164">
      <c r="A164" s="13"/>
      <c r="B164" s="13"/>
      <c r="C164" s="13"/>
      <c r="D164" s="13"/>
      <c r="E164" s="13"/>
      <c r="F164" s="13"/>
      <c r="G164" s="13"/>
      <c r="H164" s="13"/>
      <c r="I164" s="13"/>
      <c r="J164" s="13"/>
      <c r="K164" s="13"/>
      <c r="L164" s="13"/>
    </row>
    <row r="165">
      <c r="A165" s="13"/>
      <c r="B165" s="13"/>
      <c r="C165" s="13"/>
      <c r="D165" s="13"/>
      <c r="E165" s="13"/>
      <c r="F165" s="13"/>
      <c r="G165" s="13"/>
      <c r="H165" s="13"/>
      <c r="I165" s="13"/>
      <c r="J165" s="13"/>
      <c r="K165" s="13"/>
      <c r="L165" s="13"/>
    </row>
    <row r="166">
      <c r="A166" s="13"/>
      <c r="B166" s="13"/>
      <c r="C166" s="13"/>
      <c r="D166" s="13"/>
      <c r="E166" s="13"/>
      <c r="F166" s="13"/>
      <c r="G166" s="13"/>
      <c r="H166" s="13"/>
      <c r="I166" s="13"/>
      <c r="J166" s="13"/>
      <c r="K166" s="13"/>
      <c r="L166" s="13"/>
    </row>
    <row r="167">
      <c r="A167" s="13"/>
      <c r="B167" s="13"/>
      <c r="C167" s="13"/>
      <c r="D167" s="13"/>
      <c r="E167" s="13"/>
      <c r="F167" s="13"/>
      <c r="G167" s="13"/>
      <c r="H167" s="13"/>
      <c r="I167" s="13"/>
      <c r="J167" s="13"/>
      <c r="K167" s="13"/>
      <c r="L167" s="13"/>
    </row>
    <row r="168">
      <c r="A168" s="13"/>
      <c r="B168" s="13"/>
      <c r="C168" s="13"/>
      <c r="D168" s="13"/>
      <c r="E168" s="13"/>
      <c r="F168" s="13"/>
      <c r="G168" s="13"/>
      <c r="H168" s="13"/>
      <c r="I168" s="13"/>
      <c r="J168" s="13"/>
      <c r="K168" s="13"/>
      <c r="L168" s="13"/>
    </row>
    <row r="169">
      <c r="A169" s="13"/>
      <c r="B169" s="13"/>
      <c r="C169" s="13"/>
      <c r="D169" s="13"/>
      <c r="E169" s="13"/>
      <c r="F169" s="13"/>
      <c r="G169" s="13"/>
      <c r="H169" s="13"/>
      <c r="I169" s="13"/>
      <c r="J169" s="13"/>
      <c r="K169" s="13"/>
      <c r="L169" s="13"/>
    </row>
    <row r="170">
      <c r="A170" s="13"/>
      <c r="B170" s="13"/>
      <c r="C170" s="13"/>
      <c r="D170" s="13"/>
      <c r="E170" s="13"/>
      <c r="F170" s="13"/>
      <c r="G170" s="13"/>
      <c r="H170" s="13"/>
      <c r="I170" s="13"/>
      <c r="J170" s="13"/>
      <c r="K170" s="13"/>
      <c r="L170" s="13"/>
    </row>
    <row r="171">
      <c r="A171" s="13"/>
      <c r="B171" s="13"/>
      <c r="C171" s="13"/>
      <c r="D171" s="13"/>
      <c r="E171" s="13"/>
      <c r="F171" s="13"/>
      <c r="G171" s="13"/>
      <c r="H171" s="13"/>
      <c r="I171" s="13"/>
      <c r="J171" s="13"/>
      <c r="K171" s="13"/>
      <c r="L171" s="13"/>
    </row>
    <row r="172">
      <c r="A172" s="13"/>
      <c r="B172" s="13"/>
      <c r="C172" s="13"/>
      <c r="D172" s="13"/>
      <c r="E172" s="13"/>
      <c r="F172" s="13"/>
      <c r="G172" s="13"/>
      <c r="H172" s="13"/>
      <c r="I172" s="13"/>
      <c r="J172" s="13"/>
      <c r="K172" s="13"/>
      <c r="L172" s="13"/>
    </row>
    <row r="173">
      <c r="A173" s="13"/>
      <c r="B173" s="13"/>
      <c r="C173" s="13"/>
      <c r="D173" s="13"/>
      <c r="E173" s="13"/>
      <c r="F173" s="13"/>
      <c r="G173" s="13"/>
      <c r="H173" s="13"/>
      <c r="I173" s="13"/>
      <c r="J173" s="13"/>
      <c r="K173" s="13"/>
      <c r="L173" s="13"/>
    </row>
    <row r="174">
      <c r="A174" s="13"/>
      <c r="B174" s="13"/>
      <c r="C174" s="13"/>
      <c r="D174" s="13"/>
      <c r="E174" s="13"/>
      <c r="F174" s="13"/>
      <c r="G174" s="13"/>
      <c r="H174" s="13"/>
      <c r="I174" s="13"/>
      <c r="J174" s="13"/>
      <c r="K174" s="13"/>
      <c r="L174" s="13"/>
    </row>
    <row r="175">
      <c r="A175" s="13"/>
      <c r="B175" s="13"/>
      <c r="C175" s="13"/>
      <c r="D175" s="13"/>
      <c r="E175" s="13"/>
      <c r="F175" s="13"/>
      <c r="G175" s="13"/>
      <c r="H175" s="13"/>
      <c r="I175" s="13"/>
      <c r="J175" s="13"/>
      <c r="K175" s="13"/>
      <c r="L175" s="13"/>
    </row>
    <row r="176">
      <c r="A176" s="13"/>
      <c r="B176" s="13"/>
      <c r="C176" s="13"/>
      <c r="D176" s="13"/>
      <c r="E176" s="13"/>
      <c r="F176" s="13"/>
      <c r="G176" s="13"/>
      <c r="H176" s="13"/>
      <c r="I176" s="13"/>
      <c r="J176" s="13"/>
      <c r="K176" s="13"/>
      <c r="L176" s="13"/>
    </row>
    <row r="177">
      <c r="A177" s="13"/>
      <c r="B177" s="13"/>
      <c r="C177" s="13"/>
      <c r="D177" s="13"/>
      <c r="E177" s="13"/>
      <c r="F177" s="13"/>
      <c r="G177" s="13"/>
      <c r="H177" s="13"/>
      <c r="I177" s="13"/>
      <c r="J177" s="13"/>
      <c r="K177" s="13"/>
      <c r="L177" s="13"/>
    </row>
    <row r="178">
      <c r="A178" s="13"/>
      <c r="B178" s="13"/>
      <c r="C178" s="13"/>
      <c r="D178" s="13"/>
      <c r="E178" s="13"/>
      <c r="F178" s="13"/>
      <c r="G178" s="13"/>
      <c r="H178" s="13"/>
      <c r="I178" s="13"/>
      <c r="J178" s="13"/>
      <c r="K178" s="13"/>
      <c r="L178" s="13"/>
    </row>
    <row r="179">
      <c r="A179" s="13"/>
      <c r="B179" s="13"/>
      <c r="C179" s="13"/>
      <c r="D179" s="13"/>
      <c r="E179" s="13"/>
      <c r="F179" s="13"/>
      <c r="G179" s="13"/>
      <c r="H179" s="13"/>
      <c r="I179" s="13"/>
      <c r="J179" s="13"/>
      <c r="K179" s="13"/>
      <c r="L179" s="13"/>
    </row>
    <row r="180">
      <c r="A180" s="13"/>
      <c r="B180" s="13"/>
      <c r="C180" s="13"/>
      <c r="D180" s="13"/>
      <c r="E180" s="13"/>
      <c r="F180" s="13"/>
      <c r="G180" s="13"/>
      <c r="H180" s="13"/>
      <c r="I180" s="13"/>
      <c r="J180" s="13"/>
      <c r="K180" s="13"/>
      <c r="L180" s="13"/>
    </row>
    <row r="181">
      <c r="A181" s="13"/>
      <c r="B181" s="13"/>
      <c r="C181" s="13"/>
      <c r="D181" s="13"/>
      <c r="E181" s="13"/>
      <c r="F181" s="13"/>
      <c r="G181" s="13"/>
      <c r="H181" s="13"/>
      <c r="I181" s="13"/>
      <c r="J181" s="13"/>
      <c r="K181" s="13"/>
      <c r="L181" s="13"/>
    </row>
    <row r="182">
      <c r="A182" s="13"/>
      <c r="B182" s="13"/>
      <c r="C182" s="13"/>
      <c r="D182" s="13"/>
      <c r="E182" s="13"/>
      <c r="F182" s="13"/>
      <c r="G182" s="13"/>
      <c r="H182" s="13"/>
      <c r="I182" s="13"/>
      <c r="J182" s="13"/>
      <c r="K182" s="13"/>
      <c r="L182" s="13"/>
    </row>
    <row r="183">
      <c r="A183" s="13"/>
      <c r="B183" s="13"/>
      <c r="C183" s="13"/>
      <c r="D183" s="13"/>
      <c r="E183" s="13"/>
      <c r="F183" s="13"/>
      <c r="G183" s="13"/>
      <c r="H183" s="13"/>
      <c r="I183" s="13"/>
      <c r="J183" s="13"/>
      <c r="K183" s="13"/>
      <c r="L183" s="13"/>
    </row>
    <row r="184">
      <c r="A184" s="13"/>
      <c r="B184" s="13"/>
      <c r="C184" s="13"/>
      <c r="D184" s="13"/>
      <c r="E184" s="13"/>
      <c r="F184" s="13"/>
      <c r="G184" s="13"/>
      <c r="H184" s="13"/>
      <c r="I184" s="13"/>
      <c r="J184" s="13"/>
      <c r="K184" s="13"/>
      <c r="L184" s="13"/>
    </row>
    <row r="185">
      <c r="A185" s="13"/>
      <c r="B185" s="13"/>
      <c r="C185" s="13"/>
      <c r="D185" s="13"/>
      <c r="E185" s="13"/>
      <c r="F185" s="13"/>
      <c r="G185" s="13"/>
      <c r="H185" s="13"/>
      <c r="I185" s="13"/>
      <c r="J185" s="13"/>
      <c r="K185" s="13"/>
      <c r="L185" s="13"/>
    </row>
    <row r="186">
      <c r="A186" s="13"/>
      <c r="B186" s="13"/>
      <c r="C186" s="13"/>
      <c r="D186" s="13"/>
      <c r="E186" s="13"/>
      <c r="F186" s="13"/>
      <c r="G186" s="13"/>
      <c r="H186" s="13"/>
      <c r="I186" s="13"/>
      <c r="J186" s="13"/>
      <c r="K186" s="13"/>
      <c r="L186" s="13"/>
    </row>
    <row r="187">
      <c r="A187" s="13"/>
      <c r="B187" s="13"/>
      <c r="C187" s="13"/>
      <c r="D187" s="13"/>
      <c r="E187" s="13"/>
      <c r="F187" s="13"/>
      <c r="G187" s="13"/>
      <c r="H187" s="13"/>
      <c r="I187" s="13"/>
      <c r="J187" s="13"/>
      <c r="K187" s="13"/>
      <c r="L187" s="13"/>
    </row>
    <row r="188">
      <c r="A188" s="13"/>
      <c r="B188" s="13"/>
      <c r="C188" s="13"/>
      <c r="D188" s="13"/>
      <c r="E188" s="13"/>
      <c r="F188" s="13"/>
      <c r="G188" s="13"/>
      <c r="H188" s="13"/>
      <c r="I188" s="13"/>
      <c r="J188" s="13"/>
      <c r="K188" s="13"/>
      <c r="L188" s="13"/>
    </row>
    <row r="189">
      <c r="A189" s="13"/>
      <c r="B189" s="13"/>
      <c r="C189" s="13"/>
      <c r="D189" s="13"/>
      <c r="E189" s="13"/>
      <c r="F189" s="13"/>
      <c r="G189" s="13"/>
      <c r="H189" s="13"/>
      <c r="I189" s="13"/>
      <c r="J189" s="13"/>
      <c r="K189" s="13"/>
      <c r="L189" s="13"/>
    </row>
    <row r="190">
      <c r="A190" s="13"/>
      <c r="B190" s="13"/>
      <c r="C190" s="13"/>
      <c r="D190" s="13"/>
      <c r="E190" s="13"/>
      <c r="F190" s="13"/>
      <c r="G190" s="13"/>
      <c r="H190" s="13"/>
      <c r="I190" s="13"/>
      <c r="J190" s="13"/>
      <c r="K190" s="13"/>
      <c r="L190" s="13"/>
    </row>
    <row r="191">
      <c r="A191" s="13"/>
      <c r="B191" s="13"/>
      <c r="C191" s="13"/>
      <c r="D191" s="13"/>
      <c r="E191" s="13"/>
      <c r="F191" s="13"/>
      <c r="G191" s="13"/>
      <c r="H191" s="13"/>
      <c r="I191" s="13"/>
      <c r="J191" s="13"/>
      <c r="K191" s="13"/>
      <c r="L191" s="13"/>
    </row>
    <row r="192">
      <c r="A192" s="13"/>
      <c r="B192" s="13"/>
      <c r="C192" s="13"/>
      <c r="D192" s="13"/>
      <c r="E192" s="13"/>
      <c r="F192" s="13"/>
      <c r="G192" s="13"/>
      <c r="H192" s="13"/>
      <c r="I192" s="13"/>
      <c r="J192" s="13"/>
      <c r="K192" s="13"/>
      <c r="L192" s="13"/>
    </row>
    <row r="193">
      <c r="A193" s="13"/>
      <c r="B193" s="13"/>
      <c r="C193" s="13"/>
      <c r="D193" s="13"/>
      <c r="E193" s="13"/>
      <c r="F193" s="13"/>
      <c r="G193" s="13"/>
      <c r="H193" s="13"/>
      <c r="I193" s="13"/>
      <c r="J193" s="13"/>
      <c r="K193" s="13"/>
      <c r="L193" s="13"/>
    </row>
    <row r="194">
      <c r="A194" s="13"/>
      <c r="B194" s="13"/>
      <c r="C194" s="13"/>
      <c r="D194" s="13"/>
      <c r="E194" s="13"/>
      <c r="F194" s="13"/>
      <c r="G194" s="13"/>
      <c r="H194" s="13"/>
      <c r="I194" s="13"/>
      <c r="J194" s="13"/>
      <c r="K194" s="13"/>
      <c r="L194" s="13"/>
    </row>
    <row r="195">
      <c r="A195" s="13"/>
      <c r="B195" s="13"/>
      <c r="C195" s="13"/>
      <c r="D195" s="13"/>
      <c r="E195" s="13"/>
      <c r="F195" s="13"/>
      <c r="G195" s="13"/>
      <c r="H195" s="13"/>
      <c r="I195" s="13"/>
      <c r="J195" s="13"/>
      <c r="K195" s="13"/>
      <c r="L195" s="13"/>
    </row>
    <row r="196">
      <c r="A196" s="13"/>
      <c r="B196" s="13"/>
      <c r="C196" s="13"/>
      <c r="D196" s="13"/>
      <c r="E196" s="13"/>
      <c r="F196" s="13"/>
      <c r="G196" s="13"/>
      <c r="H196" s="13"/>
      <c r="I196" s="13"/>
      <c r="J196" s="13"/>
      <c r="K196" s="13"/>
      <c r="L196" s="13"/>
    </row>
    <row r="197">
      <c r="A197" s="13"/>
      <c r="B197" s="13"/>
      <c r="C197" s="13"/>
      <c r="D197" s="13"/>
      <c r="E197" s="13"/>
      <c r="F197" s="13"/>
      <c r="G197" s="13"/>
      <c r="H197" s="13"/>
      <c r="I197" s="13"/>
      <c r="J197" s="13"/>
      <c r="K197" s="13"/>
      <c r="L197" s="13"/>
    </row>
    <row r="198">
      <c r="A198" s="13"/>
      <c r="B198" s="13"/>
      <c r="C198" s="13"/>
      <c r="D198" s="13"/>
      <c r="E198" s="13"/>
      <c r="F198" s="13"/>
      <c r="G198" s="13"/>
      <c r="H198" s="13"/>
      <c r="I198" s="13"/>
      <c r="J198" s="13"/>
      <c r="K198" s="13"/>
      <c r="L198" s="13"/>
    </row>
    <row r="199">
      <c r="A199" s="13"/>
      <c r="B199" s="13"/>
      <c r="C199" s="13"/>
      <c r="D199" s="13"/>
      <c r="E199" s="13"/>
      <c r="F199" s="13"/>
      <c r="G199" s="13"/>
      <c r="H199" s="13"/>
      <c r="I199" s="13"/>
      <c r="J199" s="13"/>
      <c r="K199" s="13"/>
      <c r="L199" s="13"/>
    </row>
    <row r="200">
      <c r="A200" s="13"/>
      <c r="B200" s="13"/>
      <c r="C200" s="13"/>
      <c r="D200" s="13"/>
      <c r="E200" s="13"/>
      <c r="F200" s="13"/>
      <c r="G200" s="13"/>
      <c r="H200" s="13"/>
      <c r="I200" s="13"/>
      <c r="J200" s="13"/>
      <c r="K200" s="13"/>
      <c r="L200" s="13"/>
    </row>
    <row r="201">
      <c r="A201" s="13"/>
      <c r="B201" s="13"/>
      <c r="C201" s="13"/>
      <c r="D201" s="13"/>
      <c r="E201" s="13"/>
      <c r="F201" s="13"/>
      <c r="G201" s="13"/>
      <c r="H201" s="13"/>
      <c r="I201" s="13"/>
      <c r="J201" s="13"/>
      <c r="K201" s="13"/>
      <c r="L201" s="13"/>
    </row>
    <row r="202">
      <c r="A202" s="13"/>
      <c r="B202" s="13"/>
      <c r="C202" s="13"/>
      <c r="D202" s="13"/>
      <c r="E202" s="13"/>
      <c r="F202" s="13"/>
      <c r="G202" s="13"/>
      <c r="H202" s="13"/>
      <c r="I202" s="13"/>
      <c r="J202" s="13"/>
      <c r="K202" s="13"/>
      <c r="L202" s="13"/>
    </row>
    <row r="203">
      <c r="A203" s="13"/>
      <c r="B203" s="13"/>
      <c r="C203" s="13"/>
      <c r="D203" s="13"/>
      <c r="E203" s="13"/>
      <c r="F203" s="13"/>
      <c r="G203" s="13"/>
      <c r="H203" s="13"/>
      <c r="I203" s="13"/>
      <c r="J203" s="13"/>
      <c r="K203" s="13"/>
      <c r="L203" s="13"/>
    </row>
    <row r="204">
      <c r="A204" s="13"/>
      <c r="B204" s="13"/>
      <c r="C204" s="13"/>
      <c r="D204" s="13"/>
      <c r="E204" s="13"/>
      <c r="F204" s="13"/>
      <c r="G204" s="13"/>
      <c r="H204" s="13"/>
      <c r="I204" s="13"/>
      <c r="J204" s="13"/>
      <c r="K204" s="13"/>
      <c r="L204" s="13"/>
    </row>
    <row r="205">
      <c r="A205" s="13"/>
      <c r="B205" s="13"/>
      <c r="C205" s="13"/>
      <c r="D205" s="13"/>
      <c r="E205" s="13"/>
      <c r="F205" s="13"/>
      <c r="G205" s="13"/>
      <c r="H205" s="13"/>
      <c r="I205" s="13"/>
      <c r="J205" s="13"/>
      <c r="K205" s="13"/>
      <c r="L205" s="13"/>
    </row>
    <row r="206">
      <c r="A206" s="13"/>
      <c r="B206" s="13"/>
      <c r="C206" s="13"/>
      <c r="D206" s="13"/>
      <c r="E206" s="13"/>
      <c r="F206" s="13"/>
      <c r="G206" s="13"/>
      <c r="H206" s="13"/>
      <c r="I206" s="13"/>
      <c r="J206" s="13"/>
      <c r="K206" s="13"/>
      <c r="L206" s="13"/>
    </row>
    <row r="207">
      <c r="A207" s="13"/>
      <c r="B207" s="13"/>
      <c r="C207" s="13"/>
      <c r="D207" s="13"/>
      <c r="E207" s="13"/>
      <c r="F207" s="13"/>
      <c r="G207" s="13"/>
      <c r="H207" s="13"/>
      <c r="I207" s="13"/>
      <c r="J207" s="13"/>
      <c r="K207" s="13"/>
      <c r="L207" s="13"/>
    </row>
    <row r="208">
      <c r="A208" s="13"/>
      <c r="B208" s="13"/>
      <c r="C208" s="13"/>
      <c r="D208" s="13"/>
      <c r="E208" s="13"/>
      <c r="F208" s="13"/>
      <c r="G208" s="13"/>
      <c r="H208" s="13"/>
      <c r="I208" s="13"/>
      <c r="J208" s="13"/>
      <c r="K208" s="13"/>
      <c r="L208" s="13"/>
    </row>
    <row r="209">
      <c r="A209" s="13"/>
      <c r="B209" s="13"/>
      <c r="C209" s="13"/>
      <c r="D209" s="13"/>
      <c r="E209" s="13"/>
      <c r="F209" s="13"/>
      <c r="G209" s="13"/>
      <c r="H209" s="13"/>
      <c r="I209" s="13"/>
      <c r="J209" s="13"/>
      <c r="K209" s="13"/>
      <c r="L209" s="13"/>
    </row>
    <row r="210">
      <c r="A210" s="13"/>
      <c r="B210" s="13"/>
      <c r="C210" s="13"/>
      <c r="D210" s="13"/>
      <c r="E210" s="13"/>
      <c r="F210" s="13"/>
      <c r="G210" s="13"/>
      <c r="H210" s="13"/>
      <c r="I210" s="13"/>
      <c r="J210" s="13"/>
      <c r="K210" s="13"/>
      <c r="L210" s="13"/>
    </row>
    <row r="211">
      <c r="A211" s="13"/>
      <c r="B211" s="13"/>
      <c r="C211" s="13"/>
      <c r="D211" s="13"/>
      <c r="E211" s="13"/>
      <c r="F211" s="13"/>
      <c r="G211" s="13"/>
      <c r="H211" s="13"/>
      <c r="I211" s="13"/>
      <c r="J211" s="13"/>
      <c r="K211" s="13"/>
      <c r="L211" s="13"/>
    </row>
    <row r="212">
      <c r="A212" s="13"/>
      <c r="B212" s="13"/>
      <c r="C212" s="13"/>
      <c r="D212" s="13"/>
      <c r="E212" s="13"/>
      <c r="F212" s="13"/>
      <c r="G212" s="13"/>
      <c r="H212" s="13"/>
      <c r="I212" s="13"/>
      <c r="J212" s="13"/>
      <c r="K212" s="13"/>
      <c r="L212" s="13"/>
    </row>
    <row r="213">
      <c r="A213" s="13"/>
      <c r="B213" s="13"/>
      <c r="C213" s="13"/>
      <c r="D213" s="13"/>
      <c r="E213" s="13"/>
      <c r="F213" s="13"/>
      <c r="G213" s="13"/>
      <c r="H213" s="13"/>
      <c r="I213" s="13"/>
      <c r="J213" s="13"/>
      <c r="K213" s="13"/>
      <c r="L213" s="13"/>
    </row>
    <row r="214">
      <c r="A214" s="13"/>
      <c r="B214" s="13"/>
      <c r="C214" s="13"/>
      <c r="D214" s="13"/>
      <c r="E214" s="13"/>
      <c r="F214" s="13"/>
      <c r="G214" s="13"/>
      <c r="H214" s="13"/>
      <c r="I214" s="13"/>
      <c r="J214" s="13"/>
      <c r="K214" s="13"/>
      <c r="L214" s="13"/>
    </row>
    <row r="215">
      <c r="A215" s="13"/>
      <c r="B215" s="13"/>
      <c r="C215" s="13"/>
      <c r="D215" s="13"/>
      <c r="E215" s="13"/>
      <c r="F215" s="13"/>
      <c r="G215" s="13"/>
      <c r="H215" s="13"/>
      <c r="I215" s="13"/>
      <c r="J215" s="13"/>
      <c r="K215" s="13"/>
      <c r="L215" s="13"/>
    </row>
    <row r="216">
      <c r="A216" s="13"/>
      <c r="B216" s="13"/>
      <c r="C216" s="13"/>
      <c r="D216" s="13"/>
      <c r="E216" s="13"/>
      <c r="F216" s="13"/>
      <c r="G216" s="13"/>
      <c r="H216" s="13"/>
      <c r="I216" s="13"/>
      <c r="J216" s="13"/>
      <c r="K216" s="13"/>
      <c r="L216" s="13"/>
    </row>
    <row r="217">
      <c r="A217" s="13"/>
      <c r="B217" s="13"/>
      <c r="C217" s="13"/>
      <c r="D217" s="13"/>
      <c r="E217" s="13"/>
      <c r="F217" s="13"/>
      <c r="G217" s="13"/>
      <c r="H217" s="13"/>
      <c r="I217" s="13"/>
      <c r="J217" s="13"/>
      <c r="K217" s="13"/>
      <c r="L217" s="13"/>
    </row>
    <row r="218">
      <c r="A218" s="13"/>
      <c r="B218" s="13"/>
      <c r="C218" s="13"/>
      <c r="D218" s="13"/>
      <c r="E218" s="13"/>
      <c r="F218" s="13"/>
      <c r="G218" s="13"/>
      <c r="H218" s="13"/>
      <c r="I218" s="13"/>
      <c r="J218" s="13"/>
      <c r="K218" s="13"/>
      <c r="L218" s="13"/>
    </row>
    <row r="219">
      <c r="A219" s="13"/>
      <c r="B219" s="13"/>
      <c r="C219" s="13"/>
      <c r="D219" s="13"/>
      <c r="E219" s="13"/>
      <c r="F219" s="13"/>
      <c r="G219" s="13"/>
      <c r="H219" s="13"/>
      <c r="I219" s="13"/>
      <c r="J219" s="13"/>
      <c r="K219" s="13"/>
      <c r="L219" s="13"/>
    </row>
    <row r="220">
      <c r="A220" s="13"/>
      <c r="B220" s="13"/>
      <c r="C220" s="13"/>
      <c r="D220" s="13"/>
      <c r="E220" s="13"/>
      <c r="F220" s="13"/>
      <c r="G220" s="13"/>
      <c r="H220" s="13"/>
      <c r="I220" s="13"/>
      <c r="J220" s="13"/>
      <c r="K220" s="13"/>
      <c r="L220" s="13"/>
    </row>
    <row r="221">
      <c r="A221" s="13"/>
      <c r="B221" s="13"/>
      <c r="C221" s="13"/>
      <c r="D221" s="13"/>
      <c r="E221" s="13"/>
      <c r="F221" s="13"/>
      <c r="G221" s="13"/>
      <c r="H221" s="13"/>
      <c r="I221" s="13"/>
      <c r="J221" s="13"/>
      <c r="K221" s="13"/>
      <c r="L221" s="13"/>
    </row>
    <row r="222">
      <c r="A222" s="13"/>
      <c r="B222" s="13"/>
      <c r="C222" s="13"/>
      <c r="D222" s="13"/>
      <c r="E222" s="13"/>
      <c r="F222" s="13"/>
      <c r="G222" s="13"/>
      <c r="H222" s="13"/>
      <c r="I222" s="13"/>
      <c r="J222" s="13"/>
      <c r="K222" s="13"/>
      <c r="L222" s="13"/>
    </row>
    <row r="223">
      <c r="A223" s="13"/>
      <c r="B223" s="13"/>
      <c r="C223" s="13"/>
      <c r="D223" s="13"/>
      <c r="E223" s="13"/>
      <c r="F223" s="13"/>
      <c r="G223" s="13"/>
      <c r="H223" s="13"/>
      <c r="I223" s="13"/>
      <c r="J223" s="13"/>
      <c r="K223" s="13"/>
      <c r="L223" s="13"/>
    </row>
    <row r="224">
      <c r="A224" s="13"/>
      <c r="B224" s="13"/>
      <c r="C224" s="13"/>
      <c r="D224" s="13"/>
      <c r="E224" s="13"/>
      <c r="F224" s="13"/>
      <c r="G224" s="13"/>
      <c r="H224" s="13"/>
      <c r="I224" s="13"/>
      <c r="J224" s="13"/>
      <c r="K224" s="13"/>
      <c r="L224" s="13"/>
    </row>
    <row r="225">
      <c r="A225" s="13"/>
      <c r="B225" s="13"/>
      <c r="C225" s="13"/>
      <c r="D225" s="13"/>
      <c r="E225" s="13"/>
      <c r="F225" s="13"/>
      <c r="G225" s="13"/>
      <c r="H225" s="13"/>
      <c r="I225" s="13"/>
      <c r="J225" s="13"/>
      <c r="K225" s="13"/>
      <c r="L225" s="13"/>
    </row>
    <row r="226">
      <c r="A226" s="13"/>
      <c r="B226" s="13"/>
      <c r="C226" s="13"/>
      <c r="D226" s="13"/>
      <c r="E226" s="13"/>
      <c r="F226" s="13"/>
      <c r="G226" s="13"/>
      <c r="H226" s="13"/>
      <c r="I226" s="13"/>
      <c r="J226" s="13"/>
      <c r="K226" s="13"/>
      <c r="L226" s="13"/>
    </row>
    <row r="227">
      <c r="A227" s="13"/>
      <c r="B227" s="13"/>
      <c r="C227" s="13"/>
      <c r="D227" s="13"/>
      <c r="E227" s="13"/>
      <c r="F227" s="13"/>
      <c r="G227" s="13"/>
      <c r="H227" s="13"/>
      <c r="I227" s="13"/>
      <c r="J227" s="13"/>
      <c r="K227" s="13"/>
      <c r="L227" s="13"/>
    </row>
    <row r="228">
      <c r="A228" s="13"/>
      <c r="B228" s="13"/>
      <c r="C228" s="13"/>
      <c r="D228" s="13"/>
      <c r="E228" s="13"/>
      <c r="F228" s="13"/>
      <c r="G228" s="13"/>
      <c r="H228" s="13"/>
      <c r="I228" s="13"/>
      <c r="J228" s="13"/>
      <c r="K228" s="13"/>
      <c r="L228" s="13"/>
    </row>
    <row r="229">
      <c r="A229" s="13"/>
      <c r="B229" s="13"/>
      <c r="C229" s="13"/>
      <c r="D229" s="13"/>
      <c r="E229" s="13"/>
      <c r="F229" s="13"/>
      <c r="G229" s="13"/>
      <c r="H229" s="13"/>
      <c r="I229" s="13"/>
      <c r="J229" s="13"/>
      <c r="K229" s="13"/>
      <c r="L229" s="13"/>
    </row>
    <row r="230">
      <c r="A230" s="13"/>
      <c r="B230" s="13"/>
      <c r="C230" s="13"/>
      <c r="D230" s="13"/>
      <c r="E230" s="13"/>
      <c r="F230" s="13"/>
      <c r="G230" s="13"/>
      <c r="H230" s="13"/>
      <c r="I230" s="13"/>
      <c r="J230" s="13"/>
      <c r="K230" s="13"/>
      <c r="L230" s="13"/>
    </row>
    <row r="231">
      <c r="A231" s="13"/>
      <c r="B231" s="13"/>
      <c r="C231" s="13"/>
      <c r="D231" s="13"/>
      <c r="E231" s="13"/>
      <c r="F231" s="13"/>
      <c r="G231" s="13"/>
      <c r="H231" s="13"/>
      <c r="I231" s="13"/>
      <c r="J231" s="13"/>
      <c r="K231" s="13"/>
      <c r="L231" s="13"/>
    </row>
    <row r="232">
      <c r="A232" s="13"/>
      <c r="B232" s="13"/>
      <c r="C232" s="13"/>
      <c r="D232" s="13"/>
      <c r="E232" s="13"/>
      <c r="F232" s="13"/>
      <c r="G232" s="13"/>
      <c r="H232" s="13"/>
      <c r="I232" s="13"/>
      <c r="J232" s="13"/>
      <c r="K232" s="13"/>
      <c r="L232" s="13"/>
    </row>
    <row r="233">
      <c r="A233" s="13"/>
      <c r="B233" s="13"/>
      <c r="C233" s="13"/>
      <c r="D233" s="13"/>
      <c r="E233" s="13"/>
      <c r="F233" s="13"/>
      <c r="G233" s="13"/>
      <c r="H233" s="13"/>
      <c r="I233" s="13"/>
      <c r="J233" s="13"/>
      <c r="K233" s="13"/>
      <c r="L233" s="13"/>
    </row>
    <row r="234">
      <c r="A234" s="13"/>
      <c r="B234" s="13"/>
      <c r="C234" s="13"/>
      <c r="D234" s="13"/>
      <c r="E234" s="13"/>
      <c r="F234" s="13"/>
      <c r="G234" s="13"/>
      <c r="H234" s="13"/>
      <c r="I234" s="13"/>
      <c r="J234" s="13"/>
      <c r="K234" s="13"/>
      <c r="L234" s="13"/>
    </row>
    <row r="235">
      <c r="A235" s="13"/>
      <c r="B235" s="13"/>
      <c r="C235" s="13"/>
      <c r="D235" s="13"/>
      <c r="E235" s="13"/>
      <c r="F235" s="13"/>
      <c r="G235" s="13"/>
      <c r="H235" s="13"/>
      <c r="I235" s="13"/>
      <c r="J235" s="13"/>
      <c r="K235" s="13"/>
      <c r="L235" s="13"/>
    </row>
    <row r="236">
      <c r="A236" s="13"/>
      <c r="B236" s="13"/>
      <c r="C236" s="13"/>
      <c r="D236" s="13"/>
      <c r="E236" s="13"/>
      <c r="F236" s="13"/>
      <c r="G236" s="13"/>
      <c r="H236" s="13"/>
      <c r="I236" s="13"/>
      <c r="J236" s="13"/>
      <c r="K236" s="13"/>
      <c r="L236" s="13"/>
    </row>
    <row r="237">
      <c r="A237" s="13"/>
      <c r="B237" s="13"/>
      <c r="C237" s="13"/>
      <c r="D237" s="13"/>
      <c r="E237" s="13"/>
      <c r="F237" s="13"/>
      <c r="G237" s="13"/>
      <c r="H237" s="13"/>
      <c r="I237" s="13"/>
      <c r="J237" s="13"/>
      <c r="K237" s="13"/>
      <c r="L237" s="13"/>
    </row>
    <row r="238">
      <c r="A238" s="13"/>
      <c r="B238" s="13"/>
      <c r="C238" s="13"/>
      <c r="D238" s="13"/>
      <c r="E238" s="13"/>
      <c r="F238" s="13"/>
      <c r="G238" s="13"/>
      <c r="H238" s="13"/>
      <c r="I238" s="13"/>
      <c r="J238" s="13"/>
      <c r="K238" s="13"/>
      <c r="L238" s="13"/>
    </row>
    <row r="239">
      <c r="A239" s="13"/>
      <c r="B239" s="13"/>
      <c r="C239" s="13"/>
      <c r="D239" s="13"/>
      <c r="E239" s="13"/>
      <c r="F239" s="13"/>
      <c r="G239" s="13"/>
      <c r="H239" s="13"/>
      <c r="I239" s="13"/>
      <c r="J239" s="13"/>
      <c r="K239" s="13"/>
      <c r="L239" s="13"/>
    </row>
    <row r="240">
      <c r="A240" s="13"/>
      <c r="B240" s="13"/>
      <c r="C240" s="13"/>
      <c r="D240" s="13"/>
      <c r="E240" s="13"/>
      <c r="F240" s="13"/>
      <c r="G240" s="13"/>
      <c r="H240" s="13"/>
      <c r="I240" s="13"/>
      <c r="J240" s="13"/>
      <c r="K240" s="13"/>
      <c r="L240" s="13"/>
    </row>
    <row r="241">
      <c r="A241" s="13"/>
      <c r="B241" s="13"/>
      <c r="C241" s="13"/>
      <c r="D241" s="13"/>
      <c r="E241" s="13"/>
      <c r="F241" s="13"/>
      <c r="G241" s="13"/>
      <c r="H241" s="13"/>
      <c r="I241" s="13"/>
      <c r="J241" s="13"/>
      <c r="K241" s="13"/>
      <c r="L241" s="13"/>
    </row>
    <row r="242">
      <c r="A242" s="13"/>
      <c r="B242" s="13"/>
      <c r="C242" s="13"/>
      <c r="D242" s="13"/>
      <c r="E242" s="13"/>
      <c r="F242" s="13"/>
      <c r="G242" s="13"/>
      <c r="H242" s="13"/>
      <c r="I242" s="13"/>
      <c r="J242" s="13"/>
      <c r="K242" s="13"/>
      <c r="L242" s="13"/>
    </row>
    <row r="243">
      <c r="A243" s="13"/>
      <c r="B243" s="13"/>
      <c r="C243" s="13"/>
      <c r="D243" s="13"/>
      <c r="E243" s="13"/>
      <c r="F243" s="13"/>
      <c r="G243" s="13"/>
      <c r="H243" s="13"/>
      <c r="I243" s="13"/>
      <c r="J243" s="13"/>
      <c r="K243" s="13"/>
      <c r="L243" s="13"/>
    </row>
    <row r="244">
      <c r="A244" s="13"/>
      <c r="B244" s="13"/>
      <c r="C244" s="13"/>
      <c r="D244" s="13"/>
      <c r="E244" s="13"/>
      <c r="F244" s="13"/>
      <c r="G244" s="13"/>
      <c r="H244" s="13"/>
      <c r="I244" s="13"/>
      <c r="J244" s="13"/>
      <c r="K244" s="13"/>
      <c r="L244" s="13"/>
    </row>
    <row r="245">
      <c r="A245" s="13"/>
      <c r="B245" s="13"/>
      <c r="C245" s="13"/>
      <c r="D245" s="13"/>
      <c r="E245" s="13"/>
      <c r="F245" s="13"/>
      <c r="G245" s="13"/>
      <c r="H245" s="13"/>
      <c r="I245" s="13"/>
      <c r="J245" s="13"/>
      <c r="K245" s="13"/>
      <c r="L245" s="13"/>
    </row>
    <row r="246">
      <c r="A246" s="13"/>
      <c r="B246" s="13"/>
      <c r="C246" s="13"/>
      <c r="D246" s="13"/>
      <c r="E246" s="13"/>
      <c r="F246" s="13"/>
      <c r="G246" s="13"/>
      <c r="H246" s="13"/>
      <c r="I246" s="13"/>
      <c r="J246" s="13"/>
      <c r="K246" s="13"/>
      <c r="L246" s="13"/>
    </row>
    <row r="247">
      <c r="A247" s="13"/>
      <c r="B247" s="13"/>
      <c r="C247" s="13"/>
      <c r="D247" s="13"/>
      <c r="E247" s="13"/>
      <c r="F247" s="13"/>
      <c r="G247" s="13"/>
      <c r="H247" s="13"/>
      <c r="I247" s="13"/>
      <c r="J247" s="13"/>
      <c r="K247" s="13"/>
      <c r="L247" s="13"/>
    </row>
    <row r="248">
      <c r="A248" s="13"/>
      <c r="B248" s="13"/>
      <c r="C248" s="13"/>
      <c r="D248" s="13"/>
      <c r="E248" s="13"/>
      <c r="F248" s="13"/>
      <c r="G248" s="13"/>
      <c r="H248" s="13"/>
      <c r="I248" s="13"/>
      <c r="J248" s="13"/>
      <c r="K248" s="13"/>
      <c r="L248" s="13"/>
    </row>
    <row r="249">
      <c r="A249" s="13"/>
      <c r="B249" s="13"/>
      <c r="C249" s="13"/>
      <c r="D249" s="13"/>
      <c r="E249" s="13"/>
      <c r="F249" s="13"/>
      <c r="G249" s="13"/>
      <c r="H249" s="13"/>
      <c r="I249" s="13"/>
      <c r="J249" s="13"/>
      <c r="K249" s="13"/>
      <c r="L249" s="13"/>
    </row>
    <row r="250">
      <c r="A250" s="13"/>
      <c r="B250" s="13"/>
      <c r="C250" s="13"/>
      <c r="D250" s="13"/>
      <c r="E250" s="13"/>
      <c r="F250" s="13"/>
      <c r="G250" s="13"/>
      <c r="H250" s="13"/>
      <c r="I250" s="13"/>
      <c r="J250" s="13"/>
      <c r="K250" s="13"/>
      <c r="L250" s="13"/>
    </row>
    <row r="251">
      <c r="A251" s="13"/>
      <c r="B251" s="13"/>
      <c r="C251" s="13"/>
      <c r="D251" s="13"/>
      <c r="E251" s="13"/>
      <c r="F251" s="13"/>
      <c r="G251" s="13"/>
      <c r="H251" s="13"/>
      <c r="I251" s="13"/>
      <c r="J251" s="13"/>
      <c r="K251" s="13"/>
      <c r="L251" s="13"/>
    </row>
    <row r="252">
      <c r="A252" s="13"/>
      <c r="B252" s="13"/>
      <c r="C252" s="13"/>
      <c r="D252" s="13"/>
      <c r="E252" s="13"/>
      <c r="F252" s="13"/>
      <c r="G252" s="13"/>
      <c r="H252" s="13"/>
      <c r="I252" s="13"/>
      <c r="J252" s="13"/>
      <c r="K252" s="13"/>
      <c r="L252" s="13"/>
    </row>
    <row r="253">
      <c r="A253" s="13"/>
      <c r="B253" s="13"/>
      <c r="C253" s="13"/>
      <c r="D253" s="13"/>
      <c r="E253" s="13"/>
      <c r="F253" s="13"/>
      <c r="G253" s="13"/>
      <c r="H253" s="13"/>
      <c r="I253" s="13"/>
      <c r="J253" s="13"/>
      <c r="K253" s="13"/>
      <c r="L253" s="13"/>
    </row>
    <row r="254">
      <c r="A254" s="13"/>
      <c r="B254" s="13"/>
      <c r="C254" s="13"/>
      <c r="D254" s="13"/>
      <c r="E254" s="13"/>
      <c r="F254" s="13"/>
      <c r="G254" s="13"/>
      <c r="H254" s="13"/>
      <c r="I254" s="13"/>
      <c r="J254" s="13"/>
      <c r="K254" s="13"/>
      <c r="L254" s="13"/>
    </row>
    <row r="255">
      <c r="A255" s="13"/>
      <c r="B255" s="13"/>
      <c r="C255" s="13"/>
      <c r="D255" s="13"/>
      <c r="E255" s="13"/>
      <c r="F255" s="13"/>
      <c r="G255" s="13"/>
      <c r="H255" s="13"/>
      <c r="I255" s="13"/>
      <c r="J255" s="13"/>
      <c r="K255" s="13"/>
      <c r="L255" s="13"/>
    </row>
    <row r="256">
      <c r="A256" s="13"/>
      <c r="B256" s="13"/>
      <c r="C256" s="13"/>
      <c r="D256" s="13"/>
      <c r="E256" s="13"/>
      <c r="F256" s="13"/>
      <c r="G256" s="13"/>
      <c r="H256" s="13"/>
      <c r="I256" s="13"/>
      <c r="J256" s="13"/>
      <c r="K256" s="13"/>
      <c r="L256" s="13"/>
    </row>
    <row r="257">
      <c r="A257" s="13"/>
      <c r="B257" s="13"/>
      <c r="C257" s="13"/>
      <c r="D257" s="13"/>
      <c r="E257" s="13"/>
      <c r="F257" s="13"/>
      <c r="G257" s="13"/>
      <c r="H257" s="13"/>
      <c r="I257" s="13"/>
      <c r="J257" s="13"/>
      <c r="K257" s="13"/>
      <c r="L257" s="13"/>
    </row>
    <row r="258">
      <c r="A258" s="13"/>
      <c r="B258" s="13"/>
      <c r="C258" s="13"/>
      <c r="D258" s="13"/>
      <c r="E258" s="13"/>
      <c r="F258" s="13"/>
      <c r="G258" s="13"/>
      <c r="H258" s="13"/>
      <c r="I258" s="13"/>
      <c r="J258" s="13"/>
      <c r="K258" s="13"/>
      <c r="L258" s="13"/>
    </row>
    <row r="259">
      <c r="A259" s="13"/>
      <c r="B259" s="13"/>
      <c r="C259" s="13"/>
      <c r="D259" s="13"/>
      <c r="E259" s="13"/>
      <c r="F259" s="13"/>
      <c r="G259" s="13"/>
      <c r="H259" s="13"/>
      <c r="I259" s="13"/>
      <c r="J259" s="13"/>
      <c r="K259" s="13"/>
      <c r="L259" s="13"/>
    </row>
    <row r="260">
      <c r="A260" s="13"/>
      <c r="B260" s="13"/>
      <c r="C260" s="13"/>
      <c r="D260" s="13"/>
      <c r="E260" s="13"/>
      <c r="F260" s="13"/>
      <c r="G260" s="13"/>
      <c r="H260" s="13"/>
      <c r="I260" s="13"/>
      <c r="J260" s="13"/>
      <c r="K260" s="13"/>
      <c r="L260" s="13"/>
    </row>
    <row r="261">
      <c r="A261" s="13"/>
      <c r="B261" s="13"/>
      <c r="C261" s="13"/>
      <c r="D261" s="13"/>
      <c r="E261" s="13"/>
      <c r="F261" s="13"/>
      <c r="G261" s="13"/>
      <c r="H261" s="13"/>
      <c r="I261" s="13"/>
      <c r="J261" s="13"/>
      <c r="K261" s="13"/>
      <c r="L261" s="13"/>
    </row>
    <row r="262">
      <c r="A262" s="13"/>
      <c r="B262" s="13"/>
      <c r="C262" s="13"/>
      <c r="D262" s="13"/>
      <c r="E262" s="13"/>
      <c r="F262" s="13"/>
      <c r="G262" s="13"/>
      <c r="H262" s="13"/>
      <c r="I262" s="13"/>
      <c r="J262" s="13"/>
      <c r="K262" s="13"/>
      <c r="L262" s="13"/>
    </row>
    <row r="263">
      <c r="A263" s="13"/>
      <c r="B263" s="13"/>
      <c r="C263" s="13"/>
      <c r="D263" s="13"/>
      <c r="E263" s="13"/>
      <c r="F263" s="13"/>
      <c r="G263" s="13"/>
      <c r="H263" s="13"/>
      <c r="I263" s="13"/>
      <c r="J263" s="13"/>
      <c r="K263" s="13"/>
      <c r="L263" s="13"/>
    </row>
    <row r="264">
      <c r="A264" s="13"/>
      <c r="B264" s="13"/>
      <c r="C264" s="13"/>
      <c r="D264" s="13"/>
      <c r="E264" s="13"/>
      <c r="F264" s="13"/>
      <c r="G264" s="13"/>
      <c r="H264" s="13"/>
      <c r="I264" s="13"/>
      <c r="J264" s="13"/>
      <c r="K264" s="13"/>
      <c r="L264" s="13"/>
    </row>
    <row r="265">
      <c r="A265" s="13"/>
      <c r="B265" s="13"/>
      <c r="C265" s="13"/>
      <c r="D265" s="13"/>
      <c r="E265" s="13"/>
      <c r="F265" s="13"/>
      <c r="G265" s="13"/>
      <c r="H265" s="13"/>
      <c r="I265" s="13"/>
      <c r="J265" s="13"/>
      <c r="K265" s="13"/>
      <c r="L265" s="13"/>
    </row>
    <row r="266">
      <c r="A266" s="13"/>
      <c r="B266" s="13"/>
      <c r="C266" s="13"/>
      <c r="D266" s="13"/>
      <c r="E266" s="13"/>
      <c r="F266" s="13"/>
      <c r="G266" s="13"/>
      <c r="H266" s="13"/>
      <c r="I266" s="13"/>
      <c r="J266" s="13"/>
      <c r="K266" s="13"/>
      <c r="L266" s="13"/>
    </row>
    <row r="267">
      <c r="A267" s="13"/>
      <c r="B267" s="13"/>
      <c r="C267" s="13"/>
      <c r="D267" s="13"/>
      <c r="E267" s="13"/>
      <c r="F267" s="13"/>
      <c r="G267" s="13"/>
      <c r="H267" s="13"/>
      <c r="I267" s="13"/>
      <c r="J267" s="13"/>
      <c r="K267" s="13"/>
      <c r="L267" s="13"/>
    </row>
    <row r="268">
      <c r="A268" s="13"/>
      <c r="B268" s="13"/>
      <c r="C268" s="13"/>
      <c r="D268" s="13"/>
      <c r="E268" s="13"/>
      <c r="F268" s="13"/>
      <c r="G268" s="13"/>
      <c r="H268" s="13"/>
      <c r="I268" s="13"/>
      <c r="J268" s="13"/>
      <c r="K268" s="13"/>
      <c r="L268" s="13"/>
    </row>
    <row r="269">
      <c r="A269" s="13"/>
      <c r="B269" s="13"/>
      <c r="C269" s="13"/>
      <c r="D269" s="13"/>
      <c r="E269" s="13"/>
      <c r="F269" s="13"/>
      <c r="G269" s="13"/>
      <c r="H269" s="13"/>
      <c r="I269" s="13"/>
      <c r="J269" s="13"/>
      <c r="K269" s="13"/>
      <c r="L269" s="13"/>
    </row>
    <row r="270">
      <c r="A270" s="13"/>
      <c r="B270" s="13"/>
      <c r="C270" s="13"/>
      <c r="D270" s="13"/>
      <c r="E270" s="13"/>
      <c r="F270" s="13"/>
      <c r="G270" s="13"/>
      <c r="H270" s="13"/>
      <c r="I270" s="13"/>
      <c r="J270" s="13"/>
      <c r="K270" s="13"/>
      <c r="L270" s="13"/>
    </row>
    <row r="271">
      <c r="A271" s="13"/>
      <c r="B271" s="13"/>
      <c r="C271" s="13"/>
      <c r="D271" s="13"/>
      <c r="E271" s="13"/>
      <c r="F271" s="13"/>
      <c r="G271" s="13"/>
      <c r="H271" s="13"/>
      <c r="I271" s="13"/>
      <c r="J271" s="13"/>
      <c r="K271" s="13"/>
      <c r="L271" s="13"/>
    </row>
    <row r="272">
      <c r="A272" s="13"/>
      <c r="B272" s="13"/>
      <c r="C272" s="13"/>
      <c r="D272" s="13"/>
      <c r="E272" s="13"/>
      <c r="F272" s="13"/>
      <c r="G272" s="13"/>
      <c r="H272" s="13"/>
      <c r="I272" s="13"/>
      <c r="J272" s="13"/>
      <c r="K272" s="13"/>
      <c r="L272" s="13"/>
    </row>
    <row r="273">
      <c r="A273" s="13"/>
      <c r="B273" s="13"/>
      <c r="C273" s="13"/>
      <c r="D273" s="13"/>
      <c r="E273" s="13"/>
      <c r="F273" s="13"/>
      <c r="G273" s="13"/>
      <c r="H273" s="13"/>
      <c r="I273" s="13"/>
      <c r="J273" s="13"/>
      <c r="K273" s="13"/>
      <c r="L273" s="13"/>
    </row>
    <row r="274">
      <c r="A274" s="13"/>
      <c r="B274" s="13"/>
      <c r="C274" s="13"/>
      <c r="D274" s="13"/>
      <c r="E274" s="13"/>
      <c r="F274" s="13"/>
      <c r="G274" s="13"/>
      <c r="H274" s="13"/>
      <c r="I274" s="13"/>
      <c r="J274" s="13"/>
      <c r="K274" s="13"/>
      <c r="L274" s="13"/>
    </row>
    <row r="275">
      <c r="A275" s="13"/>
      <c r="B275" s="13"/>
      <c r="C275" s="13"/>
      <c r="D275" s="13"/>
      <c r="E275" s="13"/>
      <c r="F275" s="13"/>
      <c r="G275" s="13"/>
      <c r="H275" s="13"/>
      <c r="I275" s="13"/>
      <c r="J275" s="13"/>
      <c r="K275" s="13"/>
      <c r="L275" s="13"/>
    </row>
    <row r="276">
      <c r="A276" s="13"/>
      <c r="B276" s="13"/>
      <c r="C276" s="13"/>
      <c r="D276" s="13"/>
      <c r="E276" s="13"/>
      <c r="F276" s="13"/>
      <c r="G276" s="13"/>
      <c r="H276" s="13"/>
      <c r="I276" s="13"/>
      <c r="J276" s="13"/>
      <c r="K276" s="13"/>
      <c r="L276" s="13"/>
    </row>
    <row r="277">
      <c r="A277" s="13"/>
      <c r="B277" s="13"/>
      <c r="C277" s="13"/>
      <c r="D277" s="13"/>
      <c r="E277" s="13"/>
      <c r="F277" s="13"/>
      <c r="G277" s="13"/>
      <c r="H277" s="13"/>
      <c r="I277" s="13"/>
      <c r="J277" s="13"/>
      <c r="K277" s="13"/>
      <c r="L277" s="13"/>
    </row>
    <row r="278">
      <c r="A278" s="13"/>
      <c r="B278" s="13"/>
      <c r="C278" s="13"/>
      <c r="D278" s="13"/>
      <c r="E278" s="13"/>
      <c r="F278" s="13"/>
      <c r="G278" s="13"/>
      <c r="H278" s="13"/>
      <c r="I278" s="13"/>
      <c r="J278" s="13"/>
      <c r="K278" s="13"/>
      <c r="L278" s="13"/>
    </row>
    <row r="279">
      <c r="A279" s="13"/>
      <c r="B279" s="13"/>
      <c r="C279" s="13"/>
      <c r="D279" s="13"/>
      <c r="E279" s="13"/>
      <c r="F279" s="13"/>
      <c r="G279" s="13"/>
      <c r="H279" s="13"/>
      <c r="I279" s="13"/>
      <c r="J279" s="13"/>
      <c r="K279" s="13"/>
      <c r="L279" s="13"/>
    </row>
    <row r="280">
      <c r="A280" s="13"/>
      <c r="B280" s="13"/>
      <c r="C280" s="13"/>
      <c r="D280" s="13"/>
      <c r="E280" s="13"/>
      <c r="F280" s="13"/>
      <c r="G280" s="13"/>
      <c r="H280" s="13"/>
      <c r="I280" s="13"/>
      <c r="J280" s="13"/>
      <c r="K280" s="13"/>
      <c r="L280" s="13"/>
    </row>
    <row r="281">
      <c r="A281" s="13"/>
      <c r="B281" s="13"/>
      <c r="C281" s="13"/>
      <c r="D281" s="13"/>
      <c r="E281" s="13"/>
      <c r="F281" s="13"/>
      <c r="G281" s="13"/>
      <c r="H281" s="13"/>
      <c r="I281" s="13"/>
      <c r="J281" s="13"/>
      <c r="K281" s="13"/>
      <c r="L281" s="13"/>
    </row>
    <row r="282">
      <c r="A282" s="13"/>
      <c r="B282" s="13"/>
      <c r="C282" s="13"/>
      <c r="D282" s="13"/>
      <c r="E282" s="13"/>
      <c r="F282" s="13"/>
      <c r="G282" s="13"/>
      <c r="H282" s="13"/>
      <c r="I282" s="13"/>
      <c r="J282" s="13"/>
      <c r="K282" s="13"/>
      <c r="L282" s="13"/>
    </row>
    <row r="283">
      <c r="A283" s="13"/>
      <c r="B283" s="13"/>
      <c r="C283" s="13"/>
      <c r="D283" s="13"/>
      <c r="E283" s="13"/>
      <c r="F283" s="13"/>
      <c r="G283" s="13"/>
      <c r="H283" s="13"/>
      <c r="I283" s="13"/>
      <c r="J283" s="13"/>
      <c r="K283" s="13"/>
      <c r="L283" s="13"/>
    </row>
    <row r="284">
      <c r="A284" s="13"/>
      <c r="B284" s="13"/>
      <c r="C284" s="13"/>
      <c r="D284" s="13"/>
      <c r="E284" s="13"/>
      <c r="F284" s="13"/>
      <c r="G284" s="13"/>
      <c r="H284" s="13"/>
      <c r="I284" s="13"/>
      <c r="J284" s="13"/>
      <c r="K284" s="13"/>
      <c r="L284" s="13"/>
    </row>
    <row r="285">
      <c r="A285" s="13"/>
      <c r="B285" s="13"/>
      <c r="C285" s="13"/>
      <c r="D285" s="13"/>
      <c r="E285" s="13"/>
      <c r="F285" s="13"/>
      <c r="G285" s="13"/>
      <c r="H285" s="13"/>
      <c r="I285" s="13"/>
      <c r="J285" s="13"/>
      <c r="K285" s="13"/>
      <c r="L285" s="13"/>
    </row>
    <row r="286">
      <c r="A286" s="13"/>
      <c r="B286" s="13"/>
      <c r="C286" s="13"/>
      <c r="D286" s="13"/>
      <c r="E286" s="13"/>
      <c r="F286" s="13"/>
      <c r="G286" s="13"/>
      <c r="H286" s="13"/>
      <c r="I286" s="13"/>
      <c r="J286" s="13"/>
      <c r="K286" s="13"/>
      <c r="L286" s="13"/>
    </row>
    <row r="287">
      <c r="A287" s="13"/>
      <c r="B287" s="13"/>
      <c r="C287" s="13"/>
      <c r="D287" s="13"/>
      <c r="E287" s="13"/>
      <c r="F287" s="13"/>
      <c r="G287" s="13"/>
      <c r="H287" s="13"/>
      <c r="I287" s="13"/>
      <c r="J287" s="13"/>
      <c r="K287" s="13"/>
      <c r="L287" s="13"/>
    </row>
    <row r="288">
      <c r="A288" s="13"/>
      <c r="B288" s="13"/>
      <c r="C288" s="13"/>
      <c r="D288" s="13"/>
      <c r="E288" s="13"/>
      <c r="F288" s="13"/>
      <c r="G288" s="13"/>
      <c r="H288" s="13"/>
      <c r="I288" s="13"/>
      <c r="J288" s="13"/>
      <c r="K288" s="13"/>
      <c r="L288" s="13"/>
    </row>
    <row r="289">
      <c r="A289" s="13"/>
      <c r="B289" s="13"/>
      <c r="C289" s="13"/>
      <c r="D289" s="13"/>
      <c r="E289" s="13"/>
      <c r="F289" s="13"/>
      <c r="G289" s="13"/>
      <c r="H289" s="13"/>
      <c r="I289" s="13"/>
      <c r="J289" s="13"/>
      <c r="K289" s="13"/>
      <c r="L289" s="13"/>
    </row>
    <row r="290">
      <c r="A290" s="13"/>
      <c r="B290" s="13"/>
      <c r="C290" s="13"/>
      <c r="D290" s="13"/>
      <c r="E290" s="13"/>
      <c r="F290" s="13"/>
      <c r="G290" s="13"/>
      <c r="H290" s="13"/>
      <c r="I290" s="13"/>
      <c r="J290" s="13"/>
      <c r="K290" s="13"/>
      <c r="L290" s="13"/>
    </row>
    <row r="291">
      <c r="A291" s="13"/>
      <c r="B291" s="13"/>
      <c r="C291" s="13"/>
      <c r="D291" s="13"/>
      <c r="E291" s="13"/>
      <c r="F291" s="13"/>
      <c r="G291" s="13"/>
      <c r="H291" s="13"/>
      <c r="I291" s="13"/>
      <c r="J291" s="13"/>
      <c r="K291" s="13"/>
      <c r="L291" s="13"/>
    </row>
    <row r="292">
      <c r="A292" s="13"/>
      <c r="B292" s="13"/>
      <c r="C292" s="13"/>
      <c r="D292" s="13"/>
      <c r="E292" s="13"/>
      <c r="F292" s="13"/>
      <c r="G292" s="13"/>
      <c r="H292" s="13"/>
      <c r="I292" s="13"/>
      <c r="J292" s="13"/>
      <c r="K292" s="13"/>
      <c r="L292" s="13"/>
    </row>
    <row r="293">
      <c r="A293" s="13"/>
      <c r="B293" s="13"/>
      <c r="C293" s="13"/>
      <c r="D293" s="13"/>
      <c r="E293" s="13"/>
      <c r="F293" s="13"/>
      <c r="G293" s="13"/>
      <c r="H293" s="13"/>
      <c r="I293" s="13"/>
      <c r="J293" s="13"/>
      <c r="K293" s="13"/>
      <c r="L293" s="13"/>
    </row>
    <row r="294">
      <c r="A294" s="13"/>
      <c r="B294" s="13"/>
      <c r="C294" s="13"/>
      <c r="D294" s="13"/>
      <c r="E294" s="13"/>
      <c r="F294" s="13"/>
      <c r="G294" s="13"/>
      <c r="H294" s="13"/>
      <c r="I294" s="13"/>
      <c r="J294" s="13"/>
      <c r="K294" s="13"/>
      <c r="L294" s="13"/>
    </row>
    <row r="295">
      <c r="A295" s="13"/>
      <c r="B295" s="13"/>
      <c r="C295" s="13"/>
      <c r="D295" s="13"/>
      <c r="E295" s="13"/>
      <c r="F295" s="13"/>
      <c r="G295" s="13"/>
      <c r="H295" s="13"/>
      <c r="I295" s="13"/>
      <c r="J295" s="13"/>
      <c r="K295" s="13"/>
      <c r="L295" s="13"/>
    </row>
    <row r="296">
      <c r="A296" s="13"/>
      <c r="B296" s="13"/>
      <c r="C296" s="13"/>
      <c r="D296" s="13"/>
      <c r="E296" s="13"/>
      <c r="F296" s="13"/>
      <c r="G296" s="13"/>
      <c r="H296" s="13"/>
      <c r="I296" s="13"/>
      <c r="J296" s="13"/>
      <c r="K296" s="13"/>
      <c r="L296" s="13"/>
    </row>
    <row r="297">
      <c r="A297" s="13"/>
      <c r="B297" s="13"/>
      <c r="C297" s="13"/>
      <c r="D297" s="13"/>
      <c r="E297" s="13"/>
      <c r="F297" s="13"/>
      <c r="G297" s="13"/>
      <c r="H297" s="13"/>
      <c r="I297" s="13"/>
      <c r="J297" s="13"/>
      <c r="K297" s="13"/>
      <c r="L297" s="13"/>
    </row>
    <row r="298">
      <c r="A298" s="13"/>
      <c r="B298" s="13"/>
      <c r="C298" s="13"/>
      <c r="D298" s="13"/>
      <c r="E298" s="13"/>
      <c r="F298" s="13"/>
      <c r="G298" s="13"/>
      <c r="H298" s="13"/>
      <c r="I298" s="13"/>
      <c r="J298" s="13"/>
      <c r="K298" s="13"/>
      <c r="L298" s="13"/>
    </row>
    <row r="299">
      <c r="A299" s="13"/>
      <c r="B299" s="13"/>
      <c r="C299" s="13"/>
      <c r="D299" s="13"/>
      <c r="E299" s="13"/>
      <c r="F299" s="13"/>
      <c r="G299" s="13"/>
      <c r="H299" s="13"/>
      <c r="I299" s="13"/>
      <c r="J299" s="13"/>
      <c r="K299" s="13"/>
      <c r="L299" s="13"/>
    </row>
    <row r="300">
      <c r="A300" s="13"/>
      <c r="B300" s="13"/>
      <c r="C300" s="13"/>
      <c r="D300" s="13"/>
      <c r="E300" s="13"/>
      <c r="F300" s="13"/>
      <c r="G300" s="13"/>
      <c r="H300" s="13"/>
      <c r="I300" s="13"/>
      <c r="J300" s="13"/>
      <c r="K300" s="13"/>
      <c r="L300" s="13"/>
    </row>
    <row r="301">
      <c r="A301" s="13"/>
      <c r="B301" s="13"/>
      <c r="C301" s="13"/>
      <c r="D301" s="13"/>
      <c r="E301" s="13"/>
      <c r="F301" s="13"/>
      <c r="G301" s="13"/>
      <c r="H301" s="13"/>
      <c r="I301" s="13"/>
      <c r="J301" s="13"/>
      <c r="K301" s="13"/>
      <c r="L301" s="13"/>
    </row>
    <row r="302">
      <c r="A302" s="13"/>
      <c r="B302" s="13"/>
      <c r="C302" s="13"/>
      <c r="D302" s="13"/>
      <c r="E302" s="13"/>
      <c r="F302" s="13"/>
      <c r="G302" s="13"/>
      <c r="H302" s="13"/>
      <c r="I302" s="13"/>
      <c r="J302" s="13"/>
      <c r="K302" s="13"/>
      <c r="L302" s="13"/>
    </row>
    <row r="303">
      <c r="A303" s="13"/>
      <c r="B303" s="13"/>
      <c r="C303" s="13"/>
      <c r="D303" s="13"/>
      <c r="E303" s="13"/>
      <c r="F303" s="13"/>
      <c r="G303" s="13"/>
      <c r="H303" s="13"/>
      <c r="I303" s="13"/>
      <c r="J303" s="13"/>
      <c r="K303" s="13"/>
      <c r="L303" s="13"/>
    </row>
    <row r="304">
      <c r="A304" s="13"/>
      <c r="B304" s="13"/>
      <c r="C304" s="13"/>
      <c r="D304" s="13"/>
      <c r="E304" s="13"/>
      <c r="F304" s="13"/>
      <c r="G304" s="13"/>
      <c r="H304" s="13"/>
      <c r="I304" s="13"/>
      <c r="J304" s="13"/>
      <c r="K304" s="13"/>
      <c r="L304" s="13"/>
    </row>
    <row r="305">
      <c r="A305" s="13"/>
      <c r="B305" s="13"/>
      <c r="C305" s="13"/>
      <c r="D305" s="13"/>
      <c r="E305" s="13"/>
      <c r="F305" s="13"/>
      <c r="G305" s="13"/>
      <c r="H305" s="13"/>
      <c r="I305" s="13"/>
      <c r="J305" s="13"/>
      <c r="K305" s="13"/>
      <c r="L305" s="13"/>
    </row>
    <row r="306">
      <c r="A306" s="13"/>
      <c r="B306" s="13"/>
      <c r="C306" s="13"/>
      <c r="D306" s="13"/>
      <c r="E306" s="13"/>
      <c r="F306" s="13"/>
      <c r="G306" s="13"/>
      <c r="H306" s="13"/>
      <c r="I306" s="13"/>
      <c r="J306" s="13"/>
      <c r="K306" s="13"/>
      <c r="L306" s="13"/>
    </row>
    <row r="307">
      <c r="A307" s="13"/>
      <c r="B307" s="13"/>
      <c r="C307" s="13"/>
      <c r="D307" s="13"/>
      <c r="E307" s="13"/>
      <c r="F307" s="13"/>
      <c r="G307" s="13"/>
      <c r="H307" s="13"/>
      <c r="I307" s="13"/>
      <c r="J307" s="13"/>
      <c r="K307" s="13"/>
      <c r="L307" s="13"/>
    </row>
    <row r="308">
      <c r="A308" s="13"/>
      <c r="B308" s="13"/>
      <c r="C308" s="13"/>
      <c r="D308" s="13"/>
      <c r="E308" s="13"/>
      <c r="F308" s="13"/>
      <c r="G308" s="13"/>
      <c r="H308" s="13"/>
      <c r="I308" s="13"/>
      <c r="J308" s="13"/>
      <c r="K308" s="13"/>
      <c r="L308" s="13"/>
    </row>
    <row r="309">
      <c r="A309" s="13"/>
      <c r="B309" s="13"/>
      <c r="C309" s="13"/>
      <c r="D309" s="13"/>
      <c r="E309" s="13"/>
      <c r="F309" s="13"/>
      <c r="G309" s="13"/>
      <c r="H309" s="13"/>
      <c r="I309" s="13"/>
      <c r="J309" s="13"/>
      <c r="K309" s="13"/>
      <c r="L309" s="13"/>
    </row>
    <row r="310">
      <c r="A310" s="13"/>
      <c r="B310" s="13"/>
      <c r="C310" s="13"/>
      <c r="D310" s="13"/>
      <c r="E310" s="13"/>
      <c r="F310" s="13"/>
      <c r="G310" s="13"/>
      <c r="H310" s="13"/>
      <c r="I310" s="13"/>
      <c r="J310" s="13"/>
      <c r="K310" s="13"/>
      <c r="L310" s="13"/>
    </row>
    <row r="311">
      <c r="A311" s="13"/>
      <c r="B311" s="13"/>
      <c r="C311" s="13"/>
      <c r="D311" s="13"/>
      <c r="E311" s="13"/>
      <c r="F311" s="13"/>
      <c r="G311" s="13"/>
      <c r="H311" s="13"/>
      <c r="I311" s="13"/>
      <c r="J311" s="13"/>
      <c r="K311" s="13"/>
      <c r="L311" s="13"/>
    </row>
    <row r="312">
      <c r="A312" s="13"/>
      <c r="B312" s="13"/>
      <c r="C312" s="13"/>
      <c r="D312" s="13"/>
      <c r="E312" s="13"/>
      <c r="F312" s="13"/>
      <c r="G312" s="13"/>
      <c r="H312" s="13"/>
      <c r="I312" s="13"/>
      <c r="J312" s="13"/>
      <c r="K312" s="13"/>
      <c r="L312" s="13"/>
    </row>
    <row r="313">
      <c r="A313" s="13"/>
      <c r="B313" s="13"/>
      <c r="C313" s="13"/>
      <c r="D313" s="13"/>
      <c r="E313" s="13"/>
      <c r="F313" s="13"/>
      <c r="G313" s="13"/>
      <c r="H313" s="13"/>
      <c r="I313" s="13"/>
      <c r="J313" s="13"/>
      <c r="K313" s="13"/>
      <c r="L313" s="13"/>
    </row>
    <row r="314">
      <c r="A314" s="13"/>
      <c r="B314" s="13"/>
      <c r="C314" s="13"/>
      <c r="D314" s="13"/>
      <c r="E314" s="13"/>
      <c r="F314" s="13"/>
      <c r="G314" s="13"/>
      <c r="H314" s="13"/>
      <c r="I314" s="13"/>
      <c r="J314" s="13"/>
      <c r="K314" s="13"/>
      <c r="L314" s="13"/>
    </row>
    <row r="315">
      <c r="A315" s="13"/>
      <c r="B315" s="13"/>
      <c r="C315" s="13"/>
      <c r="D315" s="13"/>
      <c r="E315" s="13"/>
      <c r="F315" s="13"/>
      <c r="G315" s="13"/>
      <c r="H315" s="13"/>
      <c r="I315" s="13"/>
      <c r="J315" s="13"/>
      <c r="K315" s="13"/>
      <c r="L315" s="13"/>
    </row>
    <row r="316">
      <c r="A316" s="13"/>
      <c r="B316" s="13"/>
      <c r="C316" s="13"/>
      <c r="D316" s="13"/>
      <c r="E316" s="13"/>
      <c r="F316" s="13"/>
      <c r="G316" s="13"/>
      <c r="H316" s="13"/>
      <c r="I316" s="13"/>
      <c r="J316" s="13"/>
      <c r="K316" s="13"/>
      <c r="L316" s="13"/>
    </row>
    <row r="317">
      <c r="A317" s="13"/>
      <c r="B317" s="13"/>
      <c r="C317" s="13"/>
      <c r="D317" s="13"/>
      <c r="E317" s="13"/>
      <c r="F317" s="13"/>
      <c r="G317" s="13"/>
      <c r="H317" s="13"/>
      <c r="I317" s="13"/>
      <c r="J317" s="13"/>
      <c r="K317" s="13"/>
      <c r="L317" s="13"/>
    </row>
    <row r="318">
      <c r="A318" s="13"/>
      <c r="B318" s="13"/>
      <c r="C318" s="13"/>
      <c r="D318" s="13"/>
      <c r="E318" s="13"/>
      <c r="F318" s="13"/>
      <c r="G318" s="13"/>
      <c r="H318" s="13"/>
      <c r="I318" s="13"/>
      <c r="J318" s="13"/>
      <c r="K318" s="13"/>
      <c r="L318" s="13"/>
    </row>
    <row r="319">
      <c r="A319" s="13"/>
      <c r="B319" s="13"/>
      <c r="C319" s="13"/>
      <c r="D319" s="13"/>
      <c r="E319" s="13"/>
      <c r="F319" s="13"/>
      <c r="G319" s="13"/>
      <c r="H319" s="13"/>
      <c r="I319" s="13"/>
      <c r="J319" s="13"/>
      <c r="K319" s="13"/>
      <c r="L319" s="13"/>
    </row>
    <row r="320">
      <c r="A320" s="13"/>
      <c r="B320" s="13"/>
      <c r="C320" s="13"/>
      <c r="D320" s="13"/>
      <c r="E320" s="13"/>
      <c r="F320" s="13"/>
      <c r="G320" s="13"/>
      <c r="H320" s="13"/>
      <c r="I320" s="13"/>
      <c r="J320" s="13"/>
      <c r="K320" s="13"/>
      <c r="L320" s="13"/>
    </row>
    <row r="321">
      <c r="A321" s="13"/>
      <c r="B321" s="13"/>
      <c r="C321" s="13"/>
      <c r="D321" s="13"/>
      <c r="E321" s="13"/>
      <c r="F321" s="13"/>
      <c r="G321" s="13"/>
      <c r="H321" s="13"/>
      <c r="I321" s="13"/>
      <c r="J321" s="13"/>
      <c r="K321" s="13"/>
      <c r="L321" s="13"/>
    </row>
    <row r="322">
      <c r="A322" s="13"/>
      <c r="B322" s="13"/>
      <c r="C322" s="13"/>
      <c r="D322" s="13"/>
      <c r="E322" s="13"/>
      <c r="F322" s="13"/>
      <c r="G322" s="13"/>
      <c r="H322" s="13"/>
      <c r="I322" s="13"/>
      <c r="J322" s="13"/>
      <c r="K322" s="13"/>
      <c r="L322" s="13"/>
    </row>
    <row r="323">
      <c r="A323" s="13"/>
      <c r="B323" s="13"/>
      <c r="C323" s="13"/>
      <c r="D323" s="13"/>
      <c r="E323" s="13"/>
      <c r="F323" s="13"/>
      <c r="G323" s="13"/>
      <c r="H323" s="13"/>
      <c r="I323" s="13"/>
      <c r="J323" s="13"/>
      <c r="K323" s="13"/>
      <c r="L323" s="13"/>
    </row>
    <row r="324">
      <c r="A324" s="13"/>
      <c r="B324" s="13"/>
      <c r="C324" s="13"/>
      <c r="D324" s="13"/>
      <c r="E324" s="13"/>
      <c r="F324" s="13"/>
      <c r="G324" s="13"/>
      <c r="H324" s="13"/>
      <c r="I324" s="13"/>
      <c r="J324" s="13"/>
      <c r="K324" s="13"/>
      <c r="L324" s="13"/>
    </row>
    <row r="325">
      <c r="A325" s="13"/>
      <c r="B325" s="13"/>
      <c r="C325" s="13"/>
      <c r="D325" s="13"/>
      <c r="E325" s="13"/>
      <c r="F325" s="13"/>
      <c r="G325" s="13"/>
      <c r="H325" s="13"/>
      <c r="I325" s="13"/>
      <c r="J325" s="13"/>
      <c r="K325" s="13"/>
      <c r="L325" s="13"/>
    </row>
    <row r="326">
      <c r="A326" s="13"/>
      <c r="B326" s="13"/>
      <c r="C326" s="13"/>
      <c r="D326" s="13"/>
      <c r="E326" s="13"/>
      <c r="F326" s="13"/>
      <c r="G326" s="13"/>
      <c r="H326" s="13"/>
      <c r="I326" s="13"/>
      <c r="J326" s="13"/>
      <c r="K326" s="13"/>
      <c r="L326" s="13"/>
    </row>
    <row r="327">
      <c r="A327" s="13"/>
      <c r="B327" s="13"/>
      <c r="C327" s="13"/>
      <c r="D327" s="13"/>
      <c r="E327" s="13"/>
      <c r="F327" s="13"/>
      <c r="G327" s="13"/>
      <c r="H327" s="13"/>
      <c r="I327" s="13"/>
      <c r="J327" s="13"/>
      <c r="K327" s="13"/>
      <c r="L327" s="13"/>
    </row>
    <row r="328">
      <c r="A328" s="13"/>
      <c r="B328" s="13"/>
      <c r="C328" s="13"/>
      <c r="D328" s="13"/>
      <c r="E328" s="13"/>
      <c r="F328" s="13"/>
      <c r="G328" s="13"/>
      <c r="H328" s="13"/>
      <c r="I328" s="13"/>
      <c r="J328" s="13"/>
      <c r="K328" s="13"/>
      <c r="L328" s="13"/>
    </row>
    <row r="329">
      <c r="A329" s="13"/>
      <c r="B329" s="13"/>
      <c r="C329" s="13"/>
      <c r="D329" s="13"/>
      <c r="E329" s="13"/>
      <c r="F329" s="13"/>
      <c r="G329" s="13"/>
      <c r="H329" s="13"/>
      <c r="I329" s="13"/>
      <c r="J329" s="13"/>
      <c r="K329" s="13"/>
      <c r="L329" s="13"/>
    </row>
    <row r="330">
      <c r="A330" s="13"/>
      <c r="B330" s="13"/>
      <c r="C330" s="13"/>
      <c r="D330" s="13"/>
      <c r="E330" s="13"/>
      <c r="F330" s="13"/>
      <c r="G330" s="13"/>
      <c r="H330" s="13"/>
      <c r="I330" s="13"/>
      <c r="J330" s="13"/>
      <c r="K330" s="13"/>
      <c r="L330" s="13"/>
    </row>
    <row r="331">
      <c r="A331" s="13"/>
      <c r="B331" s="13"/>
      <c r="C331" s="13"/>
      <c r="D331" s="13"/>
      <c r="E331" s="13"/>
      <c r="F331" s="13"/>
      <c r="G331" s="13"/>
      <c r="H331" s="13"/>
      <c r="I331" s="13"/>
      <c r="J331" s="13"/>
      <c r="K331" s="13"/>
      <c r="L331" s="13"/>
    </row>
    <row r="332">
      <c r="A332" s="13"/>
      <c r="B332" s="13"/>
      <c r="C332" s="13"/>
      <c r="D332" s="13"/>
      <c r="E332" s="13"/>
      <c r="F332" s="13"/>
      <c r="G332" s="13"/>
      <c r="H332" s="13"/>
      <c r="I332" s="13"/>
      <c r="J332" s="13"/>
      <c r="K332" s="13"/>
      <c r="L332" s="13"/>
    </row>
    <row r="333">
      <c r="A333" s="13"/>
      <c r="B333" s="13"/>
      <c r="C333" s="13"/>
      <c r="D333" s="13"/>
      <c r="E333" s="13"/>
      <c r="F333" s="13"/>
      <c r="G333" s="13"/>
      <c r="H333" s="13"/>
      <c r="I333" s="13"/>
      <c r="J333" s="13"/>
      <c r="K333" s="13"/>
      <c r="L333" s="13"/>
    </row>
    <row r="334">
      <c r="A334" s="13"/>
      <c r="B334" s="13"/>
      <c r="C334" s="13"/>
      <c r="D334" s="13"/>
      <c r="E334" s="13"/>
      <c r="F334" s="13"/>
      <c r="G334" s="13"/>
      <c r="H334" s="13"/>
      <c r="I334" s="13"/>
      <c r="J334" s="13"/>
      <c r="K334" s="13"/>
      <c r="L334" s="13"/>
    </row>
    <row r="335">
      <c r="A335" s="13"/>
      <c r="B335" s="13"/>
      <c r="C335" s="13"/>
      <c r="D335" s="13"/>
      <c r="E335" s="13"/>
      <c r="F335" s="13"/>
      <c r="G335" s="13"/>
      <c r="H335" s="13"/>
      <c r="I335" s="13"/>
      <c r="J335" s="13"/>
      <c r="K335" s="13"/>
      <c r="L335" s="13"/>
    </row>
    <row r="336">
      <c r="A336" s="13"/>
      <c r="B336" s="13"/>
      <c r="C336" s="13"/>
      <c r="D336" s="13"/>
      <c r="E336" s="13"/>
      <c r="F336" s="13"/>
      <c r="G336" s="13"/>
      <c r="H336" s="13"/>
      <c r="I336" s="13"/>
      <c r="J336" s="13"/>
      <c r="K336" s="13"/>
      <c r="L336" s="13"/>
    </row>
    <row r="337">
      <c r="A337" s="13"/>
      <c r="B337" s="13"/>
      <c r="C337" s="13"/>
      <c r="D337" s="13"/>
      <c r="E337" s="13"/>
      <c r="F337" s="13"/>
      <c r="G337" s="13"/>
      <c r="H337" s="13"/>
      <c r="I337" s="13"/>
      <c r="J337" s="13"/>
      <c r="K337" s="13"/>
      <c r="L337" s="13"/>
    </row>
    <row r="338">
      <c r="A338" s="13"/>
      <c r="B338" s="13"/>
      <c r="C338" s="13"/>
      <c r="D338" s="13"/>
      <c r="E338" s="13"/>
      <c r="F338" s="13"/>
      <c r="G338" s="13"/>
      <c r="H338" s="13"/>
      <c r="I338" s="13"/>
      <c r="J338" s="13"/>
      <c r="K338" s="13"/>
      <c r="L338" s="13"/>
    </row>
    <row r="339">
      <c r="A339" s="13"/>
      <c r="B339" s="13"/>
      <c r="C339" s="13"/>
      <c r="D339" s="13"/>
      <c r="E339" s="13"/>
      <c r="F339" s="13"/>
      <c r="G339" s="13"/>
      <c r="H339" s="13"/>
      <c r="I339" s="13"/>
      <c r="J339" s="13"/>
      <c r="K339" s="13"/>
      <c r="L339" s="13"/>
    </row>
    <row r="340">
      <c r="A340" s="13"/>
      <c r="B340" s="13"/>
      <c r="C340" s="13"/>
      <c r="D340" s="13"/>
      <c r="E340" s="13"/>
      <c r="F340" s="13"/>
      <c r="G340" s="13"/>
      <c r="H340" s="13"/>
      <c r="I340" s="13"/>
      <c r="J340" s="13"/>
      <c r="K340" s="13"/>
      <c r="L340" s="13"/>
    </row>
    <row r="341">
      <c r="A341" s="13"/>
      <c r="B341" s="13"/>
      <c r="C341" s="13"/>
      <c r="D341" s="13"/>
      <c r="E341" s="13"/>
      <c r="F341" s="13"/>
      <c r="G341" s="13"/>
      <c r="H341" s="13"/>
      <c r="I341" s="13"/>
      <c r="J341" s="13"/>
      <c r="K341" s="13"/>
      <c r="L341" s="13"/>
    </row>
    <row r="342">
      <c r="A342" s="13"/>
      <c r="B342" s="13"/>
      <c r="C342" s="13"/>
      <c r="D342" s="13"/>
      <c r="E342" s="13"/>
      <c r="F342" s="13"/>
      <c r="G342" s="13"/>
      <c r="H342" s="13"/>
      <c r="I342" s="13"/>
      <c r="J342" s="13"/>
      <c r="K342" s="13"/>
      <c r="L342" s="13"/>
    </row>
    <row r="343">
      <c r="A343" s="13"/>
      <c r="B343" s="13"/>
      <c r="C343" s="13"/>
      <c r="D343" s="13"/>
      <c r="E343" s="13"/>
      <c r="F343" s="13"/>
      <c r="G343" s="13"/>
      <c r="H343" s="13"/>
      <c r="I343" s="13"/>
      <c r="J343" s="13"/>
      <c r="K343" s="13"/>
      <c r="L343" s="13"/>
    </row>
    <row r="344">
      <c r="A344" s="13"/>
      <c r="B344" s="13"/>
      <c r="C344" s="13"/>
      <c r="D344" s="13"/>
      <c r="E344" s="13"/>
      <c r="F344" s="13"/>
      <c r="G344" s="13"/>
      <c r="H344" s="13"/>
      <c r="I344" s="13"/>
      <c r="J344" s="13"/>
      <c r="K344" s="13"/>
      <c r="L344" s="13"/>
    </row>
    <row r="345">
      <c r="A345" s="13"/>
      <c r="B345" s="13"/>
      <c r="C345" s="13"/>
      <c r="D345" s="13"/>
      <c r="E345" s="13"/>
      <c r="F345" s="13"/>
      <c r="G345" s="13"/>
      <c r="H345" s="13"/>
      <c r="I345" s="13"/>
      <c r="J345" s="13"/>
      <c r="K345" s="13"/>
      <c r="L345" s="13"/>
    </row>
    <row r="346">
      <c r="A346" s="13"/>
      <c r="B346" s="13"/>
      <c r="C346" s="13"/>
      <c r="D346" s="13"/>
      <c r="E346" s="13"/>
      <c r="F346" s="13"/>
      <c r="G346" s="13"/>
      <c r="H346" s="13"/>
      <c r="I346" s="13"/>
      <c r="J346" s="13"/>
      <c r="K346" s="13"/>
      <c r="L346" s="13"/>
    </row>
    <row r="347">
      <c r="A347" s="13"/>
      <c r="B347" s="13"/>
      <c r="C347" s="13"/>
      <c r="D347" s="13"/>
      <c r="E347" s="13"/>
      <c r="F347" s="13"/>
      <c r="G347" s="13"/>
      <c r="H347" s="13"/>
      <c r="I347" s="13"/>
      <c r="J347" s="13"/>
      <c r="K347" s="13"/>
      <c r="L347" s="13"/>
    </row>
    <row r="348">
      <c r="A348" s="13"/>
      <c r="B348" s="13"/>
      <c r="C348" s="13"/>
      <c r="D348" s="13"/>
      <c r="E348" s="13"/>
      <c r="F348" s="13"/>
      <c r="G348" s="13"/>
      <c r="H348" s="13"/>
      <c r="I348" s="13"/>
      <c r="J348" s="13"/>
      <c r="K348" s="13"/>
      <c r="L348" s="13"/>
    </row>
    <row r="349">
      <c r="A349" s="13"/>
      <c r="B349" s="13"/>
      <c r="C349" s="13"/>
      <c r="D349" s="13"/>
      <c r="E349" s="13"/>
      <c r="F349" s="13"/>
      <c r="G349" s="13"/>
      <c r="H349" s="13"/>
      <c r="I349" s="13"/>
      <c r="J349" s="13"/>
      <c r="K349" s="13"/>
      <c r="L349" s="13"/>
    </row>
    <row r="350">
      <c r="A350" s="13"/>
      <c r="B350" s="13"/>
      <c r="C350" s="13"/>
      <c r="D350" s="13"/>
      <c r="E350" s="13"/>
      <c r="F350" s="13"/>
      <c r="G350" s="13"/>
      <c r="H350" s="13"/>
      <c r="I350" s="13"/>
      <c r="J350" s="13"/>
      <c r="K350" s="13"/>
      <c r="L350" s="13"/>
    </row>
    <row r="351">
      <c r="A351" s="13"/>
      <c r="B351" s="13"/>
      <c r="C351" s="13"/>
      <c r="D351" s="13"/>
      <c r="E351" s="13"/>
      <c r="F351" s="13"/>
      <c r="G351" s="13"/>
      <c r="H351" s="13"/>
      <c r="I351" s="13"/>
      <c r="J351" s="13"/>
      <c r="K351" s="13"/>
      <c r="L351" s="13"/>
    </row>
    <row r="352">
      <c r="A352" s="13"/>
      <c r="B352" s="13"/>
      <c r="C352" s="13"/>
      <c r="D352" s="13"/>
      <c r="E352" s="13"/>
      <c r="F352" s="13"/>
      <c r="G352" s="13"/>
      <c r="H352" s="13"/>
      <c r="I352" s="13"/>
      <c r="J352" s="13"/>
      <c r="K352" s="13"/>
      <c r="L352" s="13"/>
    </row>
    <row r="353">
      <c r="A353" s="13"/>
      <c r="B353" s="13"/>
      <c r="C353" s="13"/>
      <c r="D353" s="13"/>
      <c r="E353" s="13"/>
      <c r="F353" s="13"/>
      <c r="G353" s="13"/>
      <c r="H353" s="13"/>
      <c r="I353" s="13"/>
      <c r="J353" s="13"/>
      <c r="K353" s="13"/>
      <c r="L353" s="13"/>
    </row>
    <row r="354">
      <c r="A354" s="13"/>
      <c r="B354" s="13"/>
      <c r="C354" s="13"/>
      <c r="D354" s="13"/>
      <c r="E354" s="13"/>
      <c r="F354" s="13"/>
      <c r="G354" s="13"/>
      <c r="H354" s="13"/>
      <c r="I354" s="13"/>
      <c r="J354" s="13"/>
      <c r="K354" s="13"/>
      <c r="L354" s="13"/>
    </row>
    <row r="355">
      <c r="A355" s="13"/>
      <c r="B355" s="13"/>
      <c r="C355" s="13"/>
      <c r="D355" s="13"/>
      <c r="E355" s="13"/>
      <c r="F355" s="13"/>
      <c r="G355" s="13"/>
      <c r="H355" s="13"/>
      <c r="I355" s="13"/>
      <c r="J355" s="13"/>
      <c r="K355" s="13"/>
      <c r="L355" s="13"/>
    </row>
    <row r="356">
      <c r="A356" s="13"/>
      <c r="B356" s="13"/>
      <c r="C356" s="13"/>
      <c r="D356" s="13"/>
      <c r="E356" s="13"/>
      <c r="F356" s="13"/>
      <c r="G356" s="13"/>
      <c r="H356" s="13"/>
      <c r="I356" s="13"/>
      <c r="J356" s="13"/>
      <c r="K356" s="13"/>
      <c r="L356" s="13"/>
    </row>
    <row r="357">
      <c r="A357" s="13"/>
      <c r="B357" s="13"/>
      <c r="C357" s="13"/>
      <c r="D357" s="13"/>
      <c r="E357" s="13"/>
      <c r="F357" s="13"/>
      <c r="G357" s="13"/>
      <c r="H357" s="13"/>
      <c r="I357" s="13"/>
      <c r="J357" s="13"/>
      <c r="K357" s="13"/>
      <c r="L357" s="13"/>
    </row>
    <row r="358">
      <c r="A358" s="13"/>
      <c r="B358" s="13"/>
      <c r="C358" s="13"/>
      <c r="D358" s="13"/>
      <c r="E358" s="13"/>
      <c r="F358" s="13"/>
      <c r="G358" s="13"/>
      <c r="H358" s="13"/>
      <c r="I358" s="13"/>
      <c r="J358" s="13"/>
      <c r="K358" s="13"/>
      <c r="L358" s="13"/>
    </row>
    <row r="359">
      <c r="A359" s="13"/>
      <c r="B359" s="13"/>
      <c r="C359" s="13"/>
      <c r="D359" s="13"/>
      <c r="E359" s="13"/>
      <c r="F359" s="13"/>
      <c r="G359" s="13"/>
      <c r="H359" s="13"/>
      <c r="I359" s="13"/>
      <c r="J359" s="13"/>
      <c r="K359" s="13"/>
      <c r="L359" s="13"/>
    </row>
    <row r="360">
      <c r="A360" s="13"/>
      <c r="B360" s="13"/>
      <c r="C360" s="13"/>
      <c r="D360" s="13"/>
      <c r="E360" s="13"/>
      <c r="F360" s="13"/>
      <c r="G360" s="13"/>
      <c r="H360" s="13"/>
      <c r="I360" s="13"/>
      <c r="J360" s="13"/>
      <c r="K360" s="13"/>
      <c r="L360" s="13"/>
    </row>
    <row r="361">
      <c r="A361" s="13"/>
      <c r="B361" s="13"/>
      <c r="C361" s="13"/>
      <c r="D361" s="13"/>
      <c r="E361" s="13"/>
      <c r="F361" s="13"/>
      <c r="G361" s="13"/>
      <c r="H361" s="13"/>
      <c r="I361" s="13"/>
      <c r="J361" s="13"/>
      <c r="K361" s="13"/>
      <c r="L361" s="13"/>
    </row>
    <row r="362">
      <c r="A362" s="13"/>
      <c r="B362" s="13"/>
      <c r="C362" s="13"/>
      <c r="D362" s="13"/>
      <c r="E362" s="13"/>
      <c r="F362" s="13"/>
      <c r="G362" s="13"/>
      <c r="H362" s="13"/>
      <c r="I362" s="13"/>
      <c r="J362" s="13"/>
      <c r="K362" s="13"/>
      <c r="L362" s="13"/>
    </row>
    <row r="363">
      <c r="A363" s="13"/>
      <c r="B363" s="13"/>
      <c r="C363" s="13"/>
      <c r="D363" s="13"/>
      <c r="E363" s="13"/>
      <c r="F363" s="13"/>
      <c r="G363" s="13"/>
      <c r="H363" s="13"/>
      <c r="I363" s="13"/>
      <c r="J363" s="13"/>
      <c r="K363" s="13"/>
      <c r="L363" s="13"/>
    </row>
    <row r="364">
      <c r="A364" s="13"/>
      <c r="B364" s="13"/>
      <c r="C364" s="13"/>
      <c r="D364" s="13"/>
      <c r="E364" s="13"/>
      <c r="F364" s="13"/>
      <c r="G364" s="13"/>
      <c r="H364" s="13"/>
      <c r="I364" s="13"/>
      <c r="J364" s="13"/>
      <c r="K364" s="13"/>
      <c r="L364" s="13"/>
    </row>
    <row r="365">
      <c r="A365" s="13"/>
      <c r="B365" s="13"/>
      <c r="C365" s="13"/>
      <c r="D365" s="13"/>
      <c r="E365" s="13"/>
      <c r="F365" s="13"/>
      <c r="G365" s="13"/>
      <c r="H365" s="13"/>
      <c r="I365" s="13"/>
      <c r="J365" s="13"/>
      <c r="K365" s="13"/>
      <c r="L365" s="13"/>
    </row>
    <row r="366">
      <c r="A366" s="13"/>
      <c r="B366" s="13"/>
      <c r="C366" s="13"/>
      <c r="D366" s="13"/>
      <c r="E366" s="13"/>
      <c r="F366" s="13"/>
      <c r="G366" s="13"/>
      <c r="H366" s="13"/>
      <c r="I366" s="13"/>
      <c r="J366" s="13"/>
      <c r="K366" s="13"/>
      <c r="L366" s="13"/>
    </row>
    <row r="367">
      <c r="A367" s="13"/>
      <c r="B367" s="13"/>
      <c r="C367" s="13"/>
      <c r="D367" s="13"/>
      <c r="E367" s="13"/>
      <c r="F367" s="13"/>
      <c r="G367" s="13"/>
      <c r="H367" s="13"/>
      <c r="I367" s="13"/>
      <c r="J367" s="13"/>
      <c r="K367" s="13"/>
      <c r="L367" s="13"/>
    </row>
    <row r="368">
      <c r="A368" s="13"/>
      <c r="B368" s="13"/>
      <c r="C368" s="13"/>
      <c r="D368" s="13"/>
      <c r="E368" s="13"/>
      <c r="F368" s="13"/>
      <c r="G368" s="13"/>
      <c r="H368" s="13"/>
      <c r="I368" s="13"/>
      <c r="J368" s="13"/>
      <c r="K368" s="13"/>
      <c r="L368" s="13"/>
    </row>
    <row r="369">
      <c r="A369" s="13"/>
      <c r="B369" s="13"/>
      <c r="C369" s="13"/>
      <c r="D369" s="13"/>
      <c r="E369" s="13"/>
      <c r="F369" s="13"/>
      <c r="G369" s="13"/>
      <c r="H369" s="13"/>
      <c r="I369" s="13"/>
      <c r="J369" s="13"/>
      <c r="K369" s="13"/>
      <c r="L369" s="13"/>
    </row>
    <row r="370">
      <c r="A370" s="13"/>
      <c r="B370" s="13"/>
      <c r="C370" s="13"/>
      <c r="D370" s="13"/>
      <c r="E370" s="13"/>
      <c r="F370" s="13"/>
      <c r="G370" s="13"/>
      <c r="H370" s="13"/>
      <c r="I370" s="13"/>
      <c r="J370" s="13"/>
      <c r="K370" s="13"/>
      <c r="L370" s="13"/>
    </row>
    <row r="371">
      <c r="A371" s="13"/>
      <c r="B371" s="13"/>
      <c r="C371" s="13"/>
      <c r="D371" s="13"/>
      <c r="E371" s="13"/>
      <c r="F371" s="13"/>
      <c r="G371" s="13"/>
      <c r="H371" s="13"/>
      <c r="I371" s="13"/>
      <c r="J371" s="13"/>
      <c r="K371" s="13"/>
      <c r="L371" s="13"/>
    </row>
    <row r="372">
      <c r="A372" s="13"/>
      <c r="B372" s="13"/>
      <c r="C372" s="13"/>
      <c r="D372" s="13"/>
      <c r="E372" s="13"/>
      <c r="F372" s="13"/>
      <c r="G372" s="13"/>
      <c r="H372" s="13"/>
      <c r="I372" s="13"/>
      <c r="J372" s="13"/>
      <c r="K372" s="13"/>
      <c r="L372" s="13"/>
    </row>
    <row r="373">
      <c r="A373" s="13"/>
      <c r="B373" s="13"/>
      <c r="C373" s="13"/>
      <c r="D373" s="13"/>
      <c r="E373" s="13"/>
      <c r="F373" s="13"/>
      <c r="G373" s="13"/>
      <c r="H373" s="13"/>
      <c r="I373" s="13"/>
      <c r="J373" s="13"/>
      <c r="K373" s="13"/>
      <c r="L373" s="13"/>
    </row>
    <row r="374">
      <c r="A374" s="13"/>
      <c r="B374" s="13"/>
      <c r="C374" s="13"/>
      <c r="D374" s="13"/>
      <c r="E374" s="13"/>
      <c r="F374" s="13"/>
      <c r="G374" s="13"/>
      <c r="H374" s="13"/>
      <c r="I374" s="13"/>
      <c r="J374" s="13"/>
      <c r="K374" s="13"/>
      <c r="L374" s="13"/>
    </row>
    <row r="375">
      <c r="A375" s="13"/>
      <c r="B375" s="13"/>
      <c r="C375" s="13"/>
      <c r="D375" s="13"/>
      <c r="E375" s="13"/>
      <c r="F375" s="13"/>
      <c r="G375" s="13"/>
      <c r="H375" s="13"/>
      <c r="I375" s="13"/>
      <c r="J375" s="13"/>
      <c r="K375" s="13"/>
      <c r="L375" s="13"/>
    </row>
    <row r="376">
      <c r="A376" s="13"/>
      <c r="B376" s="13"/>
      <c r="C376" s="13"/>
      <c r="D376" s="13"/>
      <c r="E376" s="13"/>
      <c r="F376" s="13"/>
      <c r="G376" s="13"/>
      <c r="H376" s="13"/>
      <c r="I376" s="13"/>
      <c r="J376" s="13"/>
      <c r="K376" s="13"/>
      <c r="L376" s="13"/>
    </row>
    <row r="377">
      <c r="A377" s="13"/>
      <c r="B377" s="13"/>
      <c r="C377" s="13"/>
      <c r="D377" s="13"/>
      <c r="E377" s="13"/>
      <c r="F377" s="13"/>
      <c r="G377" s="13"/>
      <c r="H377" s="13"/>
      <c r="I377" s="13"/>
      <c r="J377" s="13"/>
      <c r="K377" s="13"/>
      <c r="L377" s="13"/>
    </row>
    <row r="378">
      <c r="A378" s="13"/>
      <c r="B378" s="13"/>
      <c r="C378" s="13"/>
      <c r="D378" s="13"/>
      <c r="E378" s="13"/>
      <c r="F378" s="13"/>
      <c r="G378" s="13"/>
      <c r="H378" s="13"/>
      <c r="I378" s="13"/>
      <c r="J378" s="13"/>
      <c r="K378" s="13"/>
      <c r="L378" s="13"/>
    </row>
    <row r="379">
      <c r="A379" s="13"/>
      <c r="B379" s="13"/>
      <c r="C379" s="13"/>
      <c r="D379" s="13"/>
      <c r="E379" s="13"/>
      <c r="F379" s="13"/>
      <c r="G379" s="13"/>
      <c r="H379" s="13"/>
      <c r="I379" s="13"/>
      <c r="J379" s="13"/>
      <c r="K379" s="13"/>
      <c r="L379" s="13"/>
    </row>
    <row r="380">
      <c r="A380" s="13"/>
      <c r="B380" s="13"/>
      <c r="C380" s="13"/>
      <c r="D380" s="13"/>
      <c r="E380" s="13"/>
      <c r="F380" s="13"/>
      <c r="G380" s="13"/>
      <c r="H380" s="13"/>
      <c r="I380" s="13"/>
      <c r="J380" s="13"/>
      <c r="K380" s="13"/>
      <c r="L380" s="13"/>
    </row>
    <row r="381">
      <c r="A381" s="13"/>
      <c r="B381" s="13"/>
      <c r="C381" s="13"/>
      <c r="D381" s="13"/>
      <c r="E381" s="13"/>
      <c r="F381" s="13"/>
      <c r="G381" s="13"/>
      <c r="H381" s="13"/>
      <c r="I381" s="13"/>
      <c r="J381" s="13"/>
      <c r="K381" s="13"/>
      <c r="L381" s="13"/>
    </row>
    <row r="382">
      <c r="A382" s="13"/>
      <c r="B382" s="13"/>
      <c r="C382" s="13"/>
      <c r="D382" s="13"/>
      <c r="E382" s="13"/>
      <c r="F382" s="13"/>
      <c r="G382" s="13"/>
      <c r="H382" s="13"/>
      <c r="I382" s="13"/>
      <c r="J382" s="13"/>
      <c r="K382" s="13"/>
      <c r="L382" s="13"/>
    </row>
    <row r="383">
      <c r="A383" s="13"/>
      <c r="B383" s="13"/>
      <c r="C383" s="13"/>
      <c r="D383" s="13"/>
      <c r="E383" s="13"/>
      <c r="F383" s="13"/>
      <c r="G383" s="13"/>
      <c r="H383" s="13"/>
      <c r="I383" s="13"/>
      <c r="J383" s="13"/>
      <c r="K383" s="13"/>
      <c r="L383" s="13"/>
    </row>
    <row r="384">
      <c r="A384" s="13"/>
      <c r="B384" s="13"/>
      <c r="C384" s="13"/>
      <c r="D384" s="13"/>
      <c r="E384" s="13"/>
      <c r="F384" s="13"/>
      <c r="G384" s="13"/>
      <c r="H384" s="13"/>
      <c r="I384" s="13"/>
      <c r="J384" s="13"/>
      <c r="K384" s="13"/>
      <c r="L384" s="13"/>
    </row>
    <row r="385">
      <c r="A385" s="13"/>
      <c r="B385" s="13"/>
      <c r="C385" s="13"/>
      <c r="D385" s="13"/>
      <c r="E385" s="13"/>
      <c r="F385" s="13"/>
      <c r="G385" s="13"/>
      <c r="H385" s="13"/>
      <c r="I385" s="13"/>
      <c r="J385" s="13"/>
      <c r="K385" s="13"/>
      <c r="L385" s="13"/>
    </row>
    <row r="386">
      <c r="A386" s="13"/>
      <c r="B386" s="13"/>
      <c r="C386" s="13"/>
      <c r="D386" s="13"/>
      <c r="E386" s="13"/>
      <c r="F386" s="13"/>
      <c r="G386" s="13"/>
      <c r="H386" s="13"/>
      <c r="I386" s="13"/>
      <c r="J386" s="13"/>
      <c r="K386" s="13"/>
      <c r="L386" s="13"/>
    </row>
    <row r="387">
      <c r="A387" s="13"/>
      <c r="B387" s="13"/>
      <c r="C387" s="13"/>
      <c r="D387" s="13"/>
      <c r="E387" s="13"/>
      <c r="F387" s="13"/>
      <c r="G387" s="13"/>
      <c r="H387" s="13"/>
      <c r="I387" s="13"/>
      <c r="J387" s="13"/>
      <c r="K387" s="13"/>
      <c r="L387" s="13"/>
    </row>
    <row r="388">
      <c r="A388" s="13"/>
      <c r="B388" s="13"/>
      <c r="C388" s="13"/>
      <c r="D388" s="13"/>
      <c r="E388" s="13"/>
      <c r="F388" s="13"/>
      <c r="G388" s="13"/>
      <c r="H388" s="13"/>
      <c r="I388" s="13"/>
      <c r="J388" s="13"/>
      <c r="K388" s="13"/>
      <c r="L388" s="13"/>
    </row>
    <row r="389">
      <c r="A389" s="13"/>
      <c r="B389" s="13"/>
      <c r="C389" s="13"/>
      <c r="D389" s="13"/>
      <c r="E389" s="13"/>
      <c r="F389" s="13"/>
      <c r="G389" s="13"/>
      <c r="H389" s="13"/>
      <c r="I389" s="13"/>
      <c r="J389" s="13"/>
      <c r="K389" s="13"/>
      <c r="L389" s="13"/>
    </row>
    <row r="390">
      <c r="A390" s="13"/>
      <c r="B390" s="13"/>
      <c r="C390" s="13"/>
      <c r="D390" s="13"/>
      <c r="E390" s="13"/>
      <c r="F390" s="13"/>
      <c r="G390" s="13"/>
      <c r="H390" s="13"/>
      <c r="I390" s="13"/>
      <c r="J390" s="13"/>
      <c r="K390" s="13"/>
      <c r="L390" s="13"/>
    </row>
    <row r="391">
      <c r="A391" s="13"/>
      <c r="B391" s="13"/>
      <c r="C391" s="13"/>
      <c r="D391" s="13"/>
      <c r="E391" s="13"/>
      <c r="F391" s="13"/>
      <c r="G391" s="13"/>
      <c r="H391" s="13"/>
      <c r="I391" s="13"/>
      <c r="J391" s="13"/>
      <c r="K391" s="13"/>
      <c r="L391" s="13"/>
    </row>
    <row r="392">
      <c r="A392" s="13"/>
      <c r="B392" s="13"/>
      <c r="C392" s="13"/>
      <c r="D392" s="13"/>
      <c r="E392" s="13"/>
      <c r="F392" s="13"/>
      <c r="G392" s="13"/>
      <c r="H392" s="13"/>
      <c r="I392" s="13"/>
      <c r="J392" s="13"/>
      <c r="K392" s="13"/>
      <c r="L392" s="13"/>
    </row>
    <row r="393">
      <c r="A393" s="13"/>
      <c r="B393" s="13"/>
      <c r="C393" s="13"/>
      <c r="D393" s="13"/>
      <c r="E393" s="13"/>
      <c r="F393" s="13"/>
      <c r="G393" s="13"/>
      <c r="H393" s="13"/>
      <c r="I393" s="13"/>
      <c r="J393" s="13"/>
      <c r="K393" s="13"/>
      <c r="L393" s="13"/>
    </row>
    <row r="394">
      <c r="A394" s="13"/>
      <c r="B394" s="13"/>
      <c r="C394" s="13"/>
      <c r="D394" s="13"/>
      <c r="E394" s="13"/>
      <c r="F394" s="13"/>
      <c r="G394" s="13"/>
      <c r="H394" s="13"/>
      <c r="I394" s="13"/>
      <c r="J394" s="13"/>
      <c r="K394" s="13"/>
      <c r="L394" s="13"/>
    </row>
    <row r="395">
      <c r="A395" s="13"/>
      <c r="B395" s="13"/>
      <c r="C395" s="13"/>
      <c r="D395" s="13"/>
      <c r="E395" s="13"/>
      <c r="F395" s="13"/>
      <c r="G395" s="13"/>
      <c r="H395" s="13"/>
      <c r="I395" s="13"/>
      <c r="J395" s="13"/>
      <c r="K395" s="13"/>
      <c r="L395" s="13"/>
    </row>
    <row r="396">
      <c r="A396" s="13"/>
      <c r="B396" s="13"/>
      <c r="C396" s="13"/>
      <c r="D396" s="13"/>
      <c r="E396" s="13"/>
      <c r="F396" s="13"/>
      <c r="G396" s="13"/>
      <c r="H396" s="13"/>
      <c r="I396" s="13"/>
      <c r="J396" s="13"/>
      <c r="K396" s="13"/>
      <c r="L396" s="13"/>
    </row>
    <row r="397">
      <c r="A397" s="13"/>
      <c r="B397" s="13"/>
      <c r="C397" s="13"/>
      <c r="D397" s="13"/>
      <c r="E397" s="13"/>
      <c r="F397" s="13"/>
      <c r="G397" s="13"/>
      <c r="H397" s="13"/>
      <c r="I397" s="13"/>
      <c r="J397" s="13"/>
      <c r="K397" s="13"/>
      <c r="L397" s="13"/>
    </row>
    <row r="398">
      <c r="A398" s="13"/>
      <c r="B398" s="13"/>
      <c r="C398" s="13"/>
      <c r="D398" s="13"/>
      <c r="E398" s="13"/>
      <c r="F398" s="13"/>
      <c r="G398" s="13"/>
      <c r="H398" s="13"/>
      <c r="I398" s="13"/>
      <c r="J398" s="13"/>
      <c r="K398" s="13"/>
      <c r="L398" s="13"/>
    </row>
    <row r="399">
      <c r="A399" s="13"/>
      <c r="B399" s="13"/>
      <c r="C399" s="13"/>
      <c r="D399" s="13"/>
      <c r="E399" s="13"/>
      <c r="F399" s="13"/>
      <c r="G399" s="13"/>
      <c r="H399" s="13"/>
      <c r="I399" s="13"/>
      <c r="J399" s="13"/>
      <c r="K399" s="13"/>
      <c r="L399" s="13"/>
    </row>
    <row r="400">
      <c r="A400" s="13"/>
      <c r="B400" s="13"/>
      <c r="C400" s="13"/>
      <c r="D400" s="13"/>
      <c r="E400" s="13"/>
      <c r="F400" s="13"/>
      <c r="G400" s="13"/>
      <c r="H400" s="13"/>
      <c r="I400" s="13"/>
      <c r="J400" s="13"/>
      <c r="K400" s="13"/>
      <c r="L400" s="13"/>
    </row>
    <row r="401">
      <c r="A401" s="13"/>
      <c r="B401" s="13"/>
      <c r="C401" s="13"/>
      <c r="D401" s="13"/>
      <c r="E401" s="13"/>
      <c r="F401" s="13"/>
      <c r="G401" s="13"/>
      <c r="H401" s="13"/>
      <c r="I401" s="13"/>
      <c r="J401" s="13"/>
      <c r="K401" s="13"/>
      <c r="L401" s="13"/>
    </row>
    <row r="402">
      <c r="A402" s="13"/>
      <c r="B402" s="13"/>
      <c r="C402" s="13"/>
      <c r="D402" s="13"/>
      <c r="E402" s="13"/>
      <c r="F402" s="13"/>
      <c r="G402" s="13"/>
      <c r="H402" s="13"/>
      <c r="I402" s="13"/>
      <c r="J402" s="13"/>
      <c r="K402" s="13"/>
      <c r="L402" s="13"/>
    </row>
    <row r="403">
      <c r="A403" s="13"/>
      <c r="B403" s="13"/>
      <c r="C403" s="13"/>
      <c r="D403" s="13"/>
      <c r="E403" s="13"/>
      <c r="F403" s="13"/>
      <c r="G403" s="13"/>
      <c r="H403" s="13"/>
      <c r="I403" s="13"/>
      <c r="J403" s="13"/>
      <c r="K403" s="13"/>
      <c r="L403" s="13"/>
    </row>
    <row r="404">
      <c r="A404" s="13"/>
      <c r="B404" s="13"/>
      <c r="C404" s="13"/>
      <c r="D404" s="13"/>
      <c r="E404" s="13"/>
      <c r="F404" s="13"/>
      <c r="G404" s="13"/>
      <c r="H404" s="13"/>
      <c r="I404" s="13"/>
      <c r="J404" s="13"/>
      <c r="K404" s="13"/>
      <c r="L404" s="13"/>
    </row>
    <row r="405">
      <c r="A405" s="13"/>
      <c r="B405" s="13"/>
      <c r="C405" s="13"/>
      <c r="D405" s="13"/>
      <c r="E405" s="13"/>
      <c r="F405" s="13"/>
      <c r="G405" s="13"/>
      <c r="H405" s="13"/>
      <c r="I405" s="13"/>
      <c r="J405" s="13"/>
      <c r="K405" s="13"/>
      <c r="L405" s="13"/>
    </row>
    <row r="406">
      <c r="A406" s="13"/>
      <c r="B406" s="13"/>
      <c r="C406" s="13"/>
      <c r="D406" s="13"/>
      <c r="E406" s="13"/>
      <c r="F406" s="13"/>
      <c r="G406" s="13"/>
      <c r="H406" s="13"/>
      <c r="I406" s="13"/>
      <c r="J406" s="13"/>
      <c r="K406" s="13"/>
      <c r="L406" s="13"/>
    </row>
    <row r="407">
      <c r="A407" s="13"/>
      <c r="B407" s="13"/>
      <c r="C407" s="13"/>
      <c r="D407" s="13"/>
      <c r="E407" s="13"/>
      <c r="F407" s="13"/>
      <c r="G407" s="13"/>
      <c r="H407" s="13"/>
      <c r="I407" s="13"/>
      <c r="J407" s="13"/>
      <c r="K407" s="13"/>
      <c r="L407" s="13"/>
    </row>
    <row r="408">
      <c r="A408" s="13"/>
      <c r="B408" s="13"/>
      <c r="C408" s="13"/>
      <c r="D408" s="13"/>
      <c r="E408" s="13"/>
      <c r="F408" s="13"/>
      <c r="G408" s="13"/>
      <c r="H408" s="13"/>
      <c r="I408" s="13"/>
      <c r="J408" s="13"/>
      <c r="K408" s="13"/>
      <c r="L408" s="13"/>
    </row>
    <row r="409">
      <c r="A409" s="13"/>
      <c r="B409" s="13"/>
      <c r="C409" s="13"/>
      <c r="D409" s="13"/>
      <c r="E409" s="13"/>
      <c r="F409" s="13"/>
      <c r="G409" s="13"/>
      <c r="H409" s="13"/>
      <c r="I409" s="13"/>
      <c r="J409" s="13"/>
      <c r="K409" s="13"/>
      <c r="L409" s="13"/>
    </row>
    <row r="410">
      <c r="A410" s="13"/>
      <c r="B410" s="13"/>
      <c r="C410" s="13"/>
      <c r="D410" s="13"/>
      <c r="E410" s="13"/>
      <c r="F410" s="13"/>
      <c r="G410" s="13"/>
      <c r="H410" s="13"/>
      <c r="I410" s="13"/>
      <c r="J410" s="13"/>
      <c r="K410" s="13"/>
      <c r="L410" s="13"/>
    </row>
    <row r="411">
      <c r="A411" s="13"/>
      <c r="B411" s="13"/>
      <c r="C411" s="13"/>
      <c r="D411" s="13"/>
      <c r="E411" s="13"/>
      <c r="F411" s="13"/>
      <c r="G411" s="13"/>
      <c r="H411" s="13"/>
      <c r="I411" s="13"/>
      <c r="J411" s="13"/>
      <c r="K411" s="13"/>
      <c r="L411" s="13"/>
    </row>
    <row r="412">
      <c r="A412" s="13"/>
      <c r="B412" s="13"/>
      <c r="C412" s="13"/>
      <c r="D412" s="13"/>
      <c r="E412" s="13"/>
      <c r="F412" s="13"/>
      <c r="G412" s="13"/>
      <c r="H412" s="13"/>
      <c r="I412" s="13"/>
      <c r="J412" s="13"/>
      <c r="K412" s="13"/>
      <c r="L412" s="13"/>
    </row>
    <row r="413">
      <c r="A413" s="13"/>
      <c r="B413" s="13"/>
      <c r="C413" s="13"/>
      <c r="D413" s="13"/>
      <c r="E413" s="13"/>
      <c r="F413" s="13"/>
      <c r="G413" s="13"/>
      <c r="H413" s="13"/>
      <c r="I413" s="13"/>
      <c r="J413" s="13"/>
      <c r="K413" s="13"/>
      <c r="L413" s="13"/>
    </row>
    <row r="414">
      <c r="A414" s="13"/>
      <c r="B414" s="13"/>
      <c r="C414" s="13"/>
      <c r="D414" s="13"/>
      <c r="E414" s="13"/>
      <c r="F414" s="13"/>
      <c r="G414" s="13"/>
      <c r="H414" s="13"/>
      <c r="I414" s="13"/>
      <c r="J414" s="13"/>
      <c r="K414" s="13"/>
      <c r="L414" s="13"/>
    </row>
    <row r="415">
      <c r="A415" s="13"/>
      <c r="B415" s="13"/>
      <c r="C415" s="13"/>
      <c r="D415" s="13"/>
      <c r="E415" s="13"/>
      <c r="F415" s="13"/>
      <c r="G415" s="13"/>
      <c r="H415" s="13"/>
      <c r="I415" s="13"/>
      <c r="J415" s="13"/>
      <c r="K415" s="13"/>
      <c r="L415" s="13"/>
    </row>
    <row r="416">
      <c r="A416" s="13"/>
      <c r="B416" s="13"/>
      <c r="C416" s="13"/>
      <c r="D416" s="13"/>
      <c r="E416" s="13"/>
      <c r="F416" s="13"/>
      <c r="G416" s="13"/>
      <c r="H416" s="13"/>
      <c r="I416" s="13"/>
      <c r="J416" s="13"/>
      <c r="K416" s="13"/>
      <c r="L416" s="13"/>
    </row>
    <row r="417">
      <c r="A417" s="13"/>
      <c r="B417" s="13"/>
      <c r="C417" s="13"/>
      <c r="D417" s="13"/>
      <c r="E417" s="13"/>
      <c r="F417" s="13"/>
      <c r="G417" s="13"/>
      <c r="H417" s="13"/>
      <c r="I417" s="13"/>
      <c r="J417" s="13"/>
      <c r="K417" s="13"/>
      <c r="L417" s="13"/>
    </row>
    <row r="418">
      <c r="A418" s="13"/>
      <c r="B418" s="13"/>
      <c r="C418" s="13"/>
      <c r="D418" s="13"/>
      <c r="E418" s="13"/>
      <c r="F418" s="13"/>
      <c r="G418" s="13"/>
      <c r="H418" s="13"/>
      <c r="I418" s="13"/>
      <c r="J418" s="13"/>
      <c r="K418" s="13"/>
      <c r="L418" s="13"/>
    </row>
    <row r="419">
      <c r="A419" s="13"/>
      <c r="B419" s="13"/>
      <c r="C419" s="13"/>
      <c r="D419" s="13"/>
      <c r="E419" s="13"/>
      <c r="F419" s="13"/>
      <c r="G419" s="13"/>
      <c r="H419" s="13"/>
      <c r="I419" s="13"/>
      <c r="J419" s="13"/>
      <c r="K419" s="13"/>
      <c r="L419" s="13"/>
    </row>
    <row r="420">
      <c r="A420" s="13"/>
      <c r="B420" s="13"/>
      <c r="C420" s="13"/>
      <c r="D420" s="13"/>
      <c r="E420" s="13"/>
      <c r="F420" s="13"/>
      <c r="G420" s="13"/>
      <c r="H420" s="13"/>
      <c r="I420" s="13"/>
      <c r="J420" s="13"/>
      <c r="K420" s="13"/>
      <c r="L420" s="13"/>
    </row>
    <row r="421">
      <c r="A421" s="13"/>
      <c r="B421" s="13"/>
      <c r="C421" s="13"/>
      <c r="D421" s="13"/>
      <c r="E421" s="13"/>
      <c r="F421" s="13"/>
      <c r="G421" s="13"/>
      <c r="H421" s="13"/>
      <c r="I421" s="13"/>
      <c r="J421" s="13"/>
      <c r="K421" s="13"/>
      <c r="L421" s="13"/>
    </row>
    <row r="422">
      <c r="A422" s="13"/>
      <c r="B422" s="13"/>
      <c r="C422" s="13"/>
      <c r="D422" s="13"/>
      <c r="E422" s="13"/>
      <c r="F422" s="13"/>
      <c r="G422" s="13"/>
      <c r="H422" s="13"/>
      <c r="I422" s="13"/>
      <c r="J422" s="13"/>
      <c r="K422" s="13"/>
      <c r="L422" s="13"/>
    </row>
    <row r="423">
      <c r="A423" s="13"/>
      <c r="B423" s="13"/>
      <c r="C423" s="13"/>
      <c r="D423" s="13"/>
      <c r="E423" s="13"/>
      <c r="F423" s="13"/>
      <c r="G423" s="13"/>
      <c r="H423" s="13"/>
      <c r="I423" s="13"/>
      <c r="J423" s="13"/>
      <c r="K423" s="13"/>
      <c r="L423" s="13"/>
    </row>
    <row r="424">
      <c r="A424" s="13"/>
      <c r="B424" s="13"/>
      <c r="C424" s="13"/>
      <c r="D424" s="13"/>
      <c r="E424" s="13"/>
      <c r="F424" s="13"/>
      <c r="G424" s="13"/>
      <c r="H424" s="13"/>
      <c r="I424" s="13"/>
      <c r="J424" s="13"/>
      <c r="K424" s="13"/>
      <c r="L424" s="13"/>
    </row>
    <row r="425">
      <c r="A425" s="13"/>
      <c r="B425" s="13"/>
      <c r="C425" s="13"/>
      <c r="D425" s="13"/>
      <c r="E425" s="13"/>
      <c r="F425" s="13"/>
      <c r="G425" s="13"/>
      <c r="H425" s="13"/>
      <c r="I425" s="13"/>
      <c r="J425" s="13"/>
      <c r="K425" s="13"/>
      <c r="L425" s="13"/>
    </row>
    <row r="426">
      <c r="A426" s="13"/>
      <c r="B426" s="13"/>
      <c r="C426" s="13"/>
      <c r="D426" s="13"/>
      <c r="E426" s="13"/>
      <c r="F426" s="13"/>
      <c r="G426" s="13"/>
      <c r="H426" s="13"/>
      <c r="I426" s="13"/>
      <c r="J426" s="13"/>
      <c r="K426" s="13"/>
      <c r="L426" s="13"/>
    </row>
    <row r="427">
      <c r="A427" s="13"/>
      <c r="B427" s="13"/>
      <c r="C427" s="13"/>
      <c r="D427" s="13"/>
      <c r="E427" s="13"/>
      <c r="F427" s="13"/>
      <c r="G427" s="13"/>
      <c r="H427" s="13"/>
      <c r="I427" s="13"/>
      <c r="J427" s="13"/>
      <c r="K427" s="13"/>
      <c r="L427" s="13"/>
    </row>
    <row r="428">
      <c r="A428" s="13"/>
      <c r="B428" s="13"/>
      <c r="C428" s="13"/>
      <c r="D428" s="13"/>
      <c r="E428" s="13"/>
      <c r="F428" s="13"/>
      <c r="G428" s="13"/>
      <c r="H428" s="13"/>
      <c r="I428" s="13"/>
      <c r="J428" s="13"/>
      <c r="K428" s="13"/>
      <c r="L428" s="13"/>
    </row>
    <row r="429">
      <c r="A429" s="13"/>
      <c r="B429" s="13"/>
      <c r="C429" s="13"/>
      <c r="D429" s="13"/>
      <c r="E429" s="13"/>
      <c r="F429" s="13"/>
      <c r="G429" s="13"/>
      <c r="H429" s="13"/>
      <c r="I429" s="13"/>
      <c r="J429" s="13"/>
      <c r="K429" s="13"/>
      <c r="L429" s="13"/>
    </row>
    <row r="430">
      <c r="A430" s="13"/>
      <c r="B430" s="13"/>
      <c r="C430" s="13"/>
      <c r="D430" s="13"/>
      <c r="E430" s="13"/>
      <c r="F430" s="13"/>
      <c r="G430" s="13"/>
      <c r="H430" s="13"/>
      <c r="I430" s="13"/>
      <c r="J430" s="13"/>
      <c r="K430" s="13"/>
      <c r="L430" s="13"/>
    </row>
    <row r="431">
      <c r="A431" s="13"/>
      <c r="B431" s="13"/>
      <c r="C431" s="13"/>
      <c r="D431" s="13"/>
      <c r="E431" s="13"/>
      <c r="F431" s="13"/>
      <c r="G431" s="13"/>
      <c r="H431" s="13"/>
      <c r="I431" s="13"/>
      <c r="J431" s="13"/>
      <c r="K431" s="13"/>
      <c r="L431" s="13"/>
    </row>
    <row r="432">
      <c r="A432" s="13"/>
      <c r="B432" s="13"/>
      <c r="C432" s="13"/>
      <c r="D432" s="13"/>
      <c r="E432" s="13"/>
      <c r="F432" s="13"/>
      <c r="G432" s="13"/>
      <c r="H432" s="13"/>
      <c r="I432" s="13"/>
      <c r="J432" s="13"/>
      <c r="K432" s="13"/>
      <c r="L432" s="13"/>
    </row>
    <row r="433">
      <c r="A433" s="13"/>
      <c r="B433" s="13"/>
      <c r="C433" s="13"/>
      <c r="D433" s="13"/>
      <c r="E433" s="13"/>
      <c r="F433" s="13"/>
      <c r="G433" s="13"/>
      <c r="H433" s="13"/>
      <c r="I433" s="13"/>
      <c r="J433" s="13"/>
      <c r="K433" s="13"/>
      <c r="L433" s="13"/>
    </row>
    <row r="434">
      <c r="A434" s="13"/>
      <c r="B434" s="13"/>
      <c r="C434" s="13"/>
      <c r="D434" s="13"/>
      <c r="E434" s="13"/>
      <c r="F434" s="13"/>
      <c r="G434" s="13"/>
      <c r="H434" s="13"/>
      <c r="I434" s="13"/>
      <c r="J434" s="13"/>
      <c r="K434" s="13"/>
      <c r="L434" s="13"/>
    </row>
    <row r="435">
      <c r="A435" s="13"/>
      <c r="B435" s="13"/>
      <c r="C435" s="13"/>
      <c r="D435" s="13"/>
      <c r="E435" s="13"/>
      <c r="F435" s="13"/>
      <c r="G435" s="13"/>
      <c r="H435" s="13"/>
      <c r="I435" s="13"/>
      <c r="J435" s="13"/>
      <c r="K435" s="13"/>
      <c r="L435" s="13"/>
    </row>
    <row r="436">
      <c r="A436" s="13"/>
      <c r="B436" s="13"/>
      <c r="C436" s="13"/>
      <c r="D436" s="13"/>
      <c r="E436" s="13"/>
      <c r="F436" s="13"/>
      <c r="G436" s="13"/>
      <c r="H436" s="13"/>
      <c r="I436" s="13"/>
      <c r="J436" s="13"/>
      <c r="K436" s="13"/>
      <c r="L436" s="13"/>
    </row>
    <row r="437">
      <c r="A437" s="13"/>
      <c r="B437" s="13"/>
      <c r="C437" s="13"/>
      <c r="D437" s="13"/>
      <c r="E437" s="13"/>
      <c r="F437" s="13"/>
      <c r="G437" s="13"/>
      <c r="H437" s="13"/>
      <c r="I437" s="13"/>
      <c r="J437" s="13"/>
      <c r="K437" s="13"/>
      <c r="L437" s="13"/>
    </row>
    <row r="438">
      <c r="A438" s="13"/>
      <c r="B438" s="13"/>
      <c r="C438" s="13"/>
      <c r="D438" s="13"/>
      <c r="E438" s="13"/>
      <c r="F438" s="13"/>
      <c r="G438" s="13"/>
      <c r="H438" s="13"/>
      <c r="I438" s="13"/>
      <c r="J438" s="13"/>
      <c r="K438" s="13"/>
      <c r="L438" s="13"/>
    </row>
    <row r="439">
      <c r="A439" s="13"/>
      <c r="B439" s="13"/>
      <c r="C439" s="13"/>
      <c r="D439" s="13"/>
      <c r="E439" s="13"/>
      <c r="F439" s="13"/>
      <c r="G439" s="13"/>
      <c r="H439" s="13"/>
      <c r="I439" s="13"/>
      <c r="J439" s="13"/>
      <c r="K439" s="13"/>
      <c r="L439" s="13"/>
    </row>
    <row r="440">
      <c r="A440" s="13"/>
      <c r="B440" s="13"/>
      <c r="C440" s="13"/>
      <c r="D440" s="13"/>
      <c r="E440" s="13"/>
      <c r="F440" s="13"/>
      <c r="G440" s="13"/>
      <c r="H440" s="13"/>
      <c r="I440" s="13"/>
      <c r="J440" s="13"/>
      <c r="K440" s="13"/>
      <c r="L440" s="13"/>
    </row>
    <row r="441">
      <c r="A441" s="13"/>
      <c r="B441" s="13"/>
      <c r="C441" s="13"/>
      <c r="D441" s="13"/>
      <c r="E441" s="13"/>
      <c r="F441" s="13"/>
      <c r="G441" s="13"/>
      <c r="H441" s="13"/>
      <c r="I441" s="13"/>
      <c r="J441" s="13"/>
      <c r="K441" s="13"/>
      <c r="L441" s="13"/>
    </row>
    <row r="442">
      <c r="A442" s="13"/>
      <c r="B442" s="13"/>
      <c r="C442" s="13"/>
      <c r="D442" s="13"/>
      <c r="E442" s="13"/>
      <c r="F442" s="13"/>
      <c r="G442" s="13"/>
      <c r="H442" s="13"/>
      <c r="I442" s="13"/>
      <c r="J442" s="13"/>
      <c r="K442" s="13"/>
      <c r="L442" s="13"/>
    </row>
    <row r="443">
      <c r="A443" s="13"/>
      <c r="B443" s="13"/>
      <c r="C443" s="13"/>
      <c r="D443" s="13"/>
      <c r="E443" s="13"/>
      <c r="F443" s="13"/>
      <c r="G443" s="13"/>
      <c r="H443" s="13"/>
      <c r="I443" s="13"/>
      <c r="J443" s="13"/>
      <c r="K443" s="13"/>
      <c r="L443" s="13"/>
    </row>
    <row r="444">
      <c r="A444" s="13"/>
      <c r="B444" s="13"/>
      <c r="C444" s="13"/>
      <c r="D444" s="13"/>
      <c r="E444" s="13"/>
      <c r="F444" s="13"/>
      <c r="G444" s="13"/>
      <c r="H444" s="13"/>
      <c r="I444" s="13"/>
      <c r="J444" s="13"/>
      <c r="K444" s="13"/>
      <c r="L444" s="13"/>
    </row>
    <row r="445">
      <c r="A445" s="13"/>
      <c r="B445" s="13"/>
      <c r="C445" s="13"/>
      <c r="D445" s="13"/>
      <c r="E445" s="13"/>
      <c r="F445" s="13"/>
      <c r="G445" s="13"/>
      <c r="H445" s="13"/>
      <c r="I445" s="13"/>
      <c r="J445" s="13"/>
      <c r="K445" s="13"/>
      <c r="L445" s="13"/>
    </row>
    <row r="446">
      <c r="A446" s="13"/>
      <c r="B446" s="13"/>
      <c r="C446" s="13"/>
      <c r="D446" s="13"/>
      <c r="E446" s="13"/>
      <c r="F446" s="13"/>
      <c r="G446" s="13"/>
      <c r="H446" s="13"/>
      <c r="I446" s="13"/>
      <c r="J446" s="13"/>
      <c r="K446" s="13"/>
      <c r="L446" s="13"/>
    </row>
    <row r="447">
      <c r="A447" s="13"/>
      <c r="B447" s="13"/>
      <c r="C447" s="13"/>
      <c r="D447" s="13"/>
      <c r="E447" s="13"/>
      <c r="F447" s="13"/>
      <c r="G447" s="13"/>
      <c r="H447" s="13"/>
      <c r="I447" s="13"/>
      <c r="J447" s="13"/>
      <c r="K447" s="13"/>
      <c r="L447" s="13"/>
    </row>
    <row r="448">
      <c r="A448" s="13"/>
      <c r="B448" s="13"/>
      <c r="C448" s="13"/>
      <c r="D448" s="13"/>
      <c r="E448" s="13"/>
      <c r="F448" s="13"/>
      <c r="G448" s="13"/>
      <c r="H448" s="13"/>
      <c r="I448" s="13"/>
      <c r="J448" s="13"/>
      <c r="K448" s="13"/>
      <c r="L448" s="13"/>
    </row>
    <row r="449">
      <c r="A449" s="13"/>
      <c r="B449" s="13"/>
      <c r="C449" s="13"/>
      <c r="D449" s="13"/>
      <c r="E449" s="13"/>
      <c r="F449" s="13"/>
      <c r="G449" s="13"/>
      <c r="H449" s="13"/>
      <c r="I449" s="13"/>
      <c r="J449" s="13"/>
      <c r="K449" s="13"/>
      <c r="L449" s="13"/>
    </row>
    <row r="450">
      <c r="A450" s="13"/>
      <c r="B450" s="13"/>
      <c r="C450" s="13"/>
      <c r="D450" s="13"/>
      <c r="E450" s="13"/>
      <c r="F450" s="13"/>
      <c r="G450" s="13"/>
      <c r="H450" s="13"/>
      <c r="I450" s="13"/>
      <c r="J450" s="13"/>
      <c r="K450" s="13"/>
      <c r="L450" s="13"/>
    </row>
    <row r="451">
      <c r="A451" s="13"/>
      <c r="B451" s="13"/>
      <c r="C451" s="13"/>
      <c r="D451" s="13"/>
      <c r="E451" s="13"/>
      <c r="F451" s="13"/>
      <c r="G451" s="13"/>
      <c r="H451" s="13"/>
      <c r="I451" s="13"/>
      <c r="J451" s="13"/>
      <c r="K451" s="13"/>
      <c r="L451" s="13"/>
    </row>
    <row r="452">
      <c r="A452" s="13"/>
      <c r="B452" s="13"/>
      <c r="C452" s="13"/>
      <c r="D452" s="13"/>
      <c r="E452" s="13"/>
      <c r="F452" s="13"/>
      <c r="G452" s="13"/>
      <c r="H452" s="13"/>
      <c r="I452" s="13"/>
      <c r="J452" s="13"/>
      <c r="K452" s="13"/>
      <c r="L452" s="13"/>
    </row>
    <row r="453">
      <c r="A453" s="13"/>
      <c r="B453" s="13"/>
      <c r="C453" s="13"/>
      <c r="D453" s="13"/>
      <c r="E453" s="13"/>
      <c r="F453" s="13"/>
      <c r="G453" s="13"/>
      <c r="H453" s="13"/>
      <c r="I453" s="13"/>
      <c r="J453" s="13"/>
      <c r="K453" s="13"/>
      <c r="L453" s="13"/>
    </row>
    <row r="454">
      <c r="A454" s="13"/>
      <c r="B454" s="13"/>
      <c r="C454" s="13"/>
      <c r="D454" s="13"/>
      <c r="E454" s="13"/>
      <c r="F454" s="13"/>
      <c r="G454" s="13"/>
      <c r="H454" s="13"/>
      <c r="I454" s="13"/>
      <c r="J454" s="13"/>
      <c r="K454" s="13"/>
      <c r="L454" s="13"/>
    </row>
    <row r="455">
      <c r="A455" s="13"/>
      <c r="B455" s="13"/>
      <c r="C455" s="13"/>
      <c r="D455" s="13"/>
      <c r="E455" s="13"/>
      <c r="F455" s="13"/>
      <c r="G455" s="13"/>
      <c r="H455" s="13"/>
      <c r="I455" s="13"/>
      <c r="J455" s="13"/>
      <c r="K455" s="13"/>
      <c r="L455" s="13"/>
    </row>
    <row r="456">
      <c r="A456" s="13"/>
      <c r="B456" s="13"/>
      <c r="C456" s="13"/>
      <c r="D456" s="13"/>
      <c r="E456" s="13"/>
      <c r="F456" s="13"/>
      <c r="G456" s="13"/>
      <c r="H456" s="13"/>
      <c r="I456" s="13"/>
      <c r="J456" s="13"/>
      <c r="K456" s="13"/>
      <c r="L456" s="13"/>
    </row>
    <row r="457">
      <c r="A457" s="13"/>
      <c r="B457" s="13"/>
      <c r="C457" s="13"/>
      <c r="D457" s="13"/>
      <c r="E457" s="13"/>
      <c r="F457" s="13"/>
      <c r="G457" s="13"/>
      <c r="H457" s="13"/>
      <c r="I457" s="13"/>
      <c r="J457" s="13"/>
      <c r="K457" s="13"/>
      <c r="L457" s="13"/>
    </row>
    <row r="458">
      <c r="A458" s="13"/>
      <c r="B458" s="13"/>
      <c r="C458" s="13"/>
      <c r="D458" s="13"/>
      <c r="E458" s="13"/>
      <c r="F458" s="13"/>
      <c r="G458" s="13"/>
      <c r="H458" s="13"/>
      <c r="I458" s="13"/>
      <c r="J458" s="13"/>
      <c r="K458" s="13"/>
      <c r="L458" s="13"/>
    </row>
    <row r="459">
      <c r="A459" s="13"/>
      <c r="B459" s="13"/>
      <c r="C459" s="13"/>
      <c r="D459" s="13"/>
      <c r="E459" s="13"/>
      <c r="F459" s="13"/>
      <c r="G459" s="13"/>
      <c r="H459" s="13"/>
      <c r="I459" s="13"/>
      <c r="J459" s="13"/>
      <c r="K459" s="13"/>
      <c r="L459" s="13"/>
    </row>
    <row r="460">
      <c r="A460" s="13"/>
      <c r="B460" s="13"/>
      <c r="C460" s="13"/>
      <c r="D460" s="13"/>
      <c r="E460" s="13"/>
      <c r="F460" s="13"/>
      <c r="G460" s="13"/>
      <c r="H460" s="13"/>
      <c r="I460" s="13"/>
      <c r="J460" s="13"/>
      <c r="K460" s="13"/>
      <c r="L460" s="13"/>
    </row>
    <row r="461">
      <c r="A461" s="13"/>
      <c r="B461" s="13"/>
      <c r="C461" s="13"/>
      <c r="D461" s="13"/>
      <c r="E461" s="13"/>
      <c r="F461" s="13"/>
      <c r="G461" s="13"/>
      <c r="H461" s="13"/>
      <c r="I461" s="13"/>
      <c r="J461" s="13"/>
      <c r="K461" s="13"/>
      <c r="L461" s="13"/>
    </row>
    <row r="462">
      <c r="A462" s="13"/>
      <c r="B462" s="13"/>
      <c r="C462" s="13"/>
      <c r="D462" s="13"/>
      <c r="E462" s="13"/>
      <c r="F462" s="13"/>
      <c r="G462" s="13"/>
      <c r="H462" s="13"/>
      <c r="I462" s="13"/>
      <c r="J462" s="13"/>
      <c r="K462" s="13"/>
      <c r="L462" s="13"/>
    </row>
    <row r="463">
      <c r="A463" s="13"/>
      <c r="B463" s="13"/>
      <c r="C463" s="13"/>
      <c r="D463" s="13"/>
      <c r="E463" s="13"/>
      <c r="F463" s="13"/>
      <c r="G463" s="13"/>
      <c r="H463" s="13"/>
      <c r="I463" s="13"/>
      <c r="J463" s="13"/>
      <c r="K463" s="13"/>
      <c r="L463" s="13"/>
    </row>
    <row r="464">
      <c r="A464" s="13"/>
      <c r="B464" s="13"/>
      <c r="C464" s="13"/>
      <c r="D464" s="13"/>
      <c r="E464" s="13"/>
      <c r="F464" s="13"/>
      <c r="G464" s="13"/>
      <c r="H464" s="13"/>
      <c r="I464" s="13"/>
      <c r="J464" s="13"/>
      <c r="K464" s="13"/>
      <c r="L464" s="13"/>
    </row>
    <row r="465">
      <c r="A465" s="13"/>
      <c r="B465" s="13"/>
      <c r="C465" s="13"/>
      <c r="D465" s="13"/>
      <c r="E465" s="13"/>
      <c r="F465" s="13"/>
      <c r="G465" s="13"/>
      <c r="H465" s="13"/>
      <c r="I465" s="13"/>
      <c r="J465" s="13"/>
      <c r="K465" s="13"/>
      <c r="L465" s="13"/>
    </row>
    <row r="466">
      <c r="A466" s="13"/>
      <c r="B466" s="13"/>
      <c r="C466" s="13"/>
      <c r="D466" s="13"/>
      <c r="E466" s="13"/>
      <c r="F466" s="13"/>
      <c r="G466" s="13"/>
      <c r="H466" s="13"/>
      <c r="I466" s="13"/>
      <c r="J466" s="13"/>
      <c r="K466" s="13"/>
      <c r="L466" s="13"/>
    </row>
    <row r="467">
      <c r="A467" s="13"/>
      <c r="B467" s="13"/>
      <c r="C467" s="13"/>
      <c r="D467" s="13"/>
      <c r="E467" s="13"/>
      <c r="F467" s="13"/>
      <c r="G467" s="13"/>
      <c r="H467" s="13"/>
      <c r="I467" s="13"/>
      <c r="J467" s="13"/>
      <c r="K467" s="13"/>
      <c r="L467" s="13"/>
    </row>
    <row r="468">
      <c r="A468" s="13"/>
      <c r="B468" s="13"/>
      <c r="C468" s="13"/>
      <c r="D468" s="13"/>
      <c r="E468" s="13"/>
      <c r="F468" s="13"/>
      <c r="G468" s="13"/>
      <c r="H468" s="13"/>
      <c r="I468" s="13"/>
      <c r="J468" s="13"/>
      <c r="K468" s="13"/>
      <c r="L468" s="13"/>
    </row>
    <row r="469">
      <c r="A469" s="13"/>
      <c r="B469" s="13"/>
      <c r="C469" s="13"/>
      <c r="D469" s="13"/>
      <c r="E469" s="13"/>
      <c r="F469" s="13"/>
      <c r="G469" s="13"/>
      <c r="H469" s="13"/>
      <c r="I469" s="13"/>
      <c r="J469" s="13"/>
      <c r="K469" s="13"/>
      <c r="L469" s="13"/>
    </row>
    <row r="470">
      <c r="A470" s="13"/>
      <c r="B470" s="13"/>
      <c r="C470" s="13"/>
      <c r="D470" s="13"/>
      <c r="E470" s="13"/>
      <c r="F470" s="13"/>
      <c r="G470" s="13"/>
      <c r="H470" s="13"/>
      <c r="I470" s="13"/>
      <c r="J470" s="13"/>
      <c r="K470" s="13"/>
      <c r="L470" s="13"/>
    </row>
    <row r="471">
      <c r="A471" s="13"/>
      <c r="B471" s="13"/>
      <c r="C471" s="13"/>
      <c r="D471" s="13"/>
      <c r="E471" s="13"/>
      <c r="F471" s="13"/>
      <c r="G471" s="13"/>
      <c r="H471" s="13"/>
      <c r="I471" s="13"/>
      <c r="J471" s="13"/>
      <c r="K471" s="13"/>
      <c r="L471" s="13"/>
    </row>
    <row r="472">
      <c r="A472" s="13"/>
      <c r="B472" s="13"/>
      <c r="C472" s="13"/>
      <c r="D472" s="13"/>
      <c r="E472" s="13"/>
      <c r="F472" s="13"/>
      <c r="G472" s="13"/>
      <c r="H472" s="13"/>
      <c r="I472" s="13"/>
      <c r="J472" s="13"/>
      <c r="K472" s="13"/>
      <c r="L472" s="13"/>
    </row>
    <row r="473">
      <c r="A473" s="13"/>
      <c r="B473" s="13"/>
      <c r="C473" s="13"/>
      <c r="D473" s="13"/>
      <c r="E473" s="13"/>
      <c r="F473" s="13"/>
      <c r="G473" s="13"/>
      <c r="H473" s="13"/>
      <c r="I473" s="13"/>
      <c r="J473" s="13"/>
      <c r="K473" s="13"/>
      <c r="L473" s="13"/>
    </row>
    <row r="474">
      <c r="A474" s="13"/>
      <c r="B474" s="13"/>
      <c r="C474" s="13"/>
      <c r="D474" s="13"/>
      <c r="E474" s="13"/>
      <c r="F474" s="13"/>
      <c r="G474" s="13"/>
      <c r="H474" s="13"/>
      <c r="I474" s="13"/>
      <c r="J474" s="13"/>
      <c r="K474" s="13"/>
      <c r="L474" s="13"/>
    </row>
    <row r="475">
      <c r="A475" s="13"/>
      <c r="B475" s="13"/>
      <c r="C475" s="13"/>
      <c r="D475" s="13"/>
      <c r="E475" s="13"/>
      <c r="F475" s="13"/>
      <c r="G475" s="13"/>
      <c r="H475" s="13"/>
      <c r="I475" s="13"/>
      <c r="J475" s="13"/>
      <c r="K475" s="13"/>
      <c r="L475" s="13"/>
    </row>
    <row r="476">
      <c r="A476" s="13"/>
      <c r="B476" s="13"/>
      <c r="C476" s="13"/>
      <c r="D476" s="13"/>
      <c r="E476" s="13"/>
      <c r="F476" s="13"/>
      <c r="G476" s="13"/>
      <c r="H476" s="13"/>
      <c r="I476" s="13"/>
      <c r="J476" s="13"/>
      <c r="K476" s="13"/>
      <c r="L476" s="13"/>
    </row>
    <row r="477">
      <c r="A477" s="13"/>
      <c r="B477" s="13"/>
      <c r="C477" s="13"/>
      <c r="D477" s="13"/>
      <c r="E477" s="13"/>
      <c r="F477" s="13"/>
      <c r="G477" s="13"/>
      <c r="H477" s="13"/>
      <c r="I477" s="13"/>
      <c r="J477" s="13"/>
      <c r="K477" s="13"/>
      <c r="L477" s="13"/>
    </row>
    <row r="478">
      <c r="A478" s="13"/>
      <c r="B478" s="13"/>
      <c r="C478" s="13"/>
      <c r="D478" s="13"/>
      <c r="E478" s="13"/>
      <c r="F478" s="13"/>
      <c r="G478" s="13"/>
      <c r="H478" s="13"/>
      <c r="I478" s="13"/>
      <c r="J478" s="13"/>
      <c r="K478" s="13"/>
      <c r="L478" s="13"/>
    </row>
    <row r="479">
      <c r="A479" s="13"/>
      <c r="B479" s="13"/>
      <c r="C479" s="13"/>
      <c r="D479" s="13"/>
      <c r="E479" s="13"/>
      <c r="F479" s="13"/>
      <c r="G479" s="13"/>
      <c r="H479" s="13"/>
      <c r="I479" s="13"/>
      <c r="J479" s="13"/>
      <c r="K479" s="13"/>
      <c r="L479" s="13"/>
    </row>
    <row r="480">
      <c r="A480" s="13"/>
      <c r="B480" s="13"/>
      <c r="C480" s="13"/>
      <c r="D480" s="13"/>
      <c r="E480" s="13"/>
      <c r="F480" s="13"/>
      <c r="G480" s="13"/>
      <c r="H480" s="13"/>
      <c r="I480" s="13"/>
      <c r="J480" s="13"/>
      <c r="K480" s="13"/>
      <c r="L480" s="13"/>
    </row>
    <row r="481">
      <c r="A481" s="13"/>
      <c r="B481" s="13"/>
      <c r="C481" s="13"/>
      <c r="D481" s="13"/>
      <c r="E481" s="13"/>
      <c r="F481" s="13"/>
      <c r="G481" s="13"/>
      <c r="H481" s="13"/>
      <c r="I481" s="13"/>
      <c r="J481" s="13"/>
      <c r="K481" s="13"/>
      <c r="L481" s="13"/>
    </row>
    <row r="482">
      <c r="A482" s="13"/>
      <c r="B482" s="13"/>
      <c r="C482" s="13"/>
      <c r="D482" s="13"/>
      <c r="E482" s="13"/>
      <c r="F482" s="13"/>
      <c r="G482" s="13"/>
      <c r="H482" s="13"/>
      <c r="I482" s="13"/>
      <c r="J482" s="13"/>
      <c r="K482" s="13"/>
      <c r="L482" s="13"/>
    </row>
    <row r="483">
      <c r="A483" s="13"/>
      <c r="B483" s="13"/>
      <c r="C483" s="13"/>
      <c r="D483" s="13"/>
      <c r="E483" s="13"/>
      <c r="F483" s="13"/>
      <c r="G483" s="13"/>
      <c r="H483" s="13"/>
      <c r="I483" s="13"/>
      <c r="J483" s="13"/>
      <c r="K483" s="13"/>
      <c r="L483" s="13"/>
    </row>
    <row r="484">
      <c r="A484" s="13"/>
      <c r="B484" s="13"/>
      <c r="C484" s="13"/>
      <c r="D484" s="13"/>
      <c r="E484" s="13"/>
      <c r="F484" s="13"/>
      <c r="G484" s="13"/>
      <c r="H484" s="13"/>
      <c r="I484" s="13"/>
      <c r="J484" s="13"/>
      <c r="K484" s="13"/>
      <c r="L484" s="13"/>
    </row>
    <row r="485">
      <c r="A485" s="13"/>
      <c r="B485" s="13"/>
      <c r="C485" s="13"/>
      <c r="D485" s="13"/>
      <c r="E485" s="13"/>
      <c r="F485" s="13"/>
      <c r="G485" s="13"/>
      <c r="H485" s="13"/>
      <c r="I485" s="13"/>
      <c r="J485" s="13"/>
      <c r="K485" s="13"/>
      <c r="L485" s="13"/>
    </row>
    <row r="486">
      <c r="A486" s="13"/>
      <c r="B486" s="13"/>
      <c r="C486" s="13"/>
      <c r="D486" s="13"/>
      <c r="E486" s="13"/>
      <c r="F486" s="13"/>
      <c r="G486" s="13"/>
      <c r="H486" s="13"/>
      <c r="I486" s="13"/>
      <c r="J486" s="13"/>
      <c r="K486" s="13"/>
      <c r="L486" s="13"/>
    </row>
    <row r="487">
      <c r="A487" s="13"/>
      <c r="B487" s="13"/>
      <c r="C487" s="13"/>
      <c r="D487" s="13"/>
      <c r="E487" s="13"/>
      <c r="F487" s="13"/>
      <c r="G487" s="13"/>
      <c r="H487" s="13"/>
      <c r="I487" s="13"/>
      <c r="J487" s="13"/>
      <c r="K487" s="13"/>
      <c r="L487" s="13"/>
    </row>
    <row r="488">
      <c r="A488" s="13"/>
      <c r="B488" s="13"/>
      <c r="C488" s="13"/>
      <c r="D488" s="13"/>
      <c r="E488" s="13"/>
      <c r="F488" s="13"/>
      <c r="G488" s="13"/>
      <c r="H488" s="13"/>
      <c r="I488" s="13"/>
      <c r="J488" s="13"/>
      <c r="K488" s="13"/>
      <c r="L488" s="13"/>
    </row>
    <row r="489">
      <c r="A489" s="13"/>
      <c r="B489" s="13"/>
      <c r="C489" s="13"/>
      <c r="D489" s="13"/>
      <c r="E489" s="13"/>
      <c r="F489" s="13"/>
      <c r="G489" s="13"/>
      <c r="H489" s="13"/>
      <c r="I489" s="13"/>
      <c r="J489" s="13"/>
      <c r="K489" s="13"/>
      <c r="L489" s="13"/>
    </row>
    <row r="490">
      <c r="A490" s="13"/>
      <c r="B490" s="13"/>
      <c r="C490" s="13"/>
      <c r="D490" s="13"/>
      <c r="E490" s="13"/>
      <c r="F490" s="13"/>
      <c r="G490" s="13"/>
      <c r="H490" s="13"/>
      <c r="I490" s="13"/>
      <c r="J490" s="13"/>
      <c r="K490" s="13"/>
      <c r="L490" s="13"/>
    </row>
    <row r="491">
      <c r="A491" s="13"/>
      <c r="B491" s="13"/>
      <c r="C491" s="13"/>
      <c r="D491" s="13"/>
      <c r="E491" s="13"/>
      <c r="F491" s="13"/>
      <c r="G491" s="13"/>
      <c r="H491" s="13"/>
      <c r="I491" s="13"/>
      <c r="J491" s="13"/>
      <c r="K491" s="13"/>
      <c r="L491" s="13"/>
    </row>
    <row r="492">
      <c r="A492" s="13"/>
      <c r="B492" s="13"/>
      <c r="C492" s="13"/>
      <c r="D492" s="13"/>
      <c r="E492" s="13"/>
      <c r="F492" s="13"/>
      <c r="G492" s="13"/>
      <c r="H492" s="13"/>
      <c r="I492" s="13"/>
      <c r="J492" s="13"/>
      <c r="K492" s="13"/>
      <c r="L492" s="13"/>
    </row>
    <row r="493">
      <c r="A493" s="13"/>
      <c r="B493" s="13"/>
      <c r="C493" s="13"/>
      <c r="D493" s="13"/>
      <c r="E493" s="13"/>
      <c r="F493" s="13"/>
      <c r="G493" s="13"/>
      <c r="H493" s="13"/>
      <c r="I493" s="13"/>
      <c r="J493" s="13"/>
      <c r="K493" s="13"/>
      <c r="L493" s="13"/>
    </row>
    <row r="494">
      <c r="A494" s="13"/>
      <c r="B494" s="13"/>
      <c r="C494" s="13"/>
      <c r="D494" s="13"/>
      <c r="E494" s="13"/>
      <c r="F494" s="13"/>
      <c r="G494" s="13"/>
      <c r="H494" s="13"/>
      <c r="I494" s="13"/>
      <c r="J494" s="13"/>
      <c r="K494" s="13"/>
      <c r="L494" s="13"/>
    </row>
    <row r="495">
      <c r="A495" s="13"/>
      <c r="B495" s="13"/>
      <c r="C495" s="13"/>
      <c r="D495" s="13"/>
      <c r="E495" s="13"/>
      <c r="F495" s="13"/>
      <c r="G495" s="13"/>
      <c r="H495" s="13"/>
      <c r="I495" s="13"/>
      <c r="J495" s="13"/>
      <c r="K495" s="13"/>
      <c r="L495" s="13"/>
    </row>
    <row r="496">
      <c r="A496" s="13"/>
      <c r="B496" s="13"/>
      <c r="C496" s="13"/>
      <c r="D496" s="13"/>
      <c r="E496" s="13"/>
      <c r="F496" s="13"/>
      <c r="G496" s="13"/>
      <c r="H496" s="13"/>
      <c r="I496" s="13"/>
      <c r="J496" s="13"/>
      <c r="K496" s="13"/>
      <c r="L496" s="13"/>
    </row>
    <row r="497">
      <c r="A497" s="13"/>
      <c r="B497" s="13"/>
      <c r="C497" s="13"/>
      <c r="D497" s="13"/>
      <c r="E497" s="13"/>
      <c r="F497" s="13"/>
      <c r="G497" s="13"/>
      <c r="H497" s="13"/>
      <c r="I497" s="13"/>
      <c r="J497" s="13"/>
      <c r="K497" s="13"/>
      <c r="L497" s="13"/>
    </row>
    <row r="498">
      <c r="A498" s="13"/>
      <c r="B498" s="13"/>
      <c r="C498" s="13"/>
      <c r="D498" s="13"/>
      <c r="E498" s="13"/>
      <c r="F498" s="13"/>
      <c r="G498" s="13"/>
      <c r="H498" s="13"/>
      <c r="I498" s="13"/>
      <c r="J498" s="13"/>
      <c r="K498" s="13"/>
      <c r="L498" s="13"/>
    </row>
    <row r="499">
      <c r="A499" s="13"/>
      <c r="B499" s="13"/>
      <c r="C499" s="13"/>
      <c r="D499" s="13"/>
      <c r="E499" s="13"/>
      <c r="F499" s="13"/>
      <c r="G499" s="13"/>
      <c r="H499" s="13"/>
      <c r="I499" s="13"/>
      <c r="J499" s="13"/>
      <c r="K499" s="13"/>
      <c r="L499" s="13"/>
    </row>
    <row r="500">
      <c r="A500" s="13"/>
      <c r="B500" s="13"/>
      <c r="C500" s="13"/>
      <c r="D500" s="13"/>
      <c r="E500" s="13"/>
      <c r="F500" s="13"/>
      <c r="G500" s="13"/>
      <c r="H500" s="13"/>
      <c r="I500" s="13"/>
      <c r="J500" s="13"/>
      <c r="K500" s="13"/>
      <c r="L500" s="13"/>
    </row>
    <row r="501">
      <c r="A501" s="13"/>
      <c r="B501" s="13"/>
      <c r="C501" s="13"/>
      <c r="D501" s="13"/>
      <c r="E501" s="13"/>
      <c r="F501" s="13"/>
      <c r="G501" s="13"/>
      <c r="H501" s="13"/>
      <c r="I501" s="13"/>
      <c r="J501" s="13"/>
      <c r="K501" s="13"/>
      <c r="L501" s="13"/>
    </row>
    <row r="502">
      <c r="A502" s="13"/>
      <c r="B502" s="13"/>
      <c r="C502" s="13"/>
      <c r="D502" s="13"/>
      <c r="E502" s="13"/>
      <c r="F502" s="13"/>
      <c r="G502" s="13"/>
      <c r="H502" s="13"/>
      <c r="I502" s="13"/>
      <c r="J502" s="13"/>
      <c r="K502" s="13"/>
      <c r="L502" s="13"/>
    </row>
    <row r="503">
      <c r="A503" s="13"/>
      <c r="B503" s="13"/>
      <c r="C503" s="13"/>
      <c r="D503" s="13"/>
      <c r="E503" s="13"/>
      <c r="F503" s="13"/>
      <c r="G503" s="13"/>
      <c r="H503" s="13"/>
      <c r="I503" s="13"/>
      <c r="J503" s="13"/>
      <c r="K503" s="13"/>
      <c r="L503" s="13"/>
    </row>
    <row r="504">
      <c r="A504" s="13"/>
      <c r="B504" s="13"/>
      <c r="C504" s="13"/>
      <c r="D504" s="13"/>
      <c r="E504" s="13"/>
      <c r="F504" s="13"/>
      <c r="G504" s="13"/>
      <c r="H504" s="13"/>
      <c r="I504" s="13"/>
      <c r="J504" s="13"/>
      <c r="K504" s="13"/>
      <c r="L504" s="13"/>
    </row>
    <row r="505">
      <c r="A505" s="13"/>
      <c r="B505" s="13"/>
      <c r="C505" s="13"/>
      <c r="D505" s="13"/>
      <c r="E505" s="13"/>
      <c r="F505" s="13"/>
      <c r="G505" s="13"/>
      <c r="H505" s="13"/>
      <c r="I505" s="13"/>
      <c r="J505" s="13"/>
      <c r="K505" s="13"/>
      <c r="L505" s="13"/>
    </row>
    <row r="506">
      <c r="A506" s="13"/>
      <c r="B506" s="13"/>
      <c r="C506" s="13"/>
      <c r="D506" s="13"/>
      <c r="E506" s="13"/>
      <c r="F506" s="13"/>
      <c r="G506" s="13"/>
      <c r="H506" s="13"/>
      <c r="I506" s="13"/>
      <c r="J506" s="13"/>
      <c r="K506" s="13"/>
      <c r="L506" s="13"/>
    </row>
    <row r="507">
      <c r="A507" s="13"/>
      <c r="B507" s="13"/>
      <c r="C507" s="13"/>
      <c r="D507" s="13"/>
      <c r="E507" s="13"/>
      <c r="F507" s="13"/>
      <c r="G507" s="13"/>
      <c r="H507" s="13"/>
      <c r="I507" s="13"/>
      <c r="J507" s="13"/>
      <c r="K507" s="13"/>
      <c r="L507" s="13"/>
    </row>
    <row r="508">
      <c r="A508" s="13"/>
      <c r="B508" s="13"/>
      <c r="C508" s="13"/>
      <c r="D508" s="13"/>
      <c r="E508" s="13"/>
      <c r="F508" s="13"/>
      <c r="G508" s="13"/>
      <c r="H508" s="13"/>
      <c r="I508" s="13"/>
      <c r="J508" s="13"/>
      <c r="K508" s="13"/>
      <c r="L508" s="13"/>
    </row>
    <row r="509">
      <c r="A509" s="13"/>
      <c r="B509" s="13"/>
      <c r="C509" s="13"/>
      <c r="D509" s="13"/>
      <c r="E509" s="13"/>
      <c r="F509" s="13"/>
      <c r="G509" s="13"/>
      <c r="H509" s="13"/>
      <c r="I509" s="13"/>
      <c r="J509" s="13"/>
      <c r="K509" s="13"/>
      <c r="L509" s="13"/>
    </row>
    <row r="510">
      <c r="A510" s="13"/>
      <c r="B510" s="13"/>
      <c r="C510" s="13"/>
      <c r="D510" s="13"/>
      <c r="E510" s="13"/>
      <c r="F510" s="13"/>
      <c r="G510" s="13"/>
      <c r="H510" s="13"/>
      <c r="I510" s="13"/>
      <c r="J510" s="13"/>
      <c r="K510" s="13"/>
      <c r="L510" s="13"/>
    </row>
    <row r="511">
      <c r="A511" s="13"/>
      <c r="B511" s="13"/>
      <c r="C511" s="13"/>
      <c r="D511" s="13"/>
      <c r="E511" s="13"/>
      <c r="F511" s="13"/>
      <c r="G511" s="13"/>
      <c r="H511" s="13"/>
      <c r="I511" s="13"/>
      <c r="J511" s="13"/>
      <c r="K511" s="13"/>
      <c r="L511" s="13"/>
    </row>
    <row r="512">
      <c r="A512" s="13"/>
      <c r="B512" s="13"/>
      <c r="C512" s="13"/>
      <c r="D512" s="13"/>
      <c r="E512" s="13"/>
      <c r="F512" s="13"/>
      <c r="G512" s="13"/>
      <c r="H512" s="13"/>
      <c r="I512" s="13"/>
      <c r="J512" s="13"/>
      <c r="K512" s="13"/>
      <c r="L512" s="13"/>
    </row>
    <row r="513">
      <c r="A513" s="13"/>
      <c r="B513" s="13"/>
      <c r="C513" s="13"/>
      <c r="D513" s="13"/>
      <c r="E513" s="13"/>
      <c r="F513" s="13"/>
      <c r="G513" s="13"/>
      <c r="H513" s="13"/>
      <c r="I513" s="13"/>
      <c r="J513" s="13"/>
      <c r="K513" s="13"/>
      <c r="L513" s="13"/>
    </row>
    <row r="514">
      <c r="A514" s="13"/>
      <c r="B514" s="13"/>
      <c r="C514" s="13"/>
      <c r="D514" s="13"/>
      <c r="E514" s="13"/>
      <c r="F514" s="13"/>
      <c r="G514" s="13"/>
      <c r="H514" s="13"/>
      <c r="I514" s="13"/>
      <c r="J514" s="13"/>
      <c r="K514" s="13"/>
      <c r="L514" s="13"/>
    </row>
    <row r="515">
      <c r="A515" s="13"/>
      <c r="B515" s="13"/>
      <c r="C515" s="13"/>
      <c r="D515" s="13"/>
      <c r="E515" s="13"/>
      <c r="F515" s="13"/>
      <c r="G515" s="13"/>
      <c r="H515" s="13"/>
      <c r="I515" s="13"/>
      <c r="J515" s="13"/>
      <c r="K515" s="13"/>
      <c r="L515" s="13"/>
    </row>
    <row r="516">
      <c r="A516" s="13"/>
      <c r="B516" s="13"/>
      <c r="C516" s="13"/>
      <c r="D516" s="13"/>
      <c r="E516" s="13"/>
      <c r="F516" s="13"/>
      <c r="G516" s="13"/>
      <c r="H516" s="13"/>
      <c r="I516" s="13"/>
      <c r="J516" s="13"/>
      <c r="K516" s="13"/>
      <c r="L516" s="13"/>
    </row>
    <row r="517">
      <c r="A517" s="13"/>
      <c r="B517" s="13"/>
      <c r="C517" s="13"/>
      <c r="D517" s="13"/>
      <c r="E517" s="13"/>
      <c r="F517" s="13"/>
      <c r="G517" s="13"/>
      <c r="H517" s="13"/>
      <c r="I517" s="13"/>
      <c r="J517" s="13"/>
      <c r="K517" s="13"/>
      <c r="L517" s="13"/>
    </row>
    <row r="518">
      <c r="A518" s="13"/>
      <c r="B518" s="13"/>
      <c r="C518" s="13"/>
      <c r="D518" s="13"/>
      <c r="E518" s="13"/>
      <c r="F518" s="13"/>
      <c r="G518" s="13"/>
      <c r="H518" s="13"/>
      <c r="I518" s="13"/>
      <c r="J518" s="13"/>
      <c r="K518" s="13"/>
      <c r="L518" s="13"/>
    </row>
    <row r="519">
      <c r="A519" s="13"/>
      <c r="B519" s="13"/>
      <c r="C519" s="13"/>
      <c r="D519" s="13"/>
      <c r="E519" s="13"/>
      <c r="F519" s="13"/>
      <c r="G519" s="13"/>
      <c r="H519" s="13"/>
      <c r="I519" s="13"/>
      <c r="J519" s="13"/>
      <c r="K519" s="13"/>
      <c r="L519" s="13"/>
    </row>
    <row r="520">
      <c r="A520" s="13"/>
      <c r="B520" s="13"/>
      <c r="C520" s="13"/>
      <c r="D520" s="13"/>
      <c r="E520" s="13"/>
      <c r="F520" s="13"/>
      <c r="G520" s="13"/>
      <c r="H520" s="13"/>
      <c r="I520" s="13"/>
      <c r="J520" s="13"/>
      <c r="K520" s="13"/>
      <c r="L520" s="13"/>
    </row>
    <row r="521">
      <c r="A521" s="13"/>
      <c r="B521" s="13"/>
      <c r="C521" s="13"/>
      <c r="D521" s="13"/>
      <c r="E521" s="13"/>
      <c r="F521" s="13"/>
      <c r="G521" s="13"/>
      <c r="H521" s="13"/>
      <c r="I521" s="13"/>
      <c r="J521" s="13"/>
      <c r="K521" s="13"/>
      <c r="L521" s="13"/>
    </row>
    <row r="522">
      <c r="A522" s="13"/>
      <c r="B522" s="13"/>
      <c r="C522" s="13"/>
      <c r="D522" s="13"/>
      <c r="E522" s="13"/>
      <c r="F522" s="13"/>
      <c r="G522" s="13"/>
      <c r="H522" s="13"/>
      <c r="I522" s="13"/>
      <c r="J522" s="13"/>
      <c r="K522" s="13"/>
      <c r="L522" s="13"/>
    </row>
    <row r="523">
      <c r="A523" s="13"/>
      <c r="B523" s="13"/>
      <c r="C523" s="13"/>
      <c r="D523" s="13"/>
      <c r="E523" s="13"/>
      <c r="F523" s="13"/>
      <c r="G523" s="13"/>
      <c r="H523" s="13"/>
      <c r="I523" s="13"/>
      <c r="J523" s="13"/>
      <c r="K523" s="13"/>
      <c r="L523" s="13"/>
    </row>
    <row r="524">
      <c r="A524" s="13"/>
      <c r="B524" s="13"/>
      <c r="C524" s="13"/>
      <c r="D524" s="13"/>
      <c r="E524" s="13"/>
      <c r="F524" s="13"/>
      <c r="G524" s="13"/>
      <c r="H524" s="13"/>
      <c r="I524" s="13"/>
      <c r="J524" s="13"/>
      <c r="K524" s="13"/>
      <c r="L524" s="13"/>
    </row>
    <row r="525">
      <c r="A525" s="13"/>
      <c r="B525" s="13"/>
      <c r="C525" s="13"/>
      <c r="D525" s="13"/>
      <c r="E525" s="13"/>
      <c r="F525" s="13"/>
      <c r="G525" s="13"/>
      <c r="H525" s="13"/>
      <c r="I525" s="13"/>
      <c r="J525" s="13"/>
      <c r="K525" s="13"/>
      <c r="L525" s="13"/>
    </row>
    <row r="526">
      <c r="A526" s="13"/>
      <c r="B526" s="13"/>
      <c r="C526" s="13"/>
      <c r="D526" s="13"/>
      <c r="E526" s="13"/>
      <c r="F526" s="13"/>
      <c r="G526" s="13"/>
      <c r="H526" s="13"/>
      <c r="I526" s="13"/>
      <c r="J526" s="13"/>
      <c r="K526" s="13"/>
      <c r="L526" s="13"/>
    </row>
    <row r="527">
      <c r="A527" s="13"/>
      <c r="B527" s="13"/>
      <c r="C527" s="13"/>
      <c r="D527" s="13"/>
      <c r="E527" s="13"/>
      <c r="F527" s="13"/>
      <c r="G527" s="13"/>
      <c r="H527" s="13"/>
      <c r="I527" s="13"/>
      <c r="J527" s="13"/>
      <c r="K527" s="13"/>
      <c r="L527" s="13"/>
    </row>
    <row r="528">
      <c r="A528" s="13"/>
      <c r="B528" s="13"/>
      <c r="C528" s="13"/>
      <c r="D528" s="13"/>
      <c r="E528" s="13"/>
      <c r="F528" s="13"/>
      <c r="G528" s="13"/>
      <c r="H528" s="13"/>
      <c r="I528" s="13"/>
      <c r="J528" s="13"/>
      <c r="K528" s="13"/>
      <c r="L528" s="13"/>
    </row>
    <row r="529">
      <c r="A529" s="13"/>
      <c r="B529" s="13"/>
      <c r="C529" s="13"/>
      <c r="D529" s="13"/>
      <c r="E529" s="13"/>
      <c r="F529" s="13"/>
      <c r="G529" s="13"/>
      <c r="H529" s="13"/>
      <c r="I529" s="13"/>
      <c r="J529" s="13"/>
      <c r="K529" s="13"/>
      <c r="L529" s="13"/>
    </row>
    <row r="530">
      <c r="A530" s="13"/>
      <c r="B530" s="13"/>
      <c r="C530" s="13"/>
      <c r="D530" s="13"/>
      <c r="E530" s="13"/>
      <c r="F530" s="13"/>
      <c r="G530" s="13"/>
      <c r="H530" s="13"/>
      <c r="I530" s="13"/>
      <c r="J530" s="13"/>
      <c r="K530" s="13"/>
      <c r="L530" s="13"/>
    </row>
    <row r="531">
      <c r="A531" s="13"/>
      <c r="B531" s="13"/>
      <c r="C531" s="13"/>
      <c r="D531" s="13"/>
      <c r="E531" s="13"/>
      <c r="F531" s="13"/>
      <c r="G531" s="13"/>
      <c r="H531" s="13"/>
      <c r="I531" s="13"/>
      <c r="J531" s="13"/>
      <c r="K531" s="13"/>
      <c r="L531" s="13"/>
    </row>
    <row r="532">
      <c r="A532" s="13"/>
      <c r="B532" s="13"/>
      <c r="C532" s="13"/>
      <c r="D532" s="13"/>
      <c r="E532" s="13"/>
      <c r="F532" s="13"/>
      <c r="G532" s="13"/>
      <c r="H532" s="13"/>
      <c r="I532" s="13"/>
      <c r="J532" s="13"/>
      <c r="K532" s="13"/>
      <c r="L532" s="13"/>
    </row>
    <row r="533">
      <c r="A533" s="13"/>
      <c r="B533" s="13"/>
      <c r="C533" s="13"/>
      <c r="D533" s="13"/>
      <c r="E533" s="13"/>
      <c r="F533" s="13"/>
      <c r="G533" s="13"/>
      <c r="H533" s="13"/>
      <c r="I533" s="13"/>
      <c r="J533" s="13"/>
      <c r="K533" s="13"/>
      <c r="L533" s="13"/>
    </row>
    <row r="534">
      <c r="A534" s="13"/>
      <c r="B534" s="13"/>
      <c r="C534" s="13"/>
      <c r="D534" s="13"/>
      <c r="E534" s="13"/>
      <c r="F534" s="13"/>
      <c r="G534" s="13"/>
      <c r="H534" s="13"/>
      <c r="I534" s="13"/>
      <c r="J534" s="13"/>
      <c r="K534" s="13"/>
      <c r="L534" s="13"/>
    </row>
    <row r="535">
      <c r="A535" s="13"/>
      <c r="B535" s="13"/>
      <c r="C535" s="13"/>
      <c r="D535" s="13"/>
      <c r="E535" s="13"/>
      <c r="F535" s="13"/>
      <c r="G535" s="13"/>
      <c r="H535" s="13"/>
      <c r="I535" s="13"/>
      <c r="J535" s="13"/>
      <c r="K535" s="13"/>
      <c r="L535" s="13"/>
    </row>
    <row r="536">
      <c r="A536" s="13"/>
      <c r="B536" s="13"/>
      <c r="C536" s="13"/>
      <c r="D536" s="13"/>
      <c r="E536" s="13"/>
      <c r="F536" s="13"/>
      <c r="G536" s="13"/>
      <c r="H536" s="13"/>
      <c r="I536" s="13"/>
      <c r="J536" s="13"/>
      <c r="K536" s="13"/>
      <c r="L536" s="13"/>
    </row>
    <row r="537">
      <c r="A537" s="13"/>
      <c r="B537" s="13"/>
      <c r="C537" s="13"/>
      <c r="D537" s="13"/>
      <c r="E537" s="13"/>
      <c r="F537" s="13"/>
      <c r="G537" s="13"/>
      <c r="H537" s="13"/>
      <c r="I537" s="13"/>
      <c r="J537" s="13"/>
      <c r="K537" s="13"/>
      <c r="L537" s="13"/>
    </row>
    <row r="538">
      <c r="A538" s="13"/>
      <c r="B538" s="13"/>
      <c r="C538" s="13"/>
      <c r="D538" s="13"/>
      <c r="E538" s="13"/>
      <c r="F538" s="13"/>
      <c r="G538" s="13"/>
      <c r="H538" s="13"/>
      <c r="I538" s="13"/>
      <c r="J538" s="13"/>
      <c r="K538" s="13"/>
      <c r="L538" s="13"/>
    </row>
    <row r="539">
      <c r="A539" s="13"/>
      <c r="B539" s="13"/>
      <c r="C539" s="13"/>
      <c r="D539" s="13"/>
      <c r="E539" s="13"/>
      <c r="F539" s="13"/>
      <c r="G539" s="13"/>
      <c r="H539" s="13"/>
      <c r="I539" s="13"/>
      <c r="J539" s="13"/>
      <c r="K539" s="13"/>
      <c r="L539" s="13"/>
    </row>
    <row r="540">
      <c r="A540" s="13"/>
      <c r="B540" s="13"/>
      <c r="C540" s="13"/>
      <c r="D540" s="13"/>
      <c r="E540" s="13"/>
      <c r="F540" s="13"/>
      <c r="G540" s="13"/>
      <c r="H540" s="13"/>
      <c r="I540" s="13"/>
      <c r="J540" s="13"/>
      <c r="K540" s="13"/>
      <c r="L540" s="13"/>
    </row>
    <row r="541">
      <c r="A541" s="13"/>
      <c r="B541" s="13"/>
      <c r="C541" s="13"/>
      <c r="D541" s="13"/>
      <c r="E541" s="13"/>
      <c r="F541" s="13"/>
      <c r="G541" s="13"/>
      <c r="H541" s="13"/>
      <c r="I541" s="13"/>
      <c r="J541" s="13"/>
      <c r="K541" s="13"/>
      <c r="L541" s="13"/>
    </row>
    <row r="542">
      <c r="A542" s="13"/>
      <c r="B542" s="13"/>
      <c r="C542" s="13"/>
      <c r="D542" s="13"/>
      <c r="E542" s="13"/>
      <c r="F542" s="13"/>
      <c r="G542" s="13"/>
      <c r="H542" s="13"/>
      <c r="I542" s="13"/>
      <c r="J542" s="13"/>
      <c r="K542" s="13"/>
      <c r="L542" s="13"/>
    </row>
    <row r="543">
      <c r="A543" s="13"/>
      <c r="B543" s="13"/>
      <c r="C543" s="13"/>
      <c r="D543" s="13"/>
      <c r="E543" s="13"/>
      <c r="F543" s="13"/>
      <c r="G543" s="13"/>
      <c r="H543" s="13"/>
      <c r="I543" s="13"/>
      <c r="J543" s="13"/>
      <c r="K543" s="13"/>
      <c r="L543" s="13"/>
    </row>
    <row r="544">
      <c r="A544" s="13"/>
      <c r="B544" s="13"/>
      <c r="C544" s="13"/>
      <c r="D544" s="13"/>
      <c r="E544" s="13"/>
      <c r="F544" s="13"/>
      <c r="G544" s="13"/>
      <c r="H544" s="13"/>
      <c r="I544" s="13"/>
      <c r="J544" s="13"/>
      <c r="K544" s="13"/>
      <c r="L544" s="13"/>
    </row>
    <row r="545">
      <c r="A545" s="13"/>
      <c r="B545" s="13"/>
      <c r="C545" s="13"/>
      <c r="D545" s="13"/>
      <c r="E545" s="13"/>
      <c r="F545" s="13"/>
      <c r="G545" s="13"/>
      <c r="H545" s="13"/>
      <c r="I545" s="13"/>
      <c r="J545" s="13"/>
      <c r="K545" s="13"/>
      <c r="L545" s="13"/>
    </row>
    <row r="546">
      <c r="A546" s="13"/>
      <c r="B546" s="13"/>
      <c r="C546" s="13"/>
      <c r="D546" s="13"/>
      <c r="E546" s="13"/>
      <c r="F546" s="13"/>
      <c r="G546" s="13"/>
      <c r="H546" s="13"/>
      <c r="I546" s="13"/>
      <c r="J546" s="13"/>
      <c r="K546" s="13"/>
      <c r="L546" s="13"/>
    </row>
    <row r="547">
      <c r="A547" s="13"/>
      <c r="B547" s="13"/>
      <c r="C547" s="13"/>
      <c r="D547" s="13"/>
      <c r="E547" s="13"/>
      <c r="F547" s="13"/>
      <c r="G547" s="13"/>
      <c r="H547" s="13"/>
      <c r="I547" s="13"/>
      <c r="J547" s="13"/>
      <c r="K547" s="13"/>
      <c r="L547" s="13"/>
    </row>
    <row r="548">
      <c r="A548" s="13"/>
      <c r="B548" s="13"/>
      <c r="C548" s="13"/>
      <c r="D548" s="13"/>
      <c r="E548" s="13"/>
      <c r="F548" s="13"/>
      <c r="G548" s="13"/>
      <c r="H548" s="13"/>
      <c r="I548" s="13"/>
      <c r="J548" s="13"/>
      <c r="K548" s="13"/>
      <c r="L548" s="13"/>
    </row>
    <row r="549">
      <c r="A549" s="13"/>
      <c r="B549" s="13"/>
      <c r="C549" s="13"/>
      <c r="D549" s="13"/>
      <c r="E549" s="13"/>
      <c r="F549" s="13"/>
      <c r="G549" s="13"/>
      <c r="H549" s="13"/>
      <c r="I549" s="13"/>
      <c r="J549" s="13"/>
      <c r="K549" s="13"/>
      <c r="L549" s="13"/>
    </row>
    <row r="550">
      <c r="A550" s="13"/>
      <c r="B550" s="13"/>
      <c r="C550" s="13"/>
      <c r="D550" s="13"/>
      <c r="E550" s="13"/>
      <c r="F550" s="13"/>
      <c r="G550" s="13"/>
      <c r="H550" s="13"/>
      <c r="I550" s="13"/>
      <c r="J550" s="13"/>
      <c r="K550" s="13"/>
      <c r="L550" s="13"/>
    </row>
    <row r="551">
      <c r="A551" s="13"/>
      <c r="B551" s="13"/>
      <c r="C551" s="13"/>
      <c r="D551" s="13"/>
      <c r="E551" s="13"/>
      <c r="F551" s="13"/>
      <c r="G551" s="13"/>
      <c r="H551" s="13"/>
      <c r="I551" s="13"/>
      <c r="J551" s="13"/>
      <c r="K551" s="13"/>
      <c r="L551" s="13"/>
    </row>
    <row r="552">
      <c r="A552" s="13"/>
      <c r="B552" s="13"/>
      <c r="C552" s="13"/>
      <c r="D552" s="13"/>
      <c r="E552" s="13"/>
      <c r="F552" s="13"/>
      <c r="G552" s="13"/>
      <c r="H552" s="13"/>
      <c r="I552" s="13"/>
      <c r="J552" s="13"/>
      <c r="K552" s="13"/>
      <c r="L552" s="13"/>
    </row>
    <row r="553">
      <c r="A553" s="13"/>
      <c r="B553" s="13"/>
      <c r="C553" s="13"/>
      <c r="D553" s="13"/>
      <c r="E553" s="13"/>
      <c r="F553" s="13"/>
      <c r="G553" s="13"/>
      <c r="H553" s="13"/>
      <c r="I553" s="13"/>
      <c r="J553" s="13"/>
      <c r="K553" s="13"/>
      <c r="L553" s="13"/>
    </row>
    <row r="554">
      <c r="A554" s="13"/>
      <c r="B554" s="13"/>
      <c r="C554" s="13"/>
      <c r="D554" s="13"/>
      <c r="E554" s="13"/>
      <c r="F554" s="13"/>
      <c r="G554" s="13"/>
      <c r="H554" s="13"/>
      <c r="I554" s="13"/>
      <c r="J554" s="13"/>
      <c r="K554" s="13"/>
      <c r="L554" s="13"/>
    </row>
    <row r="555">
      <c r="A555" s="13"/>
      <c r="B555" s="13"/>
      <c r="C555" s="13"/>
      <c r="D555" s="13"/>
      <c r="E555" s="13"/>
      <c r="F555" s="13"/>
      <c r="G555" s="13"/>
      <c r="H555" s="13"/>
      <c r="I555" s="13"/>
      <c r="J555" s="13"/>
      <c r="K555" s="13"/>
      <c r="L555" s="13"/>
    </row>
    <row r="556">
      <c r="A556" s="13"/>
      <c r="B556" s="13"/>
      <c r="C556" s="13"/>
      <c r="D556" s="13"/>
      <c r="E556" s="13"/>
      <c r="F556" s="13"/>
      <c r="G556" s="13"/>
      <c r="H556" s="13"/>
      <c r="I556" s="13"/>
      <c r="J556" s="13"/>
      <c r="K556" s="13"/>
      <c r="L556" s="13"/>
    </row>
    <row r="557">
      <c r="A557" s="13"/>
      <c r="B557" s="13"/>
      <c r="C557" s="13"/>
      <c r="D557" s="13"/>
      <c r="E557" s="13"/>
      <c r="F557" s="13"/>
      <c r="G557" s="13"/>
      <c r="H557" s="13"/>
      <c r="I557" s="13"/>
      <c r="J557" s="13"/>
      <c r="K557" s="13"/>
      <c r="L557" s="13"/>
    </row>
    <row r="558">
      <c r="A558" s="13"/>
      <c r="B558" s="13"/>
      <c r="C558" s="13"/>
      <c r="D558" s="13"/>
      <c r="E558" s="13"/>
      <c r="F558" s="13"/>
      <c r="G558" s="13"/>
      <c r="H558" s="13"/>
      <c r="I558" s="13"/>
      <c r="J558" s="13"/>
      <c r="K558" s="13"/>
      <c r="L558" s="13"/>
    </row>
    <row r="559">
      <c r="A559" s="13"/>
      <c r="B559" s="13"/>
      <c r="C559" s="13"/>
      <c r="D559" s="13"/>
      <c r="E559" s="13"/>
      <c r="F559" s="13"/>
      <c r="G559" s="13"/>
      <c r="H559" s="13"/>
      <c r="I559" s="13"/>
      <c r="J559" s="13"/>
      <c r="K559" s="13"/>
      <c r="L559" s="13"/>
    </row>
    <row r="560">
      <c r="A560" s="13"/>
      <c r="B560" s="13"/>
      <c r="C560" s="13"/>
      <c r="D560" s="13"/>
      <c r="E560" s="13"/>
      <c r="F560" s="13"/>
      <c r="G560" s="13"/>
      <c r="H560" s="13"/>
      <c r="I560" s="13"/>
      <c r="J560" s="13"/>
      <c r="K560" s="13"/>
      <c r="L560" s="13"/>
    </row>
    <row r="561">
      <c r="A561" s="13"/>
      <c r="B561" s="13"/>
      <c r="C561" s="13"/>
      <c r="D561" s="13"/>
      <c r="E561" s="13"/>
      <c r="F561" s="13"/>
      <c r="G561" s="13"/>
      <c r="H561" s="13"/>
      <c r="I561" s="13"/>
      <c r="J561" s="13"/>
      <c r="K561" s="13"/>
      <c r="L561" s="13"/>
    </row>
    <row r="562">
      <c r="A562" s="13"/>
      <c r="B562" s="13"/>
      <c r="C562" s="13"/>
      <c r="D562" s="13"/>
      <c r="E562" s="13"/>
      <c r="F562" s="13"/>
      <c r="G562" s="13"/>
      <c r="H562" s="13"/>
      <c r="I562" s="13"/>
      <c r="J562" s="13"/>
      <c r="K562" s="13"/>
      <c r="L562" s="13"/>
    </row>
    <row r="563">
      <c r="A563" s="13"/>
      <c r="B563" s="13"/>
      <c r="C563" s="13"/>
      <c r="D563" s="13"/>
      <c r="E563" s="13"/>
      <c r="F563" s="13"/>
      <c r="G563" s="13"/>
      <c r="H563" s="13"/>
      <c r="I563" s="13"/>
      <c r="J563" s="13"/>
      <c r="K563" s="13"/>
      <c r="L563" s="13"/>
    </row>
    <row r="564">
      <c r="A564" s="13"/>
      <c r="B564" s="13"/>
      <c r="C564" s="13"/>
      <c r="D564" s="13"/>
      <c r="E564" s="13"/>
      <c r="F564" s="13"/>
      <c r="G564" s="13"/>
      <c r="H564" s="13"/>
      <c r="I564" s="13"/>
      <c r="J564" s="13"/>
      <c r="K564" s="13"/>
      <c r="L564" s="13"/>
    </row>
    <row r="565">
      <c r="A565" s="13"/>
      <c r="B565" s="13"/>
      <c r="C565" s="13"/>
      <c r="D565" s="13"/>
      <c r="E565" s="13"/>
      <c r="F565" s="13"/>
      <c r="G565" s="13"/>
      <c r="H565" s="13"/>
      <c r="I565" s="13"/>
      <c r="J565" s="13"/>
      <c r="K565" s="13"/>
      <c r="L565" s="13"/>
    </row>
    <row r="566">
      <c r="A566" s="13"/>
      <c r="B566" s="13"/>
      <c r="C566" s="13"/>
      <c r="D566" s="13"/>
      <c r="E566" s="13"/>
      <c r="F566" s="13"/>
      <c r="G566" s="13"/>
      <c r="H566" s="13"/>
      <c r="I566" s="13"/>
      <c r="J566" s="13"/>
      <c r="K566" s="13"/>
      <c r="L566" s="13"/>
    </row>
    <row r="567">
      <c r="A567" s="13"/>
      <c r="B567" s="13"/>
      <c r="C567" s="13"/>
      <c r="D567" s="13"/>
      <c r="E567" s="13"/>
      <c r="F567" s="13"/>
      <c r="G567" s="13"/>
      <c r="H567" s="13"/>
      <c r="I567" s="13"/>
      <c r="J567" s="13"/>
      <c r="K567" s="13"/>
      <c r="L567" s="13"/>
    </row>
    <row r="568">
      <c r="A568" s="13"/>
      <c r="B568" s="13"/>
      <c r="C568" s="13"/>
      <c r="D568" s="13"/>
      <c r="E568" s="13"/>
      <c r="F568" s="13"/>
      <c r="G568" s="13"/>
      <c r="H568" s="13"/>
      <c r="I568" s="13"/>
      <c r="J568" s="13"/>
      <c r="K568" s="13"/>
      <c r="L568" s="13"/>
    </row>
    <row r="569">
      <c r="A569" s="13"/>
      <c r="B569" s="13"/>
      <c r="C569" s="13"/>
      <c r="D569" s="13"/>
      <c r="E569" s="13"/>
      <c r="F569" s="13"/>
      <c r="G569" s="13"/>
      <c r="H569" s="13"/>
      <c r="I569" s="13"/>
      <c r="J569" s="13"/>
      <c r="K569" s="13"/>
      <c r="L569" s="13"/>
    </row>
    <row r="570">
      <c r="A570" s="13"/>
      <c r="B570" s="13"/>
      <c r="C570" s="13"/>
      <c r="D570" s="13"/>
      <c r="E570" s="13"/>
      <c r="F570" s="13"/>
      <c r="G570" s="13"/>
      <c r="H570" s="13"/>
      <c r="I570" s="13"/>
      <c r="J570" s="13"/>
      <c r="K570" s="13"/>
      <c r="L570" s="13"/>
    </row>
    <row r="571">
      <c r="A571" s="13"/>
      <c r="B571" s="13"/>
      <c r="C571" s="13"/>
      <c r="D571" s="13"/>
      <c r="E571" s="13"/>
      <c r="F571" s="13"/>
      <c r="G571" s="13"/>
      <c r="H571" s="13"/>
      <c r="I571" s="13"/>
      <c r="J571" s="13"/>
      <c r="K571" s="13"/>
      <c r="L571" s="13"/>
    </row>
    <row r="572">
      <c r="A572" s="13"/>
      <c r="B572" s="13"/>
      <c r="C572" s="13"/>
      <c r="D572" s="13"/>
      <c r="E572" s="13"/>
      <c r="F572" s="13"/>
      <c r="G572" s="13"/>
      <c r="H572" s="13"/>
      <c r="I572" s="13"/>
      <c r="J572" s="13"/>
      <c r="K572" s="13"/>
      <c r="L572" s="13"/>
    </row>
    <row r="573">
      <c r="A573" s="13"/>
      <c r="B573" s="13"/>
      <c r="C573" s="13"/>
      <c r="D573" s="13"/>
      <c r="E573" s="13"/>
      <c r="F573" s="13"/>
      <c r="G573" s="13"/>
      <c r="H573" s="13"/>
      <c r="I573" s="13"/>
      <c r="J573" s="13"/>
      <c r="K573" s="13"/>
      <c r="L573" s="13"/>
    </row>
    <row r="574">
      <c r="A574" s="13"/>
      <c r="B574" s="13"/>
      <c r="C574" s="13"/>
      <c r="D574" s="13"/>
      <c r="E574" s="13"/>
      <c r="F574" s="13"/>
      <c r="G574" s="13"/>
      <c r="H574" s="13"/>
      <c r="I574" s="13"/>
      <c r="J574" s="13"/>
      <c r="K574" s="13"/>
      <c r="L574" s="13"/>
    </row>
    <row r="575">
      <c r="A575" s="13"/>
      <c r="B575" s="13"/>
      <c r="C575" s="13"/>
      <c r="D575" s="13"/>
      <c r="E575" s="13"/>
      <c r="F575" s="13"/>
      <c r="G575" s="13"/>
      <c r="H575" s="13"/>
      <c r="I575" s="13"/>
      <c r="J575" s="13"/>
      <c r="K575" s="13"/>
      <c r="L575" s="13"/>
    </row>
    <row r="576">
      <c r="A576" s="13"/>
      <c r="B576" s="13"/>
      <c r="C576" s="13"/>
      <c r="D576" s="13"/>
      <c r="E576" s="13"/>
      <c r="F576" s="13"/>
      <c r="G576" s="13"/>
      <c r="H576" s="13"/>
      <c r="I576" s="13"/>
      <c r="J576" s="13"/>
      <c r="K576" s="13"/>
      <c r="L576" s="13"/>
    </row>
    <row r="577">
      <c r="A577" s="13"/>
      <c r="B577" s="13"/>
      <c r="C577" s="13"/>
      <c r="D577" s="13"/>
      <c r="E577" s="13"/>
      <c r="F577" s="13"/>
      <c r="G577" s="13"/>
      <c r="H577" s="13"/>
      <c r="I577" s="13"/>
      <c r="J577" s="13"/>
      <c r="K577" s="13"/>
      <c r="L577" s="13"/>
    </row>
    <row r="578">
      <c r="A578" s="13"/>
      <c r="B578" s="13"/>
      <c r="C578" s="13"/>
      <c r="D578" s="13"/>
      <c r="E578" s="13"/>
      <c r="F578" s="13"/>
      <c r="G578" s="13"/>
      <c r="H578" s="13"/>
      <c r="I578" s="13"/>
      <c r="J578" s="13"/>
      <c r="K578" s="13"/>
      <c r="L578" s="13"/>
    </row>
    <row r="579">
      <c r="A579" s="13"/>
      <c r="B579" s="13"/>
      <c r="C579" s="13"/>
      <c r="D579" s="13"/>
      <c r="E579" s="13"/>
      <c r="F579" s="13"/>
      <c r="G579" s="13"/>
      <c r="H579" s="13"/>
      <c r="I579" s="13"/>
      <c r="J579" s="13"/>
      <c r="K579" s="13"/>
      <c r="L579" s="13"/>
    </row>
    <row r="580">
      <c r="A580" s="13"/>
      <c r="B580" s="13"/>
      <c r="C580" s="13"/>
      <c r="D580" s="13"/>
      <c r="E580" s="13"/>
      <c r="F580" s="13"/>
      <c r="G580" s="13"/>
      <c r="H580" s="13"/>
      <c r="I580" s="13"/>
      <c r="J580" s="13"/>
      <c r="K580" s="13"/>
      <c r="L580" s="13"/>
    </row>
    <row r="581">
      <c r="A581" s="13"/>
      <c r="B581" s="13"/>
      <c r="C581" s="13"/>
      <c r="D581" s="13"/>
      <c r="E581" s="13"/>
      <c r="F581" s="13"/>
      <c r="G581" s="13"/>
      <c r="H581" s="13"/>
      <c r="I581" s="13"/>
      <c r="J581" s="13"/>
      <c r="K581" s="13"/>
      <c r="L581" s="13"/>
    </row>
    <row r="582">
      <c r="A582" s="13"/>
      <c r="B582" s="13"/>
      <c r="C582" s="13"/>
      <c r="D582" s="13"/>
      <c r="E582" s="13"/>
      <c r="F582" s="13"/>
      <c r="G582" s="13"/>
      <c r="H582" s="13"/>
      <c r="I582" s="13"/>
      <c r="J582" s="13"/>
      <c r="K582" s="13"/>
      <c r="L582" s="13"/>
    </row>
    <row r="583">
      <c r="A583" s="13"/>
      <c r="B583" s="13"/>
      <c r="C583" s="13"/>
      <c r="D583" s="13"/>
      <c r="E583" s="13"/>
      <c r="F583" s="13"/>
      <c r="G583" s="13"/>
      <c r="H583" s="13"/>
      <c r="I583" s="13"/>
      <c r="J583" s="13"/>
      <c r="K583" s="13"/>
      <c r="L583" s="13"/>
    </row>
    <row r="584">
      <c r="A584" s="13"/>
      <c r="B584" s="13"/>
      <c r="C584" s="13"/>
      <c r="D584" s="13"/>
      <c r="E584" s="13"/>
      <c r="F584" s="13"/>
      <c r="G584" s="13"/>
      <c r="H584" s="13"/>
      <c r="I584" s="13"/>
      <c r="J584" s="13"/>
      <c r="K584" s="13"/>
      <c r="L584" s="13"/>
    </row>
    <row r="585">
      <c r="A585" s="13"/>
      <c r="B585" s="13"/>
      <c r="C585" s="13"/>
      <c r="D585" s="13"/>
      <c r="E585" s="13"/>
      <c r="F585" s="13"/>
      <c r="G585" s="13"/>
      <c r="H585" s="13"/>
      <c r="I585" s="13"/>
      <c r="J585" s="13"/>
      <c r="K585" s="13"/>
      <c r="L585" s="13"/>
    </row>
    <row r="586">
      <c r="A586" s="13"/>
      <c r="B586" s="13"/>
      <c r="C586" s="13"/>
      <c r="D586" s="13"/>
      <c r="E586" s="13"/>
      <c r="F586" s="13"/>
      <c r="G586" s="13"/>
      <c r="H586" s="13"/>
      <c r="I586" s="13"/>
      <c r="J586" s="13"/>
      <c r="K586" s="13"/>
      <c r="L586" s="13"/>
    </row>
    <row r="587">
      <c r="A587" s="13"/>
      <c r="B587" s="13"/>
      <c r="C587" s="13"/>
      <c r="D587" s="13"/>
      <c r="E587" s="13"/>
      <c r="F587" s="13"/>
      <c r="G587" s="13"/>
      <c r="H587" s="13"/>
      <c r="I587" s="13"/>
      <c r="J587" s="13"/>
      <c r="K587" s="13"/>
      <c r="L587" s="13"/>
    </row>
    <row r="588">
      <c r="A588" s="13"/>
      <c r="B588" s="13"/>
      <c r="C588" s="13"/>
      <c r="D588" s="13"/>
      <c r="E588" s="13"/>
      <c r="F588" s="13"/>
      <c r="G588" s="13"/>
      <c r="H588" s="13"/>
      <c r="I588" s="13"/>
      <c r="J588" s="13"/>
      <c r="K588" s="13"/>
      <c r="L588" s="13"/>
    </row>
    <row r="589">
      <c r="A589" s="13"/>
      <c r="B589" s="13"/>
      <c r="C589" s="13"/>
      <c r="D589" s="13"/>
      <c r="E589" s="13"/>
      <c r="F589" s="13"/>
      <c r="G589" s="13"/>
      <c r="H589" s="13"/>
      <c r="I589" s="13"/>
      <c r="J589" s="13"/>
      <c r="K589" s="13"/>
      <c r="L589" s="13"/>
    </row>
    <row r="590">
      <c r="A590" s="13"/>
      <c r="B590" s="13"/>
      <c r="C590" s="13"/>
      <c r="D590" s="13"/>
      <c r="E590" s="13"/>
      <c r="F590" s="13"/>
      <c r="G590" s="13"/>
      <c r="H590" s="13"/>
      <c r="I590" s="13"/>
      <c r="J590" s="13"/>
      <c r="K590" s="13"/>
      <c r="L590" s="13"/>
    </row>
    <row r="591">
      <c r="A591" s="13"/>
      <c r="B591" s="13"/>
      <c r="C591" s="13"/>
      <c r="D591" s="13"/>
      <c r="E591" s="13"/>
      <c r="F591" s="13"/>
      <c r="G591" s="13"/>
      <c r="H591" s="13"/>
      <c r="I591" s="13"/>
      <c r="J591" s="13"/>
      <c r="K591" s="13"/>
      <c r="L591" s="13"/>
    </row>
    <row r="592">
      <c r="A592" s="13"/>
      <c r="B592" s="13"/>
      <c r="C592" s="13"/>
      <c r="D592" s="13"/>
      <c r="E592" s="13"/>
      <c r="F592" s="13"/>
      <c r="G592" s="13"/>
      <c r="H592" s="13"/>
      <c r="I592" s="13"/>
      <c r="J592" s="13"/>
      <c r="K592" s="13"/>
      <c r="L592" s="13"/>
    </row>
    <row r="593">
      <c r="A593" s="13"/>
      <c r="B593" s="13"/>
      <c r="C593" s="13"/>
      <c r="D593" s="13"/>
      <c r="E593" s="13"/>
      <c r="F593" s="13"/>
      <c r="G593" s="13"/>
      <c r="H593" s="13"/>
      <c r="I593" s="13"/>
      <c r="J593" s="13"/>
      <c r="K593" s="13"/>
      <c r="L593" s="13"/>
    </row>
    <row r="594">
      <c r="A594" s="13"/>
      <c r="B594" s="13"/>
      <c r="C594" s="13"/>
      <c r="D594" s="13"/>
      <c r="E594" s="13"/>
      <c r="F594" s="13"/>
      <c r="G594" s="13"/>
      <c r="H594" s="13"/>
      <c r="I594" s="13"/>
      <c r="J594" s="13"/>
      <c r="K594" s="13"/>
      <c r="L594" s="13"/>
    </row>
    <row r="595">
      <c r="A595" s="13"/>
      <c r="B595" s="13"/>
      <c r="C595" s="13"/>
      <c r="D595" s="13"/>
      <c r="E595" s="13"/>
      <c r="F595" s="13"/>
      <c r="G595" s="13"/>
      <c r="H595" s="13"/>
      <c r="I595" s="13"/>
      <c r="J595" s="13"/>
      <c r="K595" s="13"/>
      <c r="L595" s="13"/>
    </row>
    <row r="596">
      <c r="A596" s="13"/>
      <c r="B596" s="13"/>
      <c r="C596" s="13"/>
      <c r="D596" s="13"/>
      <c r="E596" s="13"/>
      <c r="F596" s="13"/>
      <c r="G596" s="13"/>
      <c r="H596" s="13"/>
      <c r="I596" s="13"/>
      <c r="J596" s="13"/>
      <c r="K596" s="13"/>
      <c r="L596" s="13"/>
    </row>
    <row r="597">
      <c r="A597" s="13"/>
      <c r="B597" s="13"/>
      <c r="C597" s="13"/>
      <c r="D597" s="13"/>
      <c r="E597" s="13"/>
      <c r="F597" s="13"/>
      <c r="G597" s="13"/>
      <c r="H597" s="13"/>
      <c r="I597" s="13"/>
      <c r="J597" s="13"/>
      <c r="K597" s="13"/>
      <c r="L597" s="13"/>
    </row>
  </sheetData>
  <dataValidations>
    <dataValidation type="list" allowBlank="1" showErrorMessage="1" sqref="C2:C133">
      <formula1>"Called,Emailed,Prospect,No response ,Not Interested,Phone Disconected,Does not apply,No Response right number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12.63"/>
    <col customWidth="1" min="3" max="3" width="31.25"/>
    <col customWidth="1" min="4" max="4" width="22.63"/>
    <col customWidth="1" min="5" max="5" width="20.25"/>
  </cols>
  <sheetData>
    <row r="1" ht="22.5" customHeight="1">
      <c r="A1" s="21" t="s">
        <v>127</v>
      </c>
      <c r="B1" s="21" t="s">
        <v>162</v>
      </c>
      <c r="C1" s="21" t="s">
        <v>171</v>
      </c>
      <c r="D1" s="21" t="s">
        <v>183</v>
      </c>
      <c r="E1" s="22" t="s">
        <v>191</v>
      </c>
    </row>
    <row r="2" ht="22.5" customHeight="1">
      <c r="A2" s="24">
        <v>1.0</v>
      </c>
      <c r="B2" s="24" t="s">
        <v>219</v>
      </c>
      <c r="C2" s="25" t="s">
        <v>228</v>
      </c>
      <c r="D2" s="25" t="s">
        <v>245</v>
      </c>
      <c r="E2" s="26"/>
    </row>
    <row r="3" ht="22.5" customHeight="1">
      <c r="A3" s="24">
        <v>2.0</v>
      </c>
      <c r="B3" s="24" t="s">
        <v>219</v>
      </c>
      <c r="C3" s="25" t="s">
        <v>321</v>
      </c>
      <c r="D3" s="25" t="s">
        <v>333</v>
      </c>
      <c r="E3" s="26"/>
    </row>
    <row r="4" ht="22.5" customHeight="1">
      <c r="A4" s="24">
        <v>3.0</v>
      </c>
      <c r="B4" s="24" t="s">
        <v>219</v>
      </c>
      <c r="C4" s="25" t="s">
        <v>370</v>
      </c>
      <c r="D4" s="25" t="s">
        <v>381</v>
      </c>
      <c r="E4" s="26"/>
    </row>
    <row r="5" ht="22.5" customHeight="1">
      <c r="A5" s="24">
        <v>4.0</v>
      </c>
      <c r="B5" s="29" t="s">
        <v>219</v>
      </c>
      <c r="C5" s="30" t="s">
        <v>414</v>
      </c>
      <c r="D5" s="30" t="s">
        <v>430</v>
      </c>
      <c r="E5" s="31"/>
      <c r="F5" s="32"/>
      <c r="G5" s="32"/>
      <c r="H5" s="32"/>
      <c r="I5" s="32"/>
      <c r="J5" s="32"/>
      <c r="K5" s="32"/>
      <c r="L5" s="32"/>
      <c r="M5" s="32"/>
      <c r="N5" s="32"/>
      <c r="O5" s="32"/>
      <c r="P5" s="32"/>
      <c r="Q5" s="32"/>
      <c r="R5" s="32"/>
      <c r="S5" s="32"/>
      <c r="T5" s="32"/>
      <c r="U5" s="32"/>
      <c r="V5" s="32"/>
      <c r="W5" s="32"/>
      <c r="X5" s="32"/>
    </row>
    <row r="6" ht="22.5" customHeight="1">
      <c r="A6" s="24">
        <v>5.0</v>
      </c>
      <c r="B6" s="29" t="s">
        <v>219</v>
      </c>
      <c r="C6" s="30" t="s">
        <v>500</v>
      </c>
      <c r="D6" s="30" t="s">
        <v>512</v>
      </c>
      <c r="E6" s="31"/>
      <c r="F6" s="32"/>
      <c r="G6" s="32"/>
      <c r="H6" s="32"/>
      <c r="I6" s="32"/>
      <c r="J6" s="32"/>
      <c r="K6" s="32"/>
      <c r="L6" s="32"/>
      <c r="M6" s="32"/>
      <c r="N6" s="32"/>
      <c r="O6" s="32"/>
      <c r="P6" s="32"/>
      <c r="Q6" s="32"/>
      <c r="R6" s="32"/>
      <c r="S6" s="32"/>
      <c r="T6" s="32"/>
      <c r="U6" s="32"/>
      <c r="V6" s="32"/>
      <c r="W6" s="32"/>
      <c r="X6" s="32"/>
    </row>
    <row r="7" ht="22.5" customHeight="1">
      <c r="A7" s="24">
        <v>6.0</v>
      </c>
      <c r="B7" s="29" t="s">
        <v>219</v>
      </c>
      <c r="C7" s="34" t="s">
        <v>544</v>
      </c>
      <c r="D7" s="30" t="s">
        <v>555</v>
      </c>
      <c r="E7" s="31"/>
      <c r="F7" s="32"/>
      <c r="G7" s="32"/>
      <c r="H7" s="32"/>
      <c r="I7" s="32"/>
      <c r="J7" s="32"/>
      <c r="K7" s="32"/>
      <c r="L7" s="32"/>
      <c r="M7" s="32"/>
      <c r="N7" s="32"/>
      <c r="O7" s="32"/>
      <c r="P7" s="32"/>
      <c r="Q7" s="32"/>
      <c r="R7" s="32"/>
      <c r="S7" s="32"/>
      <c r="T7" s="32"/>
      <c r="U7" s="32"/>
      <c r="V7" s="32"/>
      <c r="W7" s="32"/>
      <c r="X7" s="32"/>
    </row>
    <row r="8" ht="22.5" customHeight="1">
      <c r="A8" s="24">
        <v>7.0</v>
      </c>
      <c r="B8" s="29" t="s">
        <v>219</v>
      </c>
      <c r="C8" s="30" t="s">
        <v>586</v>
      </c>
      <c r="D8" s="35" t="s">
        <v>590</v>
      </c>
      <c r="E8" s="36"/>
      <c r="F8" s="32"/>
      <c r="G8" s="32"/>
      <c r="H8" s="32"/>
      <c r="I8" s="32"/>
      <c r="J8" s="32"/>
      <c r="K8" s="32"/>
      <c r="L8" s="32"/>
      <c r="M8" s="32"/>
      <c r="N8" s="32"/>
      <c r="O8" s="32"/>
      <c r="P8" s="32"/>
      <c r="Q8" s="32"/>
      <c r="R8" s="32"/>
      <c r="S8" s="32"/>
      <c r="T8" s="32"/>
      <c r="U8" s="32"/>
      <c r="V8" s="32"/>
      <c r="W8" s="32"/>
      <c r="X8" s="32"/>
    </row>
    <row r="9" ht="22.5" customHeight="1">
      <c r="A9" s="24">
        <v>8.0</v>
      </c>
      <c r="B9" s="29" t="s">
        <v>219</v>
      </c>
      <c r="C9" s="37" t="s">
        <v>636</v>
      </c>
      <c r="D9" s="37" t="s">
        <v>647</v>
      </c>
      <c r="E9" s="38"/>
      <c r="F9" s="32"/>
      <c r="G9" s="32"/>
      <c r="H9" s="32"/>
      <c r="I9" s="32"/>
      <c r="J9" s="32"/>
      <c r="K9" s="32"/>
      <c r="L9" s="32"/>
      <c r="M9" s="32"/>
      <c r="N9" s="32"/>
      <c r="O9" s="32"/>
      <c r="P9" s="32"/>
      <c r="Q9" s="32"/>
      <c r="R9" s="32"/>
      <c r="S9" s="32"/>
      <c r="T9" s="32"/>
      <c r="U9" s="32"/>
      <c r="V9" s="32"/>
      <c r="W9" s="32"/>
      <c r="X9" s="32"/>
    </row>
    <row r="10" ht="22.5" customHeight="1">
      <c r="A10" s="24">
        <v>9.0</v>
      </c>
      <c r="B10" s="29" t="s">
        <v>219</v>
      </c>
      <c r="C10" s="30" t="s">
        <v>700</v>
      </c>
      <c r="D10" s="30" t="s">
        <v>703</v>
      </c>
      <c r="E10" s="31"/>
      <c r="F10" s="32"/>
      <c r="G10" s="32"/>
      <c r="H10" s="32"/>
      <c r="I10" s="32"/>
      <c r="J10" s="32"/>
      <c r="K10" s="32"/>
      <c r="L10" s="32"/>
      <c r="M10" s="32"/>
      <c r="N10" s="32"/>
      <c r="O10" s="32"/>
      <c r="P10" s="32"/>
      <c r="Q10" s="32"/>
      <c r="R10" s="32"/>
      <c r="S10" s="32"/>
      <c r="T10" s="32"/>
      <c r="U10" s="32"/>
      <c r="V10" s="32"/>
      <c r="W10" s="32"/>
      <c r="X10" s="32"/>
    </row>
    <row r="11" ht="22.5" customHeight="1">
      <c r="A11" s="24">
        <v>10.0</v>
      </c>
      <c r="B11" s="29" t="s">
        <v>219</v>
      </c>
      <c r="C11" s="30" t="s">
        <v>736</v>
      </c>
      <c r="D11" s="30" t="s">
        <v>744</v>
      </c>
      <c r="E11" s="31"/>
      <c r="F11" s="32"/>
      <c r="G11" s="32"/>
      <c r="H11" s="32"/>
      <c r="I11" s="32"/>
      <c r="J11" s="32"/>
      <c r="K11" s="32"/>
      <c r="L11" s="32"/>
      <c r="M11" s="32"/>
      <c r="N11" s="32"/>
      <c r="O11" s="32"/>
      <c r="P11" s="32"/>
      <c r="Q11" s="32"/>
      <c r="R11" s="32"/>
      <c r="S11" s="32"/>
      <c r="T11" s="32"/>
      <c r="U11" s="32"/>
      <c r="V11" s="32"/>
      <c r="W11" s="32"/>
      <c r="X11" s="32"/>
    </row>
    <row r="12" ht="22.5" customHeight="1">
      <c r="A12" s="24">
        <v>11.0</v>
      </c>
      <c r="B12" s="29" t="s">
        <v>219</v>
      </c>
      <c r="C12" s="30" t="s">
        <v>807</v>
      </c>
      <c r="D12" s="41" t="s">
        <v>826</v>
      </c>
      <c r="E12" s="42"/>
      <c r="F12" s="32"/>
      <c r="G12" s="32"/>
      <c r="H12" s="32"/>
      <c r="I12" s="32"/>
      <c r="J12" s="32"/>
      <c r="K12" s="32"/>
      <c r="L12" s="32"/>
      <c r="M12" s="32"/>
      <c r="N12" s="32"/>
      <c r="O12" s="32"/>
      <c r="P12" s="32"/>
      <c r="Q12" s="32"/>
      <c r="R12" s="32"/>
      <c r="S12" s="32"/>
      <c r="T12" s="32"/>
      <c r="U12" s="32"/>
      <c r="V12" s="32"/>
      <c r="W12" s="32"/>
      <c r="X12" s="32"/>
    </row>
    <row r="13" ht="22.5" customHeight="1">
      <c r="A13" s="24">
        <v>12.0</v>
      </c>
      <c r="B13" s="29" t="s">
        <v>219</v>
      </c>
      <c r="C13" s="30" t="s">
        <v>228</v>
      </c>
      <c r="D13" s="30" t="s">
        <v>935</v>
      </c>
      <c r="E13" s="31"/>
      <c r="F13" s="32"/>
      <c r="G13" s="32"/>
      <c r="H13" s="32"/>
      <c r="I13" s="32"/>
      <c r="J13" s="32"/>
      <c r="K13" s="32"/>
      <c r="L13" s="32"/>
      <c r="M13" s="32"/>
      <c r="N13" s="32"/>
      <c r="O13" s="32"/>
      <c r="P13" s="32"/>
      <c r="Q13" s="32"/>
      <c r="R13" s="32"/>
      <c r="S13" s="32"/>
      <c r="T13" s="32"/>
      <c r="U13" s="32"/>
      <c r="V13" s="32"/>
      <c r="W13" s="32"/>
      <c r="X13" s="32"/>
    </row>
    <row r="14" ht="22.5" customHeight="1">
      <c r="A14" s="24">
        <v>13.0</v>
      </c>
      <c r="B14" s="29" t="s">
        <v>219</v>
      </c>
      <c r="C14" s="30" t="s">
        <v>700</v>
      </c>
      <c r="D14" s="30" t="s">
        <v>1007</v>
      </c>
      <c r="E14" s="31"/>
      <c r="F14" s="32"/>
      <c r="G14" s="32"/>
      <c r="H14" s="32"/>
      <c r="I14" s="32"/>
      <c r="J14" s="32"/>
      <c r="K14" s="32"/>
      <c r="L14" s="32"/>
      <c r="M14" s="32"/>
      <c r="N14" s="32"/>
      <c r="O14" s="32"/>
      <c r="P14" s="32"/>
      <c r="Q14" s="32"/>
      <c r="R14" s="32"/>
      <c r="S14" s="32"/>
      <c r="T14" s="32"/>
      <c r="U14" s="32"/>
      <c r="V14" s="32"/>
      <c r="W14" s="32"/>
      <c r="X14" s="32"/>
    </row>
    <row r="15" ht="22.5" customHeight="1">
      <c r="A15" s="24">
        <v>14.0</v>
      </c>
      <c r="B15" s="29" t="s">
        <v>219</v>
      </c>
      <c r="C15" s="30" t="s">
        <v>1048</v>
      </c>
      <c r="D15" s="30" t="s">
        <v>1056</v>
      </c>
      <c r="E15" s="31"/>
      <c r="F15" s="32"/>
      <c r="G15" s="32"/>
      <c r="H15" s="32"/>
      <c r="I15" s="32"/>
      <c r="J15" s="32"/>
      <c r="K15" s="32"/>
      <c r="L15" s="32"/>
      <c r="M15" s="32"/>
      <c r="N15" s="32"/>
      <c r="O15" s="32"/>
      <c r="P15" s="32"/>
      <c r="Q15" s="32"/>
      <c r="R15" s="32"/>
      <c r="S15" s="32"/>
      <c r="T15" s="32"/>
      <c r="U15" s="32"/>
      <c r="V15" s="32"/>
      <c r="W15" s="32"/>
      <c r="X15" s="32"/>
    </row>
    <row r="16" ht="22.5" customHeight="1">
      <c r="A16" s="24">
        <v>15.0</v>
      </c>
      <c r="B16" s="29" t="s">
        <v>219</v>
      </c>
      <c r="C16" s="30" t="s">
        <v>1105</v>
      </c>
      <c r="D16" s="52" t="s">
        <v>1117</v>
      </c>
      <c r="E16" s="36"/>
      <c r="F16" s="32"/>
      <c r="G16" s="32"/>
      <c r="H16" s="32"/>
      <c r="I16" s="32"/>
      <c r="J16" s="32"/>
      <c r="K16" s="32"/>
      <c r="L16" s="32"/>
      <c r="M16" s="32"/>
      <c r="N16" s="32"/>
      <c r="O16" s="32"/>
      <c r="P16" s="32"/>
      <c r="Q16" s="32"/>
      <c r="R16" s="32"/>
      <c r="S16" s="32"/>
      <c r="T16" s="32"/>
      <c r="U16" s="32"/>
      <c r="V16" s="32"/>
      <c r="W16" s="32"/>
      <c r="X16" s="32"/>
    </row>
    <row r="17" ht="22.5" customHeight="1">
      <c r="A17" s="24">
        <v>16.0</v>
      </c>
      <c r="B17" s="29" t="s">
        <v>219</v>
      </c>
      <c r="C17" s="30" t="s">
        <v>1160</v>
      </c>
      <c r="D17" s="30" t="s">
        <v>1164</v>
      </c>
      <c r="E17" s="31"/>
      <c r="F17" s="32"/>
      <c r="G17" s="32"/>
      <c r="H17" s="32"/>
      <c r="I17" s="32"/>
      <c r="J17" s="32"/>
      <c r="K17" s="32"/>
      <c r="L17" s="32"/>
      <c r="M17" s="32"/>
      <c r="N17" s="32"/>
      <c r="O17" s="32"/>
      <c r="P17" s="32"/>
      <c r="Q17" s="32"/>
      <c r="R17" s="32"/>
      <c r="S17" s="32"/>
      <c r="T17" s="32"/>
      <c r="U17" s="32"/>
      <c r="V17" s="32"/>
      <c r="W17" s="32"/>
      <c r="X17" s="32"/>
    </row>
    <row r="18" ht="22.5" customHeight="1">
      <c r="A18" s="24">
        <v>17.0</v>
      </c>
      <c r="B18" s="29" t="s">
        <v>219</v>
      </c>
      <c r="C18" s="30" t="s">
        <v>1178</v>
      </c>
      <c r="D18" s="30" t="s">
        <v>1181</v>
      </c>
      <c r="E18" s="31"/>
      <c r="F18" s="32"/>
      <c r="G18" s="32"/>
      <c r="H18" s="32"/>
      <c r="I18" s="32"/>
      <c r="J18" s="32"/>
      <c r="K18" s="32"/>
      <c r="L18" s="32"/>
      <c r="M18" s="32"/>
      <c r="N18" s="32"/>
      <c r="O18" s="32"/>
      <c r="P18" s="32"/>
      <c r="Q18" s="32"/>
      <c r="R18" s="32"/>
      <c r="S18" s="32"/>
      <c r="T18" s="32"/>
      <c r="U18" s="32"/>
      <c r="V18" s="32"/>
      <c r="W18" s="32"/>
      <c r="X18" s="32"/>
    </row>
    <row r="19" ht="22.5" customHeight="1">
      <c r="A19" s="61">
        <v>1.0</v>
      </c>
      <c r="B19" s="29" t="s">
        <v>1212</v>
      </c>
      <c r="C19" s="30" t="s">
        <v>1217</v>
      </c>
      <c r="D19" s="30" t="s">
        <v>1220</v>
      </c>
      <c r="E19" s="62" t="s">
        <v>1225</v>
      </c>
      <c r="F19" s="32"/>
      <c r="G19" s="32"/>
      <c r="H19" s="32"/>
      <c r="I19" s="32"/>
      <c r="J19" s="32"/>
      <c r="K19" s="32"/>
      <c r="L19" s="32"/>
      <c r="M19" s="32"/>
      <c r="N19" s="32"/>
      <c r="O19" s="32"/>
      <c r="P19" s="32"/>
      <c r="Q19" s="32"/>
      <c r="R19" s="32"/>
      <c r="S19" s="32"/>
      <c r="T19" s="32"/>
      <c r="U19" s="32"/>
      <c r="V19" s="32"/>
      <c r="W19" s="32"/>
      <c r="X19" s="32"/>
    </row>
    <row r="20" ht="22.5" customHeight="1">
      <c r="A20" s="61">
        <v>2.0</v>
      </c>
      <c r="B20" s="29" t="s">
        <v>1212</v>
      </c>
      <c r="C20" s="30" t="s">
        <v>1246</v>
      </c>
      <c r="D20" s="30" t="s">
        <v>1249</v>
      </c>
      <c r="E20" s="62" t="s">
        <v>1225</v>
      </c>
      <c r="F20" s="32"/>
      <c r="G20" s="32"/>
      <c r="H20" s="32"/>
      <c r="I20" s="32"/>
      <c r="J20" s="32"/>
      <c r="K20" s="32"/>
      <c r="L20" s="32"/>
      <c r="M20" s="32"/>
      <c r="N20" s="32"/>
      <c r="O20" s="32"/>
      <c r="P20" s="32"/>
      <c r="Q20" s="32"/>
      <c r="R20" s="32"/>
      <c r="S20" s="32"/>
      <c r="T20" s="32"/>
      <c r="U20" s="32"/>
      <c r="V20" s="32"/>
      <c r="W20" s="32"/>
      <c r="X20" s="32"/>
    </row>
    <row r="21" ht="22.5" customHeight="1">
      <c r="A21" s="61">
        <v>3.0</v>
      </c>
      <c r="B21" s="29" t="s">
        <v>1212</v>
      </c>
      <c r="C21" s="34" t="s">
        <v>1268</v>
      </c>
      <c r="D21" s="30" t="s">
        <v>1273</v>
      </c>
      <c r="E21" s="62" t="s">
        <v>1276</v>
      </c>
      <c r="F21" s="32"/>
      <c r="G21" s="32"/>
      <c r="H21" s="32"/>
      <c r="I21" s="32"/>
      <c r="J21" s="32"/>
      <c r="K21" s="32"/>
      <c r="L21" s="32"/>
      <c r="M21" s="32"/>
      <c r="N21" s="32"/>
      <c r="O21" s="32"/>
      <c r="P21" s="32"/>
      <c r="Q21" s="32"/>
      <c r="R21" s="32"/>
      <c r="S21" s="32"/>
      <c r="T21" s="32"/>
      <c r="U21" s="32"/>
      <c r="V21" s="32"/>
      <c r="W21" s="32"/>
      <c r="X21" s="32"/>
    </row>
    <row r="22" ht="22.5" customHeight="1">
      <c r="A22" s="61">
        <v>4.0</v>
      </c>
      <c r="B22" s="29" t="s">
        <v>1212</v>
      </c>
      <c r="C22" s="37" t="s">
        <v>1282</v>
      </c>
      <c r="D22" s="34" t="s">
        <v>1284</v>
      </c>
      <c r="E22" s="64" t="s">
        <v>1286</v>
      </c>
      <c r="F22" s="32"/>
      <c r="G22" s="32"/>
      <c r="H22" s="32"/>
      <c r="I22" s="32"/>
      <c r="J22" s="32"/>
      <c r="K22" s="32"/>
      <c r="L22" s="32"/>
      <c r="M22" s="32"/>
      <c r="N22" s="32"/>
      <c r="O22" s="32"/>
      <c r="P22" s="32"/>
      <c r="Q22" s="32"/>
      <c r="R22" s="32"/>
      <c r="S22" s="32"/>
      <c r="T22" s="32"/>
      <c r="U22" s="32"/>
      <c r="V22" s="32"/>
      <c r="W22" s="32"/>
      <c r="X22" s="32"/>
    </row>
    <row r="23" ht="22.5" customHeight="1">
      <c r="A23" s="61">
        <v>5.0</v>
      </c>
      <c r="B23" s="29" t="s">
        <v>1212</v>
      </c>
      <c r="C23" s="34" t="s">
        <v>1294</v>
      </c>
      <c r="D23" s="30" t="s">
        <v>1296</v>
      </c>
      <c r="E23" s="62" t="s">
        <v>1225</v>
      </c>
      <c r="F23" s="32"/>
      <c r="G23" s="32"/>
      <c r="H23" s="32"/>
      <c r="I23" s="32"/>
      <c r="J23" s="32"/>
      <c r="K23" s="32"/>
      <c r="L23" s="32"/>
      <c r="M23" s="32"/>
      <c r="N23" s="32"/>
      <c r="O23" s="32"/>
      <c r="P23" s="32"/>
      <c r="Q23" s="32"/>
      <c r="R23" s="32"/>
      <c r="S23" s="32"/>
      <c r="T23" s="32"/>
      <c r="U23" s="32"/>
      <c r="V23" s="32"/>
      <c r="W23" s="32"/>
      <c r="X23" s="32"/>
    </row>
    <row r="24" ht="22.5" customHeight="1">
      <c r="A24" s="61">
        <v>6.0</v>
      </c>
      <c r="B24" s="29" t="s">
        <v>1212</v>
      </c>
      <c r="C24" s="30" t="s">
        <v>1305</v>
      </c>
      <c r="D24" s="30" t="s">
        <v>1307</v>
      </c>
      <c r="E24" s="62" t="s">
        <v>1225</v>
      </c>
      <c r="F24" s="32"/>
      <c r="G24" s="32"/>
      <c r="H24" s="32"/>
      <c r="I24" s="32"/>
      <c r="J24" s="32"/>
      <c r="K24" s="32"/>
      <c r="L24" s="32"/>
      <c r="M24" s="32"/>
      <c r="N24" s="32"/>
      <c r="O24" s="32"/>
      <c r="P24" s="32"/>
      <c r="Q24" s="32"/>
      <c r="R24" s="32"/>
      <c r="S24" s="32"/>
      <c r="T24" s="32"/>
      <c r="U24" s="32"/>
      <c r="V24" s="32"/>
      <c r="W24" s="32"/>
      <c r="X24" s="32"/>
    </row>
    <row r="25" ht="22.5" customHeight="1">
      <c r="A25" s="61">
        <v>7.0</v>
      </c>
      <c r="B25" s="29" t="s">
        <v>1212</v>
      </c>
      <c r="C25" s="30" t="s">
        <v>1318</v>
      </c>
      <c r="D25" s="30" t="s">
        <v>1321</v>
      </c>
      <c r="E25" s="62" t="s">
        <v>1225</v>
      </c>
      <c r="F25" s="32"/>
      <c r="G25" s="32"/>
      <c r="H25" s="32"/>
      <c r="I25" s="32"/>
      <c r="J25" s="32"/>
      <c r="K25" s="32"/>
      <c r="L25" s="32"/>
      <c r="M25" s="32"/>
      <c r="N25" s="32"/>
      <c r="O25" s="32"/>
      <c r="P25" s="32"/>
      <c r="Q25" s="32"/>
      <c r="R25" s="32"/>
      <c r="S25" s="32"/>
      <c r="T25" s="32"/>
      <c r="U25" s="32"/>
      <c r="V25" s="32"/>
      <c r="W25" s="32"/>
      <c r="X25" s="32"/>
    </row>
    <row r="26" ht="22.5" customHeight="1">
      <c r="A26" s="61">
        <v>8.0</v>
      </c>
      <c r="B26" s="29" t="s">
        <v>1212</v>
      </c>
      <c r="C26" s="30" t="s">
        <v>1332</v>
      </c>
      <c r="D26" s="30" t="s">
        <v>1337</v>
      </c>
      <c r="E26" s="62" t="s">
        <v>1225</v>
      </c>
      <c r="F26" s="32"/>
      <c r="G26" s="32"/>
      <c r="H26" s="32"/>
      <c r="I26" s="32"/>
      <c r="J26" s="32"/>
      <c r="K26" s="32"/>
      <c r="L26" s="32"/>
      <c r="M26" s="32"/>
      <c r="N26" s="32"/>
      <c r="O26" s="32"/>
      <c r="P26" s="32"/>
      <c r="Q26" s="32"/>
      <c r="R26" s="32"/>
      <c r="S26" s="32"/>
      <c r="T26" s="32"/>
      <c r="U26" s="32"/>
      <c r="V26" s="32"/>
      <c r="W26" s="32"/>
      <c r="X26" s="32"/>
    </row>
    <row r="27" ht="22.5" customHeight="1">
      <c r="A27" s="61">
        <v>9.0</v>
      </c>
      <c r="B27" s="29" t="s">
        <v>1212</v>
      </c>
      <c r="C27" s="69" t="s">
        <v>1347</v>
      </c>
      <c r="D27" s="35" t="s">
        <v>1351</v>
      </c>
      <c r="E27" s="73" t="s">
        <v>1225</v>
      </c>
      <c r="F27" s="32"/>
      <c r="G27" s="32"/>
      <c r="H27" s="32"/>
      <c r="I27" s="32"/>
      <c r="J27" s="32"/>
      <c r="K27" s="32"/>
      <c r="L27" s="32"/>
      <c r="M27" s="32"/>
      <c r="N27" s="32"/>
      <c r="O27" s="32"/>
      <c r="P27" s="32"/>
      <c r="Q27" s="32"/>
      <c r="R27" s="32"/>
      <c r="S27" s="32"/>
      <c r="T27" s="32"/>
      <c r="U27" s="32"/>
      <c r="V27" s="32"/>
      <c r="W27" s="32"/>
      <c r="X27" s="32"/>
    </row>
    <row r="28" ht="22.5" customHeight="1">
      <c r="A28" s="61">
        <v>10.0</v>
      </c>
      <c r="B28" s="29" t="s">
        <v>1212</v>
      </c>
      <c r="C28" s="69" t="s">
        <v>1360</v>
      </c>
      <c r="D28" s="30" t="s">
        <v>1363</v>
      </c>
      <c r="E28" s="62" t="s">
        <v>1225</v>
      </c>
      <c r="F28" s="32"/>
      <c r="G28" s="32"/>
      <c r="H28" s="32"/>
      <c r="I28" s="32"/>
      <c r="J28" s="32"/>
      <c r="K28" s="32"/>
      <c r="L28" s="32"/>
      <c r="M28" s="32"/>
      <c r="N28" s="32"/>
      <c r="O28" s="32"/>
      <c r="P28" s="32"/>
      <c r="Q28" s="32"/>
      <c r="R28" s="32"/>
      <c r="S28" s="32"/>
      <c r="T28" s="32"/>
      <c r="U28" s="32"/>
      <c r="V28" s="32"/>
      <c r="W28" s="32"/>
      <c r="X28" s="32"/>
    </row>
    <row r="29" ht="22.5" customHeight="1">
      <c r="A29" s="61">
        <v>11.0</v>
      </c>
      <c r="B29" s="29" t="s">
        <v>1212</v>
      </c>
      <c r="C29" s="30" t="s">
        <v>1375</v>
      </c>
      <c r="D29" s="30" t="s">
        <v>1377</v>
      </c>
      <c r="E29" s="62" t="s">
        <v>1225</v>
      </c>
      <c r="F29" s="32"/>
      <c r="G29" s="32"/>
      <c r="H29" s="32"/>
      <c r="I29" s="32"/>
      <c r="J29" s="32"/>
      <c r="K29" s="32"/>
      <c r="L29" s="32"/>
      <c r="M29" s="32"/>
      <c r="N29" s="32"/>
      <c r="O29" s="32"/>
      <c r="P29" s="32"/>
      <c r="Q29" s="32"/>
      <c r="R29" s="32"/>
      <c r="S29" s="32"/>
      <c r="T29" s="32"/>
      <c r="U29" s="32"/>
      <c r="V29" s="32"/>
      <c r="W29" s="32"/>
      <c r="X29" s="32"/>
    </row>
    <row r="30" ht="22.5" customHeight="1">
      <c r="A30" s="61">
        <v>12.0</v>
      </c>
      <c r="B30" s="29" t="s">
        <v>1212</v>
      </c>
      <c r="C30" s="30" t="s">
        <v>1383</v>
      </c>
      <c r="D30" s="35" t="s">
        <v>1384</v>
      </c>
      <c r="E30" s="73" t="s">
        <v>1225</v>
      </c>
      <c r="F30" s="32"/>
      <c r="G30" s="32"/>
      <c r="H30" s="32"/>
      <c r="I30" s="32"/>
      <c r="J30" s="32"/>
      <c r="K30" s="32"/>
      <c r="L30" s="32"/>
      <c r="M30" s="32"/>
      <c r="N30" s="32"/>
      <c r="O30" s="32"/>
      <c r="P30" s="32"/>
      <c r="Q30" s="32"/>
      <c r="R30" s="32"/>
      <c r="S30" s="32"/>
      <c r="T30" s="32"/>
      <c r="U30" s="32"/>
      <c r="V30" s="32"/>
      <c r="W30" s="32"/>
      <c r="X30" s="32"/>
    </row>
    <row r="31" ht="22.5" customHeight="1">
      <c r="A31" s="61">
        <v>13.0</v>
      </c>
      <c r="B31" s="29" t="s">
        <v>1212</v>
      </c>
      <c r="C31" s="30" t="s">
        <v>1385</v>
      </c>
      <c r="D31" s="35" t="s">
        <v>1386</v>
      </c>
      <c r="E31" s="73" t="s">
        <v>1225</v>
      </c>
      <c r="F31" s="32"/>
      <c r="G31" s="32"/>
      <c r="H31" s="32"/>
      <c r="I31" s="32"/>
      <c r="J31" s="32"/>
      <c r="K31" s="32"/>
      <c r="L31" s="32"/>
      <c r="M31" s="32"/>
      <c r="N31" s="32"/>
      <c r="O31" s="32"/>
      <c r="P31" s="32"/>
      <c r="Q31" s="32"/>
      <c r="R31" s="32"/>
      <c r="S31" s="32"/>
      <c r="T31" s="32"/>
      <c r="U31" s="32"/>
      <c r="V31" s="32"/>
      <c r="W31" s="32"/>
      <c r="X31" s="32"/>
    </row>
    <row r="32" ht="22.5" customHeight="1">
      <c r="A32" s="61">
        <v>14.0</v>
      </c>
      <c r="B32" s="29" t="s">
        <v>1212</v>
      </c>
      <c r="C32" s="30" t="s">
        <v>1387</v>
      </c>
      <c r="D32" s="30" t="s">
        <v>1388</v>
      </c>
      <c r="E32" s="62" t="s">
        <v>1225</v>
      </c>
      <c r="F32" s="32"/>
      <c r="G32" s="32"/>
      <c r="H32" s="32"/>
      <c r="I32" s="32"/>
      <c r="J32" s="32"/>
      <c r="K32" s="32"/>
      <c r="L32" s="32"/>
      <c r="M32" s="32"/>
      <c r="N32" s="32"/>
      <c r="O32" s="32"/>
      <c r="P32" s="32"/>
      <c r="Q32" s="32"/>
      <c r="R32" s="32"/>
      <c r="S32" s="32"/>
      <c r="T32" s="32"/>
      <c r="U32" s="32"/>
      <c r="V32" s="32"/>
      <c r="W32" s="32"/>
      <c r="X32" s="32"/>
    </row>
    <row r="33" ht="22.5" customHeight="1">
      <c r="A33" s="61">
        <v>15.0</v>
      </c>
      <c r="B33" s="29" t="s">
        <v>1212</v>
      </c>
      <c r="C33" s="30" t="s">
        <v>1389</v>
      </c>
      <c r="D33" s="35">
        <v>1434371.0</v>
      </c>
      <c r="E33" s="73" t="s">
        <v>1225</v>
      </c>
      <c r="F33" s="32"/>
      <c r="G33" s="32"/>
      <c r="H33" s="32"/>
      <c r="I33" s="32"/>
      <c r="J33" s="32"/>
      <c r="K33" s="32"/>
      <c r="L33" s="32"/>
      <c r="M33" s="32"/>
      <c r="N33" s="32"/>
      <c r="O33" s="32"/>
      <c r="P33" s="32"/>
      <c r="Q33" s="32"/>
      <c r="R33" s="32"/>
      <c r="S33" s="32"/>
      <c r="T33" s="32"/>
      <c r="U33" s="32"/>
      <c r="V33" s="32"/>
      <c r="W33" s="32"/>
      <c r="X33" s="32"/>
    </row>
    <row r="34" ht="22.5" customHeight="1">
      <c r="A34" s="61">
        <v>16.0</v>
      </c>
      <c r="B34" s="29" t="s">
        <v>1212</v>
      </c>
      <c r="C34" s="74" t="s">
        <v>1390</v>
      </c>
      <c r="D34" s="76" t="s">
        <v>1392</v>
      </c>
      <c r="E34" s="77" t="s">
        <v>1276</v>
      </c>
      <c r="F34" s="32"/>
      <c r="G34" s="32"/>
      <c r="H34" s="32"/>
      <c r="I34" s="32"/>
      <c r="J34" s="32"/>
      <c r="K34" s="32"/>
      <c r="L34" s="32"/>
      <c r="M34" s="32"/>
      <c r="N34" s="32"/>
      <c r="O34" s="32"/>
      <c r="P34" s="32"/>
      <c r="Q34" s="32"/>
      <c r="R34" s="32"/>
      <c r="S34" s="32"/>
      <c r="T34" s="32"/>
      <c r="U34" s="32"/>
      <c r="V34" s="32"/>
      <c r="W34" s="32"/>
      <c r="X34" s="32"/>
    </row>
    <row r="35" ht="22.5" customHeight="1">
      <c r="A35" s="29"/>
      <c r="B35" s="29"/>
      <c r="C35" s="78"/>
      <c r="D35" s="78"/>
      <c r="E35" s="31"/>
      <c r="F35" s="32"/>
      <c r="G35" s="32"/>
      <c r="H35" s="32"/>
      <c r="I35" s="32"/>
      <c r="J35" s="32"/>
      <c r="K35" s="32"/>
      <c r="L35" s="32"/>
      <c r="M35" s="32"/>
      <c r="N35" s="32"/>
      <c r="O35" s="32"/>
      <c r="P35" s="32"/>
      <c r="Q35" s="32"/>
      <c r="R35" s="32"/>
      <c r="S35" s="32"/>
      <c r="T35" s="32"/>
      <c r="U35" s="32"/>
      <c r="V35" s="32"/>
      <c r="W35" s="32"/>
      <c r="X35" s="32"/>
    </row>
    <row r="36" ht="22.5" customHeight="1">
      <c r="A36" s="29"/>
      <c r="B36" s="29"/>
      <c r="C36" s="78"/>
      <c r="D36" s="78"/>
      <c r="E36" s="31"/>
      <c r="F36" s="32"/>
      <c r="G36" s="32"/>
      <c r="H36" s="32"/>
      <c r="I36" s="32"/>
      <c r="J36" s="32"/>
      <c r="K36" s="32"/>
      <c r="L36" s="32"/>
      <c r="M36" s="32"/>
      <c r="N36" s="32"/>
      <c r="O36" s="32"/>
      <c r="P36" s="32"/>
      <c r="Q36" s="32"/>
      <c r="R36" s="32"/>
      <c r="S36" s="32"/>
      <c r="T36" s="32"/>
      <c r="U36" s="32"/>
      <c r="V36" s="32"/>
      <c r="W36" s="32"/>
      <c r="X36" s="32"/>
    </row>
    <row r="37" ht="22.5" customHeight="1">
      <c r="A37" s="29"/>
      <c r="B37" s="29"/>
      <c r="C37" s="78"/>
      <c r="D37" s="78"/>
      <c r="E37" s="31"/>
      <c r="F37" s="32"/>
      <c r="G37" s="32"/>
      <c r="H37" s="32"/>
      <c r="I37" s="32"/>
      <c r="J37" s="32"/>
      <c r="K37" s="32"/>
      <c r="L37" s="32"/>
      <c r="M37" s="32"/>
      <c r="N37" s="32"/>
      <c r="O37" s="32"/>
      <c r="P37" s="32"/>
      <c r="Q37" s="32"/>
      <c r="R37" s="32"/>
      <c r="S37" s="32"/>
      <c r="T37" s="32"/>
      <c r="U37" s="32"/>
      <c r="V37" s="32"/>
      <c r="W37" s="32"/>
      <c r="X37" s="32"/>
    </row>
    <row r="38" ht="22.5" customHeight="1">
      <c r="A38" s="29"/>
      <c r="B38" s="29"/>
      <c r="C38" s="78"/>
      <c r="D38" s="78"/>
      <c r="E38" s="31"/>
      <c r="F38" s="32"/>
      <c r="G38" s="32"/>
      <c r="H38" s="32"/>
      <c r="I38" s="32"/>
      <c r="J38" s="32"/>
      <c r="K38" s="32"/>
      <c r="L38" s="32"/>
      <c r="M38" s="32"/>
      <c r="N38" s="32"/>
      <c r="O38" s="32"/>
      <c r="P38" s="32"/>
      <c r="Q38" s="32"/>
      <c r="R38" s="32"/>
      <c r="S38" s="32"/>
      <c r="T38" s="32"/>
      <c r="U38" s="32"/>
      <c r="V38" s="32"/>
      <c r="W38" s="32"/>
      <c r="X38" s="32"/>
    </row>
    <row r="39" ht="22.5" customHeight="1">
      <c r="A39" s="29"/>
      <c r="B39" s="29"/>
      <c r="C39" s="78"/>
      <c r="D39" s="78"/>
      <c r="E39" s="31"/>
      <c r="F39" s="32"/>
      <c r="G39" s="32"/>
      <c r="H39" s="32"/>
      <c r="I39" s="32"/>
      <c r="J39" s="32"/>
      <c r="K39" s="32"/>
      <c r="L39" s="32"/>
      <c r="M39" s="32"/>
      <c r="N39" s="32"/>
      <c r="O39" s="32"/>
      <c r="P39" s="32"/>
      <c r="Q39" s="32"/>
      <c r="R39" s="32"/>
      <c r="S39" s="32"/>
      <c r="T39" s="32"/>
      <c r="U39" s="32"/>
      <c r="V39" s="32"/>
      <c r="W39" s="32"/>
      <c r="X39" s="32"/>
    </row>
    <row r="40" ht="22.5" customHeight="1">
      <c r="A40" s="29"/>
      <c r="B40" s="29"/>
      <c r="C40" s="78"/>
      <c r="D40" s="78"/>
      <c r="E40" s="31"/>
      <c r="F40" s="32"/>
      <c r="G40" s="32"/>
      <c r="H40" s="32"/>
      <c r="I40" s="32"/>
      <c r="J40" s="32"/>
      <c r="K40" s="32"/>
      <c r="L40" s="32"/>
      <c r="M40" s="32"/>
      <c r="N40" s="32"/>
      <c r="O40" s="32"/>
      <c r="P40" s="32"/>
      <c r="Q40" s="32"/>
      <c r="R40" s="32"/>
      <c r="S40" s="32"/>
      <c r="T40" s="32"/>
      <c r="U40" s="32"/>
      <c r="V40" s="32"/>
      <c r="W40" s="32"/>
      <c r="X40" s="32"/>
    </row>
    <row r="41" ht="22.5" customHeight="1">
      <c r="A41" s="29"/>
      <c r="B41" s="29"/>
      <c r="C41" s="78"/>
      <c r="D41" s="78"/>
      <c r="E41" s="31"/>
      <c r="F41" s="32"/>
      <c r="G41" s="32"/>
      <c r="H41" s="32"/>
      <c r="I41" s="32"/>
      <c r="J41" s="32"/>
      <c r="K41" s="32"/>
      <c r="L41" s="32"/>
      <c r="M41" s="32"/>
      <c r="N41" s="32"/>
      <c r="O41" s="32"/>
      <c r="P41" s="32"/>
      <c r="Q41" s="32"/>
      <c r="R41" s="32"/>
      <c r="S41" s="32"/>
      <c r="T41" s="32"/>
      <c r="U41" s="32"/>
      <c r="V41" s="32"/>
      <c r="W41" s="32"/>
      <c r="X41" s="32"/>
    </row>
    <row r="42" ht="22.5" customHeight="1">
      <c r="A42" s="29"/>
      <c r="B42" s="29"/>
      <c r="C42" s="78"/>
      <c r="D42" s="78"/>
      <c r="E42" s="31"/>
      <c r="F42" s="32"/>
      <c r="G42" s="32"/>
      <c r="H42" s="32"/>
      <c r="I42" s="32"/>
      <c r="J42" s="32"/>
      <c r="K42" s="32"/>
      <c r="L42" s="32"/>
      <c r="M42" s="32"/>
      <c r="N42" s="32"/>
      <c r="O42" s="32"/>
      <c r="P42" s="32"/>
      <c r="Q42" s="32"/>
      <c r="R42" s="32"/>
      <c r="S42" s="32"/>
      <c r="T42" s="32"/>
      <c r="U42" s="32"/>
      <c r="V42" s="32"/>
      <c r="W42" s="32"/>
      <c r="X42" s="32"/>
    </row>
    <row r="43" ht="22.5" customHeight="1">
      <c r="A43" s="29"/>
      <c r="B43" s="29"/>
      <c r="C43" s="78"/>
      <c r="D43" s="78"/>
      <c r="E43" s="31"/>
      <c r="F43" s="32"/>
      <c r="G43" s="32"/>
      <c r="H43" s="32"/>
      <c r="I43" s="32"/>
      <c r="J43" s="32"/>
      <c r="K43" s="32"/>
      <c r="L43" s="32"/>
      <c r="M43" s="32"/>
      <c r="N43" s="32"/>
      <c r="O43" s="32"/>
      <c r="P43" s="32"/>
      <c r="Q43" s="32"/>
      <c r="R43" s="32"/>
      <c r="S43" s="32"/>
      <c r="T43" s="32"/>
      <c r="U43" s="32"/>
      <c r="V43" s="32"/>
      <c r="W43" s="32"/>
      <c r="X43" s="32"/>
    </row>
    <row r="44" ht="22.5" customHeight="1">
      <c r="A44" s="29"/>
      <c r="B44" s="29"/>
      <c r="C44" s="78"/>
      <c r="D44" s="78"/>
      <c r="E44" s="31"/>
      <c r="F44" s="32"/>
      <c r="G44" s="32"/>
      <c r="H44" s="32"/>
      <c r="I44" s="32"/>
      <c r="J44" s="32"/>
      <c r="K44" s="32"/>
      <c r="L44" s="32"/>
      <c r="M44" s="32"/>
      <c r="N44" s="32"/>
      <c r="O44" s="32"/>
      <c r="P44" s="32"/>
      <c r="Q44" s="32"/>
      <c r="R44" s="32"/>
      <c r="S44" s="32"/>
      <c r="T44" s="32"/>
      <c r="U44" s="32"/>
      <c r="V44" s="32"/>
      <c r="W44" s="32"/>
      <c r="X44" s="32"/>
    </row>
    <row r="45" ht="22.5" customHeight="1">
      <c r="A45" s="29"/>
      <c r="B45" s="29"/>
      <c r="C45" s="78"/>
      <c r="D45" s="78"/>
      <c r="E45" s="31"/>
      <c r="F45" s="32"/>
      <c r="G45" s="32"/>
      <c r="H45" s="32"/>
      <c r="I45" s="32"/>
      <c r="J45" s="32"/>
      <c r="K45" s="32"/>
      <c r="L45" s="32"/>
      <c r="M45" s="32"/>
      <c r="N45" s="32"/>
      <c r="O45" s="32"/>
      <c r="P45" s="32"/>
      <c r="Q45" s="32"/>
      <c r="R45" s="32"/>
      <c r="S45" s="32"/>
      <c r="T45" s="32"/>
      <c r="U45" s="32"/>
      <c r="V45" s="32"/>
      <c r="W45" s="32"/>
      <c r="X45" s="32"/>
    </row>
    <row r="46" ht="22.5" customHeight="1">
      <c r="A46" s="29"/>
      <c r="B46" s="29"/>
      <c r="C46" s="78"/>
      <c r="D46" s="78"/>
      <c r="E46" s="31"/>
      <c r="F46" s="32"/>
      <c r="G46" s="32"/>
      <c r="H46" s="32"/>
      <c r="I46" s="32"/>
      <c r="J46" s="32"/>
      <c r="K46" s="32"/>
      <c r="L46" s="32"/>
      <c r="M46" s="32"/>
      <c r="N46" s="32"/>
      <c r="O46" s="32"/>
      <c r="P46" s="32"/>
      <c r="Q46" s="32"/>
      <c r="R46" s="32"/>
      <c r="S46" s="32"/>
      <c r="T46" s="32"/>
      <c r="U46" s="32"/>
      <c r="V46" s="32"/>
      <c r="W46" s="32"/>
      <c r="X46" s="32"/>
    </row>
    <row r="47" ht="22.5" customHeight="1">
      <c r="A47" s="29"/>
      <c r="B47" s="29"/>
      <c r="C47" s="78"/>
      <c r="D47" s="78"/>
      <c r="E47" s="31"/>
      <c r="F47" s="32"/>
      <c r="G47" s="32"/>
      <c r="H47" s="32"/>
      <c r="I47" s="32"/>
      <c r="J47" s="32"/>
      <c r="K47" s="32"/>
      <c r="L47" s="32"/>
      <c r="M47" s="32"/>
      <c r="N47" s="32"/>
      <c r="O47" s="32"/>
      <c r="P47" s="32"/>
      <c r="Q47" s="32"/>
      <c r="R47" s="32"/>
      <c r="S47" s="32"/>
      <c r="T47" s="32"/>
      <c r="U47" s="32"/>
      <c r="V47" s="32"/>
      <c r="W47" s="32"/>
      <c r="X47" s="32"/>
    </row>
    <row r="48" ht="22.5" customHeight="1">
      <c r="A48" s="29"/>
      <c r="B48" s="29"/>
      <c r="C48" s="78"/>
      <c r="D48" s="78"/>
      <c r="E48" s="31"/>
      <c r="F48" s="32"/>
      <c r="G48" s="32"/>
      <c r="H48" s="32"/>
      <c r="I48" s="32"/>
      <c r="J48" s="32"/>
      <c r="K48" s="32"/>
      <c r="L48" s="32"/>
      <c r="M48" s="32"/>
      <c r="N48" s="32"/>
      <c r="O48" s="32"/>
      <c r="P48" s="32"/>
      <c r="Q48" s="32"/>
      <c r="R48" s="32"/>
      <c r="S48" s="32"/>
      <c r="T48" s="32"/>
      <c r="U48" s="32"/>
      <c r="V48" s="32"/>
      <c r="W48" s="32"/>
      <c r="X48" s="32"/>
    </row>
    <row r="49" ht="22.5" customHeight="1">
      <c r="A49" s="29"/>
      <c r="B49" s="29"/>
      <c r="C49" s="78"/>
      <c r="D49" s="78"/>
      <c r="E49" s="31"/>
      <c r="F49" s="32"/>
      <c r="G49" s="32"/>
      <c r="H49" s="32"/>
      <c r="I49" s="32"/>
      <c r="J49" s="32"/>
      <c r="K49" s="32"/>
      <c r="L49" s="32"/>
      <c r="M49" s="32"/>
      <c r="N49" s="32"/>
      <c r="O49" s="32"/>
      <c r="P49" s="32"/>
      <c r="Q49" s="32"/>
      <c r="R49" s="32"/>
      <c r="S49" s="32"/>
      <c r="T49" s="32"/>
      <c r="U49" s="32"/>
      <c r="V49" s="32"/>
      <c r="W49" s="32"/>
      <c r="X49" s="32"/>
    </row>
    <row r="50" ht="22.5" customHeight="1">
      <c r="A50" s="29"/>
      <c r="B50" s="29"/>
      <c r="C50" s="78"/>
      <c r="D50" s="78"/>
      <c r="E50" s="31"/>
      <c r="F50" s="32"/>
      <c r="G50" s="32"/>
      <c r="H50" s="32"/>
      <c r="I50" s="32"/>
      <c r="J50" s="32"/>
      <c r="K50" s="32"/>
      <c r="L50" s="32"/>
      <c r="M50" s="32"/>
      <c r="N50" s="32"/>
      <c r="O50" s="32"/>
      <c r="P50" s="32"/>
      <c r="Q50" s="32"/>
      <c r="R50" s="32"/>
      <c r="S50" s="32"/>
      <c r="T50" s="32"/>
      <c r="U50" s="32"/>
      <c r="V50" s="32"/>
      <c r="W50" s="32"/>
      <c r="X50" s="32"/>
    </row>
    <row r="51" ht="22.5" customHeight="1">
      <c r="A51" s="29"/>
      <c r="B51" s="29"/>
      <c r="C51" s="78"/>
      <c r="D51" s="78"/>
      <c r="E51" s="31"/>
      <c r="F51" s="32"/>
      <c r="G51" s="32"/>
      <c r="H51" s="32"/>
      <c r="I51" s="32"/>
      <c r="J51" s="32"/>
      <c r="K51" s="32"/>
      <c r="L51" s="32"/>
      <c r="M51" s="32"/>
      <c r="N51" s="32"/>
      <c r="O51" s="32"/>
      <c r="P51" s="32"/>
      <c r="Q51" s="32"/>
      <c r="R51" s="32"/>
      <c r="S51" s="32"/>
      <c r="T51" s="32"/>
      <c r="U51" s="32"/>
      <c r="V51" s="32"/>
      <c r="W51" s="32"/>
      <c r="X51" s="32"/>
    </row>
    <row r="52" ht="22.5" customHeight="1">
      <c r="A52" s="29"/>
      <c r="B52" s="29"/>
      <c r="C52" s="78"/>
      <c r="D52" s="78"/>
      <c r="E52" s="31"/>
      <c r="F52" s="32"/>
      <c r="G52" s="32"/>
      <c r="H52" s="32"/>
      <c r="I52" s="32"/>
      <c r="J52" s="32"/>
      <c r="K52" s="32"/>
      <c r="L52" s="32"/>
      <c r="M52" s="32"/>
      <c r="N52" s="32"/>
      <c r="O52" s="32"/>
      <c r="P52" s="32"/>
      <c r="Q52" s="32"/>
      <c r="R52" s="32"/>
      <c r="S52" s="32"/>
      <c r="T52" s="32"/>
      <c r="U52" s="32"/>
      <c r="V52" s="32"/>
      <c r="W52" s="32"/>
      <c r="X52" s="32"/>
    </row>
    <row r="53" ht="22.5" customHeight="1">
      <c r="A53" s="29"/>
      <c r="B53" s="29"/>
      <c r="C53" s="78"/>
      <c r="D53" s="78"/>
      <c r="E53" s="31"/>
      <c r="F53" s="32"/>
      <c r="G53" s="32"/>
      <c r="H53" s="32"/>
      <c r="I53" s="32"/>
      <c r="J53" s="32"/>
      <c r="K53" s="32"/>
      <c r="L53" s="32"/>
      <c r="M53" s="32"/>
      <c r="N53" s="32"/>
      <c r="O53" s="32"/>
      <c r="P53" s="32"/>
      <c r="Q53" s="32"/>
      <c r="R53" s="32"/>
      <c r="S53" s="32"/>
      <c r="T53" s="32"/>
      <c r="U53" s="32"/>
      <c r="V53" s="32"/>
      <c r="W53" s="32"/>
      <c r="X53" s="32"/>
    </row>
    <row r="54" ht="22.5" customHeight="1">
      <c r="A54" s="29"/>
      <c r="B54" s="29"/>
      <c r="C54" s="78"/>
      <c r="D54" s="78"/>
      <c r="E54" s="31"/>
      <c r="F54" s="32"/>
      <c r="G54" s="32"/>
      <c r="H54" s="32"/>
      <c r="I54" s="32"/>
      <c r="J54" s="32"/>
      <c r="K54" s="32"/>
      <c r="L54" s="32"/>
      <c r="M54" s="32"/>
      <c r="N54" s="32"/>
      <c r="O54" s="32"/>
      <c r="P54" s="32"/>
      <c r="Q54" s="32"/>
      <c r="R54" s="32"/>
      <c r="S54" s="32"/>
      <c r="T54" s="32"/>
      <c r="U54" s="32"/>
      <c r="V54" s="32"/>
      <c r="W54" s="32"/>
      <c r="X54" s="32"/>
    </row>
    <row r="55" ht="22.5" customHeight="1">
      <c r="A55" s="29"/>
      <c r="B55" s="29"/>
      <c r="C55" s="78"/>
      <c r="D55" s="78"/>
      <c r="E55" s="31"/>
      <c r="F55" s="32"/>
      <c r="G55" s="32"/>
      <c r="H55" s="32"/>
      <c r="I55" s="32"/>
      <c r="J55" s="32"/>
      <c r="K55" s="32"/>
      <c r="L55" s="32"/>
      <c r="M55" s="32"/>
      <c r="N55" s="32"/>
      <c r="O55" s="32"/>
      <c r="P55" s="32"/>
      <c r="Q55" s="32"/>
      <c r="R55" s="32"/>
      <c r="S55" s="32"/>
      <c r="T55" s="32"/>
      <c r="U55" s="32"/>
      <c r="V55" s="32"/>
      <c r="W55" s="32"/>
      <c r="X55" s="32"/>
    </row>
    <row r="56" ht="22.5" customHeight="1">
      <c r="A56" s="29"/>
      <c r="B56" s="29"/>
      <c r="C56" s="78"/>
      <c r="D56" s="78"/>
      <c r="E56" s="31"/>
      <c r="F56" s="32"/>
      <c r="G56" s="32"/>
      <c r="H56" s="32"/>
      <c r="I56" s="32"/>
      <c r="J56" s="32"/>
      <c r="K56" s="32"/>
      <c r="L56" s="32"/>
      <c r="M56" s="32"/>
      <c r="N56" s="32"/>
      <c r="O56" s="32"/>
      <c r="P56" s="32"/>
      <c r="Q56" s="32"/>
      <c r="R56" s="32"/>
      <c r="S56" s="32"/>
      <c r="T56" s="32"/>
      <c r="U56" s="32"/>
      <c r="V56" s="32"/>
      <c r="W56" s="32"/>
      <c r="X56" s="32"/>
    </row>
    <row r="57" ht="22.5" customHeight="1">
      <c r="A57" s="29"/>
      <c r="B57" s="29"/>
      <c r="C57" s="78"/>
      <c r="D57" s="78"/>
      <c r="E57" s="31"/>
      <c r="F57" s="32"/>
      <c r="G57" s="32"/>
      <c r="H57" s="32"/>
      <c r="I57" s="32"/>
      <c r="J57" s="32"/>
      <c r="K57" s="32"/>
      <c r="L57" s="32"/>
      <c r="M57" s="32"/>
      <c r="N57" s="32"/>
      <c r="O57" s="32"/>
      <c r="P57" s="32"/>
      <c r="Q57" s="32"/>
      <c r="R57" s="32"/>
      <c r="S57" s="32"/>
      <c r="T57" s="32"/>
      <c r="U57" s="32"/>
      <c r="V57" s="32"/>
      <c r="W57" s="32"/>
      <c r="X57" s="32"/>
    </row>
    <row r="58" ht="22.5" customHeight="1">
      <c r="A58" s="29"/>
      <c r="B58" s="29"/>
      <c r="C58" s="78"/>
      <c r="D58" s="78"/>
      <c r="E58" s="31"/>
      <c r="F58" s="32"/>
      <c r="G58" s="32"/>
      <c r="H58" s="32"/>
      <c r="I58" s="32"/>
      <c r="J58" s="32"/>
      <c r="K58" s="32"/>
      <c r="L58" s="32"/>
      <c r="M58" s="32"/>
      <c r="N58" s="32"/>
      <c r="O58" s="32"/>
      <c r="P58" s="32"/>
      <c r="Q58" s="32"/>
      <c r="R58" s="32"/>
      <c r="S58" s="32"/>
      <c r="T58" s="32"/>
      <c r="U58" s="32"/>
      <c r="V58" s="32"/>
      <c r="W58" s="32"/>
      <c r="X58" s="32"/>
    </row>
    <row r="59" ht="22.5" customHeight="1">
      <c r="A59" s="29"/>
      <c r="B59" s="29"/>
      <c r="C59" s="78"/>
      <c r="D59" s="78"/>
      <c r="E59" s="31"/>
      <c r="F59" s="32"/>
      <c r="G59" s="32"/>
      <c r="H59" s="32"/>
      <c r="I59" s="32"/>
      <c r="J59" s="32"/>
      <c r="K59" s="32"/>
      <c r="L59" s="32"/>
      <c r="M59" s="32"/>
      <c r="N59" s="32"/>
      <c r="O59" s="32"/>
      <c r="P59" s="32"/>
      <c r="Q59" s="32"/>
      <c r="R59" s="32"/>
      <c r="S59" s="32"/>
      <c r="T59" s="32"/>
      <c r="U59" s="32"/>
      <c r="V59" s="32"/>
      <c r="W59" s="32"/>
      <c r="X59" s="32"/>
    </row>
    <row r="60" ht="22.5" customHeight="1">
      <c r="A60" s="29"/>
      <c r="B60" s="29"/>
      <c r="C60" s="78"/>
      <c r="D60" s="78"/>
      <c r="E60" s="31"/>
      <c r="F60" s="32"/>
      <c r="G60" s="32"/>
      <c r="H60" s="32"/>
      <c r="I60" s="32"/>
      <c r="J60" s="32"/>
      <c r="K60" s="32"/>
      <c r="L60" s="32"/>
      <c r="M60" s="32"/>
      <c r="N60" s="32"/>
      <c r="O60" s="32"/>
      <c r="P60" s="32"/>
      <c r="Q60" s="32"/>
      <c r="R60" s="32"/>
      <c r="S60" s="32"/>
      <c r="T60" s="32"/>
      <c r="U60" s="32"/>
      <c r="V60" s="32"/>
      <c r="W60" s="32"/>
      <c r="X60" s="32"/>
    </row>
    <row r="61" ht="22.5" customHeight="1">
      <c r="A61" s="29"/>
      <c r="B61" s="29"/>
      <c r="C61" s="78"/>
      <c r="D61" s="78"/>
      <c r="E61" s="31"/>
      <c r="F61" s="32"/>
      <c r="G61" s="32"/>
      <c r="H61" s="32"/>
      <c r="I61" s="32"/>
      <c r="J61" s="32"/>
      <c r="K61" s="32"/>
      <c r="L61" s="32"/>
      <c r="M61" s="32"/>
      <c r="N61" s="32"/>
      <c r="O61" s="32"/>
      <c r="P61" s="32"/>
      <c r="Q61" s="32"/>
      <c r="R61" s="32"/>
      <c r="S61" s="32"/>
      <c r="T61" s="32"/>
      <c r="U61" s="32"/>
      <c r="V61" s="32"/>
      <c r="W61" s="32"/>
      <c r="X61" s="32"/>
    </row>
    <row r="62" ht="22.5" customHeight="1">
      <c r="A62" s="29"/>
      <c r="B62" s="29"/>
      <c r="C62" s="78"/>
      <c r="D62" s="78"/>
      <c r="E62" s="31"/>
      <c r="F62" s="32"/>
      <c r="G62" s="32"/>
      <c r="H62" s="32"/>
      <c r="I62" s="32"/>
      <c r="J62" s="32"/>
      <c r="K62" s="32"/>
      <c r="L62" s="32"/>
      <c r="M62" s="32"/>
      <c r="N62" s="32"/>
      <c r="O62" s="32"/>
      <c r="P62" s="32"/>
      <c r="Q62" s="32"/>
      <c r="R62" s="32"/>
      <c r="S62" s="32"/>
      <c r="T62" s="32"/>
      <c r="U62" s="32"/>
      <c r="V62" s="32"/>
      <c r="W62" s="32"/>
      <c r="X62" s="32"/>
    </row>
    <row r="63" ht="22.5" customHeight="1">
      <c r="A63" s="29"/>
      <c r="B63" s="29"/>
      <c r="C63" s="78"/>
      <c r="D63" s="78"/>
      <c r="E63" s="31"/>
      <c r="F63" s="32"/>
      <c r="G63" s="32"/>
      <c r="H63" s="32"/>
      <c r="I63" s="32"/>
      <c r="J63" s="32"/>
      <c r="K63" s="32"/>
      <c r="L63" s="32"/>
      <c r="M63" s="32"/>
      <c r="N63" s="32"/>
      <c r="O63" s="32"/>
      <c r="P63" s="32"/>
      <c r="Q63" s="32"/>
      <c r="R63" s="32"/>
      <c r="S63" s="32"/>
      <c r="T63" s="32"/>
      <c r="U63" s="32"/>
      <c r="V63" s="32"/>
      <c r="W63" s="32"/>
      <c r="X63" s="32"/>
    </row>
    <row r="64" ht="22.5" customHeight="1">
      <c r="A64" s="29"/>
      <c r="B64" s="29"/>
      <c r="C64" s="78"/>
      <c r="D64" s="78"/>
      <c r="E64" s="31"/>
      <c r="F64" s="32"/>
      <c r="G64" s="32"/>
      <c r="H64" s="32"/>
      <c r="I64" s="32"/>
      <c r="J64" s="32"/>
      <c r="K64" s="32"/>
      <c r="L64" s="32"/>
      <c r="M64" s="32"/>
      <c r="N64" s="32"/>
      <c r="O64" s="32"/>
      <c r="P64" s="32"/>
      <c r="Q64" s="32"/>
      <c r="R64" s="32"/>
      <c r="S64" s="32"/>
      <c r="T64" s="32"/>
      <c r="U64" s="32"/>
      <c r="V64" s="32"/>
      <c r="W64" s="32"/>
      <c r="X64" s="32"/>
    </row>
    <row r="65" ht="22.5" customHeight="1">
      <c r="A65" s="29"/>
      <c r="B65" s="29"/>
      <c r="C65" s="78"/>
      <c r="D65" s="78"/>
      <c r="E65" s="31"/>
      <c r="F65" s="32"/>
      <c r="G65" s="32"/>
      <c r="H65" s="32"/>
      <c r="I65" s="32"/>
      <c r="J65" s="32"/>
      <c r="K65" s="32"/>
      <c r="L65" s="32"/>
      <c r="M65" s="32"/>
      <c r="N65" s="32"/>
      <c r="O65" s="32"/>
      <c r="P65" s="32"/>
      <c r="Q65" s="32"/>
      <c r="R65" s="32"/>
      <c r="S65" s="32"/>
      <c r="T65" s="32"/>
      <c r="U65" s="32"/>
      <c r="V65" s="32"/>
      <c r="W65" s="32"/>
      <c r="X65" s="32"/>
    </row>
    <row r="66" ht="22.5" customHeight="1">
      <c r="A66" s="29"/>
      <c r="B66" s="29"/>
      <c r="C66" s="78"/>
      <c r="D66" s="78"/>
      <c r="E66" s="31"/>
      <c r="F66" s="32"/>
      <c r="G66" s="32"/>
      <c r="H66" s="32"/>
      <c r="I66" s="32"/>
      <c r="J66" s="32"/>
      <c r="K66" s="32"/>
      <c r="L66" s="32"/>
      <c r="M66" s="32"/>
      <c r="N66" s="32"/>
      <c r="O66" s="32"/>
      <c r="P66" s="32"/>
      <c r="Q66" s="32"/>
      <c r="R66" s="32"/>
      <c r="S66" s="32"/>
      <c r="T66" s="32"/>
      <c r="U66" s="32"/>
      <c r="V66" s="32"/>
      <c r="W66" s="32"/>
      <c r="X66" s="32"/>
    </row>
    <row r="67" ht="22.5" customHeight="1">
      <c r="A67" s="29"/>
      <c r="B67" s="29"/>
      <c r="C67" s="78"/>
      <c r="D67" s="78"/>
      <c r="E67" s="31"/>
      <c r="F67" s="32"/>
      <c r="G67" s="32"/>
      <c r="H67" s="32"/>
      <c r="I67" s="32"/>
      <c r="J67" s="32"/>
      <c r="K67" s="32"/>
      <c r="L67" s="32"/>
      <c r="M67" s="32"/>
      <c r="N67" s="32"/>
      <c r="O67" s="32"/>
      <c r="P67" s="32"/>
      <c r="Q67" s="32"/>
      <c r="R67" s="32"/>
      <c r="S67" s="32"/>
      <c r="T67" s="32"/>
      <c r="U67" s="32"/>
      <c r="V67" s="32"/>
      <c r="W67" s="32"/>
      <c r="X67" s="32"/>
    </row>
    <row r="68" ht="22.5" customHeight="1">
      <c r="A68" s="29"/>
      <c r="B68" s="29"/>
      <c r="C68" s="78"/>
      <c r="D68" s="78"/>
      <c r="E68" s="31"/>
      <c r="F68" s="32"/>
      <c r="G68" s="32"/>
      <c r="H68" s="32"/>
      <c r="I68" s="32"/>
      <c r="J68" s="32"/>
      <c r="K68" s="32"/>
      <c r="L68" s="32"/>
      <c r="M68" s="32"/>
      <c r="N68" s="32"/>
      <c r="O68" s="32"/>
      <c r="P68" s="32"/>
      <c r="Q68" s="32"/>
      <c r="R68" s="32"/>
      <c r="S68" s="32"/>
      <c r="T68" s="32"/>
      <c r="U68" s="32"/>
      <c r="V68" s="32"/>
      <c r="W68" s="32"/>
      <c r="X68" s="32"/>
    </row>
    <row r="69" ht="22.5" customHeight="1">
      <c r="A69" s="29"/>
      <c r="B69" s="29"/>
      <c r="C69" s="78"/>
      <c r="D69" s="78"/>
      <c r="E69" s="31"/>
      <c r="F69" s="32"/>
      <c r="G69" s="32"/>
      <c r="H69" s="32"/>
      <c r="I69" s="32"/>
      <c r="J69" s="32"/>
      <c r="K69" s="32"/>
      <c r="L69" s="32"/>
      <c r="M69" s="32"/>
      <c r="N69" s="32"/>
      <c r="O69" s="32"/>
      <c r="P69" s="32"/>
      <c r="Q69" s="32"/>
      <c r="R69" s="32"/>
      <c r="S69" s="32"/>
      <c r="T69" s="32"/>
      <c r="U69" s="32"/>
      <c r="V69" s="32"/>
      <c r="W69" s="32"/>
      <c r="X69" s="32"/>
    </row>
    <row r="70" ht="22.5" customHeight="1">
      <c r="A70" s="29"/>
      <c r="B70" s="29"/>
      <c r="C70" s="78"/>
      <c r="D70" s="78"/>
      <c r="E70" s="31"/>
      <c r="F70" s="32"/>
      <c r="G70" s="32"/>
      <c r="H70" s="32"/>
      <c r="I70" s="32"/>
      <c r="J70" s="32"/>
      <c r="K70" s="32"/>
      <c r="L70" s="32"/>
      <c r="M70" s="32"/>
      <c r="N70" s="32"/>
      <c r="O70" s="32"/>
      <c r="P70" s="32"/>
      <c r="Q70" s="32"/>
      <c r="R70" s="32"/>
      <c r="S70" s="32"/>
      <c r="T70" s="32"/>
      <c r="U70" s="32"/>
      <c r="V70" s="32"/>
      <c r="W70" s="32"/>
      <c r="X70" s="32"/>
    </row>
    <row r="71" ht="22.5" customHeight="1">
      <c r="A71" s="29"/>
      <c r="B71" s="29"/>
      <c r="C71" s="78"/>
      <c r="D71" s="78"/>
      <c r="E71" s="31"/>
      <c r="F71" s="32"/>
      <c r="G71" s="32"/>
      <c r="H71" s="32"/>
      <c r="I71" s="32"/>
      <c r="J71" s="32"/>
      <c r="K71" s="32"/>
      <c r="L71" s="32"/>
      <c r="M71" s="32"/>
      <c r="N71" s="32"/>
      <c r="O71" s="32"/>
      <c r="P71" s="32"/>
      <c r="Q71" s="32"/>
      <c r="R71" s="32"/>
      <c r="S71" s="32"/>
      <c r="T71" s="32"/>
      <c r="U71" s="32"/>
      <c r="V71" s="32"/>
      <c r="W71" s="32"/>
      <c r="X71" s="32"/>
    </row>
    <row r="72" ht="22.5" customHeight="1">
      <c r="A72" s="29"/>
      <c r="B72" s="29"/>
      <c r="C72" s="78"/>
      <c r="D72" s="78"/>
      <c r="E72" s="31"/>
      <c r="F72" s="32"/>
      <c r="G72" s="32"/>
      <c r="H72" s="32"/>
      <c r="I72" s="32"/>
      <c r="J72" s="32"/>
      <c r="K72" s="32"/>
      <c r="L72" s="32"/>
      <c r="M72" s="32"/>
      <c r="N72" s="32"/>
      <c r="O72" s="32"/>
      <c r="P72" s="32"/>
      <c r="Q72" s="32"/>
      <c r="R72" s="32"/>
      <c r="S72" s="32"/>
      <c r="T72" s="32"/>
      <c r="U72" s="32"/>
      <c r="V72" s="32"/>
      <c r="W72" s="32"/>
      <c r="X72" s="32"/>
    </row>
    <row r="73" ht="22.5" customHeight="1">
      <c r="A73" s="29"/>
      <c r="B73" s="29"/>
      <c r="C73" s="78"/>
      <c r="D73" s="78"/>
      <c r="E73" s="31"/>
      <c r="F73" s="32"/>
      <c r="G73" s="32"/>
      <c r="H73" s="32"/>
      <c r="I73" s="32"/>
      <c r="J73" s="32"/>
      <c r="K73" s="32"/>
      <c r="L73" s="32"/>
      <c r="M73" s="32"/>
      <c r="N73" s="32"/>
      <c r="O73" s="32"/>
      <c r="P73" s="32"/>
      <c r="Q73" s="32"/>
      <c r="R73" s="32"/>
      <c r="S73" s="32"/>
      <c r="T73" s="32"/>
      <c r="U73" s="32"/>
      <c r="V73" s="32"/>
      <c r="W73" s="32"/>
      <c r="X73" s="32"/>
    </row>
    <row r="74" ht="22.5" customHeight="1">
      <c r="A74" s="29"/>
      <c r="B74" s="29"/>
      <c r="C74" s="78"/>
      <c r="D74" s="78"/>
      <c r="E74" s="31"/>
      <c r="F74" s="32"/>
      <c r="G74" s="32"/>
      <c r="H74" s="32"/>
      <c r="I74" s="32"/>
      <c r="J74" s="32"/>
      <c r="K74" s="32"/>
      <c r="L74" s="32"/>
      <c r="M74" s="32"/>
      <c r="N74" s="32"/>
      <c r="O74" s="32"/>
      <c r="P74" s="32"/>
      <c r="Q74" s="32"/>
      <c r="R74" s="32"/>
      <c r="S74" s="32"/>
      <c r="T74" s="32"/>
      <c r="U74" s="32"/>
      <c r="V74" s="32"/>
      <c r="W74" s="32"/>
      <c r="X74" s="32"/>
    </row>
    <row r="75" ht="22.5" customHeight="1">
      <c r="A75" s="29"/>
      <c r="B75" s="29"/>
      <c r="C75" s="78"/>
      <c r="D75" s="78"/>
      <c r="E75" s="31"/>
      <c r="F75" s="32"/>
      <c r="G75" s="32"/>
      <c r="H75" s="32"/>
      <c r="I75" s="32"/>
      <c r="J75" s="32"/>
      <c r="K75" s="32"/>
      <c r="L75" s="32"/>
      <c r="M75" s="32"/>
      <c r="N75" s="32"/>
      <c r="O75" s="32"/>
      <c r="P75" s="32"/>
      <c r="Q75" s="32"/>
      <c r="R75" s="32"/>
      <c r="S75" s="32"/>
      <c r="T75" s="32"/>
      <c r="U75" s="32"/>
      <c r="V75" s="32"/>
      <c r="W75" s="32"/>
      <c r="X75" s="32"/>
    </row>
    <row r="76" ht="22.5" customHeight="1">
      <c r="A76" s="29"/>
      <c r="B76" s="29"/>
      <c r="C76" s="78"/>
      <c r="D76" s="78"/>
      <c r="E76" s="31"/>
      <c r="F76" s="32"/>
      <c r="G76" s="32"/>
      <c r="H76" s="32"/>
      <c r="I76" s="32"/>
      <c r="J76" s="32"/>
      <c r="K76" s="32"/>
      <c r="L76" s="32"/>
      <c r="M76" s="32"/>
      <c r="N76" s="32"/>
      <c r="O76" s="32"/>
      <c r="P76" s="32"/>
      <c r="Q76" s="32"/>
      <c r="R76" s="32"/>
      <c r="S76" s="32"/>
      <c r="T76" s="32"/>
      <c r="U76" s="32"/>
      <c r="V76" s="32"/>
      <c r="W76" s="32"/>
      <c r="X76" s="32"/>
    </row>
    <row r="77" ht="22.5" customHeight="1">
      <c r="A77" s="29"/>
      <c r="B77" s="29"/>
      <c r="C77" s="78"/>
      <c r="D77" s="78"/>
      <c r="E77" s="31"/>
      <c r="F77" s="32"/>
      <c r="G77" s="32"/>
      <c r="H77" s="32"/>
      <c r="I77" s="32"/>
      <c r="J77" s="32"/>
      <c r="K77" s="32"/>
      <c r="L77" s="32"/>
      <c r="M77" s="32"/>
      <c r="N77" s="32"/>
      <c r="O77" s="32"/>
      <c r="P77" s="32"/>
      <c r="Q77" s="32"/>
      <c r="R77" s="32"/>
      <c r="S77" s="32"/>
      <c r="T77" s="32"/>
      <c r="U77" s="32"/>
      <c r="V77" s="32"/>
      <c r="W77" s="32"/>
      <c r="X77" s="32"/>
    </row>
    <row r="78" ht="22.5" customHeight="1">
      <c r="A78" s="29"/>
      <c r="B78" s="29"/>
      <c r="C78" s="78"/>
      <c r="D78" s="78"/>
      <c r="E78" s="31"/>
      <c r="F78" s="32"/>
      <c r="G78" s="32"/>
      <c r="H78" s="32"/>
      <c r="I78" s="32"/>
      <c r="J78" s="32"/>
      <c r="K78" s="32"/>
      <c r="L78" s="32"/>
      <c r="M78" s="32"/>
      <c r="N78" s="32"/>
      <c r="O78" s="32"/>
      <c r="P78" s="32"/>
      <c r="Q78" s="32"/>
      <c r="R78" s="32"/>
      <c r="S78" s="32"/>
      <c r="T78" s="32"/>
      <c r="U78" s="32"/>
      <c r="V78" s="32"/>
      <c r="W78" s="32"/>
      <c r="X78" s="32"/>
    </row>
    <row r="79" ht="22.5" customHeight="1">
      <c r="A79" s="29"/>
      <c r="B79" s="29"/>
      <c r="C79" s="78"/>
      <c r="D79" s="78"/>
      <c r="E79" s="31"/>
      <c r="F79" s="32"/>
      <c r="G79" s="32"/>
      <c r="H79" s="32"/>
      <c r="I79" s="32"/>
      <c r="J79" s="32"/>
      <c r="K79" s="32"/>
      <c r="L79" s="32"/>
      <c r="M79" s="32"/>
      <c r="N79" s="32"/>
      <c r="O79" s="32"/>
      <c r="P79" s="32"/>
      <c r="Q79" s="32"/>
      <c r="R79" s="32"/>
      <c r="S79" s="32"/>
      <c r="T79" s="32"/>
      <c r="U79" s="32"/>
      <c r="V79" s="32"/>
      <c r="W79" s="32"/>
      <c r="X79" s="32"/>
    </row>
    <row r="80" ht="22.5" customHeight="1">
      <c r="A80" s="29"/>
      <c r="B80" s="29"/>
      <c r="C80" s="78"/>
      <c r="D80" s="78"/>
      <c r="E80" s="31"/>
      <c r="F80" s="32"/>
      <c r="G80" s="32"/>
      <c r="H80" s="32"/>
      <c r="I80" s="32"/>
      <c r="J80" s="32"/>
      <c r="K80" s="32"/>
      <c r="L80" s="32"/>
      <c r="M80" s="32"/>
      <c r="N80" s="32"/>
      <c r="O80" s="32"/>
      <c r="P80" s="32"/>
      <c r="Q80" s="32"/>
      <c r="R80" s="32"/>
      <c r="S80" s="32"/>
      <c r="T80" s="32"/>
      <c r="U80" s="32"/>
      <c r="V80" s="32"/>
      <c r="W80" s="32"/>
      <c r="X80" s="32"/>
    </row>
    <row r="81" ht="22.5" customHeight="1">
      <c r="A81" s="29"/>
      <c r="B81" s="29"/>
      <c r="C81" s="78"/>
      <c r="D81" s="78"/>
      <c r="E81" s="31"/>
      <c r="F81" s="32"/>
      <c r="G81" s="32"/>
      <c r="H81" s="32"/>
      <c r="I81" s="32"/>
      <c r="J81" s="32"/>
      <c r="K81" s="32"/>
      <c r="L81" s="32"/>
      <c r="M81" s="32"/>
      <c r="N81" s="32"/>
      <c r="O81" s="32"/>
      <c r="P81" s="32"/>
      <c r="Q81" s="32"/>
      <c r="R81" s="32"/>
      <c r="S81" s="32"/>
      <c r="T81" s="32"/>
      <c r="U81" s="32"/>
      <c r="V81" s="32"/>
      <c r="W81" s="32"/>
      <c r="X81" s="32"/>
    </row>
    <row r="82" ht="22.5" customHeight="1">
      <c r="A82" s="29"/>
      <c r="B82" s="29"/>
      <c r="C82" s="78"/>
      <c r="D82" s="78"/>
      <c r="E82" s="31"/>
      <c r="F82" s="32"/>
      <c r="G82" s="32"/>
      <c r="H82" s="32"/>
      <c r="I82" s="32"/>
      <c r="J82" s="32"/>
      <c r="K82" s="32"/>
      <c r="L82" s="32"/>
      <c r="M82" s="32"/>
      <c r="N82" s="32"/>
      <c r="O82" s="32"/>
      <c r="P82" s="32"/>
      <c r="Q82" s="32"/>
      <c r="R82" s="32"/>
      <c r="S82" s="32"/>
      <c r="T82" s="32"/>
      <c r="U82" s="32"/>
      <c r="V82" s="32"/>
      <c r="W82" s="32"/>
      <c r="X82" s="32"/>
    </row>
    <row r="83" ht="22.5" customHeight="1">
      <c r="A83" s="29"/>
      <c r="B83" s="29"/>
      <c r="C83" s="78"/>
      <c r="D83" s="78"/>
      <c r="E83" s="31"/>
      <c r="F83" s="32"/>
      <c r="G83" s="32"/>
      <c r="H83" s="32"/>
      <c r="I83" s="32"/>
      <c r="J83" s="32"/>
      <c r="K83" s="32"/>
      <c r="L83" s="32"/>
      <c r="M83" s="32"/>
      <c r="N83" s="32"/>
      <c r="O83" s="32"/>
      <c r="P83" s="32"/>
      <c r="Q83" s="32"/>
      <c r="R83" s="32"/>
      <c r="S83" s="32"/>
      <c r="T83" s="32"/>
      <c r="U83" s="32"/>
      <c r="V83" s="32"/>
      <c r="W83" s="32"/>
      <c r="X83" s="32"/>
    </row>
    <row r="84" ht="22.5" customHeight="1">
      <c r="A84" s="29"/>
      <c r="B84" s="29"/>
      <c r="C84" s="78"/>
      <c r="D84" s="78"/>
      <c r="E84" s="31"/>
      <c r="F84" s="32"/>
      <c r="G84" s="32"/>
      <c r="H84" s="32"/>
      <c r="I84" s="32"/>
      <c r="J84" s="32"/>
      <c r="K84" s="32"/>
      <c r="L84" s="32"/>
      <c r="M84" s="32"/>
      <c r="N84" s="32"/>
      <c r="O84" s="32"/>
      <c r="P84" s="32"/>
      <c r="Q84" s="32"/>
      <c r="R84" s="32"/>
      <c r="S84" s="32"/>
      <c r="T84" s="32"/>
      <c r="U84" s="32"/>
      <c r="V84" s="32"/>
      <c r="W84" s="32"/>
      <c r="X84" s="32"/>
    </row>
    <row r="85" ht="22.5" customHeight="1">
      <c r="A85" s="29"/>
      <c r="B85" s="29"/>
      <c r="C85" s="78"/>
      <c r="D85" s="78"/>
      <c r="E85" s="31"/>
      <c r="F85" s="32"/>
      <c r="G85" s="32"/>
      <c r="H85" s="32"/>
      <c r="I85" s="32"/>
      <c r="J85" s="32"/>
      <c r="K85" s="32"/>
      <c r="L85" s="32"/>
      <c r="M85" s="32"/>
      <c r="N85" s="32"/>
      <c r="O85" s="32"/>
      <c r="P85" s="32"/>
      <c r="Q85" s="32"/>
      <c r="R85" s="32"/>
      <c r="S85" s="32"/>
      <c r="T85" s="32"/>
      <c r="U85" s="32"/>
      <c r="V85" s="32"/>
      <c r="W85" s="32"/>
      <c r="X85" s="32"/>
    </row>
    <row r="86" ht="22.5" customHeight="1">
      <c r="A86" s="29"/>
      <c r="B86" s="29"/>
      <c r="C86" s="78"/>
      <c r="D86" s="78"/>
      <c r="E86" s="31"/>
      <c r="F86" s="32"/>
      <c r="G86" s="32"/>
      <c r="H86" s="32"/>
      <c r="I86" s="32"/>
      <c r="J86" s="32"/>
      <c r="K86" s="32"/>
      <c r="L86" s="32"/>
      <c r="M86" s="32"/>
      <c r="N86" s="32"/>
      <c r="O86" s="32"/>
      <c r="P86" s="32"/>
      <c r="Q86" s="32"/>
      <c r="R86" s="32"/>
      <c r="S86" s="32"/>
      <c r="T86" s="32"/>
      <c r="U86" s="32"/>
      <c r="V86" s="32"/>
      <c r="W86" s="32"/>
      <c r="X86" s="32"/>
    </row>
    <row r="87" ht="22.5" customHeight="1">
      <c r="A87" s="29"/>
      <c r="B87" s="29"/>
      <c r="C87" s="78"/>
      <c r="D87" s="78"/>
      <c r="E87" s="31"/>
      <c r="F87" s="32"/>
      <c r="G87" s="32"/>
      <c r="H87" s="32"/>
      <c r="I87" s="32"/>
      <c r="J87" s="32"/>
      <c r="K87" s="32"/>
      <c r="L87" s="32"/>
      <c r="M87" s="32"/>
      <c r="N87" s="32"/>
      <c r="O87" s="32"/>
      <c r="P87" s="32"/>
      <c r="Q87" s="32"/>
      <c r="R87" s="32"/>
      <c r="S87" s="32"/>
      <c r="T87" s="32"/>
      <c r="U87" s="32"/>
      <c r="V87" s="32"/>
      <c r="W87" s="32"/>
      <c r="X87" s="32"/>
    </row>
    <row r="88" ht="22.5" customHeight="1">
      <c r="A88" s="29"/>
      <c r="B88" s="29"/>
      <c r="C88" s="78"/>
      <c r="D88" s="78"/>
      <c r="E88" s="31"/>
      <c r="F88" s="32"/>
      <c r="G88" s="32"/>
      <c r="H88" s="32"/>
      <c r="I88" s="32"/>
      <c r="J88" s="32"/>
      <c r="K88" s="32"/>
      <c r="L88" s="32"/>
      <c r="M88" s="32"/>
      <c r="N88" s="32"/>
      <c r="O88" s="32"/>
      <c r="P88" s="32"/>
      <c r="Q88" s="32"/>
      <c r="R88" s="32"/>
      <c r="S88" s="32"/>
      <c r="T88" s="32"/>
      <c r="U88" s="32"/>
      <c r="V88" s="32"/>
      <c r="W88" s="32"/>
      <c r="X88" s="32"/>
    </row>
    <row r="89" ht="22.5" customHeight="1">
      <c r="A89" s="29"/>
      <c r="B89" s="29"/>
      <c r="C89" s="78"/>
      <c r="D89" s="78"/>
      <c r="E89" s="31"/>
      <c r="F89" s="32"/>
      <c r="G89" s="32"/>
      <c r="H89" s="32"/>
      <c r="I89" s="32"/>
      <c r="J89" s="32"/>
      <c r="K89" s="32"/>
      <c r="L89" s="32"/>
      <c r="M89" s="32"/>
      <c r="N89" s="32"/>
      <c r="O89" s="32"/>
      <c r="P89" s="32"/>
      <c r="Q89" s="32"/>
      <c r="R89" s="32"/>
      <c r="S89" s="32"/>
      <c r="T89" s="32"/>
      <c r="U89" s="32"/>
      <c r="V89" s="32"/>
      <c r="W89" s="32"/>
      <c r="X89" s="32"/>
    </row>
    <row r="90" ht="22.5" customHeight="1">
      <c r="A90" s="29"/>
      <c r="B90" s="29"/>
      <c r="C90" s="78"/>
      <c r="D90" s="78"/>
      <c r="E90" s="31"/>
      <c r="F90" s="32"/>
      <c r="G90" s="32"/>
      <c r="H90" s="32"/>
      <c r="I90" s="32"/>
      <c r="J90" s="32"/>
      <c r="K90" s="32"/>
      <c r="L90" s="32"/>
      <c r="M90" s="32"/>
      <c r="N90" s="32"/>
      <c r="O90" s="32"/>
      <c r="P90" s="32"/>
      <c r="Q90" s="32"/>
      <c r="R90" s="32"/>
      <c r="S90" s="32"/>
      <c r="T90" s="32"/>
      <c r="U90" s="32"/>
      <c r="V90" s="32"/>
      <c r="W90" s="32"/>
      <c r="X90" s="32"/>
    </row>
    <row r="91" ht="22.5" customHeight="1">
      <c r="A91" s="29"/>
      <c r="B91" s="29"/>
      <c r="C91" s="78"/>
      <c r="D91" s="78"/>
      <c r="E91" s="31"/>
      <c r="F91" s="32"/>
      <c r="G91" s="32"/>
      <c r="H91" s="32"/>
      <c r="I91" s="32"/>
      <c r="J91" s="32"/>
      <c r="K91" s="32"/>
      <c r="L91" s="32"/>
      <c r="M91" s="32"/>
      <c r="N91" s="32"/>
      <c r="O91" s="32"/>
      <c r="P91" s="32"/>
      <c r="Q91" s="32"/>
      <c r="R91" s="32"/>
      <c r="S91" s="32"/>
      <c r="T91" s="32"/>
      <c r="U91" s="32"/>
      <c r="V91" s="32"/>
      <c r="W91" s="32"/>
      <c r="X91" s="32"/>
    </row>
    <row r="92" ht="22.5" customHeight="1">
      <c r="A92" s="29"/>
      <c r="B92" s="29"/>
      <c r="C92" s="78"/>
      <c r="D92" s="78"/>
      <c r="E92" s="31"/>
      <c r="F92" s="32"/>
      <c r="G92" s="32"/>
      <c r="H92" s="32"/>
      <c r="I92" s="32"/>
      <c r="J92" s="32"/>
      <c r="K92" s="32"/>
      <c r="L92" s="32"/>
      <c r="M92" s="32"/>
      <c r="N92" s="32"/>
      <c r="O92" s="32"/>
      <c r="P92" s="32"/>
      <c r="Q92" s="32"/>
      <c r="R92" s="32"/>
      <c r="S92" s="32"/>
      <c r="T92" s="32"/>
      <c r="U92" s="32"/>
      <c r="V92" s="32"/>
      <c r="W92" s="32"/>
      <c r="X92" s="32"/>
    </row>
    <row r="93" ht="22.5" customHeight="1">
      <c r="A93" s="29"/>
      <c r="B93" s="29"/>
      <c r="C93" s="78"/>
      <c r="D93" s="78"/>
      <c r="E93" s="31"/>
      <c r="F93" s="32"/>
      <c r="G93" s="32"/>
      <c r="H93" s="32"/>
      <c r="I93" s="32"/>
      <c r="J93" s="32"/>
      <c r="K93" s="32"/>
      <c r="L93" s="32"/>
      <c r="M93" s="32"/>
      <c r="N93" s="32"/>
      <c r="O93" s="32"/>
      <c r="P93" s="32"/>
      <c r="Q93" s="32"/>
      <c r="R93" s="32"/>
      <c r="S93" s="32"/>
      <c r="T93" s="32"/>
      <c r="U93" s="32"/>
      <c r="V93" s="32"/>
      <c r="W93" s="32"/>
      <c r="X93" s="32"/>
    </row>
    <row r="94" ht="22.5" customHeight="1">
      <c r="A94" s="29"/>
      <c r="B94" s="29"/>
      <c r="C94" s="78"/>
      <c r="D94" s="78"/>
      <c r="E94" s="31"/>
      <c r="F94" s="32"/>
      <c r="G94" s="32"/>
      <c r="H94" s="32"/>
      <c r="I94" s="32"/>
      <c r="J94" s="32"/>
      <c r="K94" s="32"/>
      <c r="L94" s="32"/>
      <c r="M94" s="32"/>
      <c r="N94" s="32"/>
      <c r="O94" s="32"/>
      <c r="P94" s="32"/>
      <c r="Q94" s="32"/>
      <c r="R94" s="32"/>
      <c r="S94" s="32"/>
      <c r="T94" s="32"/>
      <c r="U94" s="32"/>
      <c r="V94" s="32"/>
      <c r="W94" s="32"/>
      <c r="X94" s="32"/>
    </row>
    <row r="95" ht="22.5" customHeight="1">
      <c r="A95" s="29"/>
      <c r="B95" s="29"/>
      <c r="C95" s="78"/>
      <c r="D95" s="78"/>
      <c r="E95" s="31"/>
      <c r="F95" s="32"/>
      <c r="G95" s="32"/>
      <c r="H95" s="32"/>
      <c r="I95" s="32"/>
      <c r="J95" s="32"/>
      <c r="K95" s="32"/>
      <c r="L95" s="32"/>
      <c r="M95" s="32"/>
      <c r="N95" s="32"/>
      <c r="O95" s="32"/>
      <c r="P95" s="32"/>
      <c r="Q95" s="32"/>
      <c r="R95" s="32"/>
      <c r="S95" s="32"/>
      <c r="T95" s="32"/>
      <c r="U95" s="32"/>
      <c r="V95" s="32"/>
      <c r="W95" s="32"/>
      <c r="X95" s="32"/>
    </row>
    <row r="96" ht="22.5" customHeight="1">
      <c r="A96" s="29"/>
      <c r="B96" s="29"/>
      <c r="C96" s="78"/>
      <c r="D96" s="78"/>
      <c r="E96" s="31"/>
      <c r="F96" s="32"/>
      <c r="G96" s="32"/>
      <c r="H96" s="32"/>
      <c r="I96" s="32"/>
      <c r="J96" s="32"/>
      <c r="K96" s="32"/>
      <c r="L96" s="32"/>
      <c r="M96" s="32"/>
      <c r="N96" s="32"/>
      <c r="O96" s="32"/>
      <c r="P96" s="32"/>
      <c r="Q96" s="32"/>
      <c r="R96" s="32"/>
      <c r="S96" s="32"/>
      <c r="T96" s="32"/>
      <c r="U96" s="32"/>
      <c r="V96" s="32"/>
      <c r="W96" s="32"/>
      <c r="X96" s="32"/>
    </row>
    <row r="97" ht="22.5" customHeight="1">
      <c r="A97" s="29"/>
      <c r="B97" s="29"/>
      <c r="C97" s="78"/>
      <c r="D97" s="78"/>
      <c r="E97" s="31"/>
      <c r="F97" s="32"/>
      <c r="G97" s="32"/>
      <c r="H97" s="32"/>
      <c r="I97" s="32"/>
      <c r="J97" s="32"/>
      <c r="K97" s="32"/>
      <c r="L97" s="32"/>
      <c r="M97" s="32"/>
      <c r="N97" s="32"/>
      <c r="O97" s="32"/>
      <c r="P97" s="32"/>
      <c r="Q97" s="32"/>
      <c r="R97" s="32"/>
      <c r="S97" s="32"/>
      <c r="T97" s="32"/>
      <c r="U97" s="32"/>
      <c r="V97" s="32"/>
      <c r="W97" s="32"/>
      <c r="X97" s="32"/>
    </row>
    <row r="98" ht="22.5" customHeight="1">
      <c r="A98" s="29"/>
      <c r="B98" s="29"/>
      <c r="C98" s="78"/>
      <c r="D98" s="78"/>
      <c r="E98" s="31"/>
      <c r="F98" s="32"/>
      <c r="G98" s="32"/>
      <c r="H98" s="32"/>
      <c r="I98" s="32"/>
      <c r="J98" s="32"/>
      <c r="K98" s="32"/>
      <c r="L98" s="32"/>
      <c r="M98" s="32"/>
      <c r="N98" s="32"/>
      <c r="O98" s="32"/>
      <c r="P98" s="32"/>
      <c r="Q98" s="32"/>
      <c r="R98" s="32"/>
      <c r="S98" s="32"/>
      <c r="T98" s="32"/>
      <c r="U98" s="32"/>
      <c r="V98" s="32"/>
      <c r="W98" s="32"/>
      <c r="X98" s="32"/>
    </row>
    <row r="99" ht="22.5" customHeight="1">
      <c r="A99" s="29"/>
      <c r="B99" s="29"/>
      <c r="C99" s="78"/>
      <c r="D99" s="78"/>
      <c r="E99" s="31"/>
      <c r="F99" s="32"/>
      <c r="G99" s="32"/>
      <c r="H99" s="32"/>
      <c r="I99" s="32"/>
      <c r="J99" s="32"/>
      <c r="K99" s="32"/>
      <c r="L99" s="32"/>
      <c r="M99" s="32"/>
      <c r="N99" s="32"/>
      <c r="O99" s="32"/>
      <c r="P99" s="32"/>
      <c r="Q99" s="32"/>
      <c r="R99" s="32"/>
      <c r="S99" s="32"/>
      <c r="T99" s="32"/>
      <c r="U99" s="32"/>
      <c r="V99" s="32"/>
      <c r="W99" s="32"/>
      <c r="X99" s="32"/>
    </row>
    <row r="100" ht="22.5" customHeight="1">
      <c r="A100" s="29"/>
      <c r="B100" s="29"/>
      <c r="C100" s="78"/>
      <c r="D100" s="78"/>
      <c r="E100" s="31"/>
      <c r="F100" s="32"/>
      <c r="G100" s="32"/>
      <c r="H100" s="32"/>
      <c r="I100" s="32"/>
      <c r="J100" s="32"/>
      <c r="K100" s="32"/>
      <c r="L100" s="32"/>
      <c r="M100" s="32"/>
      <c r="N100" s="32"/>
      <c r="O100" s="32"/>
      <c r="P100" s="32"/>
      <c r="Q100" s="32"/>
      <c r="R100" s="32"/>
      <c r="S100" s="32"/>
      <c r="T100" s="32"/>
      <c r="U100" s="32"/>
      <c r="V100" s="32"/>
      <c r="W100" s="32"/>
      <c r="X100" s="32"/>
    </row>
    <row r="101" ht="22.5" customHeight="1">
      <c r="A101" s="29"/>
      <c r="B101" s="29"/>
      <c r="C101" s="78"/>
      <c r="D101" s="78"/>
      <c r="E101" s="31"/>
      <c r="F101" s="32"/>
      <c r="G101" s="32"/>
      <c r="H101" s="32"/>
      <c r="I101" s="32"/>
      <c r="J101" s="32"/>
      <c r="K101" s="32"/>
      <c r="L101" s="32"/>
      <c r="M101" s="32"/>
      <c r="N101" s="32"/>
      <c r="O101" s="32"/>
      <c r="P101" s="32"/>
      <c r="Q101" s="32"/>
      <c r="R101" s="32"/>
      <c r="S101" s="32"/>
      <c r="T101" s="32"/>
      <c r="U101" s="32"/>
      <c r="V101" s="32"/>
      <c r="W101" s="32"/>
      <c r="X101" s="32"/>
    </row>
    <row r="102" ht="22.5" customHeight="1">
      <c r="A102" s="29"/>
      <c r="B102" s="29"/>
      <c r="C102" s="78"/>
      <c r="D102" s="78"/>
      <c r="E102" s="31"/>
      <c r="F102" s="32"/>
      <c r="G102" s="32"/>
      <c r="H102" s="32"/>
      <c r="I102" s="32"/>
      <c r="J102" s="32"/>
      <c r="K102" s="32"/>
      <c r="L102" s="32"/>
      <c r="M102" s="32"/>
      <c r="N102" s="32"/>
      <c r="O102" s="32"/>
      <c r="P102" s="32"/>
      <c r="Q102" s="32"/>
      <c r="R102" s="32"/>
      <c r="S102" s="32"/>
      <c r="T102" s="32"/>
      <c r="U102" s="32"/>
      <c r="V102" s="32"/>
      <c r="W102" s="32"/>
      <c r="X102" s="32"/>
    </row>
    <row r="103" ht="22.5" customHeight="1">
      <c r="A103" s="29"/>
      <c r="B103" s="29"/>
      <c r="C103" s="78"/>
      <c r="D103" s="78"/>
      <c r="E103" s="31"/>
      <c r="F103" s="32"/>
      <c r="G103" s="32"/>
      <c r="H103" s="32"/>
      <c r="I103" s="32"/>
      <c r="J103" s="32"/>
      <c r="K103" s="32"/>
      <c r="L103" s="32"/>
      <c r="M103" s="32"/>
      <c r="N103" s="32"/>
      <c r="O103" s="32"/>
      <c r="P103" s="32"/>
      <c r="Q103" s="32"/>
      <c r="R103" s="32"/>
      <c r="S103" s="32"/>
      <c r="T103" s="32"/>
      <c r="U103" s="32"/>
      <c r="V103" s="32"/>
      <c r="W103" s="32"/>
      <c r="X103" s="32"/>
    </row>
    <row r="104" ht="22.5" customHeight="1">
      <c r="A104" s="29"/>
      <c r="B104" s="29"/>
      <c r="C104" s="78"/>
      <c r="D104" s="78"/>
      <c r="E104" s="31"/>
      <c r="F104" s="32"/>
      <c r="G104" s="32"/>
      <c r="H104" s="32"/>
      <c r="I104" s="32"/>
      <c r="J104" s="32"/>
      <c r="K104" s="32"/>
      <c r="L104" s="32"/>
      <c r="M104" s="32"/>
      <c r="N104" s="32"/>
      <c r="O104" s="32"/>
      <c r="P104" s="32"/>
      <c r="Q104" s="32"/>
      <c r="R104" s="32"/>
      <c r="S104" s="32"/>
      <c r="T104" s="32"/>
      <c r="U104" s="32"/>
      <c r="V104" s="32"/>
      <c r="W104" s="32"/>
      <c r="X104" s="32"/>
    </row>
    <row r="105" ht="22.5" customHeight="1">
      <c r="A105" s="29"/>
      <c r="B105" s="29"/>
      <c r="C105" s="78"/>
      <c r="D105" s="78"/>
      <c r="E105" s="31"/>
      <c r="F105" s="32"/>
      <c r="G105" s="32"/>
      <c r="H105" s="32"/>
      <c r="I105" s="32"/>
      <c r="J105" s="32"/>
      <c r="K105" s="32"/>
      <c r="L105" s="32"/>
      <c r="M105" s="32"/>
      <c r="N105" s="32"/>
      <c r="O105" s="32"/>
      <c r="P105" s="32"/>
      <c r="Q105" s="32"/>
      <c r="R105" s="32"/>
      <c r="S105" s="32"/>
      <c r="T105" s="32"/>
      <c r="U105" s="32"/>
      <c r="V105" s="32"/>
      <c r="W105" s="32"/>
      <c r="X105" s="32"/>
    </row>
    <row r="106" ht="22.5" customHeight="1">
      <c r="A106" s="29"/>
      <c r="B106" s="29"/>
      <c r="C106" s="78"/>
      <c r="D106" s="78"/>
      <c r="E106" s="31"/>
      <c r="F106" s="32"/>
      <c r="G106" s="32"/>
      <c r="H106" s="32"/>
      <c r="I106" s="32"/>
      <c r="J106" s="32"/>
      <c r="K106" s="32"/>
      <c r="L106" s="32"/>
      <c r="M106" s="32"/>
      <c r="N106" s="32"/>
      <c r="O106" s="32"/>
      <c r="P106" s="32"/>
      <c r="Q106" s="32"/>
      <c r="R106" s="32"/>
      <c r="S106" s="32"/>
      <c r="T106" s="32"/>
      <c r="U106" s="32"/>
      <c r="V106" s="32"/>
      <c r="W106" s="32"/>
      <c r="X106" s="32"/>
    </row>
    <row r="107" ht="22.5" customHeight="1">
      <c r="A107" s="29"/>
      <c r="B107" s="29"/>
      <c r="C107" s="78"/>
      <c r="D107" s="78"/>
      <c r="E107" s="31"/>
      <c r="F107" s="32"/>
      <c r="G107" s="32"/>
      <c r="H107" s="32"/>
      <c r="I107" s="32"/>
      <c r="J107" s="32"/>
      <c r="K107" s="32"/>
      <c r="L107" s="32"/>
      <c r="M107" s="32"/>
      <c r="N107" s="32"/>
      <c r="O107" s="32"/>
      <c r="P107" s="32"/>
      <c r="Q107" s="32"/>
      <c r="R107" s="32"/>
      <c r="S107" s="32"/>
      <c r="T107" s="32"/>
      <c r="U107" s="32"/>
      <c r="V107" s="32"/>
      <c r="W107" s="32"/>
      <c r="X107" s="32"/>
    </row>
    <row r="108" ht="22.5" customHeight="1">
      <c r="A108" s="29"/>
      <c r="B108" s="29"/>
      <c r="C108" s="78"/>
      <c r="D108" s="78"/>
      <c r="E108" s="31"/>
      <c r="F108" s="32"/>
      <c r="G108" s="32"/>
      <c r="H108" s="32"/>
      <c r="I108" s="32"/>
      <c r="J108" s="32"/>
      <c r="K108" s="32"/>
      <c r="L108" s="32"/>
      <c r="M108" s="32"/>
      <c r="N108" s="32"/>
      <c r="O108" s="32"/>
      <c r="P108" s="32"/>
      <c r="Q108" s="32"/>
      <c r="R108" s="32"/>
      <c r="S108" s="32"/>
      <c r="T108" s="32"/>
      <c r="U108" s="32"/>
      <c r="V108" s="32"/>
      <c r="W108" s="32"/>
      <c r="X108" s="32"/>
    </row>
    <row r="109" ht="22.5" customHeight="1">
      <c r="A109" s="29"/>
      <c r="B109" s="29"/>
      <c r="C109" s="78"/>
      <c r="D109" s="78"/>
      <c r="E109" s="31"/>
      <c r="F109" s="32"/>
      <c r="G109" s="32"/>
      <c r="H109" s="32"/>
      <c r="I109" s="32"/>
      <c r="J109" s="32"/>
      <c r="K109" s="32"/>
      <c r="L109" s="32"/>
      <c r="M109" s="32"/>
      <c r="N109" s="32"/>
      <c r="O109" s="32"/>
      <c r="P109" s="32"/>
      <c r="Q109" s="32"/>
      <c r="R109" s="32"/>
      <c r="S109" s="32"/>
      <c r="T109" s="32"/>
      <c r="U109" s="32"/>
      <c r="V109" s="32"/>
      <c r="W109" s="32"/>
      <c r="X109" s="32"/>
    </row>
    <row r="110" ht="22.5" customHeight="1">
      <c r="A110" s="29"/>
      <c r="B110" s="29"/>
      <c r="C110" s="78"/>
      <c r="D110" s="78"/>
      <c r="E110" s="31"/>
      <c r="F110" s="32"/>
      <c r="G110" s="32"/>
      <c r="H110" s="32"/>
      <c r="I110" s="32"/>
      <c r="J110" s="32"/>
      <c r="K110" s="32"/>
      <c r="L110" s="32"/>
      <c r="M110" s="32"/>
      <c r="N110" s="32"/>
      <c r="O110" s="32"/>
      <c r="P110" s="32"/>
      <c r="Q110" s="32"/>
      <c r="R110" s="32"/>
      <c r="S110" s="32"/>
      <c r="T110" s="32"/>
      <c r="U110" s="32"/>
      <c r="V110" s="32"/>
      <c r="W110" s="32"/>
      <c r="X110" s="32"/>
    </row>
    <row r="111" ht="22.5" customHeight="1">
      <c r="A111" s="29"/>
      <c r="B111" s="29"/>
      <c r="C111" s="78"/>
      <c r="D111" s="78"/>
      <c r="E111" s="31"/>
      <c r="F111" s="32"/>
      <c r="G111" s="32"/>
      <c r="H111" s="32"/>
      <c r="I111" s="32"/>
      <c r="J111" s="32"/>
      <c r="K111" s="32"/>
      <c r="L111" s="32"/>
      <c r="M111" s="32"/>
      <c r="N111" s="32"/>
      <c r="O111" s="32"/>
      <c r="P111" s="32"/>
      <c r="Q111" s="32"/>
      <c r="R111" s="32"/>
      <c r="S111" s="32"/>
      <c r="T111" s="32"/>
      <c r="U111" s="32"/>
      <c r="V111" s="32"/>
      <c r="W111" s="32"/>
      <c r="X111" s="32"/>
    </row>
    <row r="112" ht="22.5" customHeight="1">
      <c r="A112" s="29"/>
      <c r="B112" s="29"/>
      <c r="C112" s="78"/>
      <c r="D112" s="78"/>
      <c r="E112" s="31"/>
      <c r="F112" s="32"/>
      <c r="G112" s="32"/>
      <c r="H112" s="32"/>
      <c r="I112" s="32"/>
      <c r="J112" s="32"/>
      <c r="K112" s="32"/>
      <c r="L112" s="32"/>
      <c r="M112" s="32"/>
      <c r="N112" s="32"/>
      <c r="O112" s="32"/>
      <c r="P112" s="32"/>
      <c r="Q112" s="32"/>
      <c r="R112" s="32"/>
      <c r="S112" s="32"/>
      <c r="T112" s="32"/>
      <c r="U112" s="32"/>
      <c r="V112" s="32"/>
      <c r="W112" s="32"/>
      <c r="X112" s="32"/>
    </row>
    <row r="113" ht="22.5" customHeight="1">
      <c r="A113" s="29"/>
      <c r="B113" s="29"/>
      <c r="C113" s="78"/>
      <c r="D113" s="78"/>
      <c r="E113" s="31"/>
      <c r="F113" s="32"/>
      <c r="G113" s="32"/>
      <c r="H113" s="32"/>
      <c r="I113" s="32"/>
      <c r="J113" s="32"/>
      <c r="K113" s="32"/>
      <c r="L113" s="32"/>
      <c r="M113" s="32"/>
      <c r="N113" s="32"/>
      <c r="O113" s="32"/>
      <c r="P113" s="32"/>
      <c r="Q113" s="32"/>
      <c r="R113" s="32"/>
      <c r="S113" s="32"/>
      <c r="T113" s="32"/>
      <c r="U113" s="32"/>
      <c r="V113" s="32"/>
      <c r="W113" s="32"/>
      <c r="X113" s="32"/>
    </row>
    <row r="114" ht="22.5" customHeight="1">
      <c r="A114" s="29"/>
      <c r="B114" s="29"/>
      <c r="C114" s="78"/>
      <c r="D114" s="78"/>
      <c r="E114" s="31"/>
      <c r="F114" s="32"/>
      <c r="G114" s="32"/>
      <c r="H114" s="32"/>
      <c r="I114" s="32"/>
      <c r="J114" s="32"/>
      <c r="K114" s="32"/>
      <c r="L114" s="32"/>
      <c r="M114" s="32"/>
      <c r="N114" s="32"/>
      <c r="O114" s="32"/>
      <c r="P114" s="32"/>
      <c r="Q114" s="32"/>
      <c r="R114" s="32"/>
      <c r="S114" s="32"/>
      <c r="T114" s="32"/>
      <c r="U114" s="32"/>
      <c r="V114" s="32"/>
      <c r="W114" s="32"/>
      <c r="X114" s="32"/>
    </row>
    <row r="115" ht="22.5" customHeight="1">
      <c r="A115" s="29"/>
      <c r="B115" s="29"/>
      <c r="C115" s="78"/>
      <c r="D115" s="78"/>
      <c r="E115" s="31"/>
      <c r="F115" s="32"/>
      <c r="G115" s="32"/>
      <c r="H115" s="32"/>
      <c r="I115" s="32"/>
      <c r="J115" s="32"/>
      <c r="K115" s="32"/>
      <c r="L115" s="32"/>
      <c r="M115" s="32"/>
      <c r="N115" s="32"/>
      <c r="O115" s="32"/>
      <c r="P115" s="32"/>
      <c r="Q115" s="32"/>
      <c r="R115" s="32"/>
      <c r="S115" s="32"/>
      <c r="T115" s="32"/>
      <c r="U115" s="32"/>
      <c r="V115" s="32"/>
      <c r="W115" s="32"/>
      <c r="X115" s="32"/>
    </row>
    <row r="116" ht="22.5" customHeight="1">
      <c r="A116" s="29"/>
      <c r="B116" s="29"/>
      <c r="C116" s="78"/>
      <c r="D116" s="78"/>
      <c r="E116" s="31"/>
      <c r="F116" s="32"/>
      <c r="G116" s="32"/>
      <c r="H116" s="32"/>
      <c r="I116" s="32"/>
      <c r="J116" s="32"/>
      <c r="K116" s="32"/>
      <c r="L116" s="32"/>
      <c r="M116" s="32"/>
      <c r="N116" s="32"/>
      <c r="O116" s="32"/>
      <c r="P116" s="32"/>
      <c r="Q116" s="32"/>
      <c r="R116" s="32"/>
      <c r="S116" s="32"/>
      <c r="T116" s="32"/>
      <c r="U116" s="32"/>
      <c r="V116" s="32"/>
      <c r="W116" s="32"/>
      <c r="X116" s="32"/>
    </row>
  </sheetData>
  <dataValidations>
    <dataValidation type="list" allowBlank="1" sqref="E2:E116">
      <formula1>"Yes,No,agreement btn PAs"</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38"/>
  </cols>
  <sheetData>
    <row r="1"/>
    <row r="2"/>
    <row r="3"/>
    <row r="4"/>
    <row r="5"/>
    <row r="6"/>
    <row r="7"/>
    <row r="8"/>
    <row r="9"/>
    <row r="10"/>
    <row r="11"/>
    <row r="12"/>
    <row r="13"/>
    <row r="14"/>
    <row r="15"/>
    <row r="1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6.13"/>
    <col customWidth="1" min="4" max="4" width="19.0"/>
    <col customWidth="1" min="5" max="5" width="55.75"/>
  </cols>
  <sheetData>
    <row r="1" ht="22.5" customHeight="1">
      <c r="A1" s="84" t="s">
        <v>1456</v>
      </c>
      <c r="B1" s="84" t="s">
        <v>1462</v>
      </c>
      <c r="C1" s="84" t="s">
        <v>1463</v>
      </c>
      <c r="D1" s="84" t="s">
        <v>1464</v>
      </c>
      <c r="E1" s="84" t="s">
        <v>947</v>
      </c>
      <c r="F1" s="85"/>
    </row>
    <row r="2" ht="22.5" customHeight="1">
      <c r="A2" s="49" t="s">
        <v>1465</v>
      </c>
      <c r="B2" s="49" t="s">
        <v>1467</v>
      </c>
      <c r="C2" s="86" t="s">
        <v>1469</v>
      </c>
      <c r="D2" s="87">
        <v>45320.0</v>
      </c>
      <c r="E2" s="88"/>
      <c r="F2" s="89"/>
    </row>
    <row r="3" ht="22.5" customHeight="1">
      <c r="A3" s="90" t="s">
        <v>1470</v>
      </c>
      <c r="B3" s="90" t="s">
        <v>1471</v>
      </c>
      <c r="C3" s="91"/>
      <c r="D3" s="92"/>
      <c r="E3" s="90" t="s">
        <v>1472</v>
      </c>
    </row>
    <row r="4" ht="22.5" customHeight="1">
      <c r="A4" s="93" t="s">
        <v>1473</v>
      </c>
      <c r="B4" s="93" t="s">
        <v>1474</v>
      </c>
      <c r="C4" s="91"/>
      <c r="D4" s="92"/>
      <c r="E4" s="94"/>
    </row>
  </sheetData>
  <dataValidations>
    <dataValidation type="list" allowBlank="1" showErrorMessage="1" sqref="C2">
      <formula1>"Denial,Underpaid"</formula1>
    </dataValidation>
    <dataValidation type="custom" allowBlank="1" showDropDown="1" sqref="D2:D4">
      <formula1>OR(NOT(ISERROR(DATEVALUE(D2))), AND(ISNUMBER(D2), LEFT(CELL("format", D2))="D"))</formula1>
    </dataValidation>
    <dataValidation allowBlank="1" showDropDown="1" sqref="A2:B4 E2:E4"/>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96" t="s">
        <v>1487</v>
      </c>
      <c r="B1" s="97" t="s">
        <v>1488</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3.88"/>
    <col customWidth="1" min="2" max="2" width="15.0"/>
    <col customWidth="1" min="3" max="3" width="41.63"/>
    <col customWidth="1" min="4" max="4" width="31.38"/>
    <col customWidth="1" min="5" max="5" width="28.38"/>
    <col customWidth="1" min="6" max="6" width="33.63"/>
    <col customWidth="1" min="7" max="7" width="47.13"/>
    <col customWidth="1" min="8" max="8" width="18.25"/>
    <col customWidth="1" min="9" max="9" width="18.63"/>
    <col customWidth="1" min="10" max="10" width="13.88"/>
    <col customWidth="1" min="11" max="11" width="14.25"/>
    <col customWidth="1" min="12" max="12" width="18.75"/>
    <col customWidth="1" min="13" max="13" width="19.63"/>
    <col customWidth="1" min="14" max="14" width="19.75"/>
    <col customWidth="1" min="15" max="15" width="21.63"/>
    <col customWidth="1" min="16" max="16" width="72.63"/>
    <col customWidth="1" min="17" max="17" width="85.0"/>
    <col customWidth="1" min="18" max="18" width="83.38"/>
    <col customWidth="1" min="20" max="20" width="23.13"/>
  </cols>
  <sheetData>
    <row r="1">
      <c r="A1" s="99"/>
      <c r="B1" s="100" t="s">
        <v>1498</v>
      </c>
      <c r="D1" s="23"/>
      <c r="E1" s="32"/>
      <c r="F1" s="89"/>
      <c r="G1" s="32"/>
      <c r="H1" s="101"/>
      <c r="I1" s="101"/>
      <c r="J1" s="32"/>
      <c r="K1" s="32"/>
      <c r="L1" s="89"/>
      <c r="M1" s="102"/>
      <c r="N1" s="103"/>
      <c r="O1" s="102"/>
      <c r="P1" s="89"/>
      <c r="Q1" s="104"/>
      <c r="R1" s="32"/>
      <c r="S1" s="102"/>
      <c r="T1" s="102"/>
      <c r="U1" s="32"/>
      <c r="V1" s="32"/>
      <c r="W1" s="32"/>
      <c r="X1" s="104"/>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row>
    <row r="2">
      <c r="A2" s="99" t="s">
        <v>790</v>
      </c>
      <c r="B2" s="106" t="s">
        <v>800</v>
      </c>
      <c r="C2" s="106" t="s">
        <v>0</v>
      </c>
      <c r="D2" s="106" t="s">
        <v>1</v>
      </c>
      <c r="E2" s="106" t="s">
        <v>3</v>
      </c>
      <c r="F2" s="106" t="s">
        <v>5</v>
      </c>
      <c r="G2" s="106" t="s">
        <v>4</v>
      </c>
      <c r="H2" s="108" t="s">
        <v>857</v>
      </c>
      <c r="I2" s="108" t="s">
        <v>863</v>
      </c>
      <c r="J2" s="106" t="s">
        <v>869</v>
      </c>
      <c r="K2" s="106" t="s">
        <v>877</v>
      </c>
      <c r="L2" s="99" t="s">
        <v>892</v>
      </c>
      <c r="M2" s="99" t="s">
        <v>899</v>
      </c>
      <c r="N2" s="99" t="s">
        <v>1505</v>
      </c>
      <c r="O2" s="109" t="s">
        <v>1506</v>
      </c>
      <c r="P2" s="106" t="s">
        <v>937</v>
      </c>
      <c r="Q2" s="106" t="s">
        <v>947</v>
      </c>
      <c r="R2" s="106" t="s">
        <v>1508</v>
      </c>
      <c r="S2" s="99" t="s">
        <v>1509</v>
      </c>
      <c r="T2" s="99" t="s">
        <v>1510</v>
      </c>
      <c r="U2" s="99" t="s">
        <v>1511</v>
      </c>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row>
    <row r="3">
      <c r="A3" s="113" t="s">
        <v>1311</v>
      </c>
      <c r="B3" s="113">
        <v>2.023100001E9</v>
      </c>
      <c r="C3" s="114" t="s">
        <v>1512</v>
      </c>
      <c r="D3" s="113" t="s">
        <v>1513</v>
      </c>
      <c r="E3" s="120" t="s">
        <v>1514</v>
      </c>
      <c r="F3" s="113" t="s">
        <v>560</v>
      </c>
      <c r="G3" s="113" t="s">
        <v>1515</v>
      </c>
      <c r="H3" s="122" t="s">
        <v>1516</v>
      </c>
      <c r="I3" s="123" t="s">
        <v>1517</v>
      </c>
      <c r="J3" s="113" t="s">
        <v>1091</v>
      </c>
      <c r="K3" s="124">
        <v>44832.0</v>
      </c>
      <c r="L3" s="113" t="s">
        <v>1098</v>
      </c>
      <c r="M3" s="113" t="s">
        <v>1108</v>
      </c>
      <c r="N3" s="113" t="s">
        <v>1161</v>
      </c>
      <c r="O3" s="127" t="s">
        <v>1161</v>
      </c>
      <c r="P3" s="113" t="s">
        <v>1518</v>
      </c>
      <c r="Q3" s="113" t="s">
        <v>1519</v>
      </c>
      <c r="R3" s="113" t="s">
        <v>1520</v>
      </c>
      <c r="S3" s="113" t="s">
        <v>1434</v>
      </c>
      <c r="T3" s="113" t="s">
        <v>1521</v>
      </c>
      <c r="U3" s="128"/>
      <c r="V3" s="128"/>
      <c r="W3" s="113"/>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8"/>
      <c r="BK3" s="128"/>
      <c r="BL3" s="128"/>
    </row>
    <row r="4">
      <c r="A4" s="129" t="s">
        <v>1522</v>
      </c>
      <c r="B4" s="130">
        <v>2.023100002E9</v>
      </c>
      <c r="C4" s="130" t="s">
        <v>1523</v>
      </c>
      <c r="D4" s="131" t="s">
        <v>1524</v>
      </c>
      <c r="E4" s="132" t="s">
        <v>1525</v>
      </c>
      <c r="F4" s="130" t="s">
        <v>70</v>
      </c>
      <c r="G4" s="130" t="s">
        <v>1527</v>
      </c>
      <c r="H4" s="133" t="s">
        <v>1529</v>
      </c>
      <c r="I4" s="130" t="s">
        <v>1530</v>
      </c>
      <c r="J4" s="130" t="s">
        <v>1091</v>
      </c>
      <c r="K4" s="134">
        <v>44832.0</v>
      </c>
      <c r="L4" s="130" t="s">
        <v>1098</v>
      </c>
      <c r="M4" s="130" t="s">
        <v>1108</v>
      </c>
      <c r="N4" s="130" t="s">
        <v>1161</v>
      </c>
      <c r="O4" s="130" t="s">
        <v>1161</v>
      </c>
      <c r="P4" s="130" t="s">
        <v>1534</v>
      </c>
      <c r="Q4" s="130" t="s">
        <v>1535</v>
      </c>
      <c r="R4" s="130" t="s">
        <v>1536</v>
      </c>
      <c r="S4" s="130" t="s">
        <v>1439</v>
      </c>
      <c r="T4" s="130" t="s">
        <v>1521</v>
      </c>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row>
    <row r="5">
      <c r="A5" s="137" t="s">
        <v>1540</v>
      </c>
      <c r="B5" s="137">
        <v>2.023100003E9</v>
      </c>
      <c r="C5" s="137" t="s">
        <v>1541</v>
      </c>
      <c r="D5" s="137" t="s">
        <v>1542</v>
      </c>
      <c r="E5" s="137" t="s">
        <v>1543</v>
      </c>
      <c r="F5" s="137" t="s">
        <v>695</v>
      </c>
      <c r="G5" s="137" t="s">
        <v>1544</v>
      </c>
      <c r="H5" s="138" t="s">
        <v>1546</v>
      </c>
      <c r="I5" s="137" t="s">
        <v>1547</v>
      </c>
      <c r="J5" s="137" t="s">
        <v>1091</v>
      </c>
      <c r="K5" s="139">
        <v>44832.0</v>
      </c>
      <c r="L5" s="137" t="s">
        <v>1548</v>
      </c>
      <c r="M5" s="137" t="s">
        <v>1108</v>
      </c>
      <c r="N5" s="137" t="s">
        <v>1161</v>
      </c>
      <c r="O5" s="137" t="s">
        <v>1161</v>
      </c>
      <c r="P5" s="137" t="s">
        <v>1551</v>
      </c>
      <c r="Q5" s="137" t="s">
        <v>1552</v>
      </c>
      <c r="R5" s="137" t="s">
        <v>1553</v>
      </c>
      <c r="S5" s="137" t="s">
        <v>1439</v>
      </c>
      <c r="T5" s="137" t="s">
        <v>1554</v>
      </c>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row>
    <row r="6" ht="15.0" customHeight="1">
      <c r="A6" s="7" t="s">
        <v>1557</v>
      </c>
      <c r="B6" s="7">
        <v>2.023100004E9</v>
      </c>
      <c r="C6" s="7" t="s">
        <v>1559</v>
      </c>
      <c r="D6" s="7" t="s">
        <v>1560</v>
      </c>
      <c r="E6" s="7" t="s">
        <v>1561</v>
      </c>
      <c r="F6" s="7" t="s">
        <v>70</v>
      </c>
      <c r="G6" s="7" t="s">
        <v>1562</v>
      </c>
      <c r="H6" s="144" t="s">
        <v>1564</v>
      </c>
      <c r="I6" s="7" t="s">
        <v>1565</v>
      </c>
      <c r="J6" s="7" t="s">
        <v>1566</v>
      </c>
      <c r="K6" s="146">
        <v>45202.0</v>
      </c>
      <c r="L6" s="7" t="s">
        <v>1098</v>
      </c>
      <c r="M6" s="7" t="s">
        <v>1108</v>
      </c>
      <c r="N6" s="7" t="s">
        <v>1484</v>
      </c>
      <c r="O6" s="148" t="s">
        <v>1401</v>
      </c>
      <c r="P6" s="7" t="s">
        <v>1568</v>
      </c>
      <c r="Q6" s="7" t="s">
        <v>1569</v>
      </c>
      <c r="R6" s="7" t="s">
        <v>1570</v>
      </c>
      <c r="S6" s="17"/>
      <c r="T6" s="7" t="s">
        <v>1571</v>
      </c>
      <c r="U6" s="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row>
    <row r="7">
      <c r="A7" s="137" t="s">
        <v>1522</v>
      </c>
      <c r="B7" s="137">
        <v>2.023100005E9</v>
      </c>
      <c r="C7" s="137" t="s">
        <v>1572</v>
      </c>
      <c r="D7" s="137" t="s">
        <v>1573</v>
      </c>
      <c r="E7" s="137" t="s">
        <v>1574</v>
      </c>
      <c r="F7" s="137" t="s">
        <v>70</v>
      </c>
      <c r="G7" s="137" t="s">
        <v>1575</v>
      </c>
      <c r="H7" s="138" t="s">
        <v>1576</v>
      </c>
      <c r="I7" s="137" t="s">
        <v>1577</v>
      </c>
      <c r="J7" s="137" t="s">
        <v>1566</v>
      </c>
      <c r="K7" s="150">
        <v>45162.0</v>
      </c>
      <c r="L7" s="137" t="s">
        <v>1098</v>
      </c>
      <c r="M7" s="137" t="s">
        <v>1108</v>
      </c>
      <c r="N7" s="137" t="s">
        <v>1161</v>
      </c>
      <c r="O7" s="137" t="s">
        <v>1578</v>
      </c>
      <c r="P7" s="137" t="s">
        <v>1579</v>
      </c>
      <c r="Q7" s="137" t="s">
        <v>1552</v>
      </c>
      <c r="R7" s="137" t="s">
        <v>1580</v>
      </c>
      <c r="S7" s="137" t="s">
        <v>1434</v>
      </c>
      <c r="T7" s="137" t="s">
        <v>1554</v>
      </c>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row>
    <row r="8">
      <c r="A8" s="130" t="s">
        <v>1522</v>
      </c>
      <c r="B8" s="130">
        <v>2.023100006E9</v>
      </c>
      <c r="C8" s="130" t="s">
        <v>1581</v>
      </c>
      <c r="D8" s="130" t="s">
        <v>1582</v>
      </c>
      <c r="E8" s="130" t="s">
        <v>1583</v>
      </c>
      <c r="F8" s="130" t="s">
        <v>70</v>
      </c>
      <c r="G8" s="130" t="s">
        <v>1584</v>
      </c>
      <c r="H8" s="133" t="s">
        <v>1585</v>
      </c>
      <c r="I8" s="130" t="s">
        <v>1586</v>
      </c>
      <c r="J8" s="130" t="s">
        <v>1091</v>
      </c>
      <c r="K8" s="134">
        <v>44832.0</v>
      </c>
      <c r="L8" s="130" t="s">
        <v>1098</v>
      </c>
      <c r="M8" s="130" t="s">
        <v>1108</v>
      </c>
      <c r="N8" s="130" t="s">
        <v>1161</v>
      </c>
      <c r="O8" s="129" t="s">
        <v>1401</v>
      </c>
      <c r="P8" s="130" t="s">
        <v>1587</v>
      </c>
      <c r="Q8" s="130" t="s">
        <v>1535</v>
      </c>
      <c r="R8" s="130" t="s">
        <v>1588</v>
      </c>
      <c r="S8" s="136"/>
      <c r="T8" s="130" t="s">
        <v>1521</v>
      </c>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row>
    <row r="9">
      <c r="A9" s="113" t="s">
        <v>1590</v>
      </c>
      <c r="B9" s="113">
        <v>2.023100008E9</v>
      </c>
      <c r="C9" s="113" t="s">
        <v>1591</v>
      </c>
      <c r="D9" s="113" t="s">
        <v>1592</v>
      </c>
      <c r="E9" s="113" t="s">
        <v>1593</v>
      </c>
      <c r="F9" s="113" t="s">
        <v>695</v>
      </c>
      <c r="G9" s="113" t="s">
        <v>1594</v>
      </c>
      <c r="H9" s="122" t="s">
        <v>1595</v>
      </c>
      <c r="I9" s="113" t="s">
        <v>1596</v>
      </c>
      <c r="J9" s="113" t="s">
        <v>1091</v>
      </c>
      <c r="K9" s="124">
        <v>44832.0</v>
      </c>
      <c r="L9" s="113" t="s">
        <v>1548</v>
      </c>
      <c r="M9" s="113" t="s">
        <v>1108</v>
      </c>
      <c r="N9" s="113" t="s">
        <v>1484</v>
      </c>
      <c r="O9" s="127" t="s">
        <v>1598</v>
      </c>
      <c r="P9" s="113" t="s">
        <v>1599</v>
      </c>
      <c r="Q9" s="113" t="s">
        <v>1600</v>
      </c>
      <c r="R9" s="113" t="s">
        <v>1601</v>
      </c>
      <c r="S9" s="113" t="s">
        <v>1439</v>
      </c>
      <c r="T9" s="113" t="s">
        <v>1521</v>
      </c>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row>
    <row r="10">
      <c r="A10" s="154" t="s">
        <v>1590</v>
      </c>
      <c r="B10" s="154">
        <v>2.023100009E9</v>
      </c>
      <c r="C10" s="154" t="s">
        <v>1603</v>
      </c>
      <c r="D10" s="154" t="s">
        <v>1604</v>
      </c>
      <c r="E10" s="154" t="s">
        <v>1605</v>
      </c>
      <c r="F10" s="154" t="s">
        <v>70</v>
      </c>
      <c r="G10" s="154" t="s">
        <v>1606</v>
      </c>
      <c r="H10" s="156" t="s">
        <v>1607</v>
      </c>
      <c r="I10" s="154" t="s">
        <v>1608</v>
      </c>
      <c r="J10" s="154" t="s">
        <v>1091</v>
      </c>
      <c r="K10" s="157">
        <v>44832.0</v>
      </c>
      <c r="L10" s="154" t="s">
        <v>1098</v>
      </c>
      <c r="M10" s="154" t="s">
        <v>1108</v>
      </c>
      <c r="N10" s="154" t="s">
        <v>1161</v>
      </c>
      <c r="O10" s="154" t="s">
        <v>1401</v>
      </c>
      <c r="P10" s="154" t="s">
        <v>1610</v>
      </c>
      <c r="Q10" s="154" t="s">
        <v>1611</v>
      </c>
      <c r="R10" s="154" t="s">
        <v>1612</v>
      </c>
      <c r="S10" s="154" t="s">
        <v>1441</v>
      </c>
      <c r="T10" s="154" t="s">
        <v>1521</v>
      </c>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c r="BL10" s="159"/>
    </row>
    <row r="11">
      <c r="A11" s="137" t="s">
        <v>1475</v>
      </c>
      <c r="B11" s="137">
        <v>2.023110002E9</v>
      </c>
      <c r="C11" s="161" t="s">
        <v>1614</v>
      </c>
      <c r="D11" s="137" t="s">
        <v>1616</v>
      </c>
      <c r="E11" s="137" t="s">
        <v>1617</v>
      </c>
      <c r="F11" s="137" t="s">
        <v>695</v>
      </c>
      <c r="G11" s="161" t="s">
        <v>1619</v>
      </c>
      <c r="H11" s="138" t="s">
        <v>1620</v>
      </c>
      <c r="I11" s="137" t="s">
        <v>1621</v>
      </c>
      <c r="J11" s="137" t="s">
        <v>1091</v>
      </c>
      <c r="K11" s="139">
        <v>44832.0</v>
      </c>
      <c r="L11" s="137" t="s">
        <v>1098</v>
      </c>
      <c r="M11" s="137" t="s">
        <v>1108</v>
      </c>
      <c r="N11" s="137" t="s">
        <v>1484</v>
      </c>
      <c r="O11" s="161" t="s">
        <v>1161</v>
      </c>
      <c r="P11" s="161" t="s">
        <v>1625</v>
      </c>
      <c r="Q11" s="137" t="s">
        <v>1626</v>
      </c>
      <c r="R11" s="137" t="s">
        <v>1627</v>
      </c>
      <c r="S11" s="137" t="s">
        <v>1439</v>
      </c>
      <c r="T11" s="137" t="s">
        <v>1628</v>
      </c>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row>
    <row r="12">
      <c r="A12" s="137" t="s">
        <v>1475</v>
      </c>
      <c r="B12" s="161">
        <v>2.023110003E9</v>
      </c>
      <c r="C12" s="137" t="s">
        <v>1633</v>
      </c>
      <c r="D12" s="137" t="s">
        <v>1634</v>
      </c>
      <c r="E12" s="137" t="s">
        <v>1635</v>
      </c>
      <c r="F12" s="137" t="s">
        <v>123</v>
      </c>
      <c r="G12" s="137" t="s">
        <v>1636</v>
      </c>
      <c r="H12" s="138" t="s">
        <v>1637</v>
      </c>
      <c r="I12" s="161" t="s">
        <v>1638</v>
      </c>
      <c r="J12" s="137" t="s">
        <v>1091</v>
      </c>
      <c r="K12" s="139">
        <v>44832.0</v>
      </c>
      <c r="L12" s="137" t="s">
        <v>1098</v>
      </c>
      <c r="M12" s="137" t="s">
        <v>1108</v>
      </c>
      <c r="N12" s="137" t="s">
        <v>1161</v>
      </c>
      <c r="O12" s="137" t="s">
        <v>1640</v>
      </c>
      <c r="P12" s="161" t="s">
        <v>1641</v>
      </c>
      <c r="Q12" s="137" t="s">
        <v>1642</v>
      </c>
      <c r="R12" s="137" t="s">
        <v>1643</v>
      </c>
      <c r="S12" s="137" t="s">
        <v>1439</v>
      </c>
      <c r="T12" s="137" t="s">
        <v>1554</v>
      </c>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row>
    <row r="13">
      <c r="A13" s="113" t="s">
        <v>1522</v>
      </c>
      <c r="B13" s="113">
        <v>2.023100012E9</v>
      </c>
      <c r="C13" s="113" t="s">
        <v>1644</v>
      </c>
      <c r="D13" s="113" t="s">
        <v>1645</v>
      </c>
      <c r="E13" s="113" t="s">
        <v>1646</v>
      </c>
      <c r="F13" s="113" t="s">
        <v>695</v>
      </c>
      <c r="G13" s="113" t="s">
        <v>1647</v>
      </c>
      <c r="H13" s="122" t="s">
        <v>1648</v>
      </c>
      <c r="I13" s="127" t="s">
        <v>1649</v>
      </c>
      <c r="J13" s="113" t="s">
        <v>1091</v>
      </c>
      <c r="K13" s="124">
        <v>44832.0</v>
      </c>
      <c r="L13" s="113" t="s">
        <v>1548</v>
      </c>
      <c r="M13" s="113" t="s">
        <v>1108</v>
      </c>
      <c r="N13" s="113" t="s">
        <v>1161</v>
      </c>
      <c r="O13" s="113" t="s">
        <v>1161</v>
      </c>
      <c r="P13" s="113" t="s">
        <v>1651</v>
      </c>
      <c r="Q13" s="113" t="s">
        <v>1652</v>
      </c>
      <c r="R13" s="113" t="s">
        <v>1653</v>
      </c>
      <c r="S13" s="113" t="s">
        <v>1439</v>
      </c>
      <c r="T13" s="113" t="s">
        <v>1521</v>
      </c>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row>
    <row r="14">
      <c r="A14" s="137" t="s">
        <v>1475</v>
      </c>
      <c r="B14" s="137">
        <v>2.023110004E9</v>
      </c>
      <c r="C14" s="137" t="s">
        <v>1655</v>
      </c>
      <c r="D14" s="137" t="s">
        <v>1656</v>
      </c>
      <c r="E14" s="141"/>
      <c r="F14" s="137" t="s">
        <v>278</v>
      </c>
      <c r="G14" s="137" t="s">
        <v>1657</v>
      </c>
      <c r="H14" s="138" t="s">
        <v>1658</v>
      </c>
      <c r="I14" s="161">
        <v>4342463.0</v>
      </c>
      <c r="J14" s="137" t="s">
        <v>1091</v>
      </c>
      <c r="K14" s="139">
        <v>44832.0</v>
      </c>
      <c r="L14" s="137" t="s">
        <v>1098</v>
      </c>
      <c r="M14" s="137" t="s">
        <v>1108</v>
      </c>
      <c r="N14" s="137" t="s">
        <v>1161</v>
      </c>
      <c r="O14" s="161" t="s">
        <v>1401</v>
      </c>
      <c r="P14" s="137" t="s">
        <v>1659</v>
      </c>
      <c r="Q14" s="137" t="s">
        <v>1660</v>
      </c>
      <c r="R14" s="137" t="s">
        <v>1661</v>
      </c>
      <c r="S14" s="141"/>
      <c r="T14" s="137" t="s">
        <v>1554</v>
      </c>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row>
    <row r="15">
      <c r="A15" s="131" t="s">
        <v>1475</v>
      </c>
      <c r="B15" s="131">
        <v>2.023110005E9</v>
      </c>
      <c r="C15" s="131" t="s">
        <v>1662</v>
      </c>
      <c r="D15" s="131" t="s">
        <v>1663</v>
      </c>
      <c r="E15" s="131" t="s">
        <v>1664</v>
      </c>
      <c r="F15" s="131" t="s">
        <v>123</v>
      </c>
      <c r="G15" s="131" t="s">
        <v>1665</v>
      </c>
      <c r="H15" s="167" t="s">
        <v>1666</v>
      </c>
      <c r="I15" s="131" t="s">
        <v>1667</v>
      </c>
      <c r="J15" s="131" t="s">
        <v>1091</v>
      </c>
      <c r="K15" s="168">
        <v>44832.0</v>
      </c>
      <c r="L15" s="131" t="s">
        <v>1098</v>
      </c>
      <c r="M15" s="131" t="s">
        <v>1108</v>
      </c>
      <c r="N15" s="131" t="s">
        <v>1161</v>
      </c>
      <c r="O15" s="169" t="s">
        <v>1161</v>
      </c>
      <c r="P15" s="131" t="s">
        <v>1668</v>
      </c>
      <c r="Q15" s="131" t="s">
        <v>1669</v>
      </c>
      <c r="R15" s="131" t="s">
        <v>1670</v>
      </c>
      <c r="S15" s="131" t="s">
        <v>1439</v>
      </c>
      <c r="T15" s="131" t="s">
        <v>1628</v>
      </c>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row>
    <row r="16">
      <c r="A16" s="171" t="s">
        <v>219</v>
      </c>
      <c r="B16" s="171">
        <v>2.023100011E9</v>
      </c>
      <c r="C16" s="171" t="s">
        <v>1671</v>
      </c>
      <c r="D16" s="171" t="s">
        <v>1672</v>
      </c>
      <c r="E16" s="172" t="s">
        <v>1673</v>
      </c>
      <c r="F16" s="171" t="s">
        <v>1674</v>
      </c>
      <c r="G16" s="171" t="s">
        <v>1675</v>
      </c>
      <c r="H16" s="174" t="s">
        <v>1676</v>
      </c>
      <c r="I16" s="172" t="s">
        <v>1676</v>
      </c>
      <c r="J16" s="171" t="s">
        <v>1091</v>
      </c>
      <c r="K16" s="175">
        <v>44832.0</v>
      </c>
      <c r="L16" s="172" t="s">
        <v>1098</v>
      </c>
      <c r="M16" s="7" t="s">
        <v>1108</v>
      </c>
      <c r="N16" s="177" t="s">
        <v>1466</v>
      </c>
      <c r="O16" s="172" t="s">
        <v>1401</v>
      </c>
      <c r="P16" s="179" t="s">
        <v>1677</v>
      </c>
      <c r="Q16" s="180" t="s">
        <v>1678</v>
      </c>
      <c r="R16" s="172" t="s">
        <v>1679</v>
      </c>
      <c r="S16" s="181"/>
      <c r="T16" s="7" t="s">
        <v>1554</v>
      </c>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row>
    <row r="17">
      <c r="A17" s="130" t="s">
        <v>1557</v>
      </c>
      <c r="B17" s="130">
        <v>2.023110006E9</v>
      </c>
      <c r="C17" s="130" t="s">
        <v>1671</v>
      </c>
      <c r="D17" s="182" t="s">
        <v>1672</v>
      </c>
      <c r="E17" s="184" t="s">
        <v>1673</v>
      </c>
      <c r="F17" s="130" t="s">
        <v>123</v>
      </c>
      <c r="G17" s="130" t="s">
        <v>1680</v>
      </c>
      <c r="H17" s="133" t="s">
        <v>1681</v>
      </c>
      <c r="I17" s="130" t="s">
        <v>1682</v>
      </c>
      <c r="J17" s="130" t="s">
        <v>1091</v>
      </c>
      <c r="K17" s="134">
        <v>44832.0</v>
      </c>
      <c r="L17" s="130" t="s">
        <v>1098</v>
      </c>
      <c r="M17" s="130" t="s">
        <v>1108</v>
      </c>
      <c r="N17" s="130" t="s">
        <v>1161</v>
      </c>
      <c r="O17" s="130" t="s">
        <v>1401</v>
      </c>
      <c r="P17" s="130" t="s">
        <v>1683</v>
      </c>
      <c r="Q17" s="130" t="s">
        <v>1535</v>
      </c>
      <c r="R17" s="130" t="s">
        <v>1684</v>
      </c>
      <c r="S17" s="130" t="s">
        <v>1439</v>
      </c>
      <c r="T17" s="130" t="s">
        <v>1554</v>
      </c>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row>
    <row r="18">
      <c r="A18" s="185" t="s">
        <v>1685</v>
      </c>
      <c r="B18" s="185">
        <v>2.023110007E9</v>
      </c>
      <c r="C18" s="185" t="s">
        <v>1671</v>
      </c>
      <c r="D18" s="185" t="s">
        <v>1672</v>
      </c>
      <c r="E18" s="187" t="s">
        <v>1673</v>
      </c>
      <c r="F18" s="185" t="s">
        <v>91</v>
      </c>
      <c r="G18" s="185" t="s">
        <v>1686</v>
      </c>
      <c r="H18" s="188" t="s">
        <v>1687</v>
      </c>
      <c r="I18" s="185">
        <v>3.300443797E9</v>
      </c>
      <c r="J18" s="185" t="s">
        <v>1091</v>
      </c>
      <c r="K18" s="189">
        <v>44832.0</v>
      </c>
      <c r="L18" s="185" t="s">
        <v>1098</v>
      </c>
      <c r="M18" s="185" t="s">
        <v>1108</v>
      </c>
      <c r="N18" s="185" t="s">
        <v>1430</v>
      </c>
      <c r="O18" s="191" t="s">
        <v>1161</v>
      </c>
      <c r="P18" s="185" t="s">
        <v>1688</v>
      </c>
      <c r="Q18" s="191" t="s">
        <v>1689</v>
      </c>
      <c r="R18" s="185" t="s">
        <v>1684</v>
      </c>
      <c r="S18" s="185" t="s">
        <v>1434</v>
      </c>
      <c r="T18" s="185" t="s">
        <v>1554</v>
      </c>
      <c r="U18" s="193"/>
      <c r="V18" s="193"/>
      <c r="W18" s="193"/>
      <c r="X18" s="193"/>
      <c r="Y18" s="193"/>
      <c r="Z18" s="193"/>
      <c r="AA18" s="193"/>
      <c r="AB18" s="193"/>
      <c r="AC18" s="193"/>
      <c r="AD18" s="193"/>
      <c r="AE18" s="193"/>
      <c r="AF18" s="193"/>
      <c r="AG18" s="193"/>
      <c r="AH18" s="193"/>
      <c r="AI18" s="193"/>
      <c r="AJ18" s="193"/>
      <c r="AK18" s="193"/>
      <c r="AL18" s="193"/>
      <c r="AM18" s="193"/>
      <c r="AN18" s="193"/>
      <c r="AO18" s="193"/>
      <c r="AP18" s="193"/>
      <c r="AQ18" s="193"/>
      <c r="AR18" s="193"/>
      <c r="AS18" s="193"/>
      <c r="AT18" s="193"/>
      <c r="AU18" s="193"/>
      <c r="AV18" s="193"/>
      <c r="AW18" s="193"/>
      <c r="AX18" s="193"/>
      <c r="AY18" s="193"/>
      <c r="AZ18" s="193"/>
      <c r="BA18" s="193"/>
      <c r="BB18" s="193"/>
      <c r="BC18" s="193"/>
      <c r="BD18" s="193"/>
      <c r="BE18" s="193"/>
      <c r="BF18" s="193"/>
      <c r="BG18" s="193"/>
      <c r="BH18" s="193"/>
      <c r="BI18" s="193"/>
      <c r="BJ18" s="193"/>
      <c r="BK18" s="193"/>
      <c r="BL18" s="193"/>
    </row>
    <row r="19" ht="16.5" customHeight="1">
      <c r="A19" s="161" t="s">
        <v>1557</v>
      </c>
      <c r="B19" s="161">
        <v>2.023110008E9</v>
      </c>
      <c r="C19" s="161" t="s">
        <v>1671</v>
      </c>
      <c r="D19" s="161" t="s">
        <v>1672</v>
      </c>
      <c r="E19" s="196" t="s">
        <v>1673</v>
      </c>
      <c r="F19" s="161" t="s">
        <v>278</v>
      </c>
      <c r="G19" s="161" t="s">
        <v>1701</v>
      </c>
      <c r="H19" s="198" t="s">
        <v>1702</v>
      </c>
      <c r="I19" s="198" t="s">
        <v>1702</v>
      </c>
      <c r="J19" s="161" t="s">
        <v>1091</v>
      </c>
      <c r="K19" s="199">
        <v>44832.0</v>
      </c>
      <c r="L19" s="161" t="s">
        <v>1098</v>
      </c>
      <c r="M19" s="161" t="s">
        <v>1108</v>
      </c>
      <c r="N19" s="161" t="s">
        <v>1161</v>
      </c>
      <c r="O19" s="161" t="s">
        <v>1129</v>
      </c>
      <c r="P19" s="161" t="s">
        <v>1703</v>
      </c>
      <c r="Q19" s="161" t="s">
        <v>1704</v>
      </c>
      <c r="R19" s="161" t="s">
        <v>1705</v>
      </c>
      <c r="S19" s="201"/>
      <c r="T19" s="137" t="s">
        <v>1554</v>
      </c>
      <c r="U19" s="201"/>
      <c r="V19" s="201"/>
      <c r="W19" s="201"/>
      <c r="X19" s="201"/>
      <c r="Y19" s="201"/>
      <c r="Z19" s="201"/>
      <c r="AA19" s="201"/>
      <c r="AB19" s="201"/>
      <c r="AC19" s="201"/>
      <c r="AD19" s="201"/>
      <c r="AE19" s="201"/>
      <c r="AF19" s="201"/>
      <c r="AG19" s="201"/>
      <c r="AH19" s="201"/>
      <c r="AI19" s="201"/>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row>
    <row r="20">
      <c r="A20" s="203" t="s">
        <v>1557</v>
      </c>
      <c r="B20" s="203">
        <v>2.023110009E9</v>
      </c>
      <c r="C20" s="129" t="s">
        <v>1671</v>
      </c>
      <c r="D20" s="203" t="s">
        <v>1672</v>
      </c>
      <c r="E20" s="184" t="s">
        <v>1673</v>
      </c>
      <c r="F20" s="203" t="s">
        <v>70</v>
      </c>
      <c r="G20" s="129" t="s">
        <v>1706</v>
      </c>
      <c r="H20" s="205" t="s">
        <v>1707</v>
      </c>
      <c r="I20" s="129" t="s">
        <v>1708</v>
      </c>
      <c r="J20" s="203" t="s">
        <v>1091</v>
      </c>
      <c r="K20" s="206">
        <v>44832.0</v>
      </c>
      <c r="L20" s="203" t="s">
        <v>1098</v>
      </c>
      <c r="M20" s="131" t="s">
        <v>1108</v>
      </c>
      <c r="N20" s="129" t="s">
        <v>1161</v>
      </c>
      <c r="O20" s="129" t="s">
        <v>1401</v>
      </c>
      <c r="P20" s="130" t="s">
        <v>1709</v>
      </c>
      <c r="Q20" s="130" t="s">
        <v>1611</v>
      </c>
      <c r="R20" s="203" t="s">
        <v>1710</v>
      </c>
      <c r="S20" s="129" t="s">
        <v>1441</v>
      </c>
      <c r="T20" s="130" t="s">
        <v>1554</v>
      </c>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row>
    <row r="21">
      <c r="A21" s="131" t="s">
        <v>1557</v>
      </c>
      <c r="B21" s="131">
        <v>2.02311001E9</v>
      </c>
      <c r="C21" s="131" t="s">
        <v>1671</v>
      </c>
      <c r="D21" s="131" t="s">
        <v>1672</v>
      </c>
      <c r="E21" s="211" t="s">
        <v>1673</v>
      </c>
      <c r="F21" s="131" t="s">
        <v>70</v>
      </c>
      <c r="G21" s="130" t="s">
        <v>1711</v>
      </c>
      <c r="H21" s="133" t="s">
        <v>1712</v>
      </c>
      <c r="I21" s="130" t="s">
        <v>1714</v>
      </c>
      <c r="J21" s="131" t="s">
        <v>1091</v>
      </c>
      <c r="K21" s="168">
        <v>44832.0</v>
      </c>
      <c r="L21" s="131" t="s">
        <v>1098</v>
      </c>
      <c r="M21" s="131" t="s">
        <v>1108</v>
      </c>
      <c r="N21" s="130" t="s">
        <v>1161</v>
      </c>
      <c r="O21" s="131" t="s">
        <v>1401</v>
      </c>
      <c r="P21" s="130" t="s">
        <v>1715</v>
      </c>
      <c r="Q21" s="130" t="s">
        <v>1611</v>
      </c>
      <c r="R21" s="131" t="s">
        <v>1716</v>
      </c>
      <c r="S21" s="129" t="s">
        <v>1441</v>
      </c>
      <c r="T21" s="130" t="s">
        <v>1554</v>
      </c>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row>
    <row r="22">
      <c r="A22" s="137" t="s">
        <v>1721</v>
      </c>
      <c r="B22" s="137">
        <v>2.023110011E9</v>
      </c>
      <c r="C22" s="161" t="s">
        <v>1723</v>
      </c>
      <c r="D22" s="137" t="s">
        <v>1724</v>
      </c>
      <c r="E22" s="137" t="s">
        <v>1725</v>
      </c>
      <c r="F22" s="137" t="s">
        <v>1727</v>
      </c>
      <c r="G22" s="137" t="s">
        <v>1728</v>
      </c>
      <c r="H22" s="138" t="s">
        <v>1729</v>
      </c>
      <c r="I22" s="137">
        <v>4359211.0</v>
      </c>
      <c r="J22" s="137" t="s">
        <v>1091</v>
      </c>
      <c r="K22" s="139">
        <v>44832.0</v>
      </c>
      <c r="L22" s="137" t="s">
        <v>1098</v>
      </c>
      <c r="M22" s="137" t="s">
        <v>1108</v>
      </c>
      <c r="N22" s="137" t="s">
        <v>1484</v>
      </c>
      <c r="O22" s="137" t="s">
        <v>1161</v>
      </c>
      <c r="P22" s="223" t="s">
        <v>1732</v>
      </c>
      <c r="Q22" s="137" t="s">
        <v>1734</v>
      </c>
      <c r="R22" s="141"/>
      <c r="S22" s="141"/>
      <c r="T22" s="137" t="s">
        <v>1554</v>
      </c>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row>
    <row r="23">
      <c r="A23" s="137" t="s">
        <v>1736</v>
      </c>
      <c r="B23" s="161">
        <v>2.023110012E9</v>
      </c>
      <c r="C23" s="137" t="s">
        <v>1737</v>
      </c>
      <c r="D23" s="137" t="s">
        <v>1738</v>
      </c>
      <c r="E23" s="137" t="s">
        <v>1739</v>
      </c>
      <c r="F23" s="137" t="s">
        <v>931</v>
      </c>
      <c r="G23" s="137" t="s">
        <v>1740</v>
      </c>
      <c r="H23" s="138" t="s">
        <v>1741</v>
      </c>
      <c r="I23" s="137" t="s">
        <v>1742</v>
      </c>
      <c r="J23" s="137" t="s">
        <v>1091</v>
      </c>
      <c r="K23" s="139">
        <v>44832.0</v>
      </c>
      <c r="L23" s="137" t="s">
        <v>1098</v>
      </c>
      <c r="M23" s="137" t="s">
        <v>1108</v>
      </c>
      <c r="N23" s="137" t="s">
        <v>1484</v>
      </c>
      <c r="O23" s="137" t="s">
        <v>1129</v>
      </c>
      <c r="P23" s="137" t="s">
        <v>1743</v>
      </c>
      <c r="Q23" s="137" t="s">
        <v>1744</v>
      </c>
      <c r="R23" s="137" t="s">
        <v>1745</v>
      </c>
      <c r="S23" s="137" t="s">
        <v>1439</v>
      </c>
      <c r="T23" s="137" t="s">
        <v>1521</v>
      </c>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row>
    <row r="24">
      <c r="A24" s="113" t="s">
        <v>1010</v>
      </c>
      <c r="B24" s="127">
        <v>2.023110013E9</v>
      </c>
      <c r="C24" s="113" t="s">
        <v>1747</v>
      </c>
      <c r="D24" s="113" t="s">
        <v>1748</v>
      </c>
      <c r="E24" s="113" t="s">
        <v>1749</v>
      </c>
      <c r="F24" s="113" t="s">
        <v>51</v>
      </c>
      <c r="G24" s="127" t="s">
        <v>1750</v>
      </c>
      <c r="H24" s="122" t="s">
        <v>1751</v>
      </c>
      <c r="I24" s="113" t="s">
        <v>1752</v>
      </c>
      <c r="J24" s="113" t="s">
        <v>1091</v>
      </c>
      <c r="K24" s="124">
        <v>44832.0</v>
      </c>
      <c r="L24" s="113" t="s">
        <v>1098</v>
      </c>
      <c r="M24" s="113" t="s">
        <v>1108</v>
      </c>
      <c r="N24" s="113" t="s">
        <v>1484</v>
      </c>
      <c r="O24" s="127" t="s">
        <v>1598</v>
      </c>
      <c r="P24" s="113" t="s">
        <v>1753</v>
      </c>
      <c r="Q24" s="113" t="s">
        <v>1754</v>
      </c>
      <c r="R24" s="113" t="s">
        <v>1755</v>
      </c>
      <c r="S24" s="113" t="s">
        <v>1439</v>
      </c>
      <c r="T24" s="113" t="s">
        <v>1628</v>
      </c>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row>
    <row r="25">
      <c r="A25" s="137" t="s">
        <v>1721</v>
      </c>
      <c r="B25" s="161">
        <v>2.023110014E9</v>
      </c>
      <c r="C25" s="137" t="s">
        <v>1758</v>
      </c>
      <c r="D25" s="137" t="s">
        <v>1759</v>
      </c>
      <c r="E25" s="137" t="s">
        <v>1760</v>
      </c>
      <c r="F25" s="137" t="s">
        <v>278</v>
      </c>
      <c r="G25" s="137" t="s">
        <v>1761</v>
      </c>
      <c r="H25" s="138" t="s">
        <v>1762</v>
      </c>
      <c r="I25" s="137">
        <v>4051586.0</v>
      </c>
      <c r="J25" s="137" t="s">
        <v>1091</v>
      </c>
      <c r="K25" s="139">
        <v>44832.0</v>
      </c>
      <c r="L25" s="137" t="s">
        <v>1098</v>
      </c>
      <c r="M25" s="137" t="s">
        <v>1108</v>
      </c>
      <c r="N25" s="137" t="s">
        <v>1484</v>
      </c>
      <c r="O25" s="137" t="s">
        <v>1401</v>
      </c>
      <c r="P25" s="137" t="s">
        <v>1763</v>
      </c>
      <c r="Q25" s="137" t="s">
        <v>1764</v>
      </c>
      <c r="R25" s="137" t="s">
        <v>1765</v>
      </c>
      <c r="S25" s="141"/>
      <c r="T25" s="137" t="s">
        <v>1554</v>
      </c>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row>
    <row r="26">
      <c r="A26" s="113" t="s">
        <v>219</v>
      </c>
      <c r="B26" s="127">
        <v>2.023110016E9</v>
      </c>
      <c r="C26" s="127" t="s">
        <v>1766</v>
      </c>
      <c r="D26" s="113" t="s">
        <v>1767</v>
      </c>
      <c r="E26" s="113" t="s">
        <v>1768</v>
      </c>
      <c r="F26" s="113" t="s">
        <v>931</v>
      </c>
      <c r="G26" s="113" t="s">
        <v>1769</v>
      </c>
      <c r="H26" s="122" t="s">
        <v>1770</v>
      </c>
      <c r="I26" s="113" t="s">
        <v>1771</v>
      </c>
      <c r="J26" s="113" t="s">
        <v>1091</v>
      </c>
      <c r="K26" s="124">
        <v>44832.0</v>
      </c>
      <c r="L26" s="113" t="s">
        <v>1098</v>
      </c>
      <c r="M26" s="113" t="s">
        <v>1108</v>
      </c>
      <c r="N26" s="113" t="s">
        <v>1484</v>
      </c>
      <c r="O26" s="114" t="s">
        <v>1161</v>
      </c>
      <c r="P26" s="113" t="s">
        <v>1773</v>
      </c>
      <c r="Q26" s="231" t="s">
        <v>1774</v>
      </c>
      <c r="R26" s="113" t="s">
        <v>1775</v>
      </c>
      <c r="S26" s="113" t="s">
        <v>1439</v>
      </c>
      <c r="T26" s="113" t="s">
        <v>1554</v>
      </c>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row>
    <row r="27">
      <c r="A27" s="233" t="s">
        <v>1557</v>
      </c>
      <c r="B27" s="233">
        <v>2.023110017E9</v>
      </c>
      <c r="C27" s="154" t="s">
        <v>1465</v>
      </c>
      <c r="D27" s="154" t="s">
        <v>1776</v>
      </c>
      <c r="E27" s="154" t="s">
        <v>1777</v>
      </c>
      <c r="F27" s="154" t="s">
        <v>70</v>
      </c>
      <c r="G27" s="154" t="s">
        <v>1778</v>
      </c>
      <c r="H27" s="156" t="s">
        <v>1779</v>
      </c>
      <c r="I27" s="154" t="s">
        <v>1467</v>
      </c>
      <c r="J27" s="154" t="s">
        <v>1780</v>
      </c>
      <c r="K27" s="234">
        <v>44875.0</v>
      </c>
      <c r="L27" s="154" t="s">
        <v>1098</v>
      </c>
      <c r="M27" s="154" t="s">
        <v>1108</v>
      </c>
      <c r="N27" s="154" t="s">
        <v>1161</v>
      </c>
      <c r="O27" s="154" t="s">
        <v>1401</v>
      </c>
      <c r="P27" s="154" t="s">
        <v>1781</v>
      </c>
      <c r="Q27" s="233" t="s">
        <v>1782</v>
      </c>
      <c r="R27" s="154" t="s">
        <v>1783</v>
      </c>
      <c r="S27" s="233" t="s">
        <v>1441</v>
      </c>
      <c r="T27" s="154" t="s">
        <v>1554</v>
      </c>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row>
    <row r="28">
      <c r="A28" s="154" t="s">
        <v>1212</v>
      </c>
      <c r="B28" s="233">
        <v>2.023110018E9</v>
      </c>
      <c r="C28" s="154" t="s">
        <v>1784</v>
      </c>
      <c r="D28" s="154" t="s">
        <v>1785</v>
      </c>
      <c r="E28" s="154" t="s">
        <v>1786</v>
      </c>
      <c r="F28" s="154" t="s">
        <v>70</v>
      </c>
      <c r="G28" s="154" t="s">
        <v>1787</v>
      </c>
      <c r="H28" s="156" t="s">
        <v>1788</v>
      </c>
      <c r="I28" s="154" t="s">
        <v>1789</v>
      </c>
      <c r="J28" s="154" t="s">
        <v>1091</v>
      </c>
      <c r="K28" s="157">
        <v>44832.0</v>
      </c>
      <c r="L28" s="154" t="s">
        <v>1098</v>
      </c>
      <c r="M28" s="154" t="s">
        <v>1108</v>
      </c>
      <c r="N28" s="154" t="s">
        <v>1484</v>
      </c>
      <c r="O28" s="154" t="s">
        <v>1161</v>
      </c>
      <c r="P28" s="154" t="s">
        <v>1790</v>
      </c>
      <c r="Q28" s="154" t="s">
        <v>1791</v>
      </c>
      <c r="R28" s="154" t="s">
        <v>1792</v>
      </c>
      <c r="S28" s="154" t="s">
        <v>1439</v>
      </c>
      <c r="T28" s="154" t="s">
        <v>1554</v>
      </c>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row>
    <row r="29">
      <c r="A29" s="154" t="s">
        <v>1721</v>
      </c>
      <c r="B29" s="233">
        <v>2.023110019E9</v>
      </c>
      <c r="C29" s="233" t="s">
        <v>1793</v>
      </c>
      <c r="D29" s="154" t="s">
        <v>1794</v>
      </c>
      <c r="E29" s="154" t="s">
        <v>1795</v>
      </c>
      <c r="F29" s="154" t="s">
        <v>1016</v>
      </c>
      <c r="G29" s="154" t="s">
        <v>1796</v>
      </c>
      <c r="H29" s="156" t="s">
        <v>1797</v>
      </c>
      <c r="I29" s="154" t="s">
        <v>1798</v>
      </c>
      <c r="J29" s="154" t="s">
        <v>1091</v>
      </c>
      <c r="K29" s="157">
        <v>44832.0</v>
      </c>
      <c r="L29" s="154" t="s">
        <v>1098</v>
      </c>
      <c r="M29" s="154" t="s">
        <v>1108</v>
      </c>
      <c r="N29" s="154" t="s">
        <v>1161</v>
      </c>
      <c r="O29" s="154" t="s">
        <v>1401</v>
      </c>
      <c r="P29" s="154" t="s">
        <v>1799</v>
      </c>
      <c r="Q29" s="154" t="s">
        <v>1535</v>
      </c>
      <c r="R29" s="154" t="s">
        <v>1792</v>
      </c>
      <c r="S29" s="154" t="s">
        <v>1439</v>
      </c>
      <c r="T29" s="154" t="s">
        <v>1628</v>
      </c>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row>
    <row r="30">
      <c r="A30" s="154" t="s">
        <v>1522</v>
      </c>
      <c r="B30" s="233">
        <v>2.023100013E9</v>
      </c>
      <c r="C30" s="154" t="s">
        <v>1801</v>
      </c>
      <c r="D30" s="154" t="s">
        <v>1802</v>
      </c>
      <c r="E30" s="154" t="s">
        <v>1803</v>
      </c>
      <c r="F30" s="154" t="s">
        <v>1185</v>
      </c>
      <c r="G30" s="154" t="s">
        <v>1804</v>
      </c>
      <c r="H30" s="156" t="s">
        <v>1805</v>
      </c>
      <c r="I30" s="154">
        <v>5.630102305E9</v>
      </c>
      <c r="J30" s="154" t="s">
        <v>1091</v>
      </c>
      <c r="K30" s="157">
        <v>44832.0</v>
      </c>
      <c r="L30" s="154" t="s">
        <v>1098</v>
      </c>
      <c r="M30" s="154" t="s">
        <v>1108</v>
      </c>
      <c r="N30" s="154" t="s">
        <v>1161</v>
      </c>
      <c r="O30" s="233" t="s">
        <v>1401</v>
      </c>
      <c r="P30" s="154" t="s">
        <v>1806</v>
      </c>
      <c r="Q30" s="154" t="s">
        <v>1535</v>
      </c>
      <c r="R30" s="154" t="s">
        <v>1807</v>
      </c>
      <c r="S30" s="159"/>
      <c r="T30" s="154" t="s">
        <v>1628</v>
      </c>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row>
    <row r="31">
      <c r="A31" s="130" t="s">
        <v>1522</v>
      </c>
      <c r="B31" s="184">
        <v>2.023110021E9</v>
      </c>
      <c r="C31" s="130" t="s">
        <v>1810</v>
      </c>
      <c r="D31" s="130" t="s">
        <v>1811</v>
      </c>
      <c r="E31" s="130" t="s">
        <v>1812</v>
      </c>
      <c r="F31" s="130" t="s">
        <v>70</v>
      </c>
      <c r="G31" s="130" t="s">
        <v>1813</v>
      </c>
      <c r="H31" s="133" t="s">
        <v>1814</v>
      </c>
      <c r="I31" s="130" t="s">
        <v>1815</v>
      </c>
      <c r="J31" s="130" t="s">
        <v>1091</v>
      </c>
      <c r="K31" s="134">
        <v>44832.0</v>
      </c>
      <c r="L31" s="130" t="s">
        <v>1098</v>
      </c>
      <c r="M31" s="130" t="s">
        <v>1108</v>
      </c>
      <c r="N31" s="130" t="s">
        <v>1484</v>
      </c>
      <c r="O31" s="130" t="s">
        <v>1401</v>
      </c>
      <c r="P31" s="130" t="s">
        <v>1818</v>
      </c>
      <c r="Q31" s="130" t="s">
        <v>1535</v>
      </c>
      <c r="R31" s="130" t="s">
        <v>1819</v>
      </c>
      <c r="S31" s="130" t="s">
        <v>1439</v>
      </c>
      <c r="T31" s="130" t="s">
        <v>1628</v>
      </c>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row>
    <row r="32">
      <c r="A32" s="7" t="s">
        <v>1212</v>
      </c>
      <c r="B32" s="179">
        <v>2.023110022E9</v>
      </c>
      <c r="C32" s="7" t="s">
        <v>1822</v>
      </c>
      <c r="D32" s="7" t="s">
        <v>1823</v>
      </c>
      <c r="E32" s="7" t="s">
        <v>1824</v>
      </c>
      <c r="F32" s="7" t="s">
        <v>1826</v>
      </c>
      <c r="G32" s="7" t="s">
        <v>1827</v>
      </c>
      <c r="H32" s="144" t="s">
        <v>1828</v>
      </c>
      <c r="I32" s="144" t="s">
        <v>1829</v>
      </c>
      <c r="J32" s="7" t="s">
        <v>1091</v>
      </c>
      <c r="K32" s="235">
        <v>44832.0</v>
      </c>
      <c r="L32" s="7" t="s">
        <v>1098</v>
      </c>
      <c r="M32" s="7" t="s">
        <v>1108</v>
      </c>
      <c r="N32" s="7" t="s">
        <v>1466</v>
      </c>
      <c r="O32" s="236" t="s">
        <v>1401</v>
      </c>
      <c r="P32" s="179" t="s">
        <v>1830</v>
      </c>
      <c r="Q32" s="7" t="s">
        <v>1831</v>
      </c>
      <c r="R32" s="7" t="s">
        <v>1832</v>
      </c>
      <c r="S32" s="17"/>
      <c r="T32" s="179" t="s">
        <v>1833</v>
      </c>
      <c r="U32" s="7" t="s">
        <v>1834</v>
      </c>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row>
    <row r="33">
      <c r="A33" s="131" t="s">
        <v>1010</v>
      </c>
      <c r="B33" s="203">
        <v>2.023110026E9</v>
      </c>
      <c r="C33" s="131" t="s">
        <v>1835</v>
      </c>
      <c r="D33" s="131" t="s">
        <v>1836</v>
      </c>
      <c r="E33" s="130" t="s">
        <v>1837</v>
      </c>
      <c r="F33" s="131" t="s">
        <v>278</v>
      </c>
      <c r="G33" s="131" t="s">
        <v>1839</v>
      </c>
      <c r="H33" s="167" t="s">
        <v>1840</v>
      </c>
      <c r="I33" s="131">
        <v>4351462.0</v>
      </c>
      <c r="J33" s="131" t="s">
        <v>1091</v>
      </c>
      <c r="K33" s="168">
        <v>44832.0</v>
      </c>
      <c r="L33" s="131" t="s">
        <v>1098</v>
      </c>
      <c r="M33" s="131" t="s">
        <v>1108</v>
      </c>
      <c r="N33" s="131" t="s">
        <v>1484</v>
      </c>
      <c r="O33" s="129" t="s">
        <v>1401</v>
      </c>
      <c r="P33" s="131" t="s">
        <v>1844</v>
      </c>
      <c r="Q33" s="130" t="s">
        <v>1845</v>
      </c>
      <c r="R33" s="131" t="s">
        <v>1846</v>
      </c>
      <c r="S33" s="170"/>
      <c r="T33" s="130" t="s">
        <v>1521</v>
      </c>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row>
    <row r="34" ht="14.25" customHeight="1">
      <c r="A34" s="137" t="s">
        <v>1212</v>
      </c>
      <c r="B34" s="161">
        <v>2.023110029E9</v>
      </c>
      <c r="C34" s="137" t="s">
        <v>1847</v>
      </c>
      <c r="D34" s="137" t="s">
        <v>1848</v>
      </c>
      <c r="E34" s="137" t="s">
        <v>1849</v>
      </c>
      <c r="F34" s="137" t="s">
        <v>28</v>
      </c>
      <c r="G34" s="137" t="s">
        <v>1850</v>
      </c>
      <c r="H34" s="138" t="s">
        <v>1851</v>
      </c>
      <c r="I34" s="137" t="s">
        <v>1852</v>
      </c>
      <c r="J34" s="137" t="s">
        <v>1091</v>
      </c>
      <c r="K34" s="139">
        <v>44832.0</v>
      </c>
      <c r="L34" s="137" t="s">
        <v>1098</v>
      </c>
      <c r="M34" s="137" t="s">
        <v>1108</v>
      </c>
      <c r="N34" s="137" t="s">
        <v>1161</v>
      </c>
      <c r="O34" s="161" t="s">
        <v>1161</v>
      </c>
      <c r="P34" s="240" t="s">
        <v>1853</v>
      </c>
      <c r="Q34" s="137" t="s">
        <v>1854</v>
      </c>
      <c r="R34" s="137" t="s">
        <v>1855</v>
      </c>
      <c r="S34" s="137" t="s">
        <v>1439</v>
      </c>
      <c r="T34" s="137" t="s">
        <v>1554</v>
      </c>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row>
    <row r="35">
      <c r="A35" s="130" t="s">
        <v>1475</v>
      </c>
      <c r="B35" s="129">
        <v>2.02311003E9</v>
      </c>
      <c r="C35" s="130" t="s">
        <v>1856</v>
      </c>
      <c r="D35" s="130" t="s">
        <v>1857</v>
      </c>
      <c r="E35" s="130" t="s">
        <v>1858</v>
      </c>
      <c r="F35" s="130" t="s">
        <v>1016</v>
      </c>
      <c r="G35" s="130" t="s">
        <v>1859</v>
      </c>
      <c r="H35" s="133" t="s">
        <v>1860</v>
      </c>
      <c r="I35" s="130" t="s">
        <v>1861</v>
      </c>
      <c r="J35" s="130" t="s">
        <v>1091</v>
      </c>
      <c r="K35" s="134">
        <v>44832.0</v>
      </c>
      <c r="L35" s="130" t="s">
        <v>1098</v>
      </c>
      <c r="M35" s="130" t="s">
        <v>1108</v>
      </c>
      <c r="N35" s="130" t="s">
        <v>1484</v>
      </c>
      <c r="O35" s="130" t="s">
        <v>1401</v>
      </c>
      <c r="P35" s="130" t="s">
        <v>1862</v>
      </c>
      <c r="Q35" s="130" t="s">
        <v>1863</v>
      </c>
      <c r="R35" s="130" t="s">
        <v>1755</v>
      </c>
      <c r="S35" s="130" t="s">
        <v>1439</v>
      </c>
      <c r="T35" s="130" t="s">
        <v>1628</v>
      </c>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row>
    <row r="36">
      <c r="A36" s="131" t="s">
        <v>1391</v>
      </c>
      <c r="B36" s="203">
        <v>2.023110031E9</v>
      </c>
      <c r="C36" s="131" t="s">
        <v>1864</v>
      </c>
      <c r="D36" s="131" t="s">
        <v>1865</v>
      </c>
      <c r="E36" s="131" t="s">
        <v>1866</v>
      </c>
      <c r="F36" s="131" t="s">
        <v>70</v>
      </c>
      <c r="G36" s="131" t="s">
        <v>1867</v>
      </c>
      <c r="H36" s="167" t="s">
        <v>1868</v>
      </c>
      <c r="I36" s="131" t="s">
        <v>1869</v>
      </c>
      <c r="J36" s="131" t="s">
        <v>1091</v>
      </c>
      <c r="K36" s="168">
        <v>44832.0</v>
      </c>
      <c r="L36" s="131" t="s">
        <v>1098</v>
      </c>
      <c r="M36" s="131" t="s">
        <v>1108</v>
      </c>
      <c r="N36" s="130" t="s">
        <v>1161</v>
      </c>
      <c r="O36" s="131" t="s">
        <v>1401</v>
      </c>
      <c r="P36" s="131" t="s">
        <v>1870</v>
      </c>
      <c r="Q36" s="130" t="s">
        <v>1871</v>
      </c>
      <c r="R36" s="131" t="s">
        <v>1872</v>
      </c>
      <c r="S36" s="131" t="s">
        <v>1439</v>
      </c>
      <c r="T36" s="130" t="s">
        <v>1521</v>
      </c>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row>
    <row r="37">
      <c r="A37" s="203" t="s">
        <v>1311</v>
      </c>
      <c r="B37" s="203">
        <v>2.023110032E9</v>
      </c>
      <c r="C37" s="203" t="s">
        <v>1873</v>
      </c>
      <c r="D37" s="203" t="s">
        <v>1874</v>
      </c>
      <c r="E37" s="203" t="s">
        <v>1875</v>
      </c>
      <c r="F37" s="203" t="s">
        <v>695</v>
      </c>
      <c r="G37" s="203" t="s">
        <v>1877</v>
      </c>
      <c r="H37" s="241" t="s">
        <v>1878</v>
      </c>
      <c r="I37" s="203" t="s">
        <v>1879</v>
      </c>
      <c r="J37" s="203" t="s">
        <v>1091</v>
      </c>
      <c r="K37" s="206">
        <v>44832.0</v>
      </c>
      <c r="L37" s="129" t="s">
        <v>1548</v>
      </c>
      <c r="M37" s="131" t="s">
        <v>1108</v>
      </c>
      <c r="N37" s="203" t="s">
        <v>1484</v>
      </c>
      <c r="O37" s="203" t="s">
        <v>1161</v>
      </c>
      <c r="P37" s="203" t="s">
        <v>1880</v>
      </c>
      <c r="Q37" s="130" t="s">
        <v>1881</v>
      </c>
      <c r="R37" s="131" t="s">
        <v>1882</v>
      </c>
      <c r="S37" s="203" t="s">
        <v>1439</v>
      </c>
      <c r="T37" s="130" t="s">
        <v>1521</v>
      </c>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row>
    <row r="38">
      <c r="A38" s="154" t="s">
        <v>1475</v>
      </c>
      <c r="B38" s="233">
        <v>2.023110033E9</v>
      </c>
      <c r="C38" s="154" t="s">
        <v>1883</v>
      </c>
      <c r="D38" s="154" t="s">
        <v>1884</v>
      </c>
      <c r="E38" s="154" t="s">
        <v>1885</v>
      </c>
      <c r="F38" s="154" t="s">
        <v>1886</v>
      </c>
      <c r="G38" s="154" t="s">
        <v>1887</v>
      </c>
      <c r="H38" s="156" t="s">
        <v>1888</v>
      </c>
      <c r="I38" s="154" t="s">
        <v>1889</v>
      </c>
      <c r="J38" s="154" t="s">
        <v>1091</v>
      </c>
      <c r="K38" s="157">
        <v>44832.0</v>
      </c>
      <c r="L38" s="154" t="s">
        <v>1098</v>
      </c>
      <c r="M38" s="154" t="s">
        <v>1108</v>
      </c>
      <c r="N38" s="154" t="s">
        <v>1161</v>
      </c>
      <c r="O38" s="154" t="s">
        <v>1401</v>
      </c>
      <c r="P38" s="154" t="s">
        <v>1890</v>
      </c>
      <c r="Q38" s="154" t="s">
        <v>1891</v>
      </c>
      <c r="R38" s="154" t="s">
        <v>1892</v>
      </c>
      <c r="S38" s="154" t="s">
        <v>1441</v>
      </c>
      <c r="T38" s="154" t="s">
        <v>1554</v>
      </c>
      <c r="U38" s="159"/>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59"/>
      <c r="AT38" s="159"/>
      <c r="AU38" s="159"/>
      <c r="AV38" s="159"/>
      <c r="AW38" s="159"/>
      <c r="AX38" s="159"/>
      <c r="AY38" s="159"/>
      <c r="AZ38" s="159"/>
      <c r="BA38" s="159"/>
      <c r="BB38" s="159"/>
      <c r="BC38" s="159"/>
      <c r="BD38" s="159"/>
      <c r="BE38" s="159"/>
      <c r="BF38" s="159"/>
      <c r="BG38" s="159"/>
      <c r="BH38" s="159"/>
      <c r="BI38" s="159"/>
      <c r="BJ38" s="159"/>
      <c r="BK38" s="159"/>
      <c r="BL38" s="159"/>
    </row>
    <row r="39">
      <c r="A39" s="131" t="s">
        <v>1212</v>
      </c>
      <c r="B39" s="203">
        <v>2.023110035E9</v>
      </c>
      <c r="C39" s="131" t="s">
        <v>1893</v>
      </c>
      <c r="D39" s="131" t="s">
        <v>1894</v>
      </c>
      <c r="E39" s="131" t="s">
        <v>1895</v>
      </c>
      <c r="F39" s="131" t="s">
        <v>123</v>
      </c>
      <c r="G39" s="131" t="s">
        <v>1896</v>
      </c>
      <c r="H39" s="167" t="s">
        <v>1897</v>
      </c>
      <c r="I39" s="131" t="s">
        <v>1898</v>
      </c>
      <c r="J39" s="131" t="s">
        <v>1091</v>
      </c>
      <c r="K39" s="168">
        <v>44832.0</v>
      </c>
      <c r="L39" s="131" t="s">
        <v>1098</v>
      </c>
      <c r="M39" s="131" t="s">
        <v>1108</v>
      </c>
      <c r="N39" s="131" t="s">
        <v>1161</v>
      </c>
      <c r="O39" s="131" t="s">
        <v>1161</v>
      </c>
      <c r="P39" s="131" t="s">
        <v>1899</v>
      </c>
      <c r="Q39" s="131" t="s">
        <v>1900</v>
      </c>
      <c r="R39" s="131" t="s">
        <v>1901</v>
      </c>
      <c r="S39" s="131" t="s">
        <v>1439</v>
      </c>
      <c r="T39" s="131" t="s">
        <v>1554</v>
      </c>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row>
    <row r="40">
      <c r="A40" s="179" t="s">
        <v>1475</v>
      </c>
      <c r="B40" s="179">
        <v>2.023110036E9</v>
      </c>
      <c r="C40" s="7" t="s">
        <v>1809</v>
      </c>
      <c r="D40" s="7" t="s">
        <v>1816</v>
      </c>
      <c r="E40" s="7" t="s">
        <v>1817</v>
      </c>
      <c r="F40" s="7" t="s">
        <v>1016</v>
      </c>
      <c r="G40" s="7" t="s">
        <v>1820</v>
      </c>
      <c r="H40" s="144" t="s">
        <v>1821</v>
      </c>
      <c r="I40" s="7" t="s">
        <v>1825</v>
      </c>
      <c r="J40" s="7" t="s">
        <v>1091</v>
      </c>
      <c r="K40" s="235">
        <v>44832.0</v>
      </c>
      <c r="L40" s="7" t="s">
        <v>1098</v>
      </c>
      <c r="M40" s="7" t="s">
        <v>1108</v>
      </c>
      <c r="N40" s="7" t="s">
        <v>1430</v>
      </c>
      <c r="O40" s="7" t="s">
        <v>1129</v>
      </c>
      <c r="P40" s="7" t="s">
        <v>1838</v>
      </c>
      <c r="Q40" s="7" t="s">
        <v>1902</v>
      </c>
      <c r="R40" s="7" t="s">
        <v>1903</v>
      </c>
      <c r="S40" s="17"/>
      <c r="T40" s="179" t="s">
        <v>1904</v>
      </c>
      <c r="U40" s="7" t="s">
        <v>1834</v>
      </c>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row>
    <row r="41">
      <c r="A41" s="137" t="s">
        <v>1475</v>
      </c>
      <c r="B41" s="161">
        <v>2.023110037E9</v>
      </c>
      <c r="C41" s="137" t="s">
        <v>1906</v>
      </c>
      <c r="D41" s="137" t="s">
        <v>1907</v>
      </c>
      <c r="E41" s="137" t="s">
        <v>1908</v>
      </c>
      <c r="F41" s="161" t="s">
        <v>695</v>
      </c>
      <c r="G41" s="137" t="s">
        <v>1909</v>
      </c>
      <c r="H41" s="138" t="s">
        <v>1910</v>
      </c>
      <c r="I41" s="137" t="s">
        <v>1911</v>
      </c>
      <c r="J41" s="137" t="s">
        <v>1091</v>
      </c>
      <c r="K41" s="139">
        <v>44832.0</v>
      </c>
      <c r="L41" s="137" t="s">
        <v>1098</v>
      </c>
      <c r="M41" s="137" t="s">
        <v>1108</v>
      </c>
      <c r="N41" s="137" t="s">
        <v>1161</v>
      </c>
      <c r="O41" s="137" t="s">
        <v>1161</v>
      </c>
      <c r="P41" s="242" t="s">
        <v>1912</v>
      </c>
      <c r="Q41" s="137" t="s">
        <v>1913</v>
      </c>
      <c r="R41" s="137" t="s">
        <v>1914</v>
      </c>
      <c r="S41" s="137" t="s">
        <v>1439</v>
      </c>
      <c r="T41" s="137" t="s">
        <v>1554</v>
      </c>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row>
    <row r="42">
      <c r="A42" s="131" t="s">
        <v>1212</v>
      </c>
      <c r="B42" s="203">
        <v>2.023110039E9</v>
      </c>
      <c r="C42" s="131" t="s">
        <v>1915</v>
      </c>
      <c r="D42" s="131" t="s">
        <v>1916</v>
      </c>
      <c r="E42" s="131" t="s">
        <v>1917</v>
      </c>
      <c r="F42" s="131" t="s">
        <v>1918</v>
      </c>
      <c r="G42" s="131" t="s">
        <v>1919</v>
      </c>
      <c r="H42" s="167" t="s">
        <v>1920</v>
      </c>
      <c r="I42" s="131" t="s">
        <v>1921</v>
      </c>
      <c r="J42" s="131" t="s">
        <v>1091</v>
      </c>
      <c r="K42" s="168">
        <v>44832.0</v>
      </c>
      <c r="L42" s="131" t="s">
        <v>1098</v>
      </c>
      <c r="M42" s="131" t="s">
        <v>1108</v>
      </c>
      <c r="N42" s="131" t="s">
        <v>1484</v>
      </c>
      <c r="O42" s="203" t="s">
        <v>1129</v>
      </c>
      <c r="P42" s="131" t="s">
        <v>1922</v>
      </c>
      <c r="Q42" s="131" t="s">
        <v>1924</v>
      </c>
      <c r="R42" s="131" t="s">
        <v>1925</v>
      </c>
      <c r="S42" s="131" t="s">
        <v>1439</v>
      </c>
      <c r="T42" s="131" t="s">
        <v>1628</v>
      </c>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row>
    <row r="43">
      <c r="A43" s="131" t="s">
        <v>1926</v>
      </c>
      <c r="B43" s="203">
        <v>2.023120001E9</v>
      </c>
      <c r="C43" s="131" t="s">
        <v>1927</v>
      </c>
      <c r="D43" s="131" t="s">
        <v>1928</v>
      </c>
      <c r="E43" s="131" t="s">
        <v>1929</v>
      </c>
      <c r="F43" s="131" t="s">
        <v>174</v>
      </c>
      <c r="G43" s="131" t="s">
        <v>1930</v>
      </c>
      <c r="H43" s="167" t="s">
        <v>1931</v>
      </c>
      <c r="I43" s="131">
        <v>240277.0</v>
      </c>
      <c r="J43" s="131" t="s">
        <v>1091</v>
      </c>
      <c r="K43" s="168">
        <v>44832.0</v>
      </c>
      <c r="L43" s="131" t="s">
        <v>1098</v>
      </c>
      <c r="M43" s="131" t="s">
        <v>1108</v>
      </c>
      <c r="N43" s="131" t="s">
        <v>1484</v>
      </c>
      <c r="O43" s="131" t="s">
        <v>1161</v>
      </c>
      <c r="P43" s="203" t="s">
        <v>1933</v>
      </c>
      <c r="Q43" s="203" t="s">
        <v>1934</v>
      </c>
      <c r="R43" s="131" t="s">
        <v>1925</v>
      </c>
      <c r="S43" s="131" t="s">
        <v>1439</v>
      </c>
      <c r="T43" s="129" t="s">
        <v>1521</v>
      </c>
      <c r="U43" s="170"/>
      <c r="V43" s="131"/>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row>
    <row r="44">
      <c r="A44" s="130" t="s">
        <v>1010</v>
      </c>
      <c r="B44" s="129">
        <v>2.023120002E9</v>
      </c>
      <c r="C44" s="130" t="s">
        <v>1936</v>
      </c>
      <c r="D44" s="130" t="s">
        <v>1937</v>
      </c>
      <c r="E44" s="130" t="s">
        <v>1938</v>
      </c>
      <c r="F44" s="130" t="s">
        <v>123</v>
      </c>
      <c r="G44" s="130" t="s">
        <v>1939</v>
      </c>
      <c r="H44" s="133" t="s">
        <v>1940</v>
      </c>
      <c r="I44" s="130" t="s">
        <v>1941</v>
      </c>
      <c r="J44" s="130" t="s">
        <v>1091</v>
      </c>
      <c r="K44" s="134">
        <v>44832.0</v>
      </c>
      <c r="L44" s="130" t="s">
        <v>1098</v>
      </c>
      <c r="M44" s="130" t="s">
        <v>1108</v>
      </c>
      <c r="N44" s="130" t="s">
        <v>1161</v>
      </c>
      <c r="O44" s="130" t="s">
        <v>1161</v>
      </c>
      <c r="P44" s="130" t="s">
        <v>1942</v>
      </c>
      <c r="Q44" s="130" t="s">
        <v>1535</v>
      </c>
      <c r="R44" s="130" t="s">
        <v>1943</v>
      </c>
      <c r="S44" s="130" t="s">
        <v>1439</v>
      </c>
      <c r="T44" s="130" t="s">
        <v>1628</v>
      </c>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row>
    <row r="45">
      <c r="A45" s="131" t="s">
        <v>1391</v>
      </c>
      <c r="B45" s="203">
        <v>2.02311004E9</v>
      </c>
      <c r="C45" s="131" t="s">
        <v>1946</v>
      </c>
      <c r="D45" s="131" t="s">
        <v>1947</v>
      </c>
      <c r="E45" s="131" t="s">
        <v>1948</v>
      </c>
      <c r="F45" s="131" t="s">
        <v>620</v>
      </c>
      <c r="G45" s="131" t="s">
        <v>1949</v>
      </c>
      <c r="H45" s="167" t="s">
        <v>1950</v>
      </c>
      <c r="I45" s="131" t="s">
        <v>1951</v>
      </c>
      <c r="J45" s="131" t="s">
        <v>1091</v>
      </c>
      <c r="K45" s="168">
        <v>44832.0</v>
      </c>
      <c r="L45" s="131" t="s">
        <v>1098</v>
      </c>
      <c r="M45" s="131" t="s">
        <v>1108</v>
      </c>
      <c r="N45" s="130" t="s">
        <v>1161</v>
      </c>
      <c r="O45" s="131" t="s">
        <v>1161</v>
      </c>
      <c r="P45" s="131" t="s">
        <v>1952</v>
      </c>
      <c r="Q45" s="130" t="s">
        <v>1953</v>
      </c>
      <c r="R45" s="131" t="s">
        <v>1943</v>
      </c>
      <c r="S45" s="131" t="s">
        <v>1439</v>
      </c>
      <c r="T45" s="130" t="s">
        <v>1554</v>
      </c>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row>
    <row r="46">
      <c r="A46" s="130" t="s">
        <v>1475</v>
      </c>
      <c r="B46" s="129">
        <v>2.023120004E9</v>
      </c>
      <c r="C46" s="130" t="s">
        <v>1956</v>
      </c>
      <c r="D46" s="130" t="s">
        <v>1957</v>
      </c>
      <c r="E46" s="130" t="s">
        <v>1958</v>
      </c>
      <c r="F46" s="130" t="s">
        <v>278</v>
      </c>
      <c r="G46" s="130" t="s">
        <v>1959</v>
      </c>
      <c r="H46" s="133" t="s">
        <v>1960</v>
      </c>
      <c r="I46" s="133" t="s">
        <v>1960</v>
      </c>
      <c r="J46" s="130" t="s">
        <v>1091</v>
      </c>
      <c r="K46" s="134">
        <v>44832.0</v>
      </c>
      <c r="L46" s="130" t="s">
        <v>1098</v>
      </c>
      <c r="M46" s="130" t="s">
        <v>1108</v>
      </c>
      <c r="N46" s="130" t="s">
        <v>1161</v>
      </c>
      <c r="O46" s="129" t="s">
        <v>1161</v>
      </c>
      <c r="P46" s="130" t="s">
        <v>1963</v>
      </c>
      <c r="Q46" s="130" t="s">
        <v>1964</v>
      </c>
      <c r="R46" s="130" t="s">
        <v>1965</v>
      </c>
      <c r="S46" s="136"/>
      <c r="T46" s="130" t="s">
        <v>1628</v>
      </c>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row>
    <row r="47">
      <c r="A47" s="7" t="s">
        <v>1212</v>
      </c>
      <c r="B47" s="179">
        <v>2.023110042E9</v>
      </c>
      <c r="C47" s="179" t="s">
        <v>1966</v>
      </c>
      <c r="D47" s="7" t="s">
        <v>1967</v>
      </c>
      <c r="E47" s="7" t="s">
        <v>1968</v>
      </c>
      <c r="F47" s="7" t="s">
        <v>1969</v>
      </c>
      <c r="G47" s="179" t="s">
        <v>1970</v>
      </c>
      <c r="H47" s="144" t="s">
        <v>1971</v>
      </c>
      <c r="I47" s="144"/>
      <c r="J47" s="7" t="s">
        <v>1091</v>
      </c>
      <c r="K47" s="235">
        <v>44832.0</v>
      </c>
      <c r="L47" s="17"/>
      <c r="M47" s="7" t="s">
        <v>1549</v>
      </c>
      <c r="N47" s="17"/>
      <c r="O47" s="7" t="s">
        <v>1129</v>
      </c>
      <c r="P47" s="7"/>
      <c r="Q47" s="179" t="s">
        <v>1972</v>
      </c>
      <c r="R47" s="7" t="s">
        <v>1965</v>
      </c>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row>
    <row r="48">
      <c r="A48" s="7" t="s">
        <v>1212</v>
      </c>
      <c r="B48" s="179">
        <v>2.023110041E9</v>
      </c>
      <c r="C48" s="7" t="s">
        <v>1973</v>
      </c>
      <c r="D48" s="243" t="s">
        <v>1974</v>
      </c>
      <c r="E48" s="7" t="s">
        <v>1975</v>
      </c>
      <c r="F48" s="7" t="s">
        <v>695</v>
      </c>
      <c r="G48" s="7" t="s">
        <v>1977</v>
      </c>
      <c r="H48" s="144" t="s">
        <v>1978</v>
      </c>
      <c r="I48" s="7" t="s">
        <v>1980</v>
      </c>
      <c r="J48" s="7" t="s">
        <v>1338</v>
      </c>
      <c r="K48" s="244">
        <v>44383.0</v>
      </c>
      <c r="L48" s="17"/>
      <c r="M48" s="7" t="s">
        <v>1549</v>
      </c>
      <c r="N48" s="17"/>
      <c r="O48" s="179" t="s">
        <v>1161</v>
      </c>
      <c r="P48" s="245" t="s">
        <v>1981</v>
      </c>
      <c r="Q48" s="179" t="s">
        <v>1982</v>
      </c>
      <c r="R48" s="7" t="s">
        <v>1983</v>
      </c>
      <c r="S48" s="17"/>
      <c r="T48" s="7" t="s">
        <v>1984</v>
      </c>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row>
    <row r="49">
      <c r="A49" s="7" t="s">
        <v>1212</v>
      </c>
      <c r="B49" s="179">
        <v>2.023110043E9</v>
      </c>
      <c r="C49" s="7" t="s">
        <v>1973</v>
      </c>
      <c r="D49" s="243" t="s">
        <v>1974</v>
      </c>
      <c r="E49" s="7" t="s">
        <v>1975</v>
      </c>
      <c r="F49" s="7" t="s">
        <v>695</v>
      </c>
      <c r="G49" s="7" t="s">
        <v>1977</v>
      </c>
      <c r="H49" s="144" t="s">
        <v>1978</v>
      </c>
      <c r="I49" s="7" t="s">
        <v>1985</v>
      </c>
      <c r="J49" s="7" t="s">
        <v>1091</v>
      </c>
      <c r="K49" s="235">
        <v>44832.0</v>
      </c>
      <c r="L49" s="7"/>
      <c r="M49" s="7" t="s">
        <v>1549</v>
      </c>
      <c r="N49" s="7"/>
      <c r="O49" s="148" t="s">
        <v>1401</v>
      </c>
      <c r="P49" s="7" t="s">
        <v>1986</v>
      </c>
      <c r="Q49" s="179" t="s">
        <v>1982</v>
      </c>
      <c r="R49" s="7" t="s">
        <v>1987</v>
      </c>
      <c r="S49" s="17"/>
      <c r="T49" s="7" t="s">
        <v>1984</v>
      </c>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row>
    <row r="50">
      <c r="A50" s="246" t="s">
        <v>1010</v>
      </c>
      <c r="B50" s="247">
        <v>2.023120005E9</v>
      </c>
      <c r="C50" s="246" t="s">
        <v>1988</v>
      </c>
      <c r="D50" s="246" t="s">
        <v>1989</v>
      </c>
      <c r="E50" s="246" t="s">
        <v>1990</v>
      </c>
      <c r="F50" s="246" t="s">
        <v>1991</v>
      </c>
      <c r="G50" s="246" t="s">
        <v>1992</v>
      </c>
      <c r="H50" s="248" t="s">
        <v>1993</v>
      </c>
      <c r="I50" s="246" t="s">
        <v>1994</v>
      </c>
      <c r="J50" s="246" t="s">
        <v>1091</v>
      </c>
      <c r="K50" s="249">
        <v>44832.0</v>
      </c>
      <c r="L50" s="246" t="s">
        <v>1098</v>
      </c>
      <c r="M50" s="137" t="s">
        <v>1108</v>
      </c>
      <c r="N50" s="250" t="s">
        <v>1466</v>
      </c>
      <c r="O50" s="247" t="s">
        <v>1161</v>
      </c>
      <c r="P50" s="246" t="s">
        <v>1995</v>
      </c>
      <c r="Q50" s="247" t="s">
        <v>1996</v>
      </c>
      <c r="R50" s="246" t="s">
        <v>1997</v>
      </c>
      <c r="S50" s="246" t="s">
        <v>1439</v>
      </c>
      <c r="T50" s="246" t="s">
        <v>1554</v>
      </c>
      <c r="U50" s="251"/>
      <c r="V50" s="251"/>
      <c r="W50" s="251"/>
      <c r="X50" s="251"/>
      <c r="Y50" s="251"/>
      <c r="Z50" s="251"/>
      <c r="AA50" s="251"/>
      <c r="AB50" s="251"/>
      <c r="AC50" s="251"/>
      <c r="AD50" s="251"/>
      <c r="AE50" s="251"/>
      <c r="AF50" s="251"/>
      <c r="AG50" s="251"/>
      <c r="AH50" s="251"/>
      <c r="AI50" s="251"/>
      <c r="AJ50" s="251"/>
      <c r="AK50" s="251"/>
      <c r="AL50" s="251"/>
      <c r="AM50" s="251"/>
      <c r="AN50" s="251"/>
      <c r="AO50" s="251"/>
      <c r="AP50" s="251"/>
      <c r="AQ50" s="251"/>
      <c r="AR50" s="251"/>
      <c r="AS50" s="251"/>
      <c r="AT50" s="251"/>
      <c r="AU50" s="251"/>
      <c r="AV50" s="251"/>
      <c r="AW50" s="251"/>
      <c r="AX50" s="251"/>
      <c r="AY50" s="251"/>
      <c r="AZ50" s="251"/>
      <c r="BA50" s="251"/>
      <c r="BB50" s="251"/>
      <c r="BC50" s="251"/>
      <c r="BD50" s="251"/>
      <c r="BE50" s="251"/>
      <c r="BF50" s="251"/>
      <c r="BG50" s="251"/>
      <c r="BH50" s="251"/>
      <c r="BI50" s="251"/>
      <c r="BJ50" s="251"/>
      <c r="BK50" s="251"/>
      <c r="BL50" s="251"/>
    </row>
    <row r="51">
      <c r="A51" s="7" t="s">
        <v>1391</v>
      </c>
      <c r="B51" s="179">
        <v>2.023120003E9</v>
      </c>
      <c r="C51" s="7" t="s">
        <v>1999</v>
      </c>
      <c r="D51" s="7" t="s">
        <v>2000</v>
      </c>
      <c r="E51" s="7" t="s">
        <v>2001</v>
      </c>
      <c r="F51" s="7" t="s">
        <v>695</v>
      </c>
      <c r="G51" s="7" t="s">
        <v>2002</v>
      </c>
      <c r="H51" s="144" t="s">
        <v>2003</v>
      </c>
      <c r="I51" s="7" t="s">
        <v>2004</v>
      </c>
      <c r="J51" s="7" t="s">
        <v>1566</v>
      </c>
      <c r="K51" s="235">
        <v>45259.0</v>
      </c>
      <c r="L51" s="17"/>
      <c r="M51" s="7" t="s">
        <v>1549</v>
      </c>
      <c r="N51" s="17"/>
      <c r="O51" s="252" t="s">
        <v>1401</v>
      </c>
      <c r="P51" s="253" t="s">
        <v>2005</v>
      </c>
      <c r="Q51" s="179" t="s">
        <v>2007</v>
      </c>
      <c r="R51" s="7" t="s">
        <v>2008</v>
      </c>
      <c r="S51" s="17"/>
      <c r="T51" s="7" t="s">
        <v>2009</v>
      </c>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row>
    <row r="52">
      <c r="A52" s="137" t="s">
        <v>1212</v>
      </c>
      <c r="B52" s="161">
        <v>2.023120006E9</v>
      </c>
      <c r="C52" s="137" t="s">
        <v>2010</v>
      </c>
      <c r="D52" s="161" t="s">
        <v>2011</v>
      </c>
      <c r="E52" s="137" t="s">
        <v>2012</v>
      </c>
      <c r="F52" s="137" t="s">
        <v>695</v>
      </c>
      <c r="G52" s="137" t="s">
        <v>2013</v>
      </c>
      <c r="H52" s="138" t="s">
        <v>2014</v>
      </c>
      <c r="I52" s="137" t="s">
        <v>2015</v>
      </c>
      <c r="J52" s="137" t="s">
        <v>1091</v>
      </c>
      <c r="K52" s="139">
        <v>44832.0</v>
      </c>
      <c r="L52" s="137" t="s">
        <v>1548</v>
      </c>
      <c r="M52" s="137" t="s">
        <v>1108</v>
      </c>
      <c r="N52" s="137" t="s">
        <v>1161</v>
      </c>
      <c r="O52" s="137" t="s">
        <v>1161</v>
      </c>
      <c r="P52" s="137" t="s">
        <v>1986</v>
      </c>
      <c r="Q52" s="137" t="s">
        <v>2017</v>
      </c>
      <c r="R52" s="137" t="s">
        <v>2008</v>
      </c>
      <c r="S52" s="137" t="s">
        <v>1439</v>
      </c>
      <c r="T52" s="137" t="s">
        <v>1628</v>
      </c>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row>
    <row r="53">
      <c r="A53" s="130" t="s">
        <v>1311</v>
      </c>
      <c r="B53" s="129">
        <v>2.023120007E9</v>
      </c>
      <c r="C53" s="130" t="s">
        <v>2020</v>
      </c>
      <c r="D53" s="129" t="s">
        <v>2021</v>
      </c>
      <c r="E53" s="130" t="s">
        <v>2022</v>
      </c>
      <c r="F53" s="130" t="s">
        <v>2023</v>
      </c>
      <c r="G53" s="130" t="s">
        <v>2024</v>
      </c>
      <c r="H53" s="133" t="s">
        <v>2025</v>
      </c>
      <c r="I53" s="130" t="s">
        <v>2026</v>
      </c>
      <c r="J53" s="130" t="s">
        <v>1091</v>
      </c>
      <c r="K53" s="134">
        <v>44832.0</v>
      </c>
      <c r="L53" s="130" t="s">
        <v>1098</v>
      </c>
      <c r="M53" s="130" t="s">
        <v>1108</v>
      </c>
      <c r="N53" s="130" t="s">
        <v>1161</v>
      </c>
      <c r="O53" s="129" t="s">
        <v>1161</v>
      </c>
      <c r="P53" s="130" t="s">
        <v>2028</v>
      </c>
      <c r="Q53" s="130" t="s">
        <v>1535</v>
      </c>
      <c r="R53" s="130" t="s">
        <v>2030</v>
      </c>
      <c r="S53" s="136"/>
      <c r="T53" s="130" t="s">
        <v>1628</v>
      </c>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row>
    <row r="54">
      <c r="A54" s="154" t="s">
        <v>1391</v>
      </c>
      <c r="B54" s="233">
        <v>2.023120008E9</v>
      </c>
      <c r="C54" s="154" t="s">
        <v>1473</v>
      </c>
      <c r="D54" s="233" t="s">
        <v>2032</v>
      </c>
      <c r="E54" s="154" t="s">
        <v>2033</v>
      </c>
      <c r="F54" s="154" t="s">
        <v>620</v>
      </c>
      <c r="G54" s="154" t="s">
        <v>2034</v>
      </c>
      <c r="H54" s="156" t="s">
        <v>2035</v>
      </c>
      <c r="I54" s="154" t="s">
        <v>2036</v>
      </c>
      <c r="J54" s="154" t="s">
        <v>1091</v>
      </c>
      <c r="K54" s="157">
        <v>44832.0</v>
      </c>
      <c r="L54" s="154" t="s">
        <v>1098</v>
      </c>
      <c r="M54" s="154" t="s">
        <v>1108</v>
      </c>
      <c r="N54" s="154" t="s">
        <v>1161</v>
      </c>
      <c r="O54" s="233" t="s">
        <v>1161</v>
      </c>
      <c r="P54" s="154" t="s">
        <v>2037</v>
      </c>
      <c r="Q54" s="233" t="s">
        <v>2038</v>
      </c>
      <c r="R54" s="154" t="s">
        <v>2039</v>
      </c>
      <c r="S54" s="154" t="s">
        <v>1439</v>
      </c>
      <c r="T54" s="154" t="s">
        <v>1628</v>
      </c>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c r="BE54" s="159"/>
      <c r="BF54" s="159"/>
      <c r="BG54" s="159"/>
      <c r="BH54" s="159"/>
      <c r="BI54" s="159"/>
      <c r="BJ54" s="159"/>
      <c r="BK54" s="159"/>
      <c r="BL54" s="159"/>
    </row>
    <row r="55">
      <c r="A55" s="185" t="s">
        <v>2040</v>
      </c>
      <c r="B55" s="191">
        <v>2.023120009E9</v>
      </c>
      <c r="C55" s="185" t="s">
        <v>2041</v>
      </c>
      <c r="D55" s="191" t="s">
        <v>2042</v>
      </c>
      <c r="E55" s="185" t="s">
        <v>2043</v>
      </c>
      <c r="F55" s="185" t="s">
        <v>2044</v>
      </c>
      <c r="G55" s="185" t="s">
        <v>2045</v>
      </c>
      <c r="H55" s="188" t="s">
        <v>2046</v>
      </c>
      <c r="I55" s="185" t="s">
        <v>2047</v>
      </c>
      <c r="J55" s="185" t="s">
        <v>1091</v>
      </c>
      <c r="K55" s="189">
        <v>44832.0</v>
      </c>
      <c r="L55" s="185" t="s">
        <v>1098</v>
      </c>
      <c r="M55" s="185" t="s">
        <v>1108</v>
      </c>
      <c r="N55" s="254" t="s">
        <v>1466</v>
      </c>
      <c r="O55" s="185" t="s">
        <v>1161</v>
      </c>
      <c r="P55" s="185" t="s">
        <v>2048</v>
      </c>
      <c r="Q55" s="185" t="s">
        <v>2049</v>
      </c>
      <c r="R55" s="185" t="s">
        <v>2039</v>
      </c>
      <c r="S55" s="185" t="s">
        <v>1434</v>
      </c>
      <c r="T55" s="185" t="s">
        <v>2050</v>
      </c>
      <c r="U55" s="193"/>
      <c r="V55" s="193"/>
      <c r="W55" s="193"/>
      <c r="X55" s="193"/>
      <c r="Y55" s="193"/>
      <c r="Z55" s="193"/>
      <c r="AA55" s="193"/>
      <c r="AB55" s="193"/>
      <c r="AC55" s="193"/>
      <c r="AD55" s="193"/>
      <c r="AE55" s="193"/>
      <c r="AF55" s="193"/>
      <c r="AG55" s="193"/>
      <c r="AH55" s="193"/>
      <c r="AI55" s="193"/>
      <c r="AJ55" s="193"/>
      <c r="AK55" s="193"/>
      <c r="AL55" s="193"/>
      <c r="AM55" s="193"/>
      <c r="AN55" s="193"/>
      <c r="AO55" s="193"/>
      <c r="AP55" s="193"/>
      <c r="AQ55" s="193"/>
      <c r="AR55" s="193"/>
      <c r="AS55" s="193"/>
      <c r="AT55" s="193"/>
      <c r="AU55" s="193"/>
      <c r="AV55" s="193"/>
      <c r="AW55" s="193"/>
      <c r="AX55" s="193"/>
      <c r="AY55" s="193"/>
      <c r="AZ55" s="193"/>
      <c r="BA55" s="193"/>
      <c r="BB55" s="193"/>
      <c r="BC55" s="193"/>
      <c r="BD55" s="193"/>
      <c r="BE55" s="193"/>
      <c r="BF55" s="193"/>
      <c r="BG55" s="193"/>
      <c r="BH55" s="193"/>
      <c r="BI55" s="193"/>
      <c r="BJ55" s="193"/>
      <c r="BK55" s="193"/>
      <c r="BL55" s="193"/>
    </row>
    <row r="56">
      <c r="A56" s="154" t="s">
        <v>1010</v>
      </c>
      <c r="B56" s="233">
        <v>2.02312001E9</v>
      </c>
      <c r="C56" s="154" t="s">
        <v>2051</v>
      </c>
      <c r="D56" s="233" t="s">
        <v>2052</v>
      </c>
      <c r="E56" s="154" t="s">
        <v>2053</v>
      </c>
      <c r="F56" s="154" t="s">
        <v>1918</v>
      </c>
      <c r="G56" s="154" t="s">
        <v>2054</v>
      </c>
      <c r="H56" s="156" t="s">
        <v>2055</v>
      </c>
      <c r="I56" s="154" t="s">
        <v>2056</v>
      </c>
      <c r="J56" s="154" t="s">
        <v>1091</v>
      </c>
      <c r="K56" s="157">
        <v>44832.0</v>
      </c>
      <c r="L56" s="154" t="s">
        <v>1098</v>
      </c>
      <c r="M56" s="154" t="s">
        <v>1108</v>
      </c>
      <c r="N56" s="154" t="s">
        <v>1161</v>
      </c>
      <c r="O56" s="233" t="s">
        <v>1401</v>
      </c>
      <c r="P56" s="154" t="s">
        <v>2057</v>
      </c>
      <c r="Q56" s="154" t="s">
        <v>2058</v>
      </c>
      <c r="R56" s="154" t="s">
        <v>2039</v>
      </c>
      <c r="S56" s="154" t="s">
        <v>1439</v>
      </c>
      <c r="T56" s="154" t="s">
        <v>1628</v>
      </c>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59"/>
      <c r="AT56" s="159"/>
      <c r="AU56" s="159"/>
      <c r="AV56" s="159"/>
      <c r="AW56" s="159"/>
      <c r="AX56" s="159"/>
      <c r="AY56" s="159"/>
      <c r="AZ56" s="159"/>
      <c r="BA56" s="159"/>
      <c r="BB56" s="159"/>
      <c r="BC56" s="159"/>
      <c r="BD56" s="159"/>
      <c r="BE56" s="159"/>
      <c r="BF56" s="159"/>
      <c r="BG56" s="159"/>
      <c r="BH56" s="159"/>
      <c r="BI56" s="159"/>
      <c r="BJ56" s="159"/>
      <c r="BK56" s="159"/>
      <c r="BL56" s="159"/>
    </row>
    <row r="57">
      <c r="A57" s="154" t="s">
        <v>2059</v>
      </c>
      <c r="B57" s="233">
        <v>2.023120011E9</v>
      </c>
      <c r="C57" s="154" t="s">
        <v>2060</v>
      </c>
      <c r="D57" s="233" t="s">
        <v>2061</v>
      </c>
      <c r="E57" s="154" t="s">
        <v>2063</v>
      </c>
      <c r="F57" s="154" t="s">
        <v>75</v>
      </c>
      <c r="G57" s="154" t="s">
        <v>2064</v>
      </c>
      <c r="H57" s="156" t="s">
        <v>2065</v>
      </c>
      <c r="I57" s="154">
        <v>252708.0</v>
      </c>
      <c r="J57" s="154" t="s">
        <v>1091</v>
      </c>
      <c r="K57" s="157">
        <v>44832.0</v>
      </c>
      <c r="L57" s="154" t="s">
        <v>1098</v>
      </c>
      <c r="M57" s="154" t="s">
        <v>1108</v>
      </c>
      <c r="N57" s="154" t="s">
        <v>1161</v>
      </c>
      <c r="O57" s="233" t="s">
        <v>1401</v>
      </c>
      <c r="P57" s="154" t="s">
        <v>2066</v>
      </c>
      <c r="Q57" s="154" t="s">
        <v>1535</v>
      </c>
      <c r="R57" s="154" t="s">
        <v>2067</v>
      </c>
      <c r="S57" s="159"/>
      <c r="T57" s="154" t="s">
        <v>1628</v>
      </c>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BK57" s="159"/>
      <c r="BL57" s="159"/>
    </row>
    <row r="58">
      <c r="A58" s="113" t="s">
        <v>1475</v>
      </c>
      <c r="B58" s="127">
        <v>2.023120012E9</v>
      </c>
      <c r="C58" s="113" t="s">
        <v>2068</v>
      </c>
      <c r="D58" s="127" t="s">
        <v>2069</v>
      </c>
      <c r="E58" s="113" t="s">
        <v>2070</v>
      </c>
      <c r="F58" s="113" t="s">
        <v>2071</v>
      </c>
      <c r="G58" s="113" t="s">
        <v>2072</v>
      </c>
      <c r="H58" s="122" t="s">
        <v>2073</v>
      </c>
      <c r="I58" s="122" t="s">
        <v>2074</v>
      </c>
      <c r="J58" s="113" t="s">
        <v>1091</v>
      </c>
      <c r="K58" s="124">
        <v>44832.0</v>
      </c>
      <c r="L58" s="113" t="s">
        <v>1098</v>
      </c>
      <c r="M58" s="113" t="s">
        <v>1108</v>
      </c>
      <c r="N58" s="113" t="s">
        <v>1161</v>
      </c>
      <c r="O58" s="127" t="s">
        <v>1161</v>
      </c>
      <c r="P58" s="113" t="s">
        <v>2075</v>
      </c>
      <c r="Q58" s="127" t="s">
        <v>2076</v>
      </c>
      <c r="R58" s="113" t="s">
        <v>2077</v>
      </c>
      <c r="S58" s="113" t="s">
        <v>1434</v>
      </c>
      <c r="T58" s="114" t="s">
        <v>1521</v>
      </c>
      <c r="U58" s="255"/>
      <c r="V58" s="128"/>
      <c r="W58" s="128"/>
      <c r="X58" s="128"/>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c r="BJ58" s="128"/>
      <c r="BK58" s="128"/>
      <c r="BL58" s="128"/>
    </row>
    <row r="59">
      <c r="A59" s="154" t="s">
        <v>1475</v>
      </c>
      <c r="B59" s="154">
        <v>2.023120014E9</v>
      </c>
      <c r="C59" s="154" t="s">
        <v>2078</v>
      </c>
      <c r="D59" s="233" t="s">
        <v>2079</v>
      </c>
      <c r="E59" s="154" t="s">
        <v>2080</v>
      </c>
      <c r="F59" s="154" t="s">
        <v>2081</v>
      </c>
      <c r="G59" s="154" t="s">
        <v>2082</v>
      </c>
      <c r="H59" s="156" t="s">
        <v>2083</v>
      </c>
      <c r="I59" s="154" t="s">
        <v>2084</v>
      </c>
      <c r="J59" s="154" t="s">
        <v>1091</v>
      </c>
      <c r="K59" s="157">
        <v>44832.0</v>
      </c>
      <c r="L59" s="154" t="s">
        <v>1098</v>
      </c>
      <c r="M59" s="154" t="s">
        <v>1108</v>
      </c>
      <c r="N59" s="154" t="s">
        <v>1484</v>
      </c>
      <c r="O59" s="154" t="s">
        <v>1401</v>
      </c>
      <c r="P59" s="154" t="s">
        <v>2085</v>
      </c>
      <c r="Q59" s="154" t="s">
        <v>2086</v>
      </c>
      <c r="R59" s="154" t="s">
        <v>2077</v>
      </c>
      <c r="S59" s="154" t="s">
        <v>1439</v>
      </c>
      <c r="T59" s="233" t="s">
        <v>1628</v>
      </c>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row>
    <row r="60">
      <c r="A60" s="257" t="s">
        <v>1475</v>
      </c>
      <c r="B60" s="257">
        <v>2.023120015E9</v>
      </c>
      <c r="C60" s="257" t="s">
        <v>2088</v>
      </c>
      <c r="D60" s="259" t="s">
        <v>2089</v>
      </c>
      <c r="E60" s="257" t="s">
        <v>2090</v>
      </c>
      <c r="F60" s="257" t="s">
        <v>325</v>
      </c>
      <c r="G60" s="257" t="s">
        <v>2091</v>
      </c>
      <c r="H60" s="261" t="s">
        <v>2092</v>
      </c>
      <c r="I60" s="261" t="s">
        <v>2093</v>
      </c>
      <c r="J60" s="257" t="s">
        <v>1091</v>
      </c>
      <c r="K60" s="262">
        <v>44832.0</v>
      </c>
      <c r="L60" s="257" t="s">
        <v>1098</v>
      </c>
      <c r="M60" s="257" t="s">
        <v>1108</v>
      </c>
      <c r="N60" s="263" t="s">
        <v>1466</v>
      </c>
      <c r="O60" s="259" t="s">
        <v>1161</v>
      </c>
      <c r="P60" s="264" t="s">
        <v>2096</v>
      </c>
      <c r="Q60" s="257" t="s">
        <v>2097</v>
      </c>
      <c r="R60" s="257" t="s">
        <v>2099</v>
      </c>
      <c r="S60" s="257" t="s">
        <v>1434</v>
      </c>
      <c r="T60" s="191" t="s">
        <v>2100</v>
      </c>
      <c r="U60" s="265"/>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row>
    <row r="61">
      <c r="A61" s="257" t="s">
        <v>1212</v>
      </c>
      <c r="B61" s="257">
        <v>2.023120016E9</v>
      </c>
      <c r="C61" s="257" t="s">
        <v>2104</v>
      </c>
      <c r="D61" s="259" t="s">
        <v>2105</v>
      </c>
      <c r="E61" s="257" t="s">
        <v>2106</v>
      </c>
      <c r="F61" s="257" t="s">
        <v>2108</v>
      </c>
      <c r="G61" s="257" t="s">
        <v>2109</v>
      </c>
      <c r="H61" s="261" t="s">
        <v>2110</v>
      </c>
      <c r="I61" s="257" t="s">
        <v>2111</v>
      </c>
      <c r="J61" s="257" t="s">
        <v>1091</v>
      </c>
      <c r="K61" s="262">
        <v>44832.0</v>
      </c>
      <c r="L61" s="257" t="s">
        <v>1098</v>
      </c>
      <c r="M61" s="257" t="s">
        <v>1108</v>
      </c>
      <c r="N61" s="257" t="s">
        <v>1161</v>
      </c>
      <c r="O61" s="259" t="s">
        <v>1161</v>
      </c>
      <c r="P61" s="257" t="s">
        <v>2112</v>
      </c>
      <c r="Q61" s="185" t="s">
        <v>2113</v>
      </c>
      <c r="R61" s="257" t="s">
        <v>2115</v>
      </c>
      <c r="S61" s="257" t="s">
        <v>1434</v>
      </c>
      <c r="T61" s="185" t="s">
        <v>2116</v>
      </c>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row>
    <row r="62">
      <c r="A62" s="154" t="s">
        <v>1391</v>
      </c>
      <c r="B62" s="154">
        <v>2.024010001E9</v>
      </c>
      <c r="C62" s="154" t="s">
        <v>2118</v>
      </c>
      <c r="D62" s="233" t="s">
        <v>2119</v>
      </c>
      <c r="E62" s="154" t="s">
        <v>1803</v>
      </c>
      <c r="F62" s="154" t="s">
        <v>70</v>
      </c>
      <c r="G62" s="154" t="s">
        <v>2120</v>
      </c>
      <c r="H62" s="156" t="s">
        <v>2121</v>
      </c>
      <c r="I62" s="154" t="s">
        <v>2122</v>
      </c>
      <c r="J62" s="154" t="s">
        <v>1091</v>
      </c>
      <c r="K62" s="157">
        <v>44832.0</v>
      </c>
      <c r="L62" s="154" t="s">
        <v>1098</v>
      </c>
      <c r="M62" s="154" t="s">
        <v>1108</v>
      </c>
      <c r="N62" s="154" t="s">
        <v>1161</v>
      </c>
      <c r="O62" s="233" t="s">
        <v>1401</v>
      </c>
      <c r="P62" s="154" t="s">
        <v>2123</v>
      </c>
      <c r="Q62" s="154" t="s">
        <v>2124</v>
      </c>
      <c r="R62" s="154" t="s">
        <v>2125</v>
      </c>
      <c r="S62" s="159"/>
      <c r="T62" s="154" t="s">
        <v>1628</v>
      </c>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row>
    <row r="63">
      <c r="A63" s="130" t="s">
        <v>1391</v>
      </c>
      <c r="B63" s="130">
        <v>2.024010003E9</v>
      </c>
      <c r="C63" s="130" t="s">
        <v>2127</v>
      </c>
      <c r="D63" s="129" t="s">
        <v>2128</v>
      </c>
      <c r="E63" s="130" t="s">
        <v>2130</v>
      </c>
      <c r="F63" s="130" t="s">
        <v>123</v>
      </c>
      <c r="G63" s="130" t="s">
        <v>2131</v>
      </c>
      <c r="H63" s="133" t="s">
        <v>2132</v>
      </c>
      <c r="I63" s="130" t="s">
        <v>2133</v>
      </c>
      <c r="J63" s="130" t="s">
        <v>1091</v>
      </c>
      <c r="K63" s="134">
        <v>44832.0</v>
      </c>
      <c r="L63" s="130" t="s">
        <v>1098</v>
      </c>
      <c r="M63" s="130" t="s">
        <v>1108</v>
      </c>
      <c r="N63" s="130" t="s">
        <v>1161</v>
      </c>
      <c r="O63" s="129" t="s">
        <v>1161</v>
      </c>
      <c r="P63" s="130" t="s">
        <v>2134</v>
      </c>
      <c r="Q63" s="130" t="s">
        <v>2135</v>
      </c>
      <c r="R63" s="130" t="s">
        <v>2136</v>
      </c>
      <c r="S63" s="136"/>
      <c r="T63" s="130" t="s">
        <v>1628</v>
      </c>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row>
    <row r="64">
      <c r="A64" s="137" t="s">
        <v>1212</v>
      </c>
      <c r="B64" s="137">
        <v>2.023120017E9</v>
      </c>
      <c r="C64" s="161" t="s">
        <v>2137</v>
      </c>
      <c r="D64" s="161" t="s">
        <v>2138</v>
      </c>
      <c r="E64" s="137" t="s">
        <v>2139</v>
      </c>
      <c r="F64" s="137" t="s">
        <v>2140</v>
      </c>
      <c r="G64" s="137" t="s">
        <v>2141</v>
      </c>
      <c r="H64" s="138" t="s">
        <v>2142</v>
      </c>
      <c r="I64" s="137" t="s">
        <v>2143</v>
      </c>
      <c r="J64" s="137" t="s">
        <v>1091</v>
      </c>
      <c r="K64" s="139">
        <v>44832.0</v>
      </c>
      <c r="L64" s="137" t="s">
        <v>1098</v>
      </c>
      <c r="M64" s="137" t="s">
        <v>1108</v>
      </c>
      <c r="N64" s="137" t="s">
        <v>1161</v>
      </c>
      <c r="O64" s="161" t="s">
        <v>1129</v>
      </c>
      <c r="P64" s="137" t="s">
        <v>1743</v>
      </c>
      <c r="Q64" s="137" t="s">
        <v>2144</v>
      </c>
      <c r="R64" s="137" t="s">
        <v>2145</v>
      </c>
      <c r="S64" s="137" t="s">
        <v>1439</v>
      </c>
      <c r="T64" s="137" t="s">
        <v>1521</v>
      </c>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row>
    <row r="65">
      <c r="A65" s="113" t="s">
        <v>1212</v>
      </c>
      <c r="B65" s="113">
        <v>2.023120018E9</v>
      </c>
      <c r="C65" s="113" t="s">
        <v>2146</v>
      </c>
      <c r="D65" s="127" t="s">
        <v>2147</v>
      </c>
      <c r="E65" s="113" t="s">
        <v>2148</v>
      </c>
      <c r="F65" s="113" t="s">
        <v>620</v>
      </c>
      <c r="G65" s="113" t="s">
        <v>2149</v>
      </c>
      <c r="H65" s="122" t="s">
        <v>2150</v>
      </c>
      <c r="I65" s="113" t="s">
        <v>2151</v>
      </c>
      <c r="J65" s="113" t="s">
        <v>1091</v>
      </c>
      <c r="K65" s="124">
        <v>44832.0</v>
      </c>
      <c r="L65" s="113" t="s">
        <v>1098</v>
      </c>
      <c r="M65" s="113" t="s">
        <v>1108</v>
      </c>
      <c r="N65" s="113" t="s">
        <v>1161</v>
      </c>
      <c r="O65" s="113" t="s">
        <v>1161</v>
      </c>
      <c r="P65" s="113" t="s">
        <v>2152</v>
      </c>
      <c r="Q65" s="113" t="s">
        <v>2153</v>
      </c>
      <c r="R65" s="113" t="s">
        <v>2154</v>
      </c>
      <c r="S65" s="113" t="s">
        <v>1439</v>
      </c>
      <c r="T65" s="113" t="s">
        <v>1521</v>
      </c>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row>
    <row r="66">
      <c r="A66" s="154" t="s">
        <v>219</v>
      </c>
      <c r="B66" s="154">
        <v>2.024010004E9</v>
      </c>
      <c r="C66" s="154" t="s">
        <v>2156</v>
      </c>
      <c r="D66" s="233" t="s">
        <v>2157</v>
      </c>
      <c r="E66" s="154" t="s">
        <v>2158</v>
      </c>
      <c r="F66" s="154" t="s">
        <v>70</v>
      </c>
      <c r="G66" s="154" t="s">
        <v>2159</v>
      </c>
      <c r="H66" s="156" t="s">
        <v>2160</v>
      </c>
      <c r="I66" s="154" t="s">
        <v>2161</v>
      </c>
      <c r="J66" s="154" t="s">
        <v>2162</v>
      </c>
      <c r="K66" s="157">
        <v>45168.0</v>
      </c>
      <c r="L66" s="154" t="s">
        <v>1098</v>
      </c>
      <c r="M66" s="154" t="s">
        <v>1108</v>
      </c>
      <c r="N66" s="154" t="s">
        <v>1484</v>
      </c>
      <c r="O66" s="154" t="s">
        <v>1401</v>
      </c>
      <c r="P66" s="154" t="s">
        <v>2163</v>
      </c>
      <c r="Q66" s="269" t="s">
        <v>2164</v>
      </c>
      <c r="R66" s="154" t="s">
        <v>2165</v>
      </c>
      <c r="S66" s="154" t="s">
        <v>1439</v>
      </c>
      <c r="T66" s="233" t="s">
        <v>1521</v>
      </c>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row>
    <row r="67">
      <c r="A67" s="137" t="s">
        <v>219</v>
      </c>
      <c r="B67" s="137">
        <v>2.024010005E9</v>
      </c>
      <c r="C67" s="161" t="s">
        <v>2167</v>
      </c>
      <c r="D67" s="161" t="s">
        <v>2168</v>
      </c>
      <c r="E67" s="137" t="s">
        <v>2169</v>
      </c>
      <c r="F67" s="137" t="s">
        <v>2140</v>
      </c>
      <c r="G67" s="137" t="s">
        <v>2170</v>
      </c>
      <c r="H67" s="138" t="s">
        <v>2171</v>
      </c>
      <c r="I67" s="137" t="s">
        <v>2172</v>
      </c>
      <c r="J67" s="137" t="s">
        <v>1091</v>
      </c>
      <c r="K67" s="139">
        <v>44832.0</v>
      </c>
      <c r="L67" s="137" t="s">
        <v>1098</v>
      </c>
      <c r="M67" s="137" t="s">
        <v>1108</v>
      </c>
      <c r="N67" s="137" t="s">
        <v>1161</v>
      </c>
      <c r="O67" s="161" t="s">
        <v>1640</v>
      </c>
      <c r="P67" s="137" t="s">
        <v>1743</v>
      </c>
      <c r="Q67" s="137" t="s">
        <v>2173</v>
      </c>
      <c r="R67" s="137" t="s">
        <v>2165</v>
      </c>
      <c r="S67" s="137" t="s">
        <v>1439</v>
      </c>
      <c r="T67" s="137" t="s">
        <v>1554</v>
      </c>
      <c r="U67" s="141"/>
      <c r="V67" s="141"/>
      <c r="W67" s="141"/>
      <c r="X67" s="141"/>
      <c r="Y67" s="141"/>
      <c r="Z67" s="141"/>
      <c r="AA67" s="141"/>
      <c r="AB67" s="141"/>
      <c r="AC67" s="141"/>
      <c r="AD67" s="141"/>
      <c r="AE67" s="141"/>
      <c r="AF67" s="141"/>
      <c r="AG67" s="141"/>
      <c r="AH67" s="141"/>
      <c r="AI67" s="141"/>
      <c r="AJ67" s="141"/>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1"/>
      <c r="BH67" s="141"/>
      <c r="BI67" s="141"/>
      <c r="BJ67" s="141"/>
      <c r="BK67" s="141"/>
      <c r="BL67" s="141"/>
    </row>
    <row r="68">
      <c r="A68" s="131" t="s">
        <v>219</v>
      </c>
      <c r="B68" s="131">
        <v>2.024010006E9</v>
      </c>
      <c r="C68" s="131" t="s">
        <v>2174</v>
      </c>
      <c r="D68" s="203" t="s">
        <v>2175</v>
      </c>
      <c r="E68" s="131" t="s">
        <v>2176</v>
      </c>
      <c r="F68" s="131" t="s">
        <v>28</v>
      </c>
      <c r="G68" s="131" t="s">
        <v>2177</v>
      </c>
      <c r="H68" s="167" t="s">
        <v>2178</v>
      </c>
      <c r="I68" s="131" t="s">
        <v>2179</v>
      </c>
      <c r="J68" s="131" t="s">
        <v>1091</v>
      </c>
      <c r="K68" s="168">
        <v>44832.0</v>
      </c>
      <c r="L68" s="131" t="s">
        <v>1098</v>
      </c>
      <c r="M68" s="131" t="s">
        <v>1108</v>
      </c>
      <c r="N68" s="130" t="s">
        <v>1161</v>
      </c>
      <c r="O68" s="131" t="s">
        <v>1161</v>
      </c>
      <c r="P68" s="271" t="s">
        <v>1485</v>
      </c>
      <c r="Q68" s="130" t="s">
        <v>1900</v>
      </c>
      <c r="R68" s="131" t="s">
        <v>2181</v>
      </c>
      <c r="S68" s="131" t="s">
        <v>1439</v>
      </c>
      <c r="T68" s="130" t="s">
        <v>1628</v>
      </c>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row>
    <row r="69">
      <c r="A69" s="7" t="s">
        <v>1212</v>
      </c>
      <c r="B69" s="7">
        <v>2.024020005E9</v>
      </c>
      <c r="C69" s="7" t="s">
        <v>2182</v>
      </c>
      <c r="D69" s="179" t="s">
        <v>2183</v>
      </c>
      <c r="E69" s="7" t="s">
        <v>2184</v>
      </c>
      <c r="F69" s="7" t="s">
        <v>2185</v>
      </c>
      <c r="G69" s="7" t="s">
        <v>2186</v>
      </c>
      <c r="H69" s="144" t="s">
        <v>2187</v>
      </c>
      <c r="I69" s="7" t="s">
        <v>2188</v>
      </c>
      <c r="J69" s="7" t="s">
        <v>2189</v>
      </c>
      <c r="K69" s="235">
        <v>45329.0</v>
      </c>
      <c r="L69" s="7" t="s">
        <v>2190</v>
      </c>
      <c r="M69" s="7" t="s">
        <v>2191</v>
      </c>
      <c r="N69" s="7" t="s">
        <v>2192</v>
      </c>
      <c r="O69" s="179" t="s">
        <v>1161</v>
      </c>
      <c r="P69" s="7" t="s">
        <v>2193</v>
      </c>
      <c r="Q69" s="179" t="s">
        <v>2194</v>
      </c>
      <c r="R69" s="7" t="s">
        <v>2195</v>
      </c>
      <c r="S69" s="17"/>
      <c r="T69" s="272" t="s">
        <v>2196</v>
      </c>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row>
    <row r="70">
      <c r="A70" s="7" t="s">
        <v>1212</v>
      </c>
      <c r="B70" s="7">
        <v>2.024010007E9</v>
      </c>
      <c r="C70" s="7" t="s">
        <v>2182</v>
      </c>
      <c r="D70" s="179" t="s">
        <v>2183</v>
      </c>
      <c r="E70" s="7" t="s">
        <v>2184</v>
      </c>
      <c r="F70" s="7" t="s">
        <v>2185</v>
      </c>
      <c r="G70" s="7" t="s">
        <v>2186</v>
      </c>
      <c r="H70" s="144" t="s">
        <v>2187</v>
      </c>
      <c r="I70" s="7" t="s">
        <v>2198</v>
      </c>
      <c r="J70" s="7" t="s">
        <v>1091</v>
      </c>
      <c r="K70" s="235">
        <v>44832.0</v>
      </c>
      <c r="L70" s="7" t="s">
        <v>2192</v>
      </c>
      <c r="M70" s="273" t="s">
        <v>2199</v>
      </c>
      <c r="N70" s="7" t="s">
        <v>2192</v>
      </c>
      <c r="O70" s="179" t="s">
        <v>1129</v>
      </c>
      <c r="P70" s="7" t="s">
        <v>2200</v>
      </c>
      <c r="Q70" s="7" t="s">
        <v>2201</v>
      </c>
      <c r="R70" s="7" t="s">
        <v>2202</v>
      </c>
      <c r="S70" s="17"/>
      <c r="T70" s="272" t="s">
        <v>2196</v>
      </c>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row>
    <row r="71">
      <c r="A71" s="257" t="s">
        <v>1311</v>
      </c>
      <c r="B71" s="257">
        <v>2.024010008E9</v>
      </c>
      <c r="C71" s="257" t="s">
        <v>1490</v>
      </c>
      <c r="D71" s="259" t="s">
        <v>1491</v>
      </c>
      <c r="E71" s="257" t="s">
        <v>1492</v>
      </c>
      <c r="F71" s="257" t="s">
        <v>480</v>
      </c>
      <c r="G71" s="257" t="s">
        <v>1493</v>
      </c>
      <c r="H71" s="261" t="s">
        <v>1494</v>
      </c>
      <c r="I71" s="261" t="s">
        <v>2207</v>
      </c>
      <c r="J71" s="257" t="s">
        <v>1091</v>
      </c>
      <c r="K71" s="262">
        <v>45197.0</v>
      </c>
      <c r="L71" s="257" t="s">
        <v>1098</v>
      </c>
      <c r="M71" s="257" t="s">
        <v>1108</v>
      </c>
      <c r="N71" s="185" t="s">
        <v>1161</v>
      </c>
      <c r="O71" s="257" t="s">
        <v>1161</v>
      </c>
      <c r="P71" s="274" t="s">
        <v>1496</v>
      </c>
      <c r="Q71" s="185" t="s">
        <v>2209</v>
      </c>
      <c r="R71" s="257" t="s">
        <v>2202</v>
      </c>
      <c r="S71" s="257" t="s">
        <v>1434</v>
      </c>
      <c r="T71" s="185" t="s">
        <v>2116</v>
      </c>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row>
    <row r="72">
      <c r="A72" s="7" t="s">
        <v>1212</v>
      </c>
      <c r="B72" s="7">
        <v>2.024010009E9</v>
      </c>
      <c r="C72" s="7" t="s">
        <v>2212</v>
      </c>
      <c r="D72" s="179" t="s">
        <v>2213</v>
      </c>
      <c r="E72" s="7" t="s">
        <v>2214</v>
      </c>
      <c r="F72" s="179" t="s">
        <v>1016</v>
      </c>
      <c r="G72" s="7" t="s">
        <v>2215</v>
      </c>
      <c r="H72" s="144" t="s">
        <v>2216</v>
      </c>
      <c r="I72" s="7" t="s">
        <v>2218</v>
      </c>
      <c r="J72" s="7" t="s">
        <v>1091</v>
      </c>
      <c r="K72" s="235">
        <v>44832.0</v>
      </c>
      <c r="L72" s="179" t="s">
        <v>1098</v>
      </c>
      <c r="M72" s="273" t="s">
        <v>1108</v>
      </c>
      <c r="N72" s="253" t="s">
        <v>1430</v>
      </c>
      <c r="O72" s="7" t="s">
        <v>1401</v>
      </c>
      <c r="P72" s="253" t="s">
        <v>2219</v>
      </c>
      <c r="Q72" s="272" t="s">
        <v>2220</v>
      </c>
      <c r="R72" s="7" t="s">
        <v>2221</v>
      </c>
      <c r="S72" s="17"/>
      <c r="T72" s="7" t="s">
        <v>2222</v>
      </c>
      <c r="U72" s="7" t="s">
        <v>1834</v>
      </c>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row>
    <row r="73">
      <c r="A73" s="113" t="s">
        <v>1212</v>
      </c>
      <c r="B73" s="113">
        <v>2.02401001E9</v>
      </c>
      <c r="C73" s="113" t="s">
        <v>2225</v>
      </c>
      <c r="D73" s="127" t="s">
        <v>2226</v>
      </c>
      <c r="E73" s="113" t="s">
        <v>2227</v>
      </c>
      <c r="F73" s="127" t="s">
        <v>641</v>
      </c>
      <c r="G73" s="113" t="s">
        <v>2229</v>
      </c>
      <c r="H73" s="122" t="s">
        <v>2230</v>
      </c>
      <c r="I73" s="113">
        <v>3.300438094E9</v>
      </c>
      <c r="J73" s="113" t="s">
        <v>1091</v>
      </c>
      <c r="K73" s="124">
        <v>44832.0</v>
      </c>
      <c r="L73" s="113" t="s">
        <v>1098</v>
      </c>
      <c r="M73" s="113" t="s">
        <v>1108</v>
      </c>
      <c r="N73" s="113" t="s">
        <v>1484</v>
      </c>
      <c r="O73" s="127" t="s">
        <v>2231</v>
      </c>
      <c r="P73" s="113" t="s">
        <v>2232</v>
      </c>
      <c r="Q73" s="113" t="s">
        <v>2233</v>
      </c>
      <c r="R73" s="113" t="s">
        <v>2234</v>
      </c>
      <c r="S73" s="113" t="s">
        <v>1439</v>
      </c>
      <c r="T73" s="113" t="s">
        <v>1628</v>
      </c>
      <c r="U73" s="128"/>
      <c r="V73" s="128"/>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28"/>
      <c r="AS73" s="128"/>
      <c r="AT73" s="128"/>
      <c r="AU73" s="128"/>
      <c r="AV73" s="128"/>
      <c r="AW73" s="128"/>
      <c r="AX73" s="128"/>
      <c r="AY73" s="128"/>
      <c r="AZ73" s="128"/>
      <c r="BA73" s="128"/>
      <c r="BB73" s="128"/>
      <c r="BC73" s="128"/>
      <c r="BD73" s="128"/>
      <c r="BE73" s="128"/>
      <c r="BF73" s="128"/>
      <c r="BG73" s="128"/>
      <c r="BH73" s="128"/>
      <c r="BI73" s="128"/>
      <c r="BJ73" s="128"/>
      <c r="BK73" s="128"/>
      <c r="BL73" s="128"/>
    </row>
    <row r="74">
      <c r="A74" s="257" t="s">
        <v>219</v>
      </c>
      <c r="B74" s="257">
        <v>2.024010012E9</v>
      </c>
      <c r="C74" s="185" t="s">
        <v>2236</v>
      </c>
      <c r="D74" s="259" t="s">
        <v>2237</v>
      </c>
      <c r="E74" s="257" t="s">
        <v>2238</v>
      </c>
      <c r="F74" s="259" t="s">
        <v>2239</v>
      </c>
      <c r="G74" s="257" t="s">
        <v>2240</v>
      </c>
      <c r="H74" s="188" t="s">
        <v>2241</v>
      </c>
      <c r="I74" s="185" t="s">
        <v>2242</v>
      </c>
      <c r="J74" s="257" t="s">
        <v>1091</v>
      </c>
      <c r="K74" s="262">
        <v>44832.0</v>
      </c>
      <c r="L74" s="257" t="s">
        <v>1098</v>
      </c>
      <c r="M74" s="185" t="s">
        <v>1108</v>
      </c>
      <c r="N74" s="263" t="s">
        <v>1466</v>
      </c>
      <c r="O74" s="275" t="s">
        <v>1161</v>
      </c>
      <c r="P74" s="257" t="s">
        <v>2243</v>
      </c>
      <c r="Q74" s="185" t="s">
        <v>2244</v>
      </c>
      <c r="R74" s="257" t="s">
        <v>2245</v>
      </c>
      <c r="S74" s="257" t="s">
        <v>1439</v>
      </c>
      <c r="T74" s="276" t="s">
        <v>2246</v>
      </c>
      <c r="U74" s="185" t="s">
        <v>1834</v>
      </c>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row>
    <row r="75">
      <c r="A75" s="179" t="s">
        <v>219</v>
      </c>
      <c r="B75" s="7">
        <v>2.024010016E9</v>
      </c>
      <c r="C75" s="179" t="s">
        <v>2204</v>
      </c>
      <c r="D75" s="179" t="s">
        <v>2205</v>
      </c>
      <c r="E75" s="7" t="s">
        <v>2206</v>
      </c>
      <c r="F75" s="179" t="s">
        <v>931</v>
      </c>
      <c r="G75" s="7" t="s">
        <v>2208</v>
      </c>
      <c r="H75" s="144" t="s">
        <v>2210</v>
      </c>
      <c r="I75" s="7" t="s">
        <v>2211</v>
      </c>
      <c r="J75" s="7" t="s">
        <v>1338</v>
      </c>
      <c r="K75" s="235">
        <v>44795.0</v>
      </c>
      <c r="L75" s="7" t="s">
        <v>1098</v>
      </c>
      <c r="M75" s="7" t="s">
        <v>1108</v>
      </c>
      <c r="N75" s="148" t="s">
        <v>1466</v>
      </c>
      <c r="O75" s="7" t="s">
        <v>1129</v>
      </c>
      <c r="P75" s="7" t="s">
        <v>2224</v>
      </c>
      <c r="Q75" s="179" t="s">
        <v>2247</v>
      </c>
      <c r="R75" s="7" t="s">
        <v>2248</v>
      </c>
      <c r="S75" s="17"/>
      <c r="T75" s="272" t="s">
        <v>1628</v>
      </c>
      <c r="U75" s="17"/>
      <c r="V75" s="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row>
    <row r="76">
      <c r="A76" s="130" t="s">
        <v>1010</v>
      </c>
      <c r="B76" s="130">
        <v>2.024010013E9</v>
      </c>
      <c r="C76" s="130" t="s">
        <v>2249</v>
      </c>
      <c r="D76" s="129" t="s">
        <v>2250</v>
      </c>
      <c r="E76" s="130" t="s">
        <v>2251</v>
      </c>
      <c r="F76" s="129" t="s">
        <v>2252</v>
      </c>
      <c r="G76" s="130" t="s">
        <v>2253</v>
      </c>
      <c r="H76" s="133" t="s">
        <v>2254</v>
      </c>
      <c r="I76" s="130">
        <v>253116.0</v>
      </c>
      <c r="J76" s="130" t="s">
        <v>1091</v>
      </c>
      <c r="K76" s="134">
        <v>44832.0</v>
      </c>
      <c r="L76" s="130" t="s">
        <v>1098</v>
      </c>
      <c r="M76" s="130" t="s">
        <v>1108</v>
      </c>
      <c r="N76" s="130" t="s">
        <v>1484</v>
      </c>
      <c r="O76" s="130" t="s">
        <v>1161</v>
      </c>
      <c r="P76" s="130" t="s">
        <v>2255</v>
      </c>
      <c r="Q76" s="130" t="s">
        <v>2124</v>
      </c>
      <c r="R76" s="130" t="s">
        <v>2256</v>
      </c>
      <c r="S76" s="130" t="s">
        <v>1439</v>
      </c>
      <c r="T76" s="130" t="s">
        <v>1628</v>
      </c>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row>
    <row r="77">
      <c r="A77" s="246" t="s">
        <v>219</v>
      </c>
      <c r="B77" s="246">
        <v>2.024010014E9</v>
      </c>
      <c r="C77" s="277" t="s">
        <v>2257</v>
      </c>
      <c r="D77" s="247" t="s">
        <v>2259</v>
      </c>
      <c r="E77" s="246" t="s">
        <v>2260</v>
      </c>
      <c r="F77" s="247" t="s">
        <v>349</v>
      </c>
      <c r="G77" s="246" t="s">
        <v>2261</v>
      </c>
      <c r="H77" s="248" t="s">
        <v>2262</v>
      </c>
      <c r="I77" s="248" t="s">
        <v>2263</v>
      </c>
      <c r="J77" s="246" t="s">
        <v>1091</v>
      </c>
      <c r="K77" s="278">
        <v>44832.0</v>
      </c>
      <c r="L77" s="246" t="s">
        <v>1548</v>
      </c>
      <c r="M77" s="246" t="s">
        <v>1108</v>
      </c>
      <c r="N77" s="246" t="s">
        <v>1484</v>
      </c>
      <c r="O77" s="246" t="s">
        <v>1401</v>
      </c>
      <c r="P77" s="246" t="s">
        <v>2264</v>
      </c>
      <c r="Q77" s="246" t="s">
        <v>2265</v>
      </c>
      <c r="R77" s="246" t="s">
        <v>2266</v>
      </c>
      <c r="S77" s="246" t="s">
        <v>1439</v>
      </c>
      <c r="T77" s="246" t="s">
        <v>2116</v>
      </c>
      <c r="U77" s="251"/>
      <c r="V77" s="251"/>
      <c r="W77" s="251"/>
      <c r="X77" s="251"/>
      <c r="Y77" s="251"/>
      <c r="Z77" s="251"/>
      <c r="AA77" s="251"/>
      <c r="AB77" s="251"/>
      <c r="AC77" s="251"/>
      <c r="AD77" s="251"/>
      <c r="AE77" s="251"/>
      <c r="AF77" s="251"/>
      <c r="AG77" s="251"/>
      <c r="AH77" s="251"/>
      <c r="AI77" s="251"/>
      <c r="AJ77" s="251"/>
      <c r="AK77" s="251"/>
      <c r="AL77" s="251"/>
      <c r="AM77" s="251"/>
      <c r="AN77" s="251"/>
      <c r="AO77" s="251"/>
      <c r="AP77" s="251"/>
      <c r="AQ77" s="251"/>
      <c r="AR77" s="251"/>
      <c r="AS77" s="251"/>
      <c r="AT77" s="251"/>
      <c r="AU77" s="251"/>
      <c r="AV77" s="251"/>
      <c r="AW77" s="251"/>
      <c r="AX77" s="251"/>
      <c r="AY77" s="251"/>
      <c r="AZ77" s="251"/>
      <c r="BA77" s="251"/>
      <c r="BB77" s="251"/>
      <c r="BC77" s="251"/>
      <c r="BD77" s="251"/>
      <c r="BE77" s="251"/>
      <c r="BF77" s="251"/>
      <c r="BG77" s="251"/>
      <c r="BH77" s="251"/>
      <c r="BI77" s="251"/>
      <c r="BJ77" s="251"/>
      <c r="BK77" s="251"/>
      <c r="BL77" s="251"/>
    </row>
    <row r="78">
      <c r="A78" s="130" t="s">
        <v>1475</v>
      </c>
      <c r="B78" s="130">
        <v>2.024010015E9</v>
      </c>
      <c r="C78" s="279" t="s">
        <v>2267</v>
      </c>
      <c r="D78" s="129" t="s">
        <v>2268</v>
      </c>
      <c r="E78" s="130" t="s">
        <v>2269</v>
      </c>
      <c r="F78" s="129" t="s">
        <v>174</v>
      </c>
      <c r="G78" s="130" t="s">
        <v>2270</v>
      </c>
      <c r="H78" s="133" t="s">
        <v>2271</v>
      </c>
      <c r="I78" s="130">
        <v>253115.0</v>
      </c>
      <c r="J78" s="130" t="s">
        <v>1091</v>
      </c>
      <c r="K78" s="134">
        <v>44832.0</v>
      </c>
      <c r="L78" s="130" t="s">
        <v>1098</v>
      </c>
      <c r="M78" s="130" t="s">
        <v>1108</v>
      </c>
      <c r="N78" s="130" t="s">
        <v>1161</v>
      </c>
      <c r="O78" s="129" t="s">
        <v>1401</v>
      </c>
      <c r="P78" s="130" t="s">
        <v>2272</v>
      </c>
      <c r="Q78" s="130" t="s">
        <v>2273</v>
      </c>
      <c r="R78" s="130" t="s">
        <v>2256</v>
      </c>
      <c r="S78" s="136"/>
      <c r="T78" s="130" t="s">
        <v>1628</v>
      </c>
      <c r="U78" s="136"/>
      <c r="V78" s="136"/>
      <c r="W78" s="136"/>
      <c r="X78" s="136"/>
      <c r="Y78" s="136"/>
      <c r="Z78" s="136"/>
      <c r="AA78" s="136"/>
      <c r="AB78" s="136"/>
      <c r="AC78" s="136"/>
      <c r="AD78" s="136"/>
      <c r="AE78" s="136"/>
      <c r="AF78" s="136"/>
      <c r="AG78" s="136"/>
      <c r="AH78" s="136"/>
      <c r="AI78" s="136"/>
      <c r="AJ78" s="136"/>
      <c r="AK78" s="136"/>
      <c r="AL78" s="136"/>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row>
    <row r="79">
      <c r="A79" s="130" t="s">
        <v>1311</v>
      </c>
      <c r="B79" s="130">
        <v>2.024010017E9</v>
      </c>
      <c r="C79" s="279" t="s">
        <v>2274</v>
      </c>
      <c r="D79" s="129" t="s">
        <v>2275</v>
      </c>
      <c r="E79" s="130" t="s">
        <v>2276</v>
      </c>
      <c r="F79" s="129" t="s">
        <v>1016</v>
      </c>
      <c r="G79" s="130" t="s">
        <v>2277</v>
      </c>
      <c r="H79" s="133" t="s">
        <v>2278</v>
      </c>
      <c r="I79" s="130" t="s">
        <v>2279</v>
      </c>
      <c r="J79" s="130" t="s">
        <v>1091</v>
      </c>
      <c r="K79" s="134">
        <v>44832.0</v>
      </c>
      <c r="L79" s="130" t="s">
        <v>1098</v>
      </c>
      <c r="M79" s="130" t="s">
        <v>1108</v>
      </c>
      <c r="N79" s="130" t="s">
        <v>1161</v>
      </c>
      <c r="O79" s="129" t="s">
        <v>1401</v>
      </c>
      <c r="P79" s="130" t="s">
        <v>2280</v>
      </c>
      <c r="Q79" s="130" t="s">
        <v>2281</v>
      </c>
      <c r="R79" s="130" t="s">
        <v>2282</v>
      </c>
      <c r="S79" s="136"/>
      <c r="T79" s="130" t="s">
        <v>1628</v>
      </c>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row>
    <row r="80">
      <c r="A80" s="137" t="s">
        <v>1475</v>
      </c>
      <c r="B80" s="137">
        <v>2.024010018E9</v>
      </c>
      <c r="C80" s="280" t="s">
        <v>2283</v>
      </c>
      <c r="D80" s="161" t="s">
        <v>2284</v>
      </c>
      <c r="E80" s="137" t="s">
        <v>2285</v>
      </c>
      <c r="F80" s="161" t="s">
        <v>2286</v>
      </c>
      <c r="G80" s="137" t="s">
        <v>2287</v>
      </c>
      <c r="H80" s="138" t="s">
        <v>2288</v>
      </c>
      <c r="I80" s="137">
        <v>4376840.0</v>
      </c>
      <c r="J80" s="137" t="s">
        <v>1091</v>
      </c>
      <c r="K80" s="139">
        <v>44832.0</v>
      </c>
      <c r="L80" s="137" t="s">
        <v>1098</v>
      </c>
      <c r="M80" s="137" t="s">
        <v>1108</v>
      </c>
      <c r="N80" s="137" t="s">
        <v>1161</v>
      </c>
      <c r="O80" s="137" t="s">
        <v>1401</v>
      </c>
      <c r="P80" s="137" t="s">
        <v>1703</v>
      </c>
      <c r="Q80" s="137" t="s">
        <v>2289</v>
      </c>
      <c r="R80" s="137" t="s">
        <v>2290</v>
      </c>
      <c r="S80" s="141"/>
      <c r="T80" s="137" t="s">
        <v>1554</v>
      </c>
      <c r="U80" s="141"/>
      <c r="V80" s="141"/>
      <c r="W80" s="141"/>
      <c r="X80" s="141"/>
      <c r="Y80" s="141"/>
      <c r="Z80" s="141"/>
      <c r="AA80" s="141"/>
      <c r="AB80" s="141"/>
      <c r="AC80" s="141"/>
      <c r="AD80" s="141"/>
      <c r="AE80" s="141"/>
      <c r="AF80" s="141"/>
      <c r="AG80" s="141"/>
      <c r="AH80" s="141"/>
      <c r="AI80" s="141"/>
      <c r="AJ80" s="141"/>
      <c r="AK80" s="141"/>
      <c r="AL80" s="141"/>
      <c r="AM80" s="141"/>
      <c r="AN80" s="141"/>
      <c r="AO80" s="141"/>
      <c r="AP80" s="141"/>
      <c r="AQ80" s="141"/>
      <c r="AR80" s="141"/>
      <c r="AS80" s="141"/>
      <c r="AT80" s="141"/>
      <c r="AU80" s="141"/>
      <c r="AV80" s="141"/>
      <c r="AW80" s="141"/>
      <c r="AX80" s="141"/>
      <c r="AY80" s="141"/>
      <c r="AZ80" s="141"/>
      <c r="BA80" s="141"/>
      <c r="BB80" s="141"/>
      <c r="BC80" s="141"/>
      <c r="BD80" s="141"/>
      <c r="BE80" s="141"/>
      <c r="BF80" s="141"/>
      <c r="BG80" s="141"/>
      <c r="BH80" s="141"/>
      <c r="BI80" s="141"/>
      <c r="BJ80" s="141"/>
      <c r="BK80" s="141"/>
      <c r="BL80" s="141"/>
    </row>
    <row r="81">
      <c r="A81" s="131" t="s">
        <v>1311</v>
      </c>
      <c r="B81" s="131">
        <v>2.024010019E9</v>
      </c>
      <c r="C81" s="279" t="s">
        <v>2293</v>
      </c>
      <c r="D81" s="203" t="s">
        <v>2294</v>
      </c>
      <c r="E81" s="131" t="s">
        <v>2295</v>
      </c>
      <c r="F81" s="203" t="s">
        <v>641</v>
      </c>
      <c r="G81" s="131" t="s">
        <v>2297</v>
      </c>
      <c r="H81" s="167" t="s">
        <v>2298</v>
      </c>
      <c r="I81" s="131">
        <v>3.300483074E9</v>
      </c>
      <c r="J81" s="131" t="s">
        <v>1338</v>
      </c>
      <c r="K81" s="281">
        <v>44785.0</v>
      </c>
      <c r="L81" s="131" t="s">
        <v>1098</v>
      </c>
      <c r="M81" s="131" t="s">
        <v>1108</v>
      </c>
      <c r="N81" s="130" t="s">
        <v>1161</v>
      </c>
      <c r="O81" s="203" t="s">
        <v>1401</v>
      </c>
      <c r="P81" s="131" t="s">
        <v>2301</v>
      </c>
      <c r="Q81" s="130" t="s">
        <v>1845</v>
      </c>
      <c r="R81" s="131" t="s">
        <v>2290</v>
      </c>
      <c r="S81" s="131" t="s">
        <v>1439</v>
      </c>
      <c r="T81" s="131" t="s">
        <v>1628</v>
      </c>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0"/>
      <c r="BA81" s="170"/>
      <c r="BB81" s="170"/>
      <c r="BC81" s="170"/>
      <c r="BD81" s="170"/>
      <c r="BE81" s="170"/>
      <c r="BF81" s="170"/>
      <c r="BG81" s="170"/>
      <c r="BH81" s="170"/>
      <c r="BI81" s="170"/>
      <c r="BJ81" s="170"/>
      <c r="BK81" s="170"/>
      <c r="BL81" s="170"/>
    </row>
    <row r="82">
      <c r="A82" s="113" t="s">
        <v>1475</v>
      </c>
      <c r="B82" s="113">
        <v>2.02401002E9</v>
      </c>
      <c r="C82" s="282" t="s">
        <v>2304</v>
      </c>
      <c r="D82" s="127" t="s">
        <v>2305</v>
      </c>
      <c r="E82" s="113" t="s">
        <v>2306</v>
      </c>
      <c r="F82" s="127" t="s">
        <v>931</v>
      </c>
      <c r="G82" s="113" t="s">
        <v>2307</v>
      </c>
      <c r="H82" s="122" t="s">
        <v>2308</v>
      </c>
      <c r="I82" s="113" t="s">
        <v>2309</v>
      </c>
      <c r="J82" s="113" t="s">
        <v>1091</v>
      </c>
      <c r="K82" s="124">
        <v>44832.0</v>
      </c>
      <c r="L82" s="113" t="s">
        <v>1098</v>
      </c>
      <c r="M82" s="113" t="s">
        <v>1108</v>
      </c>
      <c r="N82" s="113" t="s">
        <v>1161</v>
      </c>
      <c r="O82" s="114" t="s">
        <v>1598</v>
      </c>
      <c r="P82" s="113" t="s">
        <v>2311</v>
      </c>
      <c r="Q82" s="113" t="s">
        <v>2312</v>
      </c>
      <c r="R82" s="113" t="s">
        <v>2313</v>
      </c>
      <c r="S82" s="128"/>
      <c r="T82" s="113" t="s">
        <v>1554</v>
      </c>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row>
    <row r="83">
      <c r="A83" s="131" t="s">
        <v>1010</v>
      </c>
      <c r="B83" s="131">
        <v>2.024010027E9</v>
      </c>
      <c r="C83" s="283" t="s">
        <v>1053</v>
      </c>
      <c r="D83" s="203" t="s">
        <v>1060</v>
      </c>
      <c r="E83" s="131" t="s">
        <v>1066</v>
      </c>
      <c r="F83" s="203" t="s">
        <v>123</v>
      </c>
      <c r="G83" s="131" t="s">
        <v>1073</v>
      </c>
      <c r="H83" s="167" t="s">
        <v>1079</v>
      </c>
      <c r="I83" s="167" t="s">
        <v>2314</v>
      </c>
      <c r="J83" s="131" t="s">
        <v>2315</v>
      </c>
      <c r="K83" s="168">
        <v>44874.0</v>
      </c>
      <c r="L83" s="131" t="s">
        <v>1098</v>
      </c>
      <c r="M83" s="131" t="s">
        <v>1108</v>
      </c>
      <c r="N83" s="131" t="s">
        <v>1484</v>
      </c>
      <c r="O83" s="203" t="s">
        <v>2231</v>
      </c>
      <c r="P83" s="131" t="s">
        <v>2316</v>
      </c>
      <c r="Q83" s="130" t="s">
        <v>2317</v>
      </c>
      <c r="R83" s="131" t="s">
        <v>2318</v>
      </c>
      <c r="S83" s="131" t="s">
        <v>1439</v>
      </c>
      <c r="T83" s="129" t="s">
        <v>1521</v>
      </c>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row>
    <row r="84">
      <c r="A84" s="285" t="s">
        <v>1010</v>
      </c>
      <c r="B84" s="285">
        <v>2.024010022E9</v>
      </c>
      <c r="C84" s="286" t="s">
        <v>2320</v>
      </c>
      <c r="D84" s="287" t="s">
        <v>2321</v>
      </c>
      <c r="E84" s="285" t="s">
        <v>2322</v>
      </c>
      <c r="F84" s="287" t="s">
        <v>2071</v>
      </c>
      <c r="G84" s="288" t="s">
        <v>2323</v>
      </c>
      <c r="H84" s="289" t="s">
        <v>2324</v>
      </c>
      <c r="I84" s="289" t="s">
        <v>2325</v>
      </c>
      <c r="J84" s="285" t="s">
        <v>1091</v>
      </c>
      <c r="K84" s="290">
        <v>44832.0</v>
      </c>
      <c r="L84" s="285" t="s">
        <v>1098</v>
      </c>
      <c r="M84" s="285" t="s">
        <v>1108</v>
      </c>
      <c r="N84" s="291" t="s">
        <v>1466</v>
      </c>
      <c r="O84" s="292" t="s">
        <v>1161</v>
      </c>
      <c r="P84" s="288" t="s">
        <v>2328</v>
      </c>
      <c r="Q84" s="293" t="s">
        <v>2329</v>
      </c>
      <c r="R84" s="285" t="s">
        <v>2330</v>
      </c>
      <c r="S84" s="288" t="s">
        <v>1434</v>
      </c>
      <c r="T84" s="294" t="s">
        <v>2116</v>
      </c>
      <c r="U84" s="295"/>
      <c r="V84" s="295"/>
      <c r="W84" s="295"/>
      <c r="X84" s="295"/>
      <c r="Y84" s="295"/>
      <c r="Z84" s="295"/>
      <c r="AA84" s="295"/>
      <c r="AB84" s="295"/>
      <c r="AC84" s="295"/>
      <c r="AD84" s="295"/>
      <c r="AE84" s="295"/>
      <c r="AF84" s="295"/>
      <c r="AG84" s="295"/>
      <c r="AH84" s="295"/>
      <c r="AI84" s="295"/>
      <c r="AJ84" s="295"/>
      <c r="AK84" s="295"/>
      <c r="AL84" s="295"/>
      <c r="AM84" s="295"/>
      <c r="AN84" s="295"/>
      <c r="AO84" s="295"/>
      <c r="AP84" s="295"/>
      <c r="AQ84" s="295"/>
      <c r="AR84" s="295"/>
      <c r="AS84" s="295"/>
      <c r="AT84" s="295"/>
      <c r="AU84" s="295"/>
      <c r="AV84" s="295"/>
      <c r="AW84" s="295"/>
      <c r="AX84" s="295"/>
      <c r="AY84" s="295"/>
      <c r="AZ84" s="295"/>
      <c r="BA84" s="295"/>
      <c r="BB84" s="295"/>
      <c r="BC84" s="295"/>
      <c r="BD84" s="295"/>
      <c r="BE84" s="295"/>
      <c r="BF84" s="295"/>
      <c r="BG84" s="295"/>
      <c r="BH84" s="295"/>
      <c r="BI84" s="295"/>
      <c r="BJ84" s="295"/>
      <c r="BK84" s="295"/>
      <c r="BL84" s="295"/>
    </row>
    <row r="85">
      <c r="A85" s="272" t="s">
        <v>1010</v>
      </c>
      <c r="B85" s="272">
        <v>2.024010023E9</v>
      </c>
      <c r="C85" s="296" t="s">
        <v>2331</v>
      </c>
      <c r="D85" s="297" t="s">
        <v>2332</v>
      </c>
      <c r="E85" s="272" t="s">
        <v>2333</v>
      </c>
      <c r="F85" s="297" t="s">
        <v>132</v>
      </c>
      <c r="G85" s="272" t="s">
        <v>2334</v>
      </c>
      <c r="H85" s="298" t="s">
        <v>2335</v>
      </c>
      <c r="I85" s="272" t="s">
        <v>2336</v>
      </c>
      <c r="J85" s="272" t="s">
        <v>1091</v>
      </c>
      <c r="K85" s="299">
        <v>44832.0</v>
      </c>
      <c r="L85" s="272" t="s">
        <v>1098</v>
      </c>
      <c r="M85" s="272" t="s">
        <v>1108</v>
      </c>
      <c r="N85" s="272" t="s">
        <v>1161</v>
      </c>
      <c r="O85" s="297" t="s">
        <v>2231</v>
      </c>
      <c r="P85" s="297" t="s">
        <v>2337</v>
      </c>
      <c r="Q85" s="272" t="s">
        <v>2338</v>
      </c>
      <c r="R85" s="272" t="s">
        <v>2313</v>
      </c>
      <c r="S85" s="300"/>
      <c r="T85" s="272" t="s">
        <v>2339</v>
      </c>
      <c r="U85" s="301"/>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row>
    <row r="86">
      <c r="A86" s="131" t="s">
        <v>1475</v>
      </c>
      <c r="B86" s="131">
        <v>2.024010024E9</v>
      </c>
      <c r="C86" s="131" t="s">
        <v>2340</v>
      </c>
      <c r="D86" s="131" t="s">
        <v>2341</v>
      </c>
      <c r="E86" s="131" t="s">
        <v>2342</v>
      </c>
      <c r="F86" s="203" t="s">
        <v>70</v>
      </c>
      <c r="G86" s="130" t="s">
        <v>2344</v>
      </c>
      <c r="H86" s="167" t="s">
        <v>2345</v>
      </c>
      <c r="I86" s="131" t="s">
        <v>2346</v>
      </c>
      <c r="J86" s="131" t="s">
        <v>1338</v>
      </c>
      <c r="K86" s="168">
        <v>45155.0</v>
      </c>
      <c r="L86" s="131" t="s">
        <v>1098</v>
      </c>
      <c r="M86" s="131" t="s">
        <v>1108</v>
      </c>
      <c r="N86" s="130" t="s">
        <v>1484</v>
      </c>
      <c r="O86" s="129" t="s">
        <v>1401</v>
      </c>
      <c r="P86" s="203" t="s">
        <v>2347</v>
      </c>
      <c r="Q86" s="131" t="s">
        <v>1845</v>
      </c>
      <c r="R86" s="131" t="s">
        <v>2348</v>
      </c>
      <c r="S86" s="131" t="s">
        <v>1439</v>
      </c>
      <c r="T86" s="130" t="s">
        <v>1521</v>
      </c>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70"/>
      <c r="AX86" s="170"/>
      <c r="AY86" s="170"/>
      <c r="AZ86" s="170"/>
      <c r="BA86" s="170"/>
      <c r="BB86" s="170"/>
      <c r="BC86" s="170"/>
      <c r="BD86" s="170"/>
      <c r="BE86" s="170"/>
      <c r="BF86" s="170"/>
      <c r="BG86" s="170"/>
      <c r="BH86" s="170"/>
      <c r="BI86" s="170"/>
      <c r="BJ86" s="170"/>
      <c r="BK86" s="170"/>
      <c r="BL86" s="170"/>
    </row>
    <row r="87">
      <c r="A87" s="137" t="s">
        <v>2059</v>
      </c>
      <c r="B87" s="137">
        <v>2.024010026E9</v>
      </c>
      <c r="C87" s="137" t="s">
        <v>2350</v>
      </c>
      <c r="D87" s="137" t="s">
        <v>2351</v>
      </c>
      <c r="E87" s="137" t="s">
        <v>2352</v>
      </c>
      <c r="F87" s="161" t="s">
        <v>28</v>
      </c>
      <c r="G87" s="137" t="s">
        <v>2353</v>
      </c>
      <c r="H87" s="138" t="s">
        <v>2354</v>
      </c>
      <c r="I87" s="137" t="s">
        <v>2355</v>
      </c>
      <c r="J87" s="137" t="s">
        <v>1091</v>
      </c>
      <c r="K87" s="139">
        <v>44832.0</v>
      </c>
      <c r="L87" s="137" t="s">
        <v>1548</v>
      </c>
      <c r="M87" s="137" t="s">
        <v>1108</v>
      </c>
      <c r="N87" s="137" t="s">
        <v>1484</v>
      </c>
      <c r="O87" s="161" t="s">
        <v>1161</v>
      </c>
      <c r="P87" s="137" t="s">
        <v>2356</v>
      </c>
      <c r="Q87" s="137" t="s">
        <v>2357</v>
      </c>
      <c r="R87" s="137" t="s">
        <v>2358</v>
      </c>
      <c r="S87" s="137" t="s">
        <v>1439</v>
      </c>
      <c r="T87" s="137" t="s">
        <v>1521</v>
      </c>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row>
    <row r="88">
      <c r="A88" s="113" t="s">
        <v>1475</v>
      </c>
      <c r="B88" s="113">
        <v>2.024020001E9</v>
      </c>
      <c r="C88" s="127" t="s">
        <v>2359</v>
      </c>
      <c r="D88" s="113" t="s">
        <v>2360</v>
      </c>
      <c r="E88" s="113" t="s">
        <v>2361</v>
      </c>
      <c r="F88" s="127" t="s">
        <v>931</v>
      </c>
      <c r="G88" s="113" t="s">
        <v>2362</v>
      </c>
      <c r="H88" s="122" t="s">
        <v>2363</v>
      </c>
      <c r="I88" s="113" t="s">
        <v>2364</v>
      </c>
      <c r="J88" s="113" t="s">
        <v>1091</v>
      </c>
      <c r="K88" s="124">
        <v>44832.0</v>
      </c>
      <c r="L88" s="113" t="s">
        <v>1098</v>
      </c>
      <c r="M88" s="113" t="s">
        <v>1108</v>
      </c>
      <c r="N88" s="113" t="s">
        <v>1161</v>
      </c>
      <c r="O88" s="127" t="s">
        <v>1129</v>
      </c>
      <c r="P88" s="113" t="s">
        <v>2365</v>
      </c>
      <c r="Q88" s="113" t="s">
        <v>2366</v>
      </c>
      <c r="R88" s="113" t="s">
        <v>2367</v>
      </c>
      <c r="S88" s="128"/>
      <c r="T88" s="113" t="s">
        <v>1554</v>
      </c>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row>
    <row r="89">
      <c r="A89" s="131" t="s">
        <v>1475</v>
      </c>
      <c r="B89" s="131">
        <v>2.024020002E9</v>
      </c>
      <c r="C89" s="131" t="s">
        <v>2368</v>
      </c>
      <c r="D89" s="131" t="s">
        <v>2369</v>
      </c>
      <c r="E89" s="131" t="s">
        <v>2370</v>
      </c>
      <c r="F89" s="203" t="s">
        <v>123</v>
      </c>
      <c r="G89" s="131" t="s">
        <v>2371</v>
      </c>
      <c r="H89" s="167" t="s">
        <v>2372</v>
      </c>
      <c r="I89" s="131" t="s">
        <v>2373</v>
      </c>
      <c r="J89" s="131" t="s">
        <v>1091</v>
      </c>
      <c r="K89" s="168">
        <v>44832.0</v>
      </c>
      <c r="L89" s="131" t="s">
        <v>1098</v>
      </c>
      <c r="M89" s="131" t="s">
        <v>1108</v>
      </c>
      <c r="N89" s="130" t="s">
        <v>1161</v>
      </c>
      <c r="O89" s="169" t="s">
        <v>1161</v>
      </c>
      <c r="P89" s="131" t="s">
        <v>2375</v>
      </c>
      <c r="Q89" s="130" t="s">
        <v>2376</v>
      </c>
      <c r="R89" s="131" t="s">
        <v>2378</v>
      </c>
      <c r="S89" s="131" t="s">
        <v>1439</v>
      </c>
      <c r="T89" s="129" t="s">
        <v>1521</v>
      </c>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70"/>
      <c r="AX89" s="170"/>
      <c r="AY89" s="170"/>
      <c r="AZ89" s="170"/>
      <c r="BA89" s="170"/>
      <c r="BB89" s="170"/>
      <c r="BC89" s="170"/>
      <c r="BD89" s="170"/>
      <c r="BE89" s="170"/>
      <c r="BF89" s="170"/>
      <c r="BG89" s="170"/>
      <c r="BH89" s="170"/>
      <c r="BI89" s="170"/>
      <c r="BJ89" s="170"/>
      <c r="BK89" s="170"/>
      <c r="BL89" s="170"/>
    </row>
    <row r="90">
      <c r="A90" s="130" t="s">
        <v>2059</v>
      </c>
      <c r="B90" s="130">
        <v>2.024020003E9</v>
      </c>
      <c r="C90" s="130" t="s">
        <v>2381</v>
      </c>
      <c r="D90" s="130" t="s">
        <v>2382</v>
      </c>
      <c r="E90" s="130" t="s">
        <v>2383</v>
      </c>
      <c r="F90" s="129" t="s">
        <v>2385</v>
      </c>
      <c r="G90" s="130" t="s">
        <v>2386</v>
      </c>
      <c r="H90" s="133" t="s">
        <v>2387</v>
      </c>
      <c r="I90" s="130" t="s">
        <v>2388</v>
      </c>
      <c r="J90" s="130" t="s">
        <v>1091</v>
      </c>
      <c r="K90" s="134">
        <v>44832.0</v>
      </c>
      <c r="L90" s="130" t="s">
        <v>1098</v>
      </c>
      <c r="M90" s="130" t="s">
        <v>1108</v>
      </c>
      <c r="N90" s="130" t="s">
        <v>1161</v>
      </c>
      <c r="O90" s="129" t="s">
        <v>1161</v>
      </c>
      <c r="P90" s="130" t="s">
        <v>2390</v>
      </c>
      <c r="Q90" s="130" t="s">
        <v>2124</v>
      </c>
      <c r="R90" s="130" t="s">
        <v>2391</v>
      </c>
      <c r="S90" s="136"/>
      <c r="T90" s="130" t="s">
        <v>1628</v>
      </c>
      <c r="U90" s="136"/>
      <c r="V90" s="136"/>
      <c r="W90" s="136"/>
      <c r="X90" s="136"/>
      <c r="Y90" s="136"/>
      <c r="Z90" s="136"/>
      <c r="AA90" s="136"/>
      <c r="AB90" s="136"/>
      <c r="AC90" s="136"/>
      <c r="AD90" s="136"/>
      <c r="AE90" s="136"/>
      <c r="AF90" s="136"/>
      <c r="AG90" s="136"/>
      <c r="AH90" s="136"/>
      <c r="AI90" s="136"/>
      <c r="AJ90" s="136"/>
      <c r="AK90" s="136"/>
      <c r="AL90" s="136"/>
      <c r="AM90" s="136"/>
      <c r="AN90" s="136"/>
      <c r="AO90" s="136"/>
      <c r="AP90" s="136"/>
      <c r="AQ90" s="136"/>
      <c r="AR90" s="136"/>
      <c r="AS90" s="136"/>
      <c r="AT90" s="136"/>
      <c r="AU90" s="136"/>
      <c r="AV90" s="136"/>
      <c r="AW90" s="136"/>
      <c r="AX90" s="136"/>
      <c r="AY90" s="136"/>
      <c r="AZ90" s="136"/>
      <c r="BA90" s="136"/>
      <c r="BB90" s="136"/>
      <c r="BC90" s="136"/>
      <c r="BD90" s="136"/>
      <c r="BE90" s="136"/>
      <c r="BF90" s="136"/>
      <c r="BG90" s="136"/>
      <c r="BH90" s="136"/>
      <c r="BI90" s="136"/>
      <c r="BJ90" s="136"/>
      <c r="BK90" s="136"/>
      <c r="BL90" s="136"/>
    </row>
    <row r="91">
      <c r="A91" s="131" t="s">
        <v>1311</v>
      </c>
      <c r="B91" s="131">
        <v>2.024010028E9</v>
      </c>
      <c r="C91" s="131" t="s">
        <v>2394</v>
      </c>
      <c r="D91" s="131" t="s">
        <v>2395</v>
      </c>
      <c r="E91" s="131" t="s">
        <v>2396</v>
      </c>
      <c r="F91" s="203" t="s">
        <v>70</v>
      </c>
      <c r="G91" s="131" t="s">
        <v>2397</v>
      </c>
      <c r="H91" s="167" t="s">
        <v>2398</v>
      </c>
      <c r="I91" s="131" t="s">
        <v>1471</v>
      </c>
      <c r="J91" s="131" t="s">
        <v>1338</v>
      </c>
      <c r="K91" s="168">
        <v>45226.0</v>
      </c>
      <c r="L91" s="131" t="s">
        <v>1098</v>
      </c>
      <c r="M91" s="131" t="s">
        <v>1108</v>
      </c>
      <c r="N91" s="130" t="s">
        <v>1161</v>
      </c>
      <c r="O91" s="203" t="s">
        <v>1401</v>
      </c>
      <c r="P91" s="131" t="s">
        <v>2399</v>
      </c>
      <c r="Q91" s="129" t="s">
        <v>2400</v>
      </c>
      <c r="R91" s="131" t="s">
        <v>2391</v>
      </c>
      <c r="S91" s="131" t="s">
        <v>1439</v>
      </c>
      <c r="T91" s="130" t="s">
        <v>1521</v>
      </c>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0"/>
      <c r="BK91" s="170"/>
      <c r="BL91" s="170"/>
    </row>
    <row r="92">
      <c r="A92" s="257" t="s">
        <v>2059</v>
      </c>
      <c r="B92" s="257">
        <v>2.022020001E9</v>
      </c>
      <c r="C92" s="257" t="s">
        <v>2401</v>
      </c>
      <c r="D92" s="257" t="s">
        <v>2402</v>
      </c>
      <c r="E92" s="257" t="s">
        <v>2403</v>
      </c>
      <c r="F92" s="259" t="s">
        <v>325</v>
      </c>
      <c r="G92" s="257" t="s">
        <v>2405</v>
      </c>
      <c r="H92" s="261" t="s">
        <v>2406</v>
      </c>
      <c r="I92" s="261" t="s">
        <v>2407</v>
      </c>
      <c r="J92" s="257" t="s">
        <v>1091</v>
      </c>
      <c r="K92" s="262">
        <v>44832.0</v>
      </c>
      <c r="L92" s="257" t="s">
        <v>1098</v>
      </c>
      <c r="M92" s="257" t="s">
        <v>1108</v>
      </c>
      <c r="N92" s="263" t="s">
        <v>1466</v>
      </c>
      <c r="O92" s="259" t="s">
        <v>1161</v>
      </c>
      <c r="P92" s="257" t="s">
        <v>2408</v>
      </c>
      <c r="Q92" s="257" t="s">
        <v>2409</v>
      </c>
      <c r="R92" s="257" t="s">
        <v>2410</v>
      </c>
      <c r="S92" s="257" t="s">
        <v>1434</v>
      </c>
      <c r="T92" s="257" t="s">
        <v>2411</v>
      </c>
      <c r="U92" s="265"/>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row>
    <row r="93">
      <c r="A93" s="7" t="s">
        <v>1311</v>
      </c>
      <c r="B93" s="7">
        <v>2.024020004E9</v>
      </c>
      <c r="C93" s="7" t="s">
        <v>2413</v>
      </c>
      <c r="D93" s="7" t="s">
        <v>2414</v>
      </c>
      <c r="E93" s="7" t="s">
        <v>2415</v>
      </c>
      <c r="F93" s="179" t="s">
        <v>2023</v>
      </c>
      <c r="G93" s="7" t="s">
        <v>2416</v>
      </c>
      <c r="H93" s="144" t="s">
        <v>2417</v>
      </c>
      <c r="I93" s="7" t="s">
        <v>2418</v>
      </c>
      <c r="J93" s="7" t="s">
        <v>1091</v>
      </c>
      <c r="K93" s="235">
        <v>44832.0</v>
      </c>
      <c r="L93" s="7" t="s">
        <v>1098</v>
      </c>
      <c r="M93" s="7" t="s">
        <v>1108</v>
      </c>
      <c r="N93" s="7" t="s">
        <v>1484</v>
      </c>
      <c r="O93" s="7" t="s">
        <v>1598</v>
      </c>
      <c r="P93" s="7" t="s">
        <v>2419</v>
      </c>
      <c r="Q93" s="179" t="s">
        <v>2420</v>
      </c>
      <c r="R93" s="7" t="s">
        <v>2410</v>
      </c>
      <c r="S93" s="17"/>
      <c r="T93" s="7" t="s">
        <v>2116</v>
      </c>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row>
    <row r="94">
      <c r="A94" s="246" t="s">
        <v>219</v>
      </c>
      <c r="B94" s="246">
        <v>2.024020006E9</v>
      </c>
      <c r="C94" s="246" t="s">
        <v>2421</v>
      </c>
      <c r="D94" s="246" t="s">
        <v>2422</v>
      </c>
      <c r="E94" s="246" t="s">
        <v>2423</v>
      </c>
      <c r="F94" s="247" t="s">
        <v>1063</v>
      </c>
      <c r="G94" s="246" t="s">
        <v>2424</v>
      </c>
      <c r="H94" s="246" t="s">
        <v>2425</v>
      </c>
      <c r="I94" s="246" t="s">
        <v>2426</v>
      </c>
      <c r="J94" s="246" t="s">
        <v>1091</v>
      </c>
      <c r="K94" s="278">
        <v>44832.0</v>
      </c>
      <c r="L94" s="246" t="s">
        <v>1098</v>
      </c>
      <c r="M94" s="246" t="s">
        <v>1108</v>
      </c>
      <c r="N94" s="246" t="s">
        <v>1161</v>
      </c>
      <c r="O94" s="247" t="s">
        <v>1401</v>
      </c>
      <c r="P94" s="246" t="s">
        <v>2427</v>
      </c>
      <c r="Q94" s="246" t="s">
        <v>2428</v>
      </c>
      <c r="R94" s="246" t="s">
        <v>2429</v>
      </c>
      <c r="S94" s="246" t="s">
        <v>1439</v>
      </c>
      <c r="T94" s="246" t="s">
        <v>2116</v>
      </c>
      <c r="U94" s="251"/>
      <c r="V94" s="251"/>
      <c r="W94" s="251"/>
      <c r="X94" s="251"/>
      <c r="Y94" s="251"/>
      <c r="Z94" s="251"/>
      <c r="AA94" s="251"/>
      <c r="AB94" s="251"/>
      <c r="AC94" s="251"/>
      <c r="AD94" s="251"/>
      <c r="AE94" s="251"/>
      <c r="AF94" s="251"/>
      <c r="AG94" s="251"/>
      <c r="AH94" s="251"/>
      <c r="AI94" s="251"/>
      <c r="AJ94" s="251"/>
      <c r="AK94" s="251"/>
      <c r="AL94" s="251"/>
      <c r="AM94" s="251"/>
      <c r="AN94" s="251"/>
      <c r="AO94" s="251"/>
      <c r="AP94" s="251"/>
      <c r="AQ94" s="251"/>
      <c r="AR94" s="251"/>
      <c r="AS94" s="251"/>
      <c r="AT94" s="251"/>
      <c r="AU94" s="251"/>
      <c r="AV94" s="251"/>
      <c r="AW94" s="251"/>
      <c r="AX94" s="251"/>
      <c r="AY94" s="251"/>
      <c r="AZ94" s="251"/>
      <c r="BA94" s="251"/>
      <c r="BB94" s="251"/>
      <c r="BC94" s="251"/>
      <c r="BD94" s="251"/>
      <c r="BE94" s="251"/>
      <c r="BF94" s="251"/>
      <c r="BG94" s="251"/>
      <c r="BH94" s="251"/>
      <c r="BI94" s="251"/>
      <c r="BJ94" s="251"/>
      <c r="BK94" s="251"/>
      <c r="BL94" s="251"/>
    </row>
    <row r="95">
      <c r="A95" s="130" t="s">
        <v>1010</v>
      </c>
      <c r="B95" s="130">
        <v>2.024020007E9</v>
      </c>
      <c r="C95" s="130" t="s">
        <v>2430</v>
      </c>
      <c r="D95" s="130" t="s">
        <v>2431</v>
      </c>
      <c r="E95" s="130" t="s">
        <v>2432</v>
      </c>
      <c r="F95" s="129" t="s">
        <v>174</v>
      </c>
      <c r="G95" s="130" t="s">
        <v>2433</v>
      </c>
      <c r="H95" s="133" t="s">
        <v>2434</v>
      </c>
      <c r="I95" s="130">
        <v>253747.0</v>
      </c>
      <c r="J95" s="130" t="s">
        <v>1091</v>
      </c>
      <c r="K95" s="134">
        <v>44832.0</v>
      </c>
      <c r="L95" s="130" t="s">
        <v>1098</v>
      </c>
      <c r="M95" s="130" t="s">
        <v>1108</v>
      </c>
      <c r="N95" s="130" t="s">
        <v>1161</v>
      </c>
      <c r="O95" s="129" t="s">
        <v>1401</v>
      </c>
      <c r="P95" s="130" t="s">
        <v>2435</v>
      </c>
      <c r="Q95" s="130" t="s">
        <v>2436</v>
      </c>
      <c r="R95" s="130" t="s">
        <v>2437</v>
      </c>
      <c r="S95" s="136"/>
      <c r="T95" s="130" t="s">
        <v>1521</v>
      </c>
      <c r="U95" s="136"/>
      <c r="V95" s="136"/>
      <c r="W95" s="136"/>
      <c r="X95" s="136"/>
      <c r="Y95" s="136"/>
      <c r="Z95" s="136"/>
      <c r="AA95" s="136"/>
      <c r="AB95" s="136"/>
      <c r="AC95" s="136"/>
      <c r="AD95" s="136"/>
      <c r="AE95" s="136"/>
      <c r="AF95" s="136"/>
      <c r="AG95" s="136"/>
      <c r="AH95" s="136"/>
      <c r="AI95" s="136"/>
      <c r="AJ95" s="136"/>
      <c r="AK95" s="136"/>
      <c r="AL95" s="136"/>
      <c r="AM95" s="136"/>
      <c r="AN95" s="136"/>
      <c r="AO95" s="136"/>
      <c r="AP95" s="136"/>
      <c r="AQ95" s="136"/>
      <c r="AR95" s="136"/>
      <c r="AS95" s="136"/>
      <c r="AT95" s="136"/>
      <c r="AU95" s="136"/>
      <c r="AV95" s="136"/>
      <c r="AW95" s="136"/>
      <c r="AX95" s="136"/>
      <c r="AY95" s="136"/>
      <c r="AZ95" s="136"/>
      <c r="BA95" s="136"/>
      <c r="BB95" s="136"/>
      <c r="BC95" s="136"/>
      <c r="BD95" s="136"/>
      <c r="BE95" s="136"/>
      <c r="BF95" s="136"/>
      <c r="BG95" s="136"/>
      <c r="BH95" s="136"/>
      <c r="BI95" s="136"/>
      <c r="BJ95" s="136"/>
      <c r="BK95" s="136"/>
      <c r="BL95" s="136"/>
    </row>
    <row r="96">
      <c r="A96" s="247" t="s">
        <v>1010</v>
      </c>
      <c r="B96" s="246">
        <v>2.024020008E9</v>
      </c>
      <c r="C96" s="246" t="s">
        <v>2438</v>
      </c>
      <c r="D96" s="246" t="s">
        <v>2439</v>
      </c>
      <c r="E96" s="246" t="s">
        <v>2440</v>
      </c>
      <c r="F96" s="247" t="s">
        <v>695</v>
      </c>
      <c r="G96" s="246" t="s">
        <v>2441</v>
      </c>
      <c r="H96" s="248" t="s">
        <v>2442</v>
      </c>
      <c r="I96" s="247" t="s">
        <v>2443</v>
      </c>
      <c r="J96" s="246" t="s">
        <v>1091</v>
      </c>
      <c r="K96" s="278">
        <v>44832.0</v>
      </c>
      <c r="L96" s="246" t="s">
        <v>1098</v>
      </c>
      <c r="M96" s="246" t="s">
        <v>1108</v>
      </c>
      <c r="N96" s="250" t="s">
        <v>1430</v>
      </c>
      <c r="O96" s="246" t="s">
        <v>1401</v>
      </c>
      <c r="P96" s="303" t="s">
        <v>2444</v>
      </c>
      <c r="Q96" s="247" t="s">
        <v>2445</v>
      </c>
      <c r="R96" s="246" t="s">
        <v>2446</v>
      </c>
      <c r="S96" s="246" t="s">
        <v>1439</v>
      </c>
      <c r="T96" s="247" t="s">
        <v>2448</v>
      </c>
      <c r="U96" s="251"/>
      <c r="V96" s="251"/>
      <c r="W96" s="251"/>
      <c r="X96" s="251"/>
      <c r="Y96" s="251"/>
      <c r="Z96" s="251"/>
      <c r="AA96" s="251"/>
      <c r="AB96" s="251"/>
      <c r="AC96" s="251"/>
      <c r="AD96" s="251"/>
      <c r="AE96" s="251"/>
      <c r="AF96" s="251"/>
      <c r="AG96" s="251"/>
      <c r="AH96" s="251"/>
      <c r="AI96" s="251"/>
      <c r="AJ96" s="251"/>
      <c r="AK96" s="251"/>
      <c r="AL96" s="251"/>
      <c r="AM96" s="251"/>
      <c r="AN96" s="251"/>
      <c r="AO96" s="251"/>
      <c r="AP96" s="251"/>
      <c r="AQ96" s="251"/>
      <c r="AR96" s="251"/>
      <c r="AS96" s="251"/>
      <c r="AT96" s="251"/>
      <c r="AU96" s="251"/>
      <c r="AV96" s="251"/>
      <c r="AW96" s="251"/>
      <c r="AX96" s="251"/>
      <c r="AY96" s="251"/>
      <c r="AZ96" s="251"/>
      <c r="BA96" s="251"/>
      <c r="BB96" s="251"/>
      <c r="BC96" s="251"/>
      <c r="BD96" s="251"/>
      <c r="BE96" s="251"/>
      <c r="BF96" s="251"/>
      <c r="BG96" s="251"/>
      <c r="BH96" s="251"/>
      <c r="BI96" s="251"/>
      <c r="BJ96" s="251"/>
      <c r="BK96" s="251"/>
      <c r="BL96" s="251"/>
    </row>
    <row r="97">
      <c r="A97" s="246" t="s">
        <v>1475</v>
      </c>
      <c r="B97" s="246">
        <v>2.024020009E9</v>
      </c>
      <c r="C97" s="246" t="s">
        <v>2449</v>
      </c>
      <c r="D97" s="246" t="s">
        <v>2450</v>
      </c>
      <c r="E97" s="246" t="s">
        <v>2451</v>
      </c>
      <c r="F97" s="247" t="s">
        <v>695</v>
      </c>
      <c r="G97" s="246" t="s">
        <v>2452</v>
      </c>
      <c r="H97" s="248" t="s">
        <v>2453</v>
      </c>
      <c r="I97" s="246" t="s">
        <v>2454</v>
      </c>
      <c r="J97" s="246" t="s">
        <v>1091</v>
      </c>
      <c r="K97" s="278">
        <v>44832.0</v>
      </c>
      <c r="L97" s="246" t="s">
        <v>1098</v>
      </c>
      <c r="M97" s="246" t="s">
        <v>1108</v>
      </c>
      <c r="N97" s="246" t="s">
        <v>1484</v>
      </c>
      <c r="O97" s="246" t="s">
        <v>1161</v>
      </c>
      <c r="P97" s="246" t="s">
        <v>2456</v>
      </c>
      <c r="Q97" s="247" t="s">
        <v>2457</v>
      </c>
      <c r="R97" s="246" t="s">
        <v>2458</v>
      </c>
      <c r="S97" s="246" t="s">
        <v>1439</v>
      </c>
      <c r="T97" s="246" t="s">
        <v>2116</v>
      </c>
      <c r="U97" s="251"/>
      <c r="V97" s="251"/>
      <c r="W97" s="251"/>
      <c r="X97" s="251"/>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251"/>
      <c r="AV97" s="251"/>
      <c r="AW97" s="251"/>
      <c r="AX97" s="251"/>
      <c r="AY97" s="251"/>
      <c r="AZ97" s="251"/>
      <c r="BA97" s="251"/>
      <c r="BB97" s="251"/>
      <c r="BC97" s="251"/>
      <c r="BD97" s="251"/>
      <c r="BE97" s="251"/>
      <c r="BF97" s="251"/>
      <c r="BG97" s="251"/>
      <c r="BH97" s="251"/>
      <c r="BI97" s="251"/>
      <c r="BJ97" s="251"/>
      <c r="BK97" s="251"/>
      <c r="BL97" s="251"/>
    </row>
    <row r="98">
      <c r="A98" s="257" t="s">
        <v>1475</v>
      </c>
      <c r="B98" s="257">
        <v>2.02402001E9</v>
      </c>
      <c r="C98" s="257" t="s">
        <v>2459</v>
      </c>
      <c r="D98" s="257" t="s">
        <v>2460</v>
      </c>
      <c r="E98" s="185" t="s">
        <v>2461</v>
      </c>
      <c r="F98" s="259" t="s">
        <v>1260</v>
      </c>
      <c r="G98" s="257" t="s">
        <v>2462</v>
      </c>
      <c r="H98" s="261" t="s">
        <v>2463</v>
      </c>
      <c r="I98" s="257">
        <v>1320148.0</v>
      </c>
      <c r="J98" s="257" t="s">
        <v>1091</v>
      </c>
      <c r="K98" s="262">
        <v>44832.0</v>
      </c>
      <c r="L98" s="257" t="s">
        <v>1098</v>
      </c>
      <c r="M98" s="257" t="s">
        <v>1108</v>
      </c>
      <c r="N98" s="263" t="s">
        <v>1466</v>
      </c>
      <c r="O98" s="257" t="s">
        <v>1161</v>
      </c>
      <c r="P98" s="257" t="s">
        <v>2464</v>
      </c>
      <c r="Q98" s="191" t="s">
        <v>2465</v>
      </c>
      <c r="R98" s="257" t="s">
        <v>2466</v>
      </c>
      <c r="S98" s="257" t="s">
        <v>1434</v>
      </c>
      <c r="T98" s="185" t="s">
        <v>2116</v>
      </c>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row>
    <row r="99">
      <c r="A99" s="113" t="s">
        <v>1010</v>
      </c>
      <c r="B99" s="113">
        <v>2.024020011E9</v>
      </c>
      <c r="C99" s="113" t="s">
        <v>2467</v>
      </c>
      <c r="D99" s="113" t="s">
        <v>2468</v>
      </c>
      <c r="E99" s="113" t="s">
        <v>2469</v>
      </c>
      <c r="F99" s="127" t="s">
        <v>695</v>
      </c>
      <c r="G99" s="113" t="s">
        <v>2470</v>
      </c>
      <c r="H99" s="122" t="s">
        <v>2471</v>
      </c>
      <c r="I99" s="113" t="s">
        <v>2472</v>
      </c>
      <c r="J99" s="113" t="s">
        <v>1091</v>
      </c>
      <c r="K99" s="124">
        <v>44832.0</v>
      </c>
      <c r="L99" s="113" t="s">
        <v>1548</v>
      </c>
      <c r="M99" s="113" t="s">
        <v>1108</v>
      </c>
      <c r="N99" s="113" t="s">
        <v>1484</v>
      </c>
      <c r="O99" s="113" t="s">
        <v>1161</v>
      </c>
      <c r="P99" s="113" t="s">
        <v>2456</v>
      </c>
      <c r="Q99" s="113" t="s">
        <v>2473</v>
      </c>
      <c r="R99" s="113" t="s">
        <v>2474</v>
      </c>
      <c r="S99" s="113" t="s">
        <v>1439</v>
      </c>
      <c r="T99" s="113" t="s">
        <v>1521</v>
      </c>
      <c r="U99" s="128"/>
      <c r="V99" s="128"/>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28"/>
      <c r="AS99" s="128"/>
      <c r="AT99" s="128"/>
      <c r="AU99" s="128"/>
      <c r="AV99" s="128"/>
      <c r="AW99" s="128"/>
      <c r="AX99" s="128"/>
      <c r="AY99" s="128"/>
      <c r="AZ99" s="128"/>
      <c r="BA99" s="128"/>
      <c r="BB99" s="128"/>
      <c r="BC99" s="128"/>
      <c r="BD99" s="128"/>
      <c r="BE99" s="128"/>
      <c r="BF99" s="128"/>
      <c r="BG99" s="128"/>
      <c r="BH99" s="128"/>
      <c r="BI99" s="128"/>
      <c r="BJ99" s="128"/>
      <c r="BK99" s="128"/>
      <c r="BL99" s="128"/>
    </row>
    <row r="100">
      <c r="A100" s="246" t="s">
        <v>1010</v>
      </c>
      <c r="B100" s="246">
        <v>2.024020012E9</v>
      </c>
      <c r="C100" s="246" t="s">
        <v>2476</v>
      </c>
      <c r="D100" s="246" t="s">
        <v>2477</v>
      </c>
      <c r="E100" s="246" t="s">
        <v>2478</v>
      </c>
      <c r="F100" s="247" t="s">
        <v>70</v>
      </c>
      <c r="G100" s="246" t="s">
        <v>2479</v>
      </c>
      <c r="H100" s="248" t="s">
        <v>2480</v>
      </c>
      <c r="I100" s="246" t="s">
        <v>2481</v>
      </c>
      <c r="J100" s="246" t="s">
        <v>1091</v>
      </c>
      <c r="K100" s="278">
        <v>44832.0</v>
      </c>
      <c r="L100" s="246" t="s">
        <v>1098</v>
      </c>
      <c r="M100" s="246" t="s">
        <v>1108</v>
      </c>
      <c r="N100" s="247" t="s">
        <v>1484</v>
      </c>
      <c r="O100" s="247" t="s">
        <v>1401</v>
      </c>
      <c r="P100" s="246" t="s">
        <v>2483</v>
      </c>
      <c r="Q100" s="246" t="s">
        <v>2484</v>
      </c>
      <c r="R100" s="246" t="s">
        <v>2486</v>
      </c>
      <c r="S100" s="251"/>
      <c r="T100" s="246" t="s">
        <v>2116</v>
      </c>
      <c r="U100" s="251"/>
      <c r="V100" s="251"/>
      <c r="W100" s="251"/>
      <c r="X100" s="251"/>
      <c r="Y100" s="251"/>
      <c r="Z100" s="251"/>
      <c r="AA100" s="251"/>
      <c r="AB100" s="251"/>
      <c r="AC100" s="251"/>
      <c r="AD100" s="251"/>
      <c r="AE100" s="251"/>
      <c r="AF100" s="251"/>
      <c r="AG100" s="251"/>
      <c r="AH100" s="251"/>
      <c r="AI100" s="251"/>
      <c r="AJ100" s="251"/>
      <c r="AK100" s="251"/>
      <c r="AL100" s="251"/>
      <c r="AM100" s="251"/>
      <c r="AN100" s="251"/>
      <c r="AO100" s="251"/>
      <c r="AP100" s="251"/>
      <c r="AQ100" s="251"/>
      <c r="AR100" s="251"/>
      <c r="AS100" s="251"/>
      <c r="AT100" s="251"/>
      <c r="AU100" s="251"/>
      <c r="AV100" s="251"/>
      <c r="AW100" s="251"/>
      <c r="AX100" s="251"/>
      <c r="AY100" s="251"/>
      <c r="AZ100" s="251"/>
      <c r="BA100" s="251"/>
      <c r="BB100" s="251"/>
      <c r="BC100" s="251"/>
      <c r="BD100" s="251"/>
      <c r="BE100" s="251"/>
      <c r="BF100" s="251"/>
      <c r="BG100" s="251"/>
      <c r="BH100" s="251"/>
      <c r="BI100" s="251"/>
      <c r="BJ100" s="251"/>
      <c r="BK100" s="251"/>
      <c r="BL100" s="251"/>
    </row>
    <row r="101">
      <c r="A101" s="154" t="s">
        <v>1475</v>
      </c>
      <c r="B101" s="154">
        <v>2.024030001E9</v>
      </c>
      <c r="C101" s="233" t="s">
        <v>2488</v>
      </c>
      <c r="D101" s="154" t="s">
        <v>2489</v>
      </c>
      <c r="E101" s="154" t="s">
        <v>2490</v>
      </c>
      <c r="F101" s="233" t="s">
        <v>620</v>
      </c>
      <c r="G101" s="154" t="s">
        <v>2491</v>
      </c>
      <c r="H101" s="156" t="s">
        <v>2493</v>
      </c>
      <c r="I101" s="154" t="s">
        <v>2494</v>
      </c>
      <c r="J101" s="154" t="s">
        <v>1091</v>
      </c>
      <c r="K101" s="157">
        <v>44832.0</v>
      </c>
      <c r="L101" s="154" t="s">
        <v>1098</v>
      </c>
      <c r="M101" s="154" t="s">
        <v>1108</v>
      </c>
      <c r="N101" s="154" t="s">
        <v>1161</v>
      </c>
      <c r="O101" s="233" t="s">
        <v>1401</v>
      </c>
      <c r="P101" s="154" t="s">
        <v>2496</v>
      </c>
      <c r="Q101" s="154" t="s">
        <v>2497</v>
      </c>
      <c r="R101" s="154" t="s">
        <v>2499</v>
      </c>
      <c r="S101" s="159"/>
      <c r="T101" s="154" t="s">
        <v>1628</v>
      </c>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row>
    <row r="102">
      <c r="A102" s="294" t="s">
        <v>1311</v>
      </c>
      <c r="B102" s="288">
        <v>2.024020014E9</v>
      </c>
      <c r="C102" s="288" t="s">
        <v>2501</v>
      </c>
      <c r="D102" s="288" t="s">
        <v>2502</v>
      </c>
      <c r="E102" s="288" t="s">
        <v>2503</v>
      </c>
      <c r="F102" s="294" t="s">
        <v>70</v>
      </c>
      <c r="G102" s="288" t="s">
        <v>2504</v>
      </c>
      <c r="H102" s="306" t="s">
        <v>2505</v>
      </c>
      <c r="I102" s="288" t="s">
        <v>2506</v>
      </c>
      <c r="J102" s="288" t="s">
        <v>2507</v>
      </c>
      <c r="K102" s="307">
        <v>45326.0</v>
      </c>
      <c r="L102" s="288" t="s">
        <v>1098</v>
      </c>
      <c r="M102" s="288" t="s">
        <v>1108</v>
      </c>
      <c r="N102" s="294" t="s">
        <v>1430</v>
      </c>
      <c r="O102" s="292" t="s">
        <v>1161</v>
      </c>
      <c r="P102" s="288" t="s">
        <v>2509</v>
      </c>
      <c r="Q102" s="191" t="s">
        <v>2510</v>
      </c>
      <c r="R102" s="288" t="s">
        <v>2511</v>
      </c>
      <c r="S102" s="288" t="s">
        <v>1434</v>
      </c>
      <c r="T102" s="185" t="s">
        <v>2116</v>
      </c>
      <c r="U102" s="308"/>
      <c r="V102" s="308"/>
      <c r="W102" s="308"/>
      <c r="X102" s="308"/>
      <c r="Y102" s="308"/>
      <c r="Z102" s="308"/>
      <c r="AA102" s="308"/>
      <c r="AB102" s="308"/>
      <c r="AC102" s="308"/>
      <c r="AD102" s="308"/>
      <c r="AE102" s="308"/>
      <c r="AF102" s="308"/>
      <c r="AG102" s="308"/>
      <c r="AH102" s="308"/>
      <c r="AI102" s="308"/>
      <c r="AJ102" s="308"/>
      <c r="AK102" s="308"/>
      <c r="AL102" s="308"/>
      <c r="AM102" s="308"/>
      <c r="AN102" s="308"/>
      <c r="AO102" s="308"/>
      <c r="AP102" s="308"/>
      <c r="AQ102" s="308"/>
      <c r="AR102" s="308"/>
      <c r="AS102" s="308"/>
      <c r="AT102" s="308"/>
      <c r="AU102" s="308"/>
      <c r="AV102" s="308"/>
      <c r="AW102" s="308"/>
      <c r="AX102" s="308"/>
      <c r="AY102" s="308"/>
      <c r="AZ102" s="308"/>
      <c r="BA102" s="308"/>
      <c r="BB102" s="308"/>
      <c r="BC102" s="308"/>
      <c r="BD102" s="308"/>
      <c r="BE102" s="308"/>
      <c r="BF102" s="308"/>
      <c r="BG102" s="308"/>
      <c r="BH102" s="308"/>
      <c r="BI102" s="308"/>
      <c r="BJ102" s="308"/>
      <c r="BK102" s="308"/>
      <c r="BL102" s="308"/>
    </row>
    <row r="103">
      <c r="A103" s="127" t="s">
        <v>219</v>
      </c>
      <c r="B103" s="113">
        <v>2.024030003E9</v>
      </c>
      <c r="C103" s="113" t="s">
        <v>2513</v>
      </c>
      <c r="D103" s="113" t="s">
        <v>2514</v>
      </c>
      <c r="E103" s="113" t="s">
        <v>2516</v>
      </c>
      <c r="F103" s="127" t="s">
        <v>695</v>
      </c>
      <c r="G103" s="113" t="s">
        <v>2517</v>
      </c>
      <c r="H103" s="122" t="s">
        <v>2518</v>
      </c>
      <c r="I103" s="113" t="s">
        <v>2520</v>
      </c>
      <c r="J103" s="113" t="s">
        <v>1091</v>
      </c>
      <c r="K103" s="124">
        <v>44832.0</v>
      </c>
      <c r="L103" s="113" t="s">
        <v>1098</v>
      </c>
      <c r="M103" s="113" t="s">
        <v>1108</v>
      </c>
      <c r="N103" s="113" t="s">
        <v>1161</v>
      </c>
      <c r="O103" s="127" t="s">
        <v>1161</v>
      </c>
      <c r="P103" s="113" t="s">
        <v>2456</v>
      </c>
      <c r="Q103" s="113" t="s">
        <v>2521</v>
      </c>
      <c r="R103" s="113" t="s">
        <v>2522</v>
      </c>
      <c r="S103" s="113" t="s">
        <v>1439</v>
      </c>
      <c r="T103" s="127" t="s">
        <v>1521</v>
      </c>
      <c r="U103" s="113"/>
      <c r="V103" s="128"/>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c r="AX103" s="128"/>
      <c r="AY103" s="128"/>
      <c r="AZ103" s="128"/>
      <c r="BA103" s="128"/>
      <c r="BB103" s="128"/>
      <c r="BC103" s="128"/>
      <c r="BD103" s="128"/>
      <c r="BE103" s="128"/>
      <c r="BF103" s="128"/>
      <c r="BG103" s="128"/>
      <c r="BH103" s="128"/>
      <c r="BI103" s="128"/>
      <c r="BJ103" s="128"/>
      <c r="BK103" s="128"/>
      <c r="BL103" s="128"/>
    </row>
    <row r="104">
      <c r="A104" s="179" t="s">
        <v>219</v>
      </c>
      <c r="B104" s="7">
        <v>2.024030004E9</v>
      </c>
      <c r="C104" s="7" t="s">
        <v>2523</v>
      </c>
      <c r="D104" s="7" t="s">
        <v>2524</v>
      </c>
      <c r="E104" s="17"/>
      <c r="F104" s="179" t="s">
        <v>2081</v>
      </c>
      <c r="G104" s="7" t="s">
        <v>2525</v>
      </c>
      <c r="H104" s="144" t="s">
        <v>2526</v>
      </c>
      <c r="I104" s="7" t="s">
        <v>2527</v>
      </c>
      <c r="J104" s="7" t="s">
        <v>1091</v>
      </c>
      <c r="K104" s="235">
        <v>44832.0</v>
      </c>
      <c r="L104" s="17"/>
      <c r="M104" s="7" t="s">
        <v>1549</v>
      </c>
      <c r="N104" s="17"/>
      <c r="O104" s="7" t="s">
        <v>1129</v>
      </c>
      <c r="P104" s="7" t="s">
        <v>2528</v>
      </c>
      <c r="Q104" s="310" t="s">
        <v>2529</v>
      </c>
      <c r="R104" s="7" t="s">
        <v>2530</v>
      </c>
      <c r="S104" s="17"/>
      <c r="T104" s="7" t="s">
        <v>2116</v>
      </c>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row>
    <row r="105">
      <c r="A105" s="297" t="s">
        <v>1212</v>
      </c>
      <c r="B105" s="272">
        <v>2.024030005E9</v>
      </c>
      <c r="C105" s="272" t="s">
        <v>2531</v>
      </c>
      <c r="D105" s="272" t="s">
        <v>2532</v>
      </c>
      <c r="E105" s="272" t="s">
        <v>2533</v>
      </c>
      <c r="F105" s="297" t="s">
        <v>2535</v>
      </c>
      <c r="G105" s="272" t="s">
        <v>2536</v>
      </c>
      <c r="H105" s="298" t="s">
        <v>2537</v>
      </c>
      <c r="I105" s="272" t="s">
        <v>2538</v>
      </c>
      <c r="J105" s="272" t="s">
        <v>1091</v>
      </c>
      <c r="K105" s="299">
        <v>44832.0</v>
      </c>
      <c r="L105" s="300"/>
      <c r="M105" s="272" t="s">
        <v>1549</v>
      </c>
      <c r="N105" s="300"/>
      <c r="O105" s="312" t="s">
        <v>1401</v>
      </c>
      <c r="P105" s="272" t="s">
        <v>2539</v>
      </c>
      <c r="Q105" s="272" t="s">
        <v>2540</v>
      </c>
      <c r="R105" s="272" t="s">
        <v>2541</v>
      </c>
      <c r="S105" s="300"/>
      <c r="T105" s="297" t="s">
        <v>2448</v>
      </c>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300"/>
      <c r="BJ105" s="300"/>
      <c r="BK105" s="300"/>
      <c r="BL105" s="300"/>
    </row>
    <row r="106">
      <c r="A106" s="127" t="s">
        <v>2542</v>
      </c>
      <c r="B106" s="113">
        <v>2.024030006E9</v>
      </c>
      <c r="C106" s="113" t="s">
        <v>2543</v>
      </c>
      <c r="D106" s="113" t="s">
        <v>2544</v>
      </c>
      <c r="E106" s="113" t="s">
        <v>2545</v>
      </c>
      <c r="F106" s="127" t="s">
        <v>70</v>
      </c>
      <c r="G106" s="113" t="s">
        <v>2546</v>
      </c>
      <c r="H106" s="122" t="s">
        <v>2547</v>
      </c>
      <c r="I106" s="113" t="s">
        <v>2548</v>
      </c>
      <c r="J106" s="113" t="s">
        <v>1091</v>
      </c>
      <c r="K106" s="124">
        <v>44832.0</v>
      </c>
      <c r="L106" s="113" t="s">
        <v>1098</v>
      </c>
      <c r="M106" s="113" t="s">
        <v>1108</v>
      </c>
      <c r="N106" s="113" t="s">
        <v>1430</v>
      </c>
      <c r="O106" s="113" t="s">
        <v>1598</v>
      </c>
      <c r="P106" s="113" t="s">
        <v>2549</v>
      </c>
      <c r="Q106" s="113" t="s">
        <v>2550</v>
      </c>
      <c r="R106" s="113" t="s">
        <v>2551</v>
      </c>
      <c r="S106" s="113" t="s">
        <v>1434</v>
      </c>
      <c r="T106" s="127" t="s">
        <v>1521</v>
      </c>
      <c r="U106" s="128"/>
      <c r="V106" s="128"/>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c r="AX106" s="128"/>
      <c r="AY106" s="128"/>
      <c r="AZ106" s="128"/>
      <c r="BA106" s="128"/>
      <c r="BB106" s="128"/>
      <c r="BC106" s="128"/>
      <c r="BD106" s="128"/>
      <c r="BE106" s="128"/>
      <c r="BF106" s="128"/>
      <c r="BG106" s="128"/>
      <c r="BH106" s="128"/>
      <c r="BI106" s="128"/>
      <c r="BJ106" s="128"/>
      <c r="BK106" s="128"/>
      <c r="BL106" s="128"/>
    </row>
    <row r="107">
      <c r="A107" s="179" t="s">
        <v>219</v>
      </c>
      <c r="B107" s="7">
        <v>2.024040001E9</v>
      </c>
      <c r="C107" s="7" t="s">
        <v>2379</v>
      </c>
      <c r="D107" s="7" t="s">
        <v>2380</v>
      </c>
      <c r="E107" s="7" t="s">
        <v>2384</v>
      </c>
      <c r="F107" s="179" t="s">
        <v>2389</v>
      </c>
      <c r="G107" s="7" t="s">
        <v>2392</v>
      </c>
      <c r="H107" s="144" t="s">
        <v>2393</v>
      </c>
      <c r="I107" s="17"/>
      <c r="J107" s="7" t="s">
        <v>1091</v>
      </c>
      <c r="K107" s="235">
        <v>44832.0</v>
      </c>
      <c r="L107" s="17"/>
      <c r="M107" s="7" t="s">
        <v>1549</v>
      </c>
      <c r="N107" s="17"/>
      <c r="O107" s="7" t="s">
        <v>1129</v>
      </c>
      <c r="P107" s="17"/>
      <c r="Q107" s="179" t="s">
        <v>2552</v>
      </c>
      <c r="R107" s="7" t="s">
        <v>2530</v>
      </c>
      <c r="S107" s="17"/>
      <c r="T107" s="7" t="s">
        <v>2553</v>
      </c>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row>
    <row r="108">
      <c r="A108" s="247" t="s">
        <v>1311</v>
      </c>
      <c r="B108" s="246">
        <v>2.024030008E9</v>
      </c>
      <c r="C108" s="246" t="s">
        <v>2554</v>
      </c>
      <c r="D108" s="246" t="s">
        <v>2555</v>
      </c>
      <c r="E108" s="246" t="s">
        <v>2556</v>
      </c>
      <c r="F108" s="247" t="s">
        <v>70</v>
      </c>
      <c r="G108" s="246" t="s">
        <v>2557</v>
      </c>
      <c r="H108" s="248" t="s">
        <v>2558</v>
      </c>
      <c r="I108" s="246" t="s">
        <v>2559</v>
      </c>
      <c r="J108" s="246" t="s">
        <v>2560</v>
      </c>
      <c r="K108" s="313">
        <v>45306.0</v>
      </c>
      <c r="L108" s="246" t="s">
        <v>1098</v>
      </c>
      <c r="M108" s="247" t="s">
        <v>1108</v>
      </c>
      <c r="N108" s="246" t="s">
        <v>1484</v>
      </c>
      <c r="O108" s="247" t="s">
        <v>1401</v>
      </c>
      <c r="P108" s="246" t="s">
        <v>2562</v>
      </c>
      <c r="Q108" s="247" t="s">
        <v>2563</v>
      </c>
      <c r="R108" s="246" t="s">
        <v>2530</v>
      </c>
      <c r="S108" s="246" t="s">
        <v>1439</v>
      </c>
      <c r="T108" s="246" t="s">
        <v>2116</v>
      </c>
      <c r="U108" s="246"/>
      <c r="V108" s="251"/>
      <c r="W108" s="251"/>
      <c r="X108" s="251"/>
      <c r="Y108" s="251"/>
      <c r="Z108" s="251"/>
      <c r="AA108" s="251"/>
      <c r="AB108" s="251"/>
      <c r="AC108" s="251"/>
      <c r="AD108" s="251"/>
      <c r="AE108" s="251"/>
      <c r="AF108" s="251"/>
      <c r="AG108" s="251"/>
      <c r="AH108" s="251"/>
      <c r="AI108" s="251"/>
      <c r="AJ108" s="251"/>
      <c r="AK108" s="251"/>
      <c r="AL108" s="251"/>
      <c r="AM108" s="251"/>
      <c r="AN108" s="251"/>
      <c r="AO108" s="251"/>
      <c r="AP108" s="251"/>
      <c r="AQ108" s="251"/>
      <c r="AR108" s="251"/>
      <c r="AS108" s="251"/>
      <c r="AT108" s="251"/>
      <c r="AU108" s="251"/>
      <c r="AV108" s="251"/>
      <c r="AW108" s="251"/>
      <c r="AX108" s="251"/>
      <c r="AY108" s="251"/>
      <c r="AZ108" s="251"/>
      <c r="BA108" s="251"/>
      <c r="BB108" s="251"/>
      <c r="BC108" s="251"/>
      <c r="BD108" s="251"/>
      <c r="BE108" s="251"/>
      <c r="BF108" s="251"/>
      <c r="BG108" s="251"/>
      <c r="BH108" s="251"/>
      <c r="BI108" s="251"/>
      <c r="BJ108" s="251"/>
      <c r="BK108" s="251"/>
      <c r="BL108" s="251"/>
    </row>
    <row r="109">
      <c r="A109" s="113" t="s">
        <v>1475</v>
      </c>
      <c r="B109" s="113">
        <v>2.024030007E9</v>
      </c>
      <c r="C109" s="282" t="s">
        <v>2304</v>
      </c>
      <c r="D109" s="113" t="s">
        <v>2305</v>
      </c>
      <c r="E109" s="113" t="s">
        <v>2306</v>
      </c>
      <c r="F109" s="127" t="s">
        <v>931</v>
      </c>
      <c r="G109" s="113" t="s">
        <v>2307</v>
      </c>
      <c r="H109" s="122" t="s">
        <v>2565</v>
      </c>
      <c r="I109" s="122" t="s">
        <v>2566</v>
      </c>
      <c r="J109" s="113" t="s">
        <v>2567</v>
      </c>
      <c r="K109" s="124">
        <v>44209.0</v>
      </c>
      <c r="L109" s="113" t="s">
        <v>1098</v>
      </c>
      <c r="M109" s="113" t="s">
        <v>1108</v>
      </c>
      <c r="N109" s="113" t="s">
        <v>1161</v>
      </c>
      <c r="O109" s="127" t="s">
        <v>1578</v>
      </c>
      <c r="P109" s="113" t="s">
        <v>2365</v>
      </c>
      <c r="Q109" s="113" t="s">
        <v>2568</v>
      </c>
      <c r="R109" s="113" t="s">
        <v>2569</v>
      </c>
      <c r="S109" s="128"/>
      <c r="T109" s="113" t="s">
        <v>1521</v>
      </c>
      <c r="U109" s="128"/>
      <c r="V109" s="128"/>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c r="AX109" s="128"/>
      <c r="AY109" s="128"/>
      <c r="AZ109" s="128"/>
      <c r="BA109" s="128"/>
      <c r="BB109" s="128"/>
      <c r="BC109" s="128"/>
      <c r="BD109" s="128"/>
      <c r="BE109" s="128"/>
      <c r="BF109" s="128"/>
      <c r="BG109" s="128"/>
      <c r="BH109" s="128"/>
      <c r="BI109" s="128"/>
      <c r="BJ109" s="128"/>
      <c r="BK109" s="128"/>
      <c r="BL109" s="128"/>
    </row>
    <row r="110">
      <c r="A110" s="7" t="s">
        <v>1391</v>
      </c>
      <c r="B110" s="7">
        <v>2.024040002E9</v>
      </c>
      <c r="C110" s="7" t="s">
        <v>2570</v>
      </c>
      <c r="D110" s="7" t="s">
        <v>2571</v>
      </c>
      <c r="E110" s="7" t="s">
        <v>2572</v>
      </c>
      <c r="F110" s="179" t="s">
        <v>70</v>
      </c>
      <c r="G110" s="7" t="s">
        <v>2573</v>
      </c>
      <c r="H110" s="144" t="s">
        <v>2574</v>
      </c>
      <c r="I110" s="7" t="s">
        <v>2575</v>
      </c>
      <c r="J110" s="7" t="s">
        <v>2576</v>
      </c>
      <c r="K110" s="244">
        <v>45385.0</v>
      </c>
      <c r="L110" s="17"/>
      <c r="M110" s="7" t="s">
        <v>1549</v>
      </c>
      <c r="N110" s="17"/>
      <c r="O110" s="179" t="s">
        <v>1401</v>
      </c>
      <c r="P110" s="314" t="s">
        <v>2577</v>
      </c>
      <c r="Q110" s="7" t="s">
        <v>2578</v>
      </c>
      <c r="R110" s="7" t="s">
        <v>2579</v>
      </c>
      <c r="S110" s="17"/>
      <c r="T110" s="7" t="s">
        <v>2580</v>
      </c>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row>
    <row r="111">
      <c r="A111" s="246" t="s">
        <v>1391</v>
      </c>
      <c r="B111" s="246">
        <v>2.024040003E9</v>
      </c>
      <c r="C111" s="246" t="s">
        <v>1572</v>
      </c>
      <c r="D111" s="246" t="s">
        <v>1573</v>
      </c>
      <c r="E111" s="246" t="s">
        <v>1574</v>
      </c>
      <c r="F111" s="247" t="s">
        <v>70</v>
      </c>
      <c r="G111" s="246" t="s">
        <v>1575</v>
      </c>
      <c r="H111" s="248" t="s">
        <v>1576</v>
      </c>
      <c r="I111" s="246" t="s">
        <v>2581</v>
      </c>
      <c r="J111" s="246" t="s">
        <v>2576</v>
      </c>
      <c r="K111" s="249">
        <v>45392.0</v>
      </c>
      <c r="L111" s="246"/>
      <c r="M111" s="246" t="s">
        <v>2191</v>
      </c>
      <c r="N111" s="315"/>
      <c r="O111" s="247" t="s">
        <v>1401</v>
      </c>
      <c r="P111" s="246" t="s">
        <v>2582</v>
      </c>
      <c r="Q111" s="246" t="s">
        <v>2584</v>
      </c>
      <c r="R111" s="246" t="s">
        <v>2579</v>
      </c>
      <c r="S111" s="246" t="s">
        <v>1439</v>
      </c>
      <c r="T111" s="246" t="s">
        <v>2585</v>
      </c>
      <c r="U111" s="246"/>
      <c r="V111" s="251"/>
      <c r="W111" s="251"/>
      <c r="X111" s="251"/>
      <c r="Y111" s="251"/>
      <c r="Z111" s="251"/>
      <c r="AA111" s="251"/>
      <c r="AB111" s="251"/>
      <c r="AC111" s="251"/>
      <c r="AD111" s="251"/>
      <c r="AE111" s="251"/>
      <c r="AF111" s="251"/>
      <c r="AG111" s="251"/>
      <c r="AH111" s="251"/>
      <c r="AI111" s="251"/>
      <c r="AJ111" s="251"/>
      <c r="AK111" s="251"/>
      <c r="AL111" s="251"/>
      <c r="AM111" s="251"/>
      <c r="AN111" s="251"/>
      <c r="AO111" s="251"/>
      <c r="AP111" s="251"/>
      <c r="AQ111" s="251"/>
      <c r="AR111" s="251"/>
      <c r="AS111" s="251"/>
      <c r="AT111" s="251"/>
      <c r="AU111" s="251"/>
      <c r="AV111" s="251"/>
      <c r="AW111" s="251"/>
      <c r="AX111" s="251"/>
      <c r="AY111" s="251"/>
      <c r="AZ111" s="251"/>
      <c r="BA111" s="251"/>
      <c r="BB111" s="251"/>
      <c r="BC111" s="251"/>
      <c r="BD111" s="251"/>
      <c r="BE111" s="251"/>
      <c r="BF111" s="251"/>
      <c r="BG111" s="251"/>
      <c r="BH111" s="251"/>
      <c r="BI111" s="251"/>
      <c r="BJ111" s="251"/>
      <c r="BK111" s="251"/>
      <c r="BL111" s="251"/>
    </row>
    <row r="112">
      <c r="A112" s="272" t="s">
        <v>1391</v>
      </c>
      <c r="B112" s="7">
        <v>2.024040004E9</v>
      </c>
      <c r="C112" s="7" t="s">
        <v>2586</v>
      </c>
      <c r="D112" s="7" t="s">
        <v>2587</v>
      </c>
      <c r="E112" s="7" t="s">
        <v>2588</v>
      </c>
      <c r="F112" s="179" t="s">
        <v>36</v>
      </c>
      <c r="G112" s="7" t="s">
        <v>2589</v>
      </c>
      <c r="H112" s="144" t="s">
        <v>2590</v>
      </c>
      <c r="I112" s="7" t="s">
        <v>2591</v>
      </c>
      <c r="J112" s="7" t="s">
        <v>2576</v>
      </c>
      <c r="K112" s="244">
        <v>44840.0</v>
      </c>
      <c r="L112" s="7" t="s">
        <v>1098</v>
      </c>
      <c r="M112" s="179" t="s">
        <v>1108</v>
      </c>
      <c r="N112" s="179" t="s">
        <v>1430</v>
      </c>
      <c r="O112" s="7" t="s">
        <v>1598</v>
      </c>
      <c r="P112" s="7" t="s">
        <v>2593</v>
      </c>
      <c r="Q112" s="310" t="s">
        <v>2594</v>
      </c>
      <c r="R112" s="7" t="s">
        <v>2595</v>
      </c>
      <c r="S112" s="17"/>
      <c r="T112" s="7" t="s">
        <v>2116</v>
      </c>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row>
    <row r="113">
      <c r="A113" s="257" t="s">
        <v>1475</v>
      </c>
      <c r="B113" s="257">
        <v>2.024040005E9</v>
      </c>
      <c r="C113" s="185" t="s">
        <v>2596</v>
      </c>
      <c r="D113" s="257" t="s">
        <v>2597</v>
      </c>
      <c r="E113" s="185" t="s">
        <v>2598</v>
      </c>
      <c r="F113" s="259" t="s">
        <v>2081</v>
      </c>
      <c r="G113" s="257" t="s">
        <v>2599</v>
      </c>
      <c r="H113" s="261" t="s">
        <v>2600</v>
      </c>
      <c r="I113" s="185" t="s">
        <v>2601</v>
      </c>
      <c r="J113" s="185" t="s">
        <v>1091</v>
      </c>
      <c r="K113" s="262">
        <v>44832.0</v>
      </c>
      <c r="L113" s="257" t="s">
        <v>1098</v>
      </c>
      <c r="M113" s="257" t="s">
        <v>1108</v>
      </c>
      <c r="N113" s="191" t="s">
        <v>1484</v>
      </c>
      <c r="O113" s="259" t="s">
        <v>1401</v>
      </c>
      <c r="P113" s="185" t="s">
        <v>2603</v>
      </c>
      <c r="Q113" s="191" t="s">
        <v>1689</v>
      </c>
      <c r="R113" s="257" t="s">
        <v>2604</v>
      </c>
      <c r="S113" s="257" t="s">
        <v>1434</v>
      </c>
      <c r="T113" s="191" t="s">
        <v>2116</v>
      </c>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row>
    <row r="114">
      <c r="A114" s="131" t="s">
        <v>2542</v>
      </c>
      <c r="B114" s="131">
        <v>2.024040007E9</v>
      </c>
      <c r="C114" s="130" t="s">
        <v>2605</v>
      </c>
      <c r="D114" s="131" t="s">
        <v>2606</v>
      </c>
      <c r="E114" s="131" t="s">
        <v>2607</v>
      </c>
      <c r="F114" s="203" t="s">
        <v>480</v>
      </c>
      <c r="G114" s="131" t="s">
        <v>2608</v>
      </c>
      <c r="H114" s="167" t="s">
        <v>2609</v>
      </c>
      <c r="I114" s="167" t="s">
        <v>2610</v>
      </c>
      <c r="J114" s="131" t="s">
        <v>1091</v>
      </c>
      <c r="K114" s="168">
        <v>44832.0</v>
      </c>
      <c r="L114" s="131" t="s">
        <v>1098</v>
      </c>
      <c r="M114" s="131" t="s">
        <v>1108</v>
      </c>
      <c r="N114" s="203" t="s">
        <v>1466</v>
      </c>
      <c r="O114" s="131" t="s">
        <v>1401</v>
      </c>
      <c r="P114" s="203" t="s">
        <v>2611</v>
      </c>
      <c r="Q114" s="129" t="s">
        <v>2612</v>
      </c>
      <c r="R114" s="131" t="s">
        <v>2613</v>
      </c>
      <c r="S114" s="131" t="s">
        <v>1439</v>
      </c>
      <c r="T114" s="130" t="s">
        <v>1521</v>
      </c>
      <c r="U114" s="131"/>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c r="AT114" s="170"/>
      <c r="AU114" s="170"/>
      <c r="AV114" s="170"/>
      <c r="AW114" s="170"/>
      <c r="AX114" s="170"/>
      <c r="AY114" s="170"/>
      <c r="AZ114" s="170"/>
      <c r="BA114" s="170"/>
      <c r="BB114" s="170"/>
      <c r="BC114" s="170"/>
      <c r="BD114" s="170"/>
      <c r="BE114" s="170"/>
      <c r="BF114" s="170"/>
      <c r="BG114" s="170"/>
      <c r="BH114" s="170"/>
      <c r="BI114" s="170"/>
      <c r="BJ114" s="170"/>
      <c r="BK114" s="170"/>
      <c r="BL114" s="170"/>
    </row>
    <row r="115">
      <c r="A115" s="7" t="s">
        <v>1212</v>
      </c>
      <c r="B115" s="7">
        <v>2.024040008E9</v>
      </c>
      <c r="C115" s="179" t="s">
        <v>2615</v>
      </c>
      <c r="D115" s="7" t="s">
        <v>2616</v>
      </c>
      <c r="E115" s="7" t="s">
        <v>2617</v>
      </c>
      <c r="F115" s="179" t="s">
        <v>2618</v>
      </c>
      <c r="G115" s="7" t="s">
        <v>2619</v>
      </c>
      <c r="H115" s="144" t="s">
        <v>2620</v>
      </c>
      <c r="I115" s="7" t="s">
        <v>2621</v>
      </c>
      <c r="J115" s="7" t="s">
        <v>1091</v>
      </c>
      <c r="K115" s="235">
        <v>44832.0</v>
      </c>
      <c r="L115" s="17"/>
      <c r="M115" s="7" t="s">
        <v>2191</v>
      </c>
      <c r="N115" s="7" t="s">
        <v>1115</v>
      </c>
      <c r="O115" s="7" t="s">
        <v>1129</v>
      </c>
      <c r="P115" s="7" t="s">
        <v>2623</v>
      </c>
      <c r="Q115" s="310" t="s">
        <v>2624</v>
      </c>
      <c r="R115" s="272" t="s">
        <v>2625</v>
      </c>
      <c r="S115" s="17"/>
      <c r="T115" s="7" t="s">
        <v>2626</v>
      </c>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row>
    <row r="116">
      <c r="A116" s="7" t="s">
        <v>1212</v>
      </c>
      <c r="B116" s="7">
        <v>2.024040009E9</v>
      </c>
      <c r="C116" s="179" t="s">
        <v>2628</v>
      </c>
      <c r="D116" s="7" t="s">
        <v>2629</v>
      </c>
      <c r="E116" s="7" t="s">
        <v>2630</v>
      </c>
      <c r="F116" s="179" t="s">
        <v>695</v>
      </c>
      <c r="G116" s="7" t="s">
        <v>2631</v>
      </c>
      <c r="H116" s="144" t="s">
        <v>2632</v>
      </c>
      <c r="I116" s="144" t="s">
        <v>2633</v>
      </c>
      <c r="J116" s="7" t="s">
        <v>1091</v>
      </c>
      <c r="K116" s="235">
        <v>44832.0</v>
      </c>
      <c r="L116" s="7" t="s">
        <v>1098</v>
      </c>
      <c r="M116" s="7" t="s">
        <v>1108</v>
      </c>
      <c r="N116" s="179" t="s">
        <v>1430</v>
      </c>
      <c r="O116" s="236" t="s">
        <v>1401</v>
      </c>
      <c r="P116" s="272" t="s">
        <v>1599</v>
      </c>
      <c r="Q116" s="179" t="s">
        <v>2634</v>
      </c>
      <c r="R116" s="272" t="s">
        <v>2635</v>
      </c>
      <c r="S116" s="17"/>
      <c r="T116" s="7" t="s">
        <v>2636</v>
      </c>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row>
    <row r="117">
      <c r="A117" s="113" t="s">
        <v>1212</v>
      </c>
      <c r="B117" s="113">
        <v>2.024030009E9</v>
      </c>
      <c r="C117" s="113" t="s">
        <v>2638</v>
      </c>
      <c r="D117" s="113" t="s">
        <v>2639</v>
      </c>
      <c r="E117" s="113" t="s">
        <v>2640</v>
      </c>
      <c r="F117" s="127" t="s">
        <v>91</v>
      </c>
      <c r="G117" s="113" t="s">
        <v>2641</v>
      </c>
      <c r="H117" s="122" t="s">
        <v>2642</v>
      </c>
      <c r="I117" s="113">
        <v>3.30044085E9</v>
      </c>
      <c r="J117" s="113" t="s">
        <v>1091</v>
      </c>
      <c r="K117" s="124">
        <v>44832.0</v>
      </c>
      <c r="L117" s="128"/>
      <c r="M117" s="113" t="s">
        <v>1549</v>
      </c>
      <c r="N117" s="128"/>
      <c r="O117" s="127" t="s">
        <v>1161</v>
      </c>
      <c r="P117" s="113" t="s">
        <v>2643</v>
      </c>
      <c r="Q117" s="317" t="s">
        <v>2644</v>
      </c>
      <c r="R117" s="113" t="s">
        <v>2625</v>
      </c>
      <c r="S117" s="128"/>
      <c r="T117" s="113" t="s">
        <v>1521</v>
      </c>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28"/>
      <c r="AX117" s="128"/>
      <c r="AY117" s="128"/>
      <c r="AZ117" s="128"/>
      <c r="BA117" s="128"/>
      <c r="BB117" s="128"/>
      <c r="BC117" s="128"/>
      <c r="BD117" s="128"/>
      <c r="BE117" s="128"/>
      <c r="BF117" s="128"/>
      <c r="BG117" s="128"/>
      <c r="BH117" s="128"/>
      <c r="BI117" s="128"/>
      <c r="BJ117" s="128"/>
      <c r="BK117" s="128"/>
      <c r="BL117" s="128"/>
    </row>
    <row r="118">
      <c r="A118" s="191" t="s">
        <v>2645</v>
      </c>
      <c r="B118" s="259">
        <v>2.02404001E9</v>
      </c>
      <c r="C118" s="259" t="s">
        <v>2646</v>
      </c>
      <c r="D118" s="259" t="s">
        <v>2647</v>
      </c>
      <c r="E118" s="259" t="s">
        <v>2648</v>
      </c>
      <c r="F118" s="259" t="s">
        <v>2649</v>
      </c>
      <c r="G118" s="259" t="s">
        <v>2650</v>
      </c>
      <c r="H118" s="318" t="s">
        <v>2651</v>
      </c>
      <c r="I118" s="259" t="s">
        <v>2652</v>
      </c>
      <c r="J118" s="259" t="s">
        <v>1566</v>
      </c>
      <c r="K118" s="319">
        <v>45396.0</v>
      </c>
      <c r="L118" s="259" t="s">
        <v>1098</v>
      </c>
      <c r="M118" s="259" t="s">
        <v>1108</v>
      </c>
      <c r="N118" s="259" t="s">
        <v>1484</v>
      </c>
      <c r="O118" s="259" t="s">
        <v>1161</v>
      </c>
      <c r="P118" s="259" t="s">
        <v>2653</v>
      </c>
      <c r="Q118" s="191" t="s">
        <v>2654</v>
      </c>
      <c r="R118" s="259" t="s">
        <v>2655</v>
      </c>
      <c r="S118" s="191" t="s">
        <v>1434</v>
      </c>
      <c r="T118" s="191" t="s">
        <v>2656</v>
      </c>
      <c r="U118" s="191" t="s">
        <v>2657</v>
      </c>
      <c r="V118" s="320"/>
      <c r="W118" s="320"/>
      <c r="X118" s="320"/>
      <c r="Y118" s="320"/>
      <c r="Z118" s="320"/>
      <c r="AA118" s="320"/>
      <c r="AB118" s="320"/>
      <c r="AC118" s="320"/>
      <c r="AD118" s="320"/>
      <c r="AE118" s="320"/>
      <c r="AF118" s="320"/>
      <c r="AG118" s="320"/>
      <c r="AH118" s="320"/>
      <c r="AI118" s="320"/>
      <c r="AJ118" s="320"/>
      <c r="AK118" s="320"/>
      <c r="AL118" s="320"/>
      <c r="AM118" s="320"/>
      <c r="AN118" s="320"/>
      <c r="AO118" s="320"/>
      <c r="AP118" s="320"/>
      <c r="AQ118" s="320"/>
      <c r="AR118" s="320"/>
      <c r="AS118" s="320"/>
      <c r="AT118" s="320"/>
      <c r="AU118" s="320"/>
      <c r="AV118" s="320"/>
      <c r="AW118" s="320"/>
      <c r="AX118" s="320"/>
      <c r="AY118" s="320"/>
      <c r="AZ118" s="320"/>
      <c r="BA118" s="320"/>
      <c r="BB118" s="320"/>
      <c r="BC118" s="320"/>
      <c r="BD118" s="320"/>
      <c r="BE118" s="320"/>
      <c r="BF118" s="320"/>
      <c r="BG118" s="320"/>
      <c r="BH118" s="320"/>
      <c r="BI118" s="320"/>
      <c r="BJ118" s="320"/>
      <c r="BK118" s="320"/>
      <c r="BL118" s="320"/>
    </row>
    <row r="119">
      <c r="A119" s="179" t="s">
        <v>1010</v>
      </c>
      <c r="B119" s="7">
        <v>2.024050001E9</v>
      </c>
      <c r="C119" s="7" t="s">
        <v>2658</v>
      </c>
      <c r="D119" s="7" t="s">
        <v>2659</v>
      </c>
      <c r="E119" s="7" t="s">
        <v>2660</v>
      </c>
      <c r="F119" s="179" t="s">
        <v>695</v>
      </c>
      <c r="G119" s="7" t="s">
        <v>2661</v>
      </c>
      <c r="H119" s="144" t="s">
        <v>2662</v>
      </c>
      <c r="I119" s="7" t="s">
        <v>2663</v>
      </c>
      <c r="J119" s="7" t="s">
        <v>1091</v>
      </c>
      <c r="K119" s="235">
        <v>44832.0</v>
      </c>
      <c r="L119" s="7" t="s">
        <v>1639</v>
      </c>
      <c r="M119" s="7" t="s">
        <v>1108</v>
      </c>
      <c r="N119" s="17"/>
      <c r="O119" s="7" t="s">
        <v>1129</v>
      </c>
      <c r="P119" s="310" t="s">
        <v>1912</v>
      </c>
      <c r="Q119" s="7" t="s">
        <v>2664</v>
      </c>
      <c r="R119" s="272" t="s">
        <v>2665</v>
      </c>
      <c r="S119" s="17"/>
      <c r="T119" s="297" t="s">
        <v>2116</v>
      </c>
      <c r="U119" s="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row>
    <row r="120">
      <c r="A120" s="179" t="s">
        <v>1212</v>
      </c>
      <c r="B120" s="179">
        <v>2.024050007E9</v>
      </c>
      <c r="C120" s="179" t="s">
        <v>2666</v>
      </c>
      <c r="D120" s="179" t="s">
        <v>2667</v>
      </c>
      <c r="E120" s="179" t="s">
        <v>2668</v>
      </c>
      <c r="F120" s="179" t="s">
        <v>2670</v>
      </c>
      <c r="G120" s="179" t="s">
        <v>2671</v>
      </c>
      <c r="H120" s="322" t="s">
        <v>2672</v>
      </c>
      <c r="I120" s="179" t="s">
        <v>2674</v>
      </c>
      <c r="J120" s="179" t="s">
        <v>1091</v>
      </c>
      <c r="K120" s="323">
        <v>44832.0</v>
      </c>
      <c r="L120" s="179" t="s">
        <v>1639</v>
      </c>
      <c r="M120" s="179" t="s">
        <v>1108</v>
      </c>
      <c r="N120" s="179" t="s">
        <v>1430</v>
      </c>
      <c r="O120" s="179" t="s">
        <v>1401</v>
      </c>
      <c r="P120" s="179" t="s">
        <v>2680</v>
      </c>
      <c r="Q120" s="179" t="s">
        <v>2681</v>
      </c>
      <c r="R120" s="272" t="s">
        <v>2683</v>
      </c>
      <c r="S120" s="324"/>
      <c r="T120" s="179" t="s">
        <v>2685</v>
      </c>
      <c r="U120" s="179"/>
      <c r="V120" s="324"/>
      <c r="W120" s="324"/>
      <c r="X120" s="324"/>
      <c r="Y120" s="324"/>
      <c r="Z120" s="324"/>
      <c r="AA120" s="324"/>
      <c r="AB120" s="324"/>
      <c r="AC120" s="324"/>
      <c r="AD120" s="324"/>
      <c r="AE120" s="324"/>
      <c r="AF120" s="324"/>
      <c r="AG120" s="324"/>
      <c r="AH120" s="324"/>
      <c r="AI120" s="324"/>
      <c r="AJ120" s="324"/>
      <c r="AK120" s="324"/>
      <c r="AL120" s="324"/>
      <c r="AM120" s="324"/>
      <c r="AN120" s="324"/>
      <c r="AO120" s="324"/>
      <c r="AP120" s="324"/>
      <c r="AQ120" s="324"/>
      <c r="AR120" s="324"/>
      <c r="AS120" s="324"/>
      <c r="AT120" s="324"/>
      <c r="AU120" s="324"/>
      <c r="AV120" s="324"/>
      <c r="AW120" s="324"/>
      <c r="AX120" s="324"/>
      <c r="AY120" s="324"/>
      <c r="AZ120" s="324"/>
      <c r="BA120" s="324"/>
      <c r="BB120" s="324"/>
      <c r="BC120" s="324"/>
      <c r="BD120" s="324"/>
      <c r="BE120" s="324"/>
      <c r="BF120" s="324"/>
      <c r="BG120" s="324"/>
      <c r="BH120" s="324"/>
      <c r="BI120" s="324"/>
      <c r="BJ120" s="324"/>
      <c r="BK120" s="324"/>
      <c r="BL120" s="324"/>
    </row>
    <row r="121">
      <c r="A121" s="179" t="s">
        <v>1212</v>
      </c>
      <c r="B121" s="179">
        <v>2.024050006E9</v>
      </c>
      <c r="C121" s="179" t="s">
        <v>2689</v>
      </c>
      <c r="D121" s="179" t="s">
        <v>2690</v>
      </c>
      <c r="E121" s="179" t="s">
        <v>2691</v>
      </c>
      <c r="F121" s="179" t="s">
        <v>2692</v>
      </c>
      <c r="G121" s="179" t="s">
        <v>2693</v>
      </c>
      <c r="H121" s="322" t="s">
        <v>2694</v>
      </c>
      <c r="I121" s="179" t="s">
        <v>2695</v>
      </c>
      <c r="J121" s="179" t="s">
        <v>1091</v>
      </c>
      <c r="K121" s="323">
        <v>44832.0</v>
      </c>
      <c r="L121" s="179" t="s">
        <v>2192</v>
      </c>
      <c r="M121" s="179" t="s">
        <v>1108</v>
      </c>
      <c r="N121" s="324"/>
      <c r="O121" s="326" t="s">
        <v>1161</v>
      </c>
      <c r="P121" s="179" t="s">
        <v>2698</v>
      </c>
      <c r="Q121" s="179" t="s">
        <v>2699</v>
      </c>
      <c r="R121" s="272" t="s">
        <v>2683</v>
      </c>
      <c r="S121" s="324"/>
      <c r="T121" s="179" t="s">
        <v>2685</v>
      </c>
      <c r="U121" s="179"/>
      <c r="V121" s="324"/>
      <c r="W121" s="324"/>
      <c r="X121" s="324"/>
      <c r="Y121" s="324"/>
      <c r="Z121" s="324"/>
      <c r="AA121" s="324"/>
      <c r="AB121" s="324"/>
      <c r="AC121" s="324"/>
      <c r="AD121" s="324"/>
      <c r="AE121" s="324"/>
      <c r="AF121" s="324"/>
      <c r="AG121" s="324"/>
      <c r="AH121" s="324"/>
      <c r="AI121" s="324"/>
      <c r="AJ121" s="324"/>
      <c r="AK121" s="324"/>
      <c r="AL121" s="324"/>
      <c r="AM121" s="324"/>
      <c r="AN121" s="324"/>
      <c r="AO121" s="324"/>
      <c r="AP121" s="324"/>
      <c r="AQ121" s="324"/>
      <c r="AR121" s="324"/>
      <c r="AS121" s="324"/>
      <c r="AT121" s="324"/>
      <c r="AU121" s="324"/>
      <c r="AV121" s="324"/>
      <c r="AW121" s="324"/>
      <c r="AX121" s="324"/>
      <c r="AY121" s="324"/>
      <c r="AZ121" s="324"/>
      <c r="BA121" s="324"/>
      <c r="BB121" s="324"/>
      <c r="BC121" s="324"/>
      <c r="BD121" s="324"/>
      <c r="BE121" s="324"/>
      <c r="BF121" s="324"/>
      <c r="BG121" s="324"/>
      <c r="BH121" s="324"/>
      <c r="BI121" s="324"/>
      <c r="BJ121" s="324"/>
      <c r="BK121" s="324"/>
      <c r="BL121" s="324"/>
    </row>
    <row r="122">
      <c r="A122" s="179" t="s">
        <v>1010</v>
      </c>
      <c r="B122" s="179">
        <v>2.024050002E9</v>
      </c>
      <c r="C122" s="179" t="s">
        <v>2700</v>
      </c>
      <c r="D122" s="179" t="s">
        <v>2701</v>
      </c>
      <c r="E122" s="179" t="s">
        <v>2702</v>
      </c>
      <c r="F122" s="179" t="s">
        <v>1260</v>
      </c>
      <c r="G122" s="179" t="s">
        <v>2703</v>
      </c>
      <c r="H122" s="322" t="s">
        <v>2704</v>
      </c>
      <c r="I122" s="179">
        <v>1126632.0</v>
      </c>
      <c r="J122" s="7" t="s">
        <v>1091</v>
      </c>
      <c r="K122" s="235">
        <v>44832.0</v>
      </c>
      <c r="L122" s="179" t="s">
        <v>1098</v>
      </c>
      <c r="M122" s="179" t="s">
        <v>1108</v>
      </c>
      <c r="N122" s="179" t="s">
        <v>1466</v>
      </c>
      <c r="O122" s="327" t="s">
        <v>1161</v>
      </c>
      <c r="P122" s="179" t="s">
        <v>2707</v>
      </c>
      <c r="Q122" s="179" t="s">
        <v>2708</v>
      </c>
      <c r="R122" s="272" t="s">
        <v>2709</v>
      </c>
      <c r="S122" s="324"/>
      <c r="T122" s="297" t="s">
        <v>2116</v>
      </c>
      <c r="U122" s="324"/>
      <c r="V122" s="324"/>
      <c r="W122" s="324"/>
      <c r="X122" s="324"/>
      <c r="Y122" s="324"/>
      <c r="Z122" s="324"/>
      <c r="AA122" s="324"/>
      <c r="AB122" s="324"/>
      <c r="AC122" s="324"/>
      <c r="AD122" s="324"/>
      <c r="AE122" s="324"/>
      <c r="AF122" s="324"/>
      <c r="AG122" s="324"/>
      <c r="AH122" s="324"/>
      <c r="AI122" s="324"/>
      <c r="AJ122" s="324"/>
      <c r="AK122" s="324"/>
      <c r="AL122" s="324"/>
      <c r="AM122" s="324"/>
      <c r="AN122" s="324"/>
      <c r="AO122" s="324"/>
      <c r="AP122" s="324"/>
      <c r="AQ122" s="324"/>
      <c r="AR122" s="324"/>
      <c r="AS122" s="324"/>
      <c r="AT122" s="324"/>
      <c r="AU122" s="324"/>
      <c r="AV122" s="324"/>
      <c r="AW122" s="324"/>
      <c r="AX122" s="324"/>
      <c r="AY122" s="324"/>
      <c r="AZ122" s="324"/>
      <c r="BA122" s="324"/>
      <c r="BB122" s="324"/>
      <c r="BC122" s="324"/>
      <c r="BD122" s="324"/>
      <c r="BE122" s="324"/>
      <c r="BF122" s="324"/>
      <c r="BG122" s="324"/>
      <c r="BH122" s="324"/>
      <c r="BI122" s="324"/>
      <c r="BJ122" s="324"/>
      <c r="BK122" s="324"/>
      <c r="BL122" s="324"/>
    </row>
    <row r="123">
      <c r="A123" s="179" t="s">
        <v>1010</v>
      </c>
      <c r="B123" s="7">
        <v>2.024050004E9</v>
      </c>
      <c r="C123" s="7" t="s">
        <v>2095</v>
      </c>
      <c r="D123" s="7" t="s">
        <v>2098</v>
      </c>
      <c r="E123" s="7" t="s">
        <v>2101</v>
      </c>
      <c r="F123" s="179" t="s">
        <v>64</v>
      </c>
      <c r="G123" s="7" t="s">
        <v>2102</v>
      </c>
      <c r="H123" s="144" t="s">
        <v>2103</v>
      </c>
      <c r="I123" s="7" t="s">
        <v>2107</v>
      </c>
      <c r="J123" s="7" t="s">
        <v>1091</v>
      </c>
      <c r="K123" s="235">
        <v>44832.0</v>
      </c>
      <c r="L123" s="17"/>
      <c r="M123" s="7" t="s">
        <v>1549</v>
      </c>
      <c r="N123" s="17"/>
      <c r="O123" s="7" t="s">
        <v>1129</v>
      </c>
      <c r="P123" s="7" t="s">
        <v>2126</v>
      </c>
      <c r="Q123" s="245" t="s">
        <v>2710</v>
      </c>
      <c r="R123" s="272" t="s">
        <v>2711</v>
      </c>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row>
    <row r="124">
      <c r="A124" s="297" t="s">
        <v>1212</v>
      </c>
      <c r="B124" s="272">
        <v>2.024050005E9</v>
      </c>
      <c r="C124" s="272" t="s">
        <v>2712</v>
      </c>
      <c r="D124" s="272" t="s">
        <v>2713</v>
      </c>
      <c r="E124" s="272" t="s">
        <v>2714</v>
      </c>
      <c r="F124" s="297" t="s">
        <v>2670</v>
      </c>
      <c r="G124" s="272" t="s">
        <v>2715</v>
      </c>
      <c r="H124" s="298" t="s">
        <v>2716</v>
      </c>
      <c r="I124" s="272" t="s">
        <v>2717</v>
      </c>
      <c r="J124" s="272" t="s">
        <v>1091</v>
      </c>
      <c r="K124" s="299">
        <v>44832.0</v>
      </c>
      <c r="L124" s="300"/>
      <c r="M124" s="272" t="s">
        <v>1549</v>
      </c>
      <c r="N124" s="300"/>
      <c r="O124" s="272" t="s">
        <v>1401</v>
      </c>
      <c r="P124" s="272" t="s">
        <v>2719</v>
      </c>
      <c r="Q124" s="297" t="s">
        <v>2720</v>
      </c>
      <c r="R124" s="272" t="s">
        <v>2721</v>
      </c>
      <c r="S124" s="300"/>
      <c r="T124" s="297" t="s">
        <v>2656</v>
      </c>
      <c r="U124" s="272" t="s">
        <v>1834</v>
      </c>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300"/>
      <c r="BJ124" s="300"/>
      <c r="BK124" s="300"/>
      <c r="BL124" s="300"/>
    </row>
    <row r="125">
      <c r="A125" s="179" t="s">
        <v>1212</v>
      </c>
      <c r="B125" s="7">
        <v>2.024050008E9</v>
      </c>
      <c r="C125" s="7" t="s">
        <v>2723</v>
      </c>
      <c r="D125" s="7" t="s">
        <v>2724</v>
      </c>
      <c r="E125" s="7" t="s">
        <v>2725</v>
      </c>
      <c r="F125" s="179" t="s">
        <v>1016</v>
      </c>
      <c r="G125" s="7" t="s">
        <v>2726</v>
      </c>
      <c r="H125" s="144" t="s">
        <v>2727</v>
      </c>
      <c r="I125" s="179" t="s">
        <v>2728</v>
      </c>
      <c r="J125" s="7" t="s">
        <v>1091</v>
      </c>
      <c r="K125" s="235">
        <v>44832.0</v>
      </c>
      <c r="L125" s="7" t="s">
        <v>1098</v>
      </c>
      <c r="M125" s="7" t="s">
        <v>1108</v>
      </c>
      <c r="N125" s="7" t="s">
        <v>1430</v>
      </c>
      <c r="O125" s="7" t="s">
        <v>1598</v>
      </c>
      <c r="P125" s="7" t="s">
        <v>2729</v>
      </c>
      <c r="Q125" s="179" t="s">
        <v>2730</v>
      </c>
      <c r="R125" s="272" t="s">
        <v>2731</v>
      </c>
      <c r="S125" s="17"/>
      <c r="T125" s="179" t="s">
        <v>2685</v>
      </c>
      <c r="U125" s="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row>
    <row r="126">
      <c r="A126" s="179" t="s">
        <v>1212</v>
      </c>
      <c r="B126" s="7">
        <v>2.024050009E9</v>
      </c>
      <c r="C126" s="7" t="s">
        <v>2733</v>
      </c>
      <c r="D126" s="7" t="s">
        <v>2734</v>
      </c>
      <c r="E126" s="7" t="s">
        <v>2735</v>
      </c>
      <c r="F126" s="179" t="s">
        <v>695</v>
      </c>
      <c r="G126" s="7" t="s">
        <v>2736</v>
      </c>
      <c r="H126" s="144" t="s">
        <v>2737</v>
      </c>
      <c r="I126" s="328" t="s">
        <v>2738</v>
      </c>
      <c r="J126" s="7" t="s">
        <v>1091</v>
      </c>
      <c r="K126" s="235">
        <v>44832.0</v>
      </c>
      <c r="L126" s="17"/>
      <c r="M126" s="179" t="s">
        <v>1549</v>
      </c>
      <c r="N126" s="17"/>
      <c r="O126" s="7" t="s">
        <v>1129</v>
      </c>
      <c r="P126" s="329" t="s">
        <v>2741</v>
      </c>
      <c r="Q126" s="179" t="s">
        <v>2743</v>
      </c>
      <c r="R126" s="272" t="s">
        <v>2744</v>
      </c>
      <c r="S126" s="17"/>
      <c r="T126" s="7" t="s">
        <v>2745</v>
      </c>
      <c r="U126" s="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row>
    <row r="127">
      <c r="A127" s="179" t="s">
        <v>1010</v>
      </c>
      <c r="B127" s="7">
        <v>2.02405001E9</v>
      </c>
      <c r="C127" s="7" t="s">
        <v>2747</v>
      </c>
      <c r="D127" s="7" t="s">
        <v>2748</v>
      </c>
      <c r="E127" s="7" t="s">
        <v>2750</v>
      </c>
      <c r="F127" s="179" t="s">
        <v>560</v>
      </c>
      <c r="G127" s="7" t="s">
        <v>2751</v>
      </c>
      <c r="H127" s="144" t="s">
        <v>2753</v>
      </c>
      <c r="I127" s="322" t="s">
        <v>2754</v>
      </c>
      <c r="J127" s="7" t="s">
        <v>1091</v>
      </c>
      <c r="K127" s="235">
        <v>44832.0</v>
      </c>
      <c r="L127" s="179" t="s">
        <v>1098</v>
      </c>
      <c r="M127" s="7" t="s">
        <v>1108</v>
      </c>
      <c r="N127" s="7" t="s">
        <v>1466</v>
      </c>
      <c r="O127" s="7" t="s">
        <v>1161</v>
      </c>
      <c r="P127" s="179" t="s">
        <v>2757</v>
      </c>
      <c r="Q127" s="179" t="s">
        <v>2758</v>
      </c>
      <c r="R127" s="272" t="s">
        <v>2683</v>
      </c>
      <c r="S127" s="17"/>
      <c r="T127" s="17"/>
      <c r="U127" s="7" t="s">
        <v>2760</v>
      </c>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row>
    <row r="128">
      <c r="A128" s="179" t="s">
        <v>1010</v>
      </c>
      <c r="B128" s="7">
        <v>2.024050011E9</v>
      </c>
      <c r="C128" s="7" t="s">
        <v>2761</v>
      </c>
      <c r="D128" s="7" t="s">
        <v>2763</v>
      </c>
      <c r="E128" s="330" t="s">
        <v>2764</v>
      </c>
      <c r="F128" s="179" t="s">
        <v>695</v>
      </c>
      <c r="G128" s="7" t="s">
        <v>2771</v>
      </c>
      <c r="H128" s="144" t="s">
        <v>2772</v>
      </c>
      <c r="I128" s="328" t="s">
        <v>2773</v>
      </c>
      <c r="J128" s="7" t="s">
        <v>1091</v>
      </c>
      <c r="K128" s="235">
        <v>44832.0</v>
      </c>
      <c r="L128" s="179" t="s">
        <v>1548</v>
      </c>
      <c r="M128" s="7" t="s">
        <v>1108</v>
      </c>
      <c r="N128" s="179" t="s">
        <v>1430</v>
      </c>
      <c r="O128" s="7" t="s">
        <v>1129</v>
      </c>
      <c r="P128" s="272" t="s">
        <v>1599</v>
      </c>
      <c r="Q128" s="179" t="s">
        <v>2774</v>
      </c>
      <c r="R128" s="272" t="s">
        <v>2744</v>
      </c>
      <c r="S128" s="17"/>
      <c r="T128" s="179" t="s">
        <v>2685</v>
      </c>
      <c r="U128" s="179"/>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row>
    <row r="129">
      <c r="A129" s="179" t="s">
        <v>1212</v>
      </c>
      <c r="B129" s="7">
        <v>2.024050012E9</v>
      </c>
      <c r="C129" s="7" t="s">
        <v>2775</v>
      </c>
      <c r="D129" s="7" t="s">
        <v>2776</v>
      </c>
      <c r="E129" s="7" t="s">
        <v>2777</v>
      </c>
      <c r="F129" s="179" t="s">
        <v>51</v>
      </c>
      <c r="G129" s="7" t="s">
        <v>2778</v>
      </c>
      <c r="H129" s="144" t="s">
        <v>2779</v>
      </c>
      <c r="I129" s="7" t="s">
        <v>2780</v>
      </c>
      <c r="J129" s="7" t="s">
        <v>1091</v>
      </c>
      <c r="K129" s="235">
        <v>44832.0</v>
      </c>
      <c r="L129" s="7" t="s">
        <v>1098</v>
      </c>
      <c r="M129" s="7" t="s">
        <v>1108</v>
      </c>
      <c r="N129" s="7" t="s">
        <v>1430</v>
      </c>
      <c r="O129" s="7" t="s">
        <v>1129</v>
      </c>
      <c r="P129" s="245" t="s">
        <v>2781</v>
      </c>
      <c r="Q129" s="179" t="s">
        <v>2782</v>
      </c>
      <c r="R129" s="272" t="s">
        <v>2783</v>
      </c>
      <c r="S129" s="17"/>
      <c r="T129" s="179" t="s">
        <v>2685</v>
      </c>
      <c r="U129" s="179"/>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row>
    <row r="130">
      <c r="A130" s="179" t="s">
        <v>1010</v>
      </c>
      <c r="B130" s="7">
        <v>2.024050013E9</v>
      </c>
      <c r="C130" s="7" t="s">
        <v>2784</v>
      </c>
      <c r="D130" s="7" t="s">
        <v>2785</v>
      </c>
      <c r="E130" s="7" t="s">
        <v>2786</v>
      </c>
      <c r="F130" s="179" t="s">
        <v>2787</v>
      </c>
      <c r="G130" s="7" t="s">
        <v>2788</v>
      </c>
      <c r="H130" s="144" t="s">
        <v>2789</v>
      </c>
      <c r="I130" s="7" t="s">
        <v>2790</v>
      </c>
      <c r="J130" s="7" t="s">
        <v>1091</v>
      </c>
      <c r="K130" s="235">
        <v>44832.0</v>
      </c>
      <c r="L130" s="17"/>
      <c r="M130" s="7" t="s">
        <v>1549</v>
      </c>
      <c r="N130" s="17"/>
      <c r="O130" s="7" t="s">
        <v>1129</v>
      </c>
      <c r="P130" s="179" t="s">
        <v>2791</v>
      </c>
      <c r="Q130" s="179" t="s">
        <v>2792</v>
      </c>
      <c r="R130" s="272" t="s">
        <v>2793</v>
      </c>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row>
    <row r="131">
      <c r="A131" s="179" t="s">
        <v>1475</v>
      </c>
      <c r="B131" s="7">
        <v>2.024050014E9</v>
      </c>
      <c r="C131" s="7" t="s">
        <v>2795</v>
      </c>
      <c r="D131" s="7" t="s">
        <v>2796</v>
      </c>
      <c r="E131" s="7" t="s">
        <v>2797</v>
      </c>
      <c r="F131" s="179" t="s">
        <v>695</v>
      </c>
      <c r="G131" s="7" t="s">
        <v>2798</v>
      </c>
      <c r="H131" s="144" t="s">
        <v>2799</v>
      </c>
      <c r="I131" s="7" t="s">
        <v>2800</v>
      </c>
      <c r="J131" s="7" t="s">
        <v>1091</v>
      </c>
      <c r="K131" s="235">
        <v>44832.0</v>
      </c>
      <c r="L131" s="7" t="s">
        <v>1548</v>
      </c>
      <c r="M131" s="7" t="s">
        <v>1108</v>
      </c>
      <c r="N131" s="7" t="s">
        <v>1430</v>
      </c>
      <c r="O131" s="7" t="s">
        <v>1129</v>
      </c>
      <c r="P131" s="272" t="s">
        <v>1599</v>
      </c>
      <c r="Q131" s="179" t="s">
        <v>2801</v>
      </c>
      <c r="R131" s="272" t="s">
        <v>2802</v>
      </c>
      <c r="S131" s="17"/>
      <c r="T131" s="17"/>
      <c r="U131" s="179" t="s">
        <v>2803</v>
      </c>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row>
    <row r="132">
      <c r="A132" s="179" t="s">
        <v>219</v>
      </c>
      <c r="B132" s="7">
        <v>2.024050016E9</v>
      </c>
      <c r="C132" s="7" t="s">
        <v>1500</v>
      </c>
      <c r="D132" s="7" t="s">
        <v>1501</v>
      </c>
      <c r="E132" s="7" t="s">
        <v>1502</v>
      </c>
      <c r="F132" s="179" t="s">
        <v>36</v>
      </c>
      <c r="G132" s="7" t="s">
        <v>2805</v>
      </c>
      <c r="H132" s="144" t="s">
        <v>1504</v>
      </c>
      <c r="I132" s="7" t="s">
        <v>2806</v>
      </c>
      <c r="J132" s="7" t="s">
        <v>1566</v>
      </c>
      <c r="K132" s="244">
        <v>45443.0</v>
      </c>
      <c r="L132" s="7" t="s">
        <v>1098</v>
      </c>
      <c r="M132" s="7" t="s">
        <v>1108</v>
      </c>
      <c r="N132" s="179" t="s">
        <v>1430</v>
      </c>
      <c r="O132" s="7" t="s">
        <v>1401</v>
      </c>
      <c r="P132" s="7" t="s">
        <v>2807</v>
      </c>
      <c r="Q132" s="179" t="s">
        <v>2808</v>
      </c>
      <c r="R132" s="272" t="s">
        <v>2809</v>
      </c>
      <c r="S132" s="17"/>
      <c r="T132" s="17"/>
      <c r="U132" s="179" t="s">
        <v>2803</v>
      </c>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row>
    <row r="133">
      <c r="A133" s="179" t="s">
        <v>1212</v>
      </c>
      <c r="B133" s="7">
        <v>2.024060001E9</v>
      </c>
      <c r="C133" s="7" t="s">
        <v>2810</v>
      </c>
      <c r="D133" s="7" t="s">
        <v>2811</v>
      </c>
      <c r="E133" s="7" t="s">
        <v>2812</v>
      </c>
      <c r="F133" s="179" t="s">
        <v>349</v>
      </c>
      <c r="G133" s="7" t="s">
        <v>2813</v>
      </c>
      <c r="H133" s="144" t="s">
        <v>2814</v>
      </c>
      <c r="I133" s="144" t="s">
        <v>2815</v>
      </c>
      <c r="J133" s="7" t="s">
        <v>1091</v>
      </c>
      <c r="K133" s="235">
        <v>44832.0</v>
      </c>
      <c r="L133" s="17"/>
      <c r="M133" s="7" t="s">
        <v>1549</v>
      </c>
      <c r="N133" s="17"/>
      <c r="O133" s="179" t="s">
        <v>1578</v>
      </c>
      <c r="P133" s="7" t="s">
        <v>2816</v>
      </c>
      <c r="Q133" s="179" t="s">
        <v>2818</v>
      </c>
      <c r="R133" s="272" t="s">
        <v>2819</v>
      </c>
      <c r="S133" s="17"/>
      <c r="T133" s="324"/>
      <c r="U133" s="7" t="s">
        <v>2820</v>
      </c>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row>
    <row r="134">
      <c r="A134" s="179" t="s">
        <v>1475</v>
      </c>
      <c r="B134" s="7">
        <v>2.024060002E9</v>
      </c>
      <c r="C134" s="7" t="s">
        <v>2821</v>
      </c>
      <c r="D134" s="7" t="s">
        <v>2822</v>
      </c>
      <c r="E134" s="7" t="s">
        <v>2823</v>
      </c>
      <c r="F134" s="179" t="s">
        <v>560</v>
      </c>
      <c r="G134" s="7" t="s">
        <v>2824</v>
      </c>
      <c r="H134" s="144" t="s">
        <v>2825</v>
      </c>
      <c r="I134" s="144" t="s">
        <v>2826</v>
      </c>
      <c r="J134" s="7" t="s">
        <v>1091</v>
      </c>
      <c r="K134" s="235">
        <v>44832.0</v>
      </c>
      <c r="L134" s="7" t="s">
        <v>1098</v>
      </c>
      <c r="M134" s="7" t="s">
        <v>1108</v>
      </c>
      <c r="N134" s="7" t="s">
        <v>1466</v>
      </c>
      <c r="O134" s="7" t="s">
        <v>1401</v>
      </c>
      <c r="P134" s="7" t="s">
        <v>2828</v>
      </c>
      <c r="Q134" s="179" t="s">
        <v>2829</v>
      </c>
      <c r="R134" s="272" t="s">
        <v>2830</v>
      </c>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row>
    <row r="135">
      <c r="A135" s="179" t="s">
        <v>1475</v>
      </c>
      <c r="B135" s="7">
        <v>2.024060003E9</v>
      </c>
      <c r="C135" s="7" t="s">
        <v>2821</v>
      </c>
      <c r="D135" s="7" t="s">
        <v>2822</v>
      </c>
      <c r="E135" s="7" t="s">
        <v>2823</v>
      </c>
      <c r="F135" s="179" t="s">
        <v>560</v>
      </c>
      <c r="G135" s="7" t="s">
        <v>2824</v>
      </c>
      <c r="H135" s="144" t="s">
        <v>2825</v>
      </c>
      <c r="I135" s="144" t="s">
        <v>2832</v>
      </c>
      <c r="J135" s="7" t="s">
        <v>1566</v>
      </c>
      <c r="K135" s="235">
        <v>45444.0</v>
      </c>
      <c r="L135" s="7" t="s">
        <v>1639</v>
      </c>
      <c r="M135" s="7" t="s">
        <v>1108</v>
      </c>
      <c r="N135" s="17"/>
      <c r="O135" s="7" t="s">
        <v>1129</v>
      </c>
      <c r="P135" s="7" t="s">
        <v>2833</v>
      </c>
      <c r="Q135" s="179" t="s">
        <v>2834</v>
      </c>
      <c r="R135" s="272" t="s">
        <v>2835</v>
      </c>
      <c r="S135" s="17"/>
      <c r="T135" s="324"/>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row>
    <row r="136">
      <c r="A136" s="7" t="s">
        <v>1010</v>
      </c>
      <c r="B136" s="179">
        <v>2.024060004E9</v>
      </c>
      <c r="C136" s="179" t="s">
        <v>2836</v>
      </c>
      <c r="D136" s="7" t="s">
        <v>2837</v>
      </c>
      <c r="E136" s="7" t="s">
        <v>2838</v>
      </c>
      <c r="F136" s="179" t="s">
        <v>70</v>
      </c>
      <c r="G136" s="7" t="s">
        <v>2839</v>
      </c>
      <c r="H136" s="144" t="s">
        <v>2840</v>
      </c>
      <c r="I136" s="144" t="s">
        <v>2841</v>
      </c>
      <c r="J136" s="7" t="s">
        <v>1091</v>
      </c>
      <c r="K136" s="235">
        <v>44832.0</v>
      </c>
      <c r="L136" s="7" t="s">
        <v>1098</v>
      </c>
      <c r="M136" s="7" t="s">
        <v>1108</v>
      </c>
      <c r="N136" s="7" t="s">
        <v>1430</v>
      </c>
      <c r="O136" s="179" t="s">
        <v>1401</v>
      </c>
      <c r="P136" s="7" t="s">
        <v>2842</v>
      </c>
      <c r="Q136" s="7" t="s">
        <v>2843</v>
      </c>
      <c r="R136" s="272" t="s">
        <v>2830</v>
      </c>
      <c r="S136" s="17"/>
      <c r="T136" s="179"/>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row>
    <row r="137">
      <c r="A137" s="7" t="s">
        <v>1311</v>
      </c>
      <c r="B137" s="179">
        <v>2.024060005E9</v>
      </c>
      <c r="C137" s="179" t="s">
        <v>2844</v>
      </c>
      <c r="D137" s="7" t="s">
        <v>2845</v>
      </c>
      <c r="E137" s="7" t="s">
        <v>2846</v>
      </c>
      <c r="F137" s="179" t="s">
        <v>91</v>
      </c>
      <c r="G137" s="7" t="s">
        <v>2847</v>
      </c>
      <c r="H137" s="144" t="s">
        <v>2848</v>
      </c>
      <c r="I137" s="7">
        <v>3.300498823E9</v>
      </c>
      <c r="J137" s="7" t="s">
        <v>2507</v>
      </c>
      <c r="K137" s="235">
        <v>45326.0</v>
      </c>
      <c r="L137" s="7" t="s">
        <v>1639</v>
      </c>
      <c r="M137" s="7" t="s">
        <v>1108</v>
      </c>
      <c r="N137" s="7" t="s">
        <v>1430</v>
      </c>
      <c r="O137" s="179" t="s">
        <v>1129</v>
      </c>
      <c r="P137" s="7" t="s">
        <v>2849</v>
      </c>
      <c r="Q137" s="7" t="s">
        <v>2850</v>
      </c>
      <c r="R137" s="272" t="s">
        <v>2851</v>
      </c>
      <c r="S137" s="17"/>
      <c r="T137" s="179"/>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row>
    <row r="138">
      <c r="A138" s="7" t="s">
        <v>1212</v>
      </c>
      <c r="B138" s="179">
        <v>2.024050017E9</v>
      </c>
      <c r="C138" s="179" t="s">
        <v>2853</v>
      </c>
      <c r="D138" s="7" t="s">
        <v>2854</v>
      </c>
      <c r="E138" s="7" t="s">
        <v>2855</v>
      </c>
      <c r="F138" s="179" t="s">
        <v>2140</v>
      </c>
      <c r="G138" s="7" t="s">
        <v>2856</v>
      </c>
      <c r="H138" s="144" t="s">
        <v>2857</v>
      </c>
      <c r="I138" s="179" t="s">
        <v>2858</v>
      </c>
      <c r="J138" s="7" t="s">
        <v>1091</v>
      </c>
      <c r="K138" s="235">
        <v>44832.0</v>
      </c>
      <c r="L138" s="7" t="s">
        <v>1639</v>
      </c>
      <c r="M138" s="7" t="s">
        <v>2191</v>
      </c>
      <c r="N138" s="17"/>
      <c r="O138" s="179" t="s">
        <v>1129</v>
      </c>
      <c r="P138" s="7" t="s">
        <v>2859</v>
      </c>
      <c r="Q138" s="7" t="s">
        <v>2860</v>
      </c>
      <c r="R138" s="272" t="s">
        <v>2861</v>
      </c>
      <c r="S138" s="17"/>
      <c r="T138" s="179"/>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row>
    <row r="139">
      <c r="A139" s="7" t="s">
        <v>1475</v>
      </c>
      <c r="B139" s="179">
        <v>2.024050018E9</v>
      </c>
      <c r="C139" s="179" t="s">
        <v>2862</v>
      </c>
      <c r="D139" s="7" t="s">
        <v>2863</v>
      </c>
      <c r="E139" s="7" t="s">
        <v>2864</v>
      </c>
      <c r="F139" s="179" t="s">
        <v>2865</v>
      </c>
      <c r="G139" s="7" t="s">
        <v>2866</v>
      </c>
      <c r="H139" s="144" t="s">
        <v>2867</v>
      </c>
      <c r="I139" s="179" t="s">
        <v>2868</v>
      </c>
      <c r="J139" s="7" t="s">
        <v>1091</v>
      </c>
      <c r="K139" s="235">
        <v>44832.0</v>
      </c>
      <c r="L139" s="7" t="s">
        <v>1098</v>
      </c>
      <c r="M139" s="7" t="s">
        <v>1108</v>
      </c>
      <c r="N139" s="7" t="s">
        <v>1466</v>
      </c>
      <c r="O139" s="179" t="s">
        <v>1401</v>
      </c>
      <c r="P139" s="179" t="s">
        <v>2869</v>
      </c>
      <c r="Q139" s="7" t="s">
        <v>2870</v>
      </c>
      <c r="R139" s="272" t="s">
        <v>2871</v>
      </c>
      <c r="S139" s="17"/>
      <c r="T139" s="179"/>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row>
    <row r="140">
      <c r="A140" s="7" t="s">
        <v>1475</v>
      </c>
      <c r="B140" s="179">
        <v>2.024060006E9</v>
      </c>
      <c r="C140" s="179" t="s">
        <v>2872</v>
      </c>
      <c r="D140" s="7" t="s">
        <v>2863</v>
      </c>
      <c r="E140" s="7" t="s">
        <v>2864</v>
      </c>
      <c r="F140" s="179" t="s">
        <v>2865</v>
      </c>
      <c r="G140" s="7" t="s">
        <v>2866</v>
      </c>
      <c r="H140" s="144" t="s">
        <v>2867</v>
      </c>
      <c r="I140" s="179" t="s">
        <v>2873</v>
      </c>
      <c r="J140" s="7" t="s">
        <v>1566</v>
      </c>
      <c r="K140" s="235">
        <v>45444.0</v>
      </c>
      <c r="L140" s="7" t="s">
        <v>1639</v>
      </c>
      <c r="M140" s="7" t="s">
        <v>1108</v>
      </c>
      <c r="N140" s="7" t="s">
        <v>1466</v>
      </c>
      <c r="O140" s="179" t="s">
        <v>1401</v>
      </c>
      <c r="P140" s="179" t="s">
        <v>2869</v>
      </c>
      <c r="Q140" s="7" t="s">
        <v>2874</v>
      </c>
      <c r="R140" s="272" t="s">
        <v>2875</v>
      </c>
      <c r="S140" s="17"/>
      <c r="T140" s="179"/>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row>
    <row r="141">
      <c r="A141" s="7" t="s">
        <v>1391</v>
      </c>
      <c r="B141" s="179">
        <v>2.024050019E9</v>
      </c>
      <c r="C141" s="179" t="s">
        <v>2876</v>
      </c>
      <c r="D141" s="7" t="s">
        <v>2877</v>
      </c>
      <c r="E141" s="7" t="s">
        <v>2878</v>
      </c>
      <c r="F141" s="179" t="s">
        <v>480</v>
      </c>
      <c r="G141" s="7" t="s">
        <v>2879</v>
      </c>
      <c r="H141" s="144" t="s">
        <v>2880</v>
      </c>
      <c r="I141" s="144" t="s">
        <v>2881</v>
      </c>
      <c r="J141" s="7" t="s">
        <v>2507</v>
      </c>
      <c r="K141" s="235">
        <v>45326.0</v>
      </c>
      <c r="L141" s="7"/>
      <c r="M141" s="7" t="s">
        <v>1549</v>
      </c>
      <c r="N141" s="17"/>
      <c r="O141" s="179" t="s">
        <v>1129</v>
      </c>
      <c r="P141" s="245"/>
      <c r="Q141" s="7" t="s">
        <v>2882</v>
      </c>
      <c r="R141" s="272" t="s">
        <v>2883</v>
      </c>
      <c r="S141" s="17"/>
      <c r="T141" s="179"/>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row>
    <row r="142">
      <c r="A142" s="7" t="s">
        <v>1311</v>
      </c>
      <c r="B142" s="179">
        <v>2.024060007E9</v>
      </c>
      <c r="C142" s="179" t="s">
        <v>2887</v>
      </c>
      <c r="D142" s="7" t="s">
        <v>2888</v>
      </c>
      <c r="E142" s="7" t="s">
        <v>2889</v>
      </c>
      <c r="F142" s="179" t="s">
        <v>2891</v>
      </c>
      <c r="G142" s="7" t="s">
        <v>2892</v>
      </c>
      <c r="H142" s="144" t="s">
        <v>2893</v>
      </c>
      <c r="I142" s="7" t="s">
        <v>2894</v>
      </c>
      <c r="J142" s="7" t="s">
        <v>1566</v>
      </c>
      <c r="K142" s="235">
        <v>45448.0</v>
      </c>
      <c r="L142" s="253" t="s">
        <v>1098</v>
      </c>
      <c r="M142" s="7" t="s">
        <v>1108</v>
      </c>
      <c r="N142" s="7" t="s">
        <v>1466</v>
      </c>
      <c r="O142" s="179" t="s">
        <v>1161</v>
      </c>
      <c r="P142" s="7" t="s">
        <v>2895</v>
      </c>
      <c r="Q142" s="7" t="s">
        <v>2896</v>
      </c>
      <c r="R142" s="272" t="s">
        <v>2875</v>
      </c>
      <c r="S142" s="17"/>
      <c r="T142" s="179"/>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row>
    <row r="143">
      <c r="A143" s="7" t="s">
        <v>2897</v>
      </c>
      <c r="B143" s="179">
        <v>2.024060008E9</v>
      </c>
      <c r="C143" s="179" t="s">
        <v>2898</v>
      </c>
      <c r="D143" s="7" t="s">
        <v>2899</v>
      </c>
      <c r="E143" s="7" t="s">
        <v>2900</v>
      </c>
      <c r="F143" s="179" t="s">
        <v>174</v>
      </c>
      <c r="G143" s="7" t="s">
        <v>2901</v>
      </c>
      <c r="H143" s="144" t="s">
        <v>2902</v>
      </c>
      <c r="I143" s="7">
        <v>255632.0</v>
      </c>
      <c r="J143" s="7" t="s">
        <v>1780</v>
      </c>
      <c r="K143" s="235">
        <v>44879.0</v>
      </c>
      <c r="L143" s="7" t="s">
        <v>1639</v>
      </c>
      <c r="M143" s="7" t="s">
        <v>1108</v>
      </c>
      <c r="N143" s="7" t="s">
        <v>1430</v>
      </c>
      <c r="O143" s="348" t="s">
        <v>1401</v>
      </c>
      <c r="P143" s="7" t="s">
        <v>2903</v>
      </c>
      <c r="Q143" s="7" t="s">
        <v>2905</v>
      </c>
      <c r="R143" s="272" t="s">
        <v>2875</v>
      </c>
      <c r="S143" s="17"/>
      <c r="T143" s="179"/>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row>
    <row r="144">
      <c r="A144" s="7" t="s">
        <v>1475</v>
      </c>
      <c r="B144" s="179">
        <v>2.024060009E9</v>
      </c>
      <c r="C144" s="179" t="s">
        <v>2907</v>
      </c>
      <c r="D144" s="7" t="s">
        <v>2908</v>
      </c>
      <c r="E144" s="7" t="s">
        <v>2909</v>
      </c>
      <c r="F144" s="179" t="s">
        <v>2185</v>
      </c>
      <c r="G144" s="7" t="s">
        <v>2910</v>
      </c>
      <c r="H144" s="144" t="s">
        <v>2911</v>
      </c>
      <c r="I144" s="179" t="s">
        <v>2912</v>
      </c>
      <c r="J144" s="7" t="s">
        <v>1091</v>
      </c>
      <c r="K144" s="235">
        <v>44832.0</v>
      </c>
      <c r="L144" s="7" t="s">
        <v>1098</v>
      </c>
      <c r="M144" s="7" t="s">
        <v>1108</v>
      </c>
      <c r="N144" s="7" t="s">
        <v>2192</v>
      </c>
      <c r="O144" s="349" t="s">
        <v>1401</v>
      </c>
      <c r="P144" s="350" t="s">
        <v>2914</v>
      </c>
      <c r="Q144" s="7" t="s">
        <v>2915</v>
      </c>
      <c r="R144" s="272" t="s">
        <v>2916</v>
      </c>
      <c r="S144" s="17"/>
      <c r="T144" s="179"/>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row>
    <row r="145">
      <c r="A145" s="7" t="s">
        <v>219</v>
      </c>
      <c r="B145" s="179">
        <v>2.02406001E9</v>
      </c>
      <c r="C145" s="7" t="s">
        <v>1454</v>
      </c>
      <c r="D145" s="7" t="s">
        <v>1455</v>
      </c>
      <c r="E145" s="7" t="s">
        <v>1457</v>
      </c>
      <c r="F145" s="179" t="s">
        <v>1458</v>
      </c>
      <c r="G145" s="7" t="s">
        <v>1459</v>
      </c>
      <c r="H145" s="144" t="s">
        <v>1460</v>
      </c>
      <c r="I145" s="7" t="s">
        <v>1944</v>
      </c>
      <c r="J145" s="7" t="s">
        <v>1780</v>
      </c>
      <c r="K145" s="235">
        <v>44749.0</v>
      </c>
      <c r="L145" s="7"/>
      <c r="M145" s="7" t="s">
        <v>1549</v>
      </c>
      <c r="N145" s="17"/>
      <c r="O145" s="7" t="s">
        <v>1129</v>
      </c>
      <c r="P145" s="7"/>
      <c r="Q145" s="7" t="s">
        <v>2918</v>
      </c>
      <c r="R145" s="272" t="s">
        <v>2916</v>
      </c>
      <c r="S145" s="17"/>
      <c r="T145" s="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row>
    <row r="146">
      <c r="A146" s="7" t="s">
        <v>1010</v>
      </c>
      <c r="B146" s="179">
        <v>2.024060011E9</v>
      </c>
      <c r="C146" s="7" t="s">
        <v>2922</v>
      </c>
      <c r="D146" s="7" t="s">
        <v>2923</v>
      </c>
      <c r="E146" s="7" t="s">
        <v>2924</v>
      </c>
      <c r="F146" s="7" t="s">
        <v>36</v>
      </c>
      <c r="G146" s="7" t="s">
        <v>2925</v>
      </c>
      <c r="H146" s="144" t="s">
        <v>2926</v>
      </c>
      <c r="I146" s="179" t="s">
        <v>2927</v>
      </c>
      <c r="J146" s="7" t="s">
        <v>1091</v>
      </c>
      <c r="K146" s="235">
        <v>44832.0</v>
      </c>
      <c r="L146" s="7" t="s">
        <v>1639</v>
      </c>
      <c r="M146" s="7" t="s">
        <v>1108</v>
      </c>
      <c r="N146" s="17"/>
      <c r="O146" s="7" t="s">
        <v>1401</v>
      </c>
      <c r="P146" s="7" t="s">
        <v>2928</v>
      </c>
      <c r="Q146" s="7" t="s">
        <v>2929</v>
      </c>
      <c r="R146" s="272" t="s">
        <v>2930</v>
      </c>
      <c r="S146" s="17"/>
      <c r="T146" s="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row>
    <row r="147">
      <c r="A147" s="7" t="s">
        <v>1212</v>
      </c>
      <c r="B147" s="179">
        <v>2.024060012E9</v>
      </c>
      <c r="C147" s="7" t="s">
        <v>1048</v>
      </c>
      <c r="D147" s="7" t="s">
        <v>2931</v>
      </c>
      <c r="E147" s="7" t="s">
        <v>2932</v>
      </c>
      <c r="F147" s="7" t="s">
        <v>70</v>
      </c>
      <c r="G147" s="7" t="s">
        <v>2933</v>
      </c>
      <c r="H147" s="144" t="s">
        <v>2934</v>
      </c>
      <c r="I147" s="144" t="s">
        <v>1056</v>
      </c>
      <c r="J147" s="7" t="s">
        <v>1091</v>
      </c>
      <c r="K147" s="235">
        <v>44832.0</v>
      </c>
      <c r="L147" s="7"/>
      <c r="M147" s="7" t="s">
        <v>1549</v>
      </c>
      <c r="N147" s="17"/>
      <c r="O147" s="7" t="s">
        <v>1401</v>
      </c>
      <c r="P147" s="7" t="s">
        <v>2935</v>
      </c>
      <c r="Q147" s="7" t="s">
        <v>2936</v>
      </c>
      <c r="R147" s="272" t="s">
        <v>2937</v>
      </c>
      <c r="S147" s="17"/>
      <c r="T147" s="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row>
    <row r="148">
      <c r="A148" s="179" t="s">
        <v>1212</v>
      </c>
      <c r="B148" s="179">
        <v>2.024060013E9</v>
      </c>
      <c r="C148" s="179" t="s">
        <v>2938</v>
      </c>
      <c r="D148" s="179" t="s">
        <v>2939</v>
      </c>
      <c r="E148" s="179" t="s">
        <v>2940</v>
      </c>
      <c r="F148" s="179" t="s">
        <v>1016</v>
      </c>
      <c r="G148" s="179" t="s">
        <v>2941</v>
      </c>
      <c r="H148" s="322" t="s">
        <v>2942</v>
      </c>
      <c r="I148" s="179" t="s">
        <v>2943</v>
      </c>
      <c r="J148" s="179" t="s">
        <v>1091</v>
      </c>
      <c r="K148" s="323">
        <v>44832.0</v>
      </c>
      <c r="L148" s="179"/>
      <c r="M148" s="179" t="s">
        <v>1549</v>
      </c>
      <c r="N148" s="324"/>
      <c r="O148" s="179" t="s">
        <v>1129</v>
      </c>
      <c r="P148" s="179"/>
      <c r="Q148" s="179" t="s">
        <v>2944</v>
      </c>
      <c r="R148" s="297" t="s">
        <v>2945</v>
      </c>
      <c r="S148" s="324"/>
      <c r="T148" s="179"/>
      <c r="U148" s="324"/>
      <c r="V148" s="324"/>
      <c r="W148" s="324"/>
      <c r="X148" s="324"/>
      <c r="Y148" s="324"/>
      <c r="Z148" s="324"/>
      <c r="AA148" s="324"/>
      <c r="AB148" s="324"/>
      <c r="AC148" s="324"/>
      <c r="AD148" s="324"/>
      <c r="AE148" s="324"/>
      <c r="AF148" s="324"/>
      <c r="AG148" s="324"/>
      <c r="AH148" s="324"/>
      <c r="AI148" s="324"/>
      <c r="AJ148" s="324"/>
      <c r="AK148" s="324"/>
      <c r="AL148" s="324"/>
      <c r="AM148" s="324"/>
      <c r="AN148" s="324"/>
      <c r="AO148" s="324"/>
      <c r="AP148" s="324"/>
      <c r="AQ148" s="324"/>
      <c r="AR148" s="324"/>
      <c r="AS148" s="324"/>
      <c r="AT148" s="324"/>
      <c r="AU148" s="324"/>
      <c r="AV148" s="324"/>
      <c r="AW148" s="324"/>
      <c r="AX148" s="324"/>
      <c r="AY148" s="324"/>
      <c r="AZ148" s="324"/>
      <c r="BA148" s="324"/>
      <c r="BB148" s="324"/>
      <c r="BC148" s="324"/>
      <c r="BD148" s="324"/>
      <c r="BE148" s="324"/>
      <c r="BF148" s="324"/>
      <c r="BG148" s="324"/>
      <c r="BH148" s="324"/>
      <c r="BI148" s="324"/>
      <c r="BJ148" s="324"/>
      <c r="BK148" s="324"/>
      <c r="BL148" s="324"/>
    </row>
    <row r="149">
      <c r="A149" s="7" t="s">
        <v>1010</v>
      </c>
      <c r="B149" s="179">
        <v>2.024060014E9</v>
      </c>
      <c r="C149" s="7" t="s">
        <v>2946</v>
      </c>
      <c r="D149" s="7" t="s">
        <v>2947</v>
      </c>
      <c r="E149" s="7" t="s">
        <v>2948</v>
      </c>
      <c r="F149" s="7" t="s">
        <v>695</v>
      </c>
      <c r="G149" s="7" t="s">
        <v>2949</v>
      </c>
      <c r="H149" s="144" t="s">
        <v>2950</v>
      </c>
      <c r="I149" s="179" t="s">
        <v>2951</v>
      </c>
      <c r="J149" s="7" t="s">
        <v>1091</v>
      </c>
      <c r="K149" s="235">
        <v>44832.0</v>
      </c>
      <c r="L149" s="7" t="s">
        <v>1639</v>
      </c>
      <c r="M149" s="7" t="s">
        <v>1108</v>
      </c>
      <c r="N149" s="17"/>
      <c r="O149" s="7" t="s">
        <v>1129</v>
      </c>
      <c r="P149" s="7"/>
      <c r="Q149" s="7" t="s">
        <v>2952</v>
      </c>
      <c r="R149" s="272" t="s">
        <v>2953</v>
      </c>
      <c r="S149" s="17"/>
      <c r="T149" s="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row>
    <row r="150">
      <c r="A150" s="179" t="s">
        <v>1475</v>
      </c>
      <c r="B150" s="179">
        <v>2.024060015E9</v>
      </c>
      <c r="C150" s="179" t="s">
        <v>2955</v>
      </c>
      <c r="D150" s="179" t="s">
        <v>2956</v>
      </c>
      <c r="E150" s="179"/>
      <c r="F150" s="179" t="s">
        <v>560</v>
      </c>
      <c r="G150" s="179" t="s">
        <v>2957</v>
      </c>
      <c r="H150" s="322" t="s">
        <v>2958</v>
      </c>
      <c r="I150" s="179"/>
      <c r="J150" s="179" t="s">
        <v>1091</v>
      </c>
      <c r="K150" s="323">
        <v>44832.0</v>
      </c>
      <c r="L150" s="179" t="s">
        <v>1639</v>
      </c>
      <c r="M150" s="179" t="s">
        <v>1108</v>
      </c>
      <c r="N150" s="324"/>
      <c r="O150" s="179" t="s">
        <v>1129</v>
      </c>
      <c r="P150" s="179"/>
      <c r="Q150" s="179" t="s">
        <v>2959</v>
      </c>
      <c r="R150" s="297" t="s">
        <v>2945</v>
      </c>
      <c r="S150" s="324"/>
      <c r="T150" s="179"/>
      <c r="U150" s="324"/>
      <c r="V150" s="324"/>
      <c r="W150" s="324"/>
      <c r="X150" s="324"/>
      <c r="Y150" s="324"/>
      <c r="Z150" s="324"/>
      <c r="AA150" s="324"/>
      <c r="AB150" s="324"/>
      <c r="AC150" s="324"/>
      <c r="AD150" s="324"/>
      <c r="AE150" s="324"/>
      <c r="AF150" s="324"/>
      <c r="AG150" s="324"/>
      <c r="AH150" s="324"/>
      <c r="AI150" s="324"/>
      <c r="AJ150" s="324"/>
      <c r="AK150" s="324"/>
      <c r="AL150" s="324"/>
      <c r="AM150" s="324"/>
      <c r="AN150" s="324"/>
      <c r="AO150" s="324"/>
      <c r="AP150" s="324"/>
      <c r="AQ150" s="324"/>
      <c r="AR150" s="324"/>
      <c r="AS150" s="324"/>
      <c r="AT150" s="324"/>
      <c r="AU150" s="324"/>
      <c r="AV150" s="324"/>
      <c r="AW150" s="324"/>
      <c r="AX150" s="324"/>
      <c r="AY150" s="324"/>
      <c r="AZ150" s="324"/>
      <c r="BA150" s="324"/>
      <c r="BB150" s="324"/>
      <c r="BC150" s="324"/>
      <c r="BD150" s="324"/>
      <c r="BE150" s="324"/>
      <c r="BF150" s="324"/>
      <c r="BG150" s="324"/>
      <c r="BH150" s="324"/>
      <c r="BI150" s="324"/>
      <c r="BJ150" s="324"/>
      <c r="BK150" s="324"/>
      <c r="BL150" s="324"/>
    </row>
    <row r="151">
      <c r="A151" s="179" t="s">
        <v>1212</v>
      </c>
      <c r="B151" s="179">
        <v>2.024060016E9</v>
      </c>
      <c r="C151" s="179" t="s">
        <v>2961</v>
      </c>
      <c r="D151" s="179" t="s">
        <v>2962</v>
      </c>
      <c r="E151" s="179" t="s">
        <v>2963</v>
      </c>
      <c r="F151" s="179" t="s">
        <v>2670</v>
      </c>
      <c r="G151" s="179" t="s">
        <v>2964</v>
      </c>
      <c r="H151" s="322" t="s">
        <v>2965</v>
      </c>
      <c r="I151" s="179" t="s">
        <v>2966</v>
      </c>
      <c r="J151" s="179" t="s">
        <v>1091</v>
      </c>
      <c r="K151" s="323">
        <v>44832.0</v>
      </c>
      <c r="L151" s="179"/>
      <c r="M151" s="179" t="s">
        <v>1549</v>
      </c>
      <c r="N151" s="324"/>
      <c r="O151" s="179" t="s">
        <v>1129</v>
      </c>
      <c r="P151" s="179" t="s">
        <v>2967</v>
      </c>
      <c r="Q151" s="179" t="s">
        <v>2968</v>
      </c>
      <c r="R151" s="297" t="s">
        <v>2945</v>
      </c>
      <c r="S151" s="324"/>
      <c r="T151" s="179"/>
      <c r="U151" s="324"/>
      <c r="V151" s="324"/>
      <c r="W151" s="324"/>
      <c r="X151" s="324"/>
      <c r="Y151" s="324"/>
      <c r="Z151" s="324"/>
      <c r="AA151" s="324"/>
      <c r="AB151" s="324"/>
      <c r="AC151" s="324"/>
      <c r="AD151" s="324"/>
      <c r="AE151" s="324"/>
      <c r="AF151" s="324"/>
      <c r="AG151" s="324"/>
      <c r="AH151" s="324"/>
      <c r="AI151" s="324"/>
      <c r="AJ151" s="324"/>
      <c r="AK151" s="324"/>
      <c r="AL151" s="324"/>
      <c r="AM151" s="324"/>
      <c r="AN151" s="324"/>
      <c r="AO151" s="324"/>
      <c r="AP151" s="324"/>
      <c r="AQ151" s="324"/>
      <c r="AR151" s="324"/>
      <c r="AS151" s="324"/>
      <c r="AT151" s="324"/>
      <c r="AU151" s="324"/>
      <c r="AV151" s="324"/>
      <c r="AW151" s="324"/>
      <c r="AX151" s="324"/>
      <c r="AY151" s="324"/>
      <c r="AZ151" s="324"/>
      <c r="BA151" s="324"/>
      <c r="BB151" s="324"/>
      <c r="BC151" s="324"/>
      <c r="BD151" s="324"/>
      <c r="BE151" s="324"/>
      <c r="BF151" s="324"/>
      <c r="BG151" s="324"/>
      <c r="BH151" s="324"/>
      <c r="BI151" s="324"/>
      <c r="BJ151" s="324"/>
      <c r="BK151" s="324"/>
      <c r="BL151" s="324"/>
    </row>
    <row r="152">
      <c r="A152" s="179" t="s">
        <v>1212</v>
      </c>
      <c r="B152" s="179">
        <v>2.024060017E9</v>
      </c>
      <c r="C152" s="179" t="s">
        <v>2969</v>
      </c>
      <c r="D152" s="179" t="s">
        <v>2970</v>
      </c>
      <c r="E152" s="179" t="s">
        <v>2971</v>
      </c>
      <c r="F152" s="179" t="s">
        <v>51</v>
      </c>
      <c r="G152" s="179" t="s">
        <v>2972</v>
      </c>
      <c r="H152" s="322" t="s">
        <v>2973</v>
      </c>
      <c r="I152" s="179" t="s">
        <v>2974</v>
      </c>
      <c r="J152" s="179" t="s">
        <v>1091</v>
      </c>
      <c r="K152" s="323">
        <v>44832.0</v>
      </c>
      <c r="L152" s="179"/>
      <c r="M152" s="179" t="s">
        <v>1549</v>
      </c>
      <c r="N152" s="324"/>
      <c r="O152" s="179" t="s">
        <v>1129</v>
      </c>
      <c r="P152" s="179"/>
      <c r="Q152" s="7" t="s">
        <v>2975</v>
      </c>
      <c r="R152" s="297" t="s">
        <v>2976</v>
      </c>
      <c r="S152" s="324"/>
      <c r="T152" s="179"/>
      <c r="U152" s="324"/>
      <c r="V152" s="324"/>
      <c r="W152" s="324"/>
      <c r="X152" s="324"/>
      <c r="Y152" s="324"/>
      <c r="Z152" s="324"/>
      <c r="AA152" s="324"/>
      <c r="AB152" s="324"/>
      <c r="AC152" s="324"/>
      <c r="AD152" s="324"/>
      <c r="AE152" s="324"/>
      <c r="AF152" s="324"/>
      <c r="AG152" s="324"/>
      <c r="AH152" s="324"/>
      <c r="AI152" s="324"/>
      <c r="AJ152" s="324"/>
      <c r="AK152" s="324"/>
      <c r="AL152" s="324"/>
      <c r="AM152" s="324"/>
      <c r="AN152" s="324"/>
      <c r="AO152" s="324"/>
      <c r="AP152" s="324"/>
      <c r="AQ152" s="324"/>
      <c r="AR152" s="324"/>
      <c r="AS152" s="324"/>
      <c r="AT152" s="324"/>
      <c r="AU152" s="324"/>
      <c r="AV152" s="324"/>
      <c r="AW152" s="324"/>
      <c r="AX152" s="324"/>
      <c r="AY152" s="324"/>
      <c r="AZ152" s="324"/>
      <c r="BA152" s="324"/>
      <c r="BB152" s="324"/>
      <c r="BC152" s="324"/>
      <c r="BD152" s="324"/>
      <c r="BE152" s="324"/>
      <c r="BF152" s="324"/>
      <c r="BG152" s="324"/>
      <c r="BH152" s="324"/>
      <c r="BI152" s="324"/>
      <c r="BJ152" s="324"/>
      <c r="BK152" s="324"/>
      <c r="BL152" s="324"/>
    </row>
    <row r="153">
      <c r="A153" s="179" t="s">
        <v>1212</v>
      </c>
      <c r="B153" s="179">
        <v>2.02405002E9</v>
      </c>
      <c r="C153" s="179" t="s">
        <v>2977</v>
      </c>
      <c r="D153" s="179" t="s">
        <v>2978</v>
      </c>
      <c r="E153" s="179" t="s">
        <v>2979</v>
      </c>
      <c r="F153" s="179" t="s">
        <v>2980</v>
      </c>
      <c r="G153" s="179" t="s">
        <v>2981</v>
      </c>
      <c r="H153" s="322" t="s">
        <v>2982</v>
      </c>
      <c r="I153" s="179">
        <v>942385.0</v>
      </c>
      <c r="J153" s="179" t="s">
        <v>1091</v>
      </c>
      <c r="K153" s="323">
        <v>44832.0</v>
      </c>
      <c r="L153" s="179" t="s">
        <v>1639</v>
      </c>
      <c r="M153" s="179" t="s">
        <v>2191</v>
      </c>
      <c r="N153" s="324"/>
      <c r="O153" s="179" t="s">
        <v>1401</v>
      </c>
      <c r="P153" s="179"/>
      <c r="Q153" s="7" t="s">
        <v>2983</v>
      </c>
      <c r="R153" s="297" t="s">
        <v>2976</v>
      </c>
      <c r="S153" s="324"/>
      <c r="T153" s="179"/>
      <c r="U153" s="324"/>
      <c r="V153" s="324"/>
      <c r="W153" s="324"/>
      <c r="X153" s="324"/>
      <c r="Y153" s="324"/>
      <c r="Z153" s="324"/>
      <c r="AA153" s="324"/>
      <c r="AB153" s="324"/>
      <c r="AC153" s="324"/>
      <c r="AD153" s="324"/>
      <c r="AE153" s="324"/>
      <c r="AF153" s="324"/>
      <c r="AG153" s="324"/>
      <c r="AH153" s="324"/>
      <c r="AI153" s="324"/>
      <c r="AJ153" s="324"/>
      <c r="AK153" s="324"/>
      <c r="AL153" s="324"/>
      <c r="AM153" s="324"/>
      <c r="AN153" s="324"/>
      <c r="AO153" s="324"/>
      <c r="AP153" s="324"/>
      <c r="AQ153" s="324"/>
      <c r="AR153" s="324"/>
      <c r="AS153" s="324"/>
      <c r="AT153" s="324"/>
      <c r="AU153" s="324"/>
      <c r="AV153" s="324"/>
      <c r="AW153" s="324"/>
      <c r="AX153" s="324"/>
      <c r="AY153" s="324"/>
      <c r="AZ153" s="324"/>
      <c r="BA153" s="324"/>
      <c r="BB153" s="324"/>
      <c r="BC153" s="324"/>
      <c r="BD153" s="324"/>
      <c r="BE153" s="324"/>
      <c r="BF153" s="324"/>
      <c r="BG153" s="324"/>
      <c r="BH153" s="324"/>
      <c r="BI153" s="324"/>
      <c r="BJ153" s="324"/>
      <c r="BK153" s="324"/>
      <c r="BL153" s="324"/>
    </row>
    <row r="154">
      <c r="A154" s="179" t="s">
        <v>1311</v>
      </c>
      <c r="B154" s="179">
        <v>2.024060018E9</v>
      </c>
      <c r="C154" s="179" t="s">
        <v>2984</v>
      </c>
      <c r="D154" s="179" t="s">
        <v>2985</v>
      </c>
      <c r="E154" s="179" t="s">
        <v>2986</v>
      </c>
      <c r="F154" s="179" t="s">
        <v>2987</v>
      </c>
      <c r="G154" s="179" t="s">
        <v>2988</v>
      </c>
      <c r="H154" s="322" t="s">
        <v>2989</v>
      </c>
      <c r="I154" s="179"/>
      <c r="J154" s="179" t="s">
        <v>2990</v>
      </c>
      <c r="K154" s="323">
        <v>44832.0</v>
      </c>
      <c r="L154" s="179"/>
      <c r="M154" s="179" t="s">
        <v>2199</v>
      </c>
      <c r="N154" s="324"/>
      <c r="O154" s="179" t="s">
        <v>1129</v>
      </c>
      <c r="P154" s="179"/>
      <c r="Q154" s="179" t="s">
        <v>2991</v>
      </c>
      <c r="R154" s="297" t="s">
        <v>2992</v>
      </c>
      <c r="S154" s="324"/>
      <c r="T154" s="179"/>
      <c r="U154" s="324"/>
      <c r="V154" s="324"/>
      <c r="W154" s="324"/>
      <c r="X154" s="324"/>
      <c r="Y154" s="324"/>
      <c r="Z154" s="324"/>
      <c r="AA154" s="324"/>
      <c r="AB154" s="324"/>
      <c r="AC154" s="324"/>
      <c r="AD154" s="324"/>
      <c r="AE154" s="324"/>
      <c r="AF154" s="324"/>
      <c r="AG154" s="324"/>
      <c r="AH154" s="324"/>
      <c r="AI154" s="324"/>
      <c r="AJ154" s="324"/>
      <c r="AK154" s="324"/>
      <c r="AL154" s="324"/>
      <c r="AM154" s="324"/>
      <c r="AN154" s="324"/>
      <c r="AO154" s="324"/>
      <c r="AP154" s="324"/>
      <c r="AQ154" s="324"/>
      <c r="AR154" s="324"/>
      <c r="AS154" s="324"/>
      <c r="AT154" s="324"/>
      <c r="AU154" s="324"/>
      <c r="AV154" s="324"/>
      <c r="AW154" s="324"/>
      <c r="AX154" s="324"/>
      <c r="AY154" s="324"/>
      <c r="AZ154" s="324"/>
      <c r="BA154" s="324"/>
      <c r="BB154" s="324"/>
      <c r="BC154" s="324"/>
      <c r="BD154" s="324"/>
      <c r="BE154" s="324"/>
      <c r="BF154" s="324"/>
      <c r="BG154" s="324"/>
      <c r="BH154" s="324"/>
      <c r="BI154" s="324"/>
      <c r="BJ154" s="324"/>
      <c r="BK154" s="324"/>
      <c r="BL154" s="324"/>
    </row>
    <row r="155">
      <c r="A155" s="179" t="s">
        <v>1311</v>
      </c>
      <c r="B155" s="179">
        <v>2.024060019E9</v>
      </c>
      <c r="C155" s="179" t="s">
        <v>2994</v>
      </c>
      <c r="D155" s="179" t="s">
        <v>2995</v>
      </c>
      <c r="E155" s="179" t="s">
        <v>2996</v>
      </c>
      <c r="F155" s="179" t="s">
        <v>2081</v>
      </c>
      <c r="G155" s="179" t="s">
        <v>2997</v>
      </c>
      <c r="H155" s="322" t="s">
        <v>2998</v>
      </c>
      <c r="I155" s="179" t="s">
        <v>2999</v>
      </c>
      <c r="J155" s="179" t="s">
        <v>2576</v>
      </c>
      <c r="K155" s="351">
        <v>45462.0</v>
      </c>
      <c r="L155" s="179"/>
      <c r="M155" s="179" t="s">
        <v>1549</v>
      </c>
      <c r="N155" s="324"/>
      <c r="O155" s="179" t="s">
        <v>1129</v>
      </c>
      <c r="P155" s="179"/>
      <c r="Q155" s="7" t="s">
        <v>3001</v>
      </c>
      <c r="R155" s="297" t="s">
        <v>2976</v>
      </c>
      <c r="S155" s="324"/>
      <c r="T155" s="179"/>
      <c r="U155" s="324"/>
      <c r="V155" s="324"/>
      <c r="W155" s="324"/>
      <c r="X155" s="324"/>
      <c r="Y155" s="324"/>
      <c r="Z155" s="324"/>
      <c r="AA155" s="324"/>
      <c r="AB155" s="324"/>
      <c r="AC155" s="324"/>
      <c r="AD155" s="324"/>
      <c r="AE155" s="324"/>
      <c r="AF155" s="324"/>
      <c r="AG155" s="324"/>
      <c r="AH155" s="324"/>
      <c r="AI155" s="324"/>
      <c r="AJ155" s="324"/>
      <c r="AK155" s="324"/>
      <c r="AL155" s="324"/>
      <c r="AM155" s="324"/>
      <c r="AN155" s="324"/>
      <c r="AO155" s="324"/>
      <c r="AP155" s="324"/>
      <c r="AQ155" s="324"/>
      <c r="AR155" s="324"/>
      <c r="AS155" s="324"/>
      <c r="AT155" s="324"/>
      <c r="AU155" s="324"/>
      <c r="AV155" s="324"/>
      <c r="AW155" s="324"/>
      <c r="AX155" s="324"/>
      <c r="AY155" s="324"/>
      <c r="AZ155" s="324"/>
      <c r="BA155" s="324"/>
      <c r="BB155" s="324"/>
      <c r="BC155" s="324"/>
      <c r="BD155" s="324"/>
      <c r="BE155" s="324"/>
      <c r="BF155" s="324"/>
      <c r="BG155" s="324"/>
      <c r="BH155" s="324"/>
      <c r="BI155" s="324"/>
      <c r="BJ155" s="324"/>
      <c r="BK155" s="324"/>
      <c r="BL155" s="324"/>
    </row>
    <row r="156">
      <c r="A156" s="179" t="s">
        <v>1212</v>
      </c>
      <c r="B156" s="179">
        <v>2.02406002E9</v>
      </c>
      <c r="C156" s="179" t="s">
        <v>3002</v>
      </c>
      <c r="D156" s="179" t="s">
        <v>3003</v>
      </c>
      <c r="E156" s="179" t="s">
        <v>3004</v>
      </c>
      <c r="F156" s="179" t="s">
        <v>695</v>
      </c>
      <c r="G156" s="179" t="s">
        <v>3005</v>
      </c>
      <c r="H156" s="322" t="s">
        <v>3006</v>
      </c>
      <c r="I156" s="179" t="s">
        <v>3007</v>
      </c>
      <c r="J156" s="179" t="s">
        <v>1091</v>
      </c>
      <c r="K156" s="323">
        <v>44832.0</v>
      </c>
      <c r="L156" s="179"/>
      <c r="M156" s="179"/>
      <c r="N156" s="324"/>
      <c r="O156" s="179" t="s">
        <v>1129</v>
      </c>
      <c r="P156" s="179"/>
      <c r="Q156" s="179" t="s">
        <v>3008</v>
      </c>
      <c r="R156" s="297" t="s">
        <v>3009</v>
      </c>
      <c r="S156" s="324"/>
      <c r="T156" s="179"/>
      <c r="U156" s="324"/>
      <c r="V156" s="324"/>
      <c r="W156" s="324"/>
      <c r="X156" s="324"/>
      <c r="Y156" s="324"/>
      <c r="Z156" s="324"/>
      <c r="AA156" s="324"/>
      <c r="AB156" s="324"/>
      <c r="AC156" s="324"/>
      <c r="AD156" s="324"/>
      <c r="AE156" s="324"/>
      <c r="AF156" s="324"/>
      <c r="AG156" s="324"/>
      <c r="AH156" s="324"/>
      <c r="AI156" s="324"/>
      <c r="AJ156" s="324"/>
      <c r="AK156" s="324"/>
      <c r="AL156" s="324"/>
      <c r="AM156" s="324"/>
      <c r="AN156" s="324"/>
      <c r="AO156" s="324"/>
      <c r="AP156" s="324"/>
      <c r="AQ156" s="324"/>
      <c r="AR156" s="324"/>
      <c r="AS156" s="324"/>
      <c r="AT156" s="324"/>
      <c r="AU156" s="324"/>
      <c r="AV156" s="324"/>
      <c r="AW156" s="324"/>
      <c r="AX156" s="324"/>
      <c r="AY156" s="324"/>
      <c r="AZ156" s="324"/>
      <c r="BA156" s="324"/>
      <c r="BB156" s="324"/>
      <c r="BC156" s="324"/>
      <c r="BD156" s="324"/>
      <c r="BE156" s="324"/>
      <c r="BF156" s="324"/>
      <c r="BG156" s="324"/>
      <c r="BH156" s="324"/>
      <c r="BI156" s="324"/>
      <c r="BJ156" s="324"/>
      <c r="BK156" s="324"/>
      <c r="BL156" s="324"/>
    </row>
    <row r="157">
      <c r="A157" s="179" t="s">
        <v>1311</v>
      </c>
      <c r="B157" s="179">
        <v>2.024070001E9</v>
      </c>
      <c r="C157" s="179" t="s">
        <v>3010</v>
      </c>
      <c r="D157" s="179" t="s">
        <v>3011</v>
      </c>
      <c r="E157" s="354" t="s">
        <v>3012</v>
      </c>
      <c r="F157" s="7" t="s">
        <v>70</v>
      </c>
      <c r="G157" s="179" t="s">
        <v>3018</v>
      </c>
      <c r="H157" s="322" t="s">
        <v>3019</v>
      </c>
      <c r="I157" s="179" t="s">
        <v>3021</v>
      </c>
      <c r="J157" s="179" t="s">
        <v>1091</v>
      </c>
      <c r="K157" s="323">
        <v>44832.0</v>
      </c>
      <c r="L157" s="179" t="s">
        <v>2190</v>
      </c>
      <c r="M157" s="179" t="s">
        <v>1108</v>
      </c>
      <c r="N157" s="324"/>
      <c r="O157" s="179" t="s">
        <v>1129</v>
      </c>
      <c r="P157" s="179" t="s">
        <v>3024</v>
      </c>
      <c r="Q157" s="7" t="s">
        <v>3025</v>
      </c>
      <c r="R157" s="297" t="s">
        <v>3026</v>
      </c>
      <c r="S157" s="324"/>
      <c r="T157" s="179"/>
      <c r="U157" s="324"/>
      <c r="V157" s="324"/>
      <c r="W157" s="324"/>
      <c r="X157" s="324"/>
      <c r="Y157" s="324"/>
      <c r="Z157" s="324"/>
      <c r="AA157" s="324"/>
      <c r="AB157" s="324"/>
      <c r="AC157" s="324"/>
      <c r="AD157" s="324"/>
      <c r="AE157" s="324"/>
      <c r="AF157" s="324"/>
      <c r="AG157" s="324"/>
      <c r="AH157" s="324"/>
      <c r="AI157" s="324"/>
      <c r="AJ157" s="324"/>
      <c r="AK157" s="324"/>
      <c r="AL157" s="324"/>
      <c r="AM157" s="324"/>
      <c r="AN157" s="324"/>
      <c r="AO157" s="324"/>
      <c r="AP157" s="324"/>
      <c r="AQ157" s="324"/>
      <c r="AR157" s="324"/>
      <c r="AS157" s="324"/>
      <c r="AT157" s="324"/>
      <c r="AU157" s="324"/>
      <c r="AV157" s="324"/>
      <c r="AW157" s="324"/>
      <c r="AX157" s="324"/>
      <c r="AY157" s="324"/>
      <c r="AZ157" s="324"/>
      <c r="BA157" s="324"/>
      <c r="BB157" s="324"/>
      <c r="BC157" s="324"/>
      <c r="BD157" s="324"/>
      <c r="BE157" s="324"/>
      <c r="BF157" s="324"/>
      <c r="BG157" s="324"/>
      <c r="BH157" s="324"/>
      <c r="BI157" s="324"/>
      <c r="BJ157" s="324"/>
      <c r="BK157" s="324"/>
      <c r="BL157" s="324"/>
    </row>
    <row r="158">
      <c r="A158" s="179" t="s">
        <v>1311</v>
      </c>
      <c r="B158" s="7">
        <v>2.024070002E9</v>
      </c>
      <c r="C158" s="7" t="s">
        <v>3027</v>
      </c>
      <c r="D158" s="7" t="s">
        <v>3028</v>
      </c>
      <c r="E158" s="7" t="s">
        <v>3029</v>
      </c>
      <c r="F158" s="7" t="s">
        <v>2023</v>
      </c>
      <c r="G158" s="7" t="s">
        <v>3030</v>
      </c>
      <c r="H158" s="7" t="s">
        <v>3031</v>
      </c>
      <c r="I158" s="350" t="s">
        <v>3032</v>
      </c>
      <c r="J158" s="179" t="s">
        <v>1091</v>
      </c>
      <c r="K158" s="323">
        <v>44832.0</v>
      </c>
      <c r="L158" s="179" t="s">
        <v>1098</v>
      </c>
      <c r="M158" s="179" t="s">
        <v>1108</v>
      </c>
      <c r="N158" s="179" t="s">
        <v>2192</v>
      </c>
      <c r="O158" s="179" t="s">
        <v>1129</v>
      </c>
      <c r="P158" s="17"/>
      <c r="Q158" s="7" t="s">
        <v>3033</v>
      </c>
      <c r="R158" s="297" t="s">
        <v>3034</v>
      </c>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row>
    <row r="159">
      <c r="A159" s="179"/>
      <c r="B159" s="7"/>
      <c r="C159" s="7"/>
      <c r="D159" s="7"/>
      <c r="E159" s="7"/>
      <c r="F159" s="7"/>
      <c r="G159" s="7"/>
      <c r="H159" s="7"/>
      <c r="I159" s="350"/>
      <c r="J159" s="179"/>
      <c r="K159" s="323"/>
      <c r="L159" s="179"/>
      <c r="M159" s="179"/>
      <c r="N159" s="324"/>
      <c r="O159" s="179"/>
      <c r="P159" s="17"/>
      <c r="Q159" s="7"/>
      <c r="R159" s="29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row>
    <row r="160">
      <c r="A160" s="17"/>
      <c r="B160" s="17"/>
      <c r="C160" s="17"/>
      <c r="D160" s="17"/>
      <c r="E160" s="17"/>
      <c r="F160" s="17"/>
      <c r="G160" s="17"/>
      <c r="H160" s="356"/>
      <c r="I160" s="179"/>
      <c r="J160" s="17"/>
      <c r="K160" s="17"/>
      <c r="L160" s="17"/>
      <c r="M160" s="7"/>
      <c r="N160" s="17"/>
      <c r="O160" s="17"/>
      <c r="P160" s="17"/>
      <c r="Q160" s="179"/>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row>
    <row r="161">
      <c r="A161" s="357" t="s">
        <v>3037</v>
      </c>
      <c r="C161" s="17"/>
      <c r="D161" s="17"/>
      <c r="E161" s="17"/>
      <c r="F161" s="17"/>
      <c r="G161" s="17"/>
      <c r="H161" s="356"/>
      <c r="I161" s="17"/>
      <c r="J161" s="17"/>
      <c r="K161" s="17"/>
      <c r="L161" s="17"/>
      <c r="M161" s="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row>
    <row r="162">
      <c r="A162" s="358" t="s">
        <v>1522</v>
      </c>
      <c r="B162" s="358">
        <v>2.023100007E9</v>
      </c>
      <c r="C162" s="358" t="s">
        <v>1801</v>
      </c>
      <c r="D162" s="358" t="s">
        <v>1802</v>
      </c>
      <c r="E162" s="359"/>
      <c r="F162" s="358" t="s">
        <v>70</v>
      </c>
      <c r="G162" s="358" t="s">
        <v>3038</v>
      </c>
      <c r="H162" s="360" t="s">
        <v>3039</v>
      </c>
      <c r="I162" s="358" t="s">
        <v>3040</v>
      </c>
      <c r="J162" s="358" t="s">
        <v>1091</v>
      </c>
      <c r="K162" s="361">
        <v>44832.0</v>
      </c>
      <c r="L162" s="17"/>
      <c r="M162" s="7"/>
      <c r="N162" s="17"/>
      <c r="O162" s="358" t="s">
        <v>1401</v>
      </c>
      <c r="P162" s="358" t="s">
        <v>3041</v>
      </c>
      <c r="Q162" s="358" t="s">
        <v>3042</v>
      </c>
      <c r="R162" s="358" t="s">
        <v>1588</v>
      </c>
      <c r="S162" s="359"/>
      <c r="T162" s="358" t="s">
        <v>3043</v>
      </c>
      <c r="U162" s="359"/>
      <c r="V162" s="359"/>
      <c r="W162" s="359"/>
      <c r="X162" s="359"/>
      <c r="Y162" s="359"/>
      <c r="Z162" s="359"/>
      <c r="AA162" s="359"/>
      <c r="AB162" s="359"/>
      <c r="AC162" s="359"/>
      <c r="AD162" s="359"/>
      <c r="AE162" s="359"/>
      <c r="AF162" s="359"/>
      <c r="AG162" s="359"/>
      <c r="AH162" s="359"/>
      <c r="AI162" s="359"/>
      <c r="AJ162" s="359"/>
      <c r="AK162" s="359"/>
      <c r="AL162" s="359"/>
      <c r="AM162" s="359"/>
      <c r="AN162" s="359"/>
      <c r="AO162" s="359"/>
      <c r="AP162" s="359"/>
      <c r="AQ162" s="359"/>
      <c r="AR162" s="359"/>
      <c r="AS162" s="359"/>
      <c r="AT162" s="359"/>
      <c r="AU162" s="359"/>
      <c r="AV162" s="359"/>
      <c r="AW162" s="359"/>
      <c r="AX162" s="359"/>
      <c r="AY162" s="359"/>
      <c r="AZ162" s="359"/>
      <c r="BA162" s="359"/>
      <c r="BB162" s="359"/>
      <c r="BC162" s="359"/>
      <c r="BD162" s="359"/>
      <c r="BE162" s="359"/>
      <c r="BF162" s="359"/>
      <c r="BG162" s="359"/>
      <c r="BH162" s="359"/>
      <c r="BI162" s="359"/>
      <c r="BJ162" s="359"/>
      <c r="BK162" s="359"/>
      <c r="BL162" s="359"/>
    </row>
    <row r="163" ht="16.5" customHeight="1">
      <c r="A163" s="358" t="s">
        <v>1212</v>
      </c>
      <c r="B163" s="358">
        <v>2.023110001E9</v>
      </c>
      <c r="C163" s="358" t="s">
        <v>3044</v>
      </c>
      <c r="D163" s="358" t="s">
        <v>3045</v>
      </c>
      <c r="E163" s="358" t="s">
        <v>3046</v>
      </c>
      <c r="F163" s="358" t="s">
        <v>70</v>
      </c>
      <c r="G163" s="358" t="s">
        <v>3047</v>
      </c>
      <c r="H163" s="360" t="s">
        <v>3048</v>
      </c>
      <c r="I163" s="359"/>
      <c r="J163" s="358" t="s">
        <v>1091</v>
      </c>
      <c r="K163" s="361">
        <v>44832.0</v>
      </c>
      <c r="L163" s="17"/>
      <c r="M163" s="7"/>
      <c r="N163" s="17"/>
      <c r="O163" s="358" t="s">
        <v>1129</v>
      </c>
      <c r="P163" s="359"/>
      <c r="Q163" s="358" t="s">
        <v>3049</v>
      </c>
      <c r="R163" s="358" t="s">
        <v>1661</v>
      </c>
      <c r="S163" s="359"/>
      <c r="T163" s="359"/>
      <c r="U163" s="359"/>
      <c r="V163" s="359"/>
      <c r="W163" s="359"/>
      <c r="X163" s="359"/>
      <c r="Y163" s="359"/>
      <c r="Z163" s="359"/>
      <c r="AA163" s="359"/>
      <c r="AB163" s="359"/>
      <c r="AC163" s="359"/>
      <c r="AD163" s="359"/>
      <c r="AE163" s="359"/>
      <c r="AF163" s="359"/>
      <c r="AG163" s="359"/>
      <c r="AH163" s="359"/>
      <c r="AI163" s="359"/>
      <c r="AJ163" s="359"/>
      <c r="AK163" s="359"/>
      <c r="AL163" s="359"/>
      <c r="AM163" s="359"/>
      <c r="AN163" s="359"/>
      <c r="AO163" s="359"/>
      <c r="AP163" s="359"/>
      <c r="AQ163" s="359"/>
      <c r="AR163" s="359"/>
      <c r="AS163" s="359"/>
      <c r="AT163" s="359"/>
      <c r="AU163" s="359"/>
      <c r="AV163" s="359"/>
      <c r="AW163" s="359"/>
      <c r="AX163" s="359"/>
      <c r="AY163" s="359"/>
      <c r="AZ163" s="359"/>
      <c r="BA163" s="359"/>
      <c r="BB163" s="359"/>
      <c r="BC163" s="359"/>
      <c r="BD163" s="359"/>
      <c r="BE163" s="359"/>
      <c r="BF163" s="359"/>
      <c r="BG163" s="359"/>
      <c r="BH163" s="359"/>
      <c r="BI163" s="359"/>
      <c r="BJ163" s="359"/>
      <c r="BK163" s="359"/>
      <c r="BL163" s="359"/>
    </row>
    <row r="164">
      <c r="A164" s="358" t="s">
        <v>1391</v>
      </c>
      <c r="B164" s="358">
        <v>2.023120003E9</v>
      </c>
      <c r="C164" s="358" t="s">
        <v>3050</v>
      </c>
      <c r="D164" s="358" t="s">
        <v>2000</v>
      </c>
      <c r="E164" s="358" t="s">
        <v>2001</v>
      </c>
      <c r="F164" s="358" t="s">
        <v>695</v>
      </c>
      <c r="G164" s="358" t="s">
        <v>2002</v>
      </c>
      <c r="H164" s="360" t="s">
        <v>3051</v>
      </c>
      <c r="I164" s="359"/>
      <c r="J164" s="358" t="s">
        <v>1566</v>
      </c>
      <c r="K164" s="361">
        <v>45259.0</v>
      </c>
      <c r="L164" s="17"/>
      <c r="M164" s="7"/>
      <c r="N164" s="17"/>
      <c r="O164" s="358" t="s">
        <v>1129</v>
      </c>
      <c r="P164" s="359"/>
      <c r="Q164" s="359"/>
      <c r="R164" s="359"/>
      <c r="S164" s="359"/>
      <c r="T164" s="359"/>
      <c r="U164" s="359"/>
      <c r="V164" s="359"/>
      <c r="W164" s="359"/>
      <c r="X164" s="359"/>
      <c r="Y164" s="359"/>
      <c r="Z164" s="359"/>
      <c r="AA164" s="359"/>
      <c r="AB164" s="359"/>
      <c r="AC164" s="359"/>
      <c r="AD164" s="359"/>
      <c r="AE164" s="359"/>
      <c r="AF164" s="359"/>
      <c r="AG164" s="359"/>
      <c r="AH164" s="359"/>
      <c r="AI164" s="359"/>
      <c r="AJ164" s="359"/>
      <c r="AK164" s="359"/>
      <c r="AL164" s="359"/>
      <c r="AM164" s="359"/>
      <c r="AN164" s="359"/>
      <c r="AO164" s="359"/>
      <c r="AP164" s="359"/>
      <c r="AQ164" s="359"/>
      <c r="AR164" s="359"/>
      <c r="AS164" s="359"/>
      <c r="AT164" s="359"/>
      <c r="AU164" s="359"/>
      <c r="AV164" s="359"/>
      <c r="AW164" s="359"/>
      <c r="AX164" s="359"/>
      <c r="AY164" s="359"/>
      <c r="AZ164" s="359"/>
      <c r="BA164" s="359"/>
      <c r="BB164" s="359"/>
      <c r="BC164" s="359"/>
      <c r="BD164" s="359"/>
      <c r="BE164" s="359"/>
      <c r="BF164" s="359"/>
      <c r="BG164" s="359"/>
      <c r="BH164" s="359"/>
      <c r="BI164" s="359"/>
      <c r="BJ164" s="359"/>
      <c r="BK164" s="359"/>
      <c r="BL164" s="359"/>
    </row>
    <row r="165">
      <c r="A165" s="362" t="s">
        <v>3052</v>
      </c>
      <c r="B165" s="362">
        <v>2.024010021E9</v>
      </c>
      <c r="C165" s="362" t="s">
        <v>1053</v>
      </c>
      <c r="D165" s="362" t="s">
        <v>1060</v>
      </c>
      <c r="E165" s="362" t="s">
        <v>1066</v>
      </c>
      <c r="F165" s="362" t="s">
        <v>123</v>
      </c>
      <c r="G165" s="362" t="s">
        <v>1073</v>
      </c>
      <c r="H165" s="363" t="s">
        <v>1079</v>
      </c>
      <c r="I165" s="362" t="s">
        <v>1085</v>
      </c>
      <c r="J165" s="362" t="s">
        <v>1091</v>
      </c>
      <c r="K165" s="364">
        <v>44832.0</v>
      </c>
      <c r="L165" s="362" t="s">
        <v>1098</v>
      </c>
      <c r="M165" s="365" t="s">
        <v>1108</v>
      </c>
      <c r="N165" s="362" t="s">
        <v>1115</v>
      </c>
      <c r="O165" s="362" t="s">
        <v>1129</v>
      </c>
      <c r="P165" s="366" t="s">
        <v>1146</v>
      </c>
      <c r="Q165" s="366" t="s">
        <v>3053</v>
      </c>
      <c r="R165" s="362" t="s">
        <v>2330</v>
      </c>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row>
    <row r="166">
      <c r="A166" s="7" t="s">
        <v>1311</v>
      </c>
      <c r="B166" s="7">
        <v>2.024010025E9</v>
      </c>
      <c r="C166" s="7" t="s">
        <v>1320</v>
      </c>
      <c r="D166" s="7" t="s">
        <v>1322</v>
      </c>
      <c r="E166" s="7" t="s">
        <v>1325</v>
      </c>
      <c r="F166" s="7" t="s">
        <v>70</v>
      </c>
      <c r="G166" s="7" t="s">
        <v>1328</v>
      </c>
      <c r="H166" s="144" t="s">
        <v>1330</v>
      </c>
      <c r="I166" s="7" t="s">
        <v>1334</v>
      </c>
      <c r="J166" s="7" t="s">
        <v>1338</v>
      </c>
      <c r="K166" s="244">
        <v>44750.0</v>
      </c>
      <c r="L166" s="17"/>
      <c r="M166" s="7"/>
      <c r="N166" s="17"/>
      <c r="O166" s="7" t="s">
        <v>1129</v>
      </c>
      <c r="P166" s="179" t="s">
        <v>3054</v>
      </c>
      <c r="Q166" s="7" t="s">
        <v>1353</v>
      </c>
      <c r="R166" s="7" t="s">
        <v>2348</v>
      </c>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row>
    <row r="167">
      <c r="A167" s="358" t="s">
        <v>1522</v>
      </c>
      <c r="B167" s="358">
        <v>2.023100014E9</v>
      </c>
      <c r="C167" s="358" t="s">
        <v>1394</v>
      </c>
      <c r="D167" s="358" t="s">
        <v>1395</v>
      </c>
      <c r="E167" s="358" t="s">
        <v>1396</v>
      </c>
      <c r="F167" s="358" t="s">
        <v>36</v>
      </c>
      <c r="G167" s="358" t="s">
        <v>1397</v>
      </c>
      <c r="H167" s="360" t="s">
        <v>1398</v>
      </c>
      <c r="I167" s="358" t="s">
        <v>1399</v>
      </c>
      <c r="J167" s="358" t="s">
        <v>1091</v>
      </c>
      <c r="K167" s="361">
        <v>44832.0</v>
      </c>
      <c r="L167" s="358" t="s">
        <v>1098</v>
      </c>
      <c r="M167" s="367" t="s">
        <v>1108</v>
      </c>
      <c r="N167" s="358" t="s">
        <v>1400</v>
      </c>
      <c r="O167" s="358" t="s">
        <v>1401</v>
      </c>
      <c r="P167" s="358" t="s">
        <v>1402</v>
      </c>
      <c r="Q167" s="358" t="s">
        <v>1403</v>
      </c>
      <c r="R167" s="358" t="s">
        <v>1819</v>
      </c>
      <c r="S167" s="359"/>
      <c r="T167" s="367" t="s">
        <v>3056</v>
      </c>
      <c r="U167" s="359"/>
      <c r="V167" s="359"/>
      <c r="W167" s="359"/>
      <c r="X167" s="359"/>
      <c r="Y167" s="359"/>
      <c r="Z167" s="359"/>
      <c r="AA167" s="359"/>
      <c r="AB167" s="359"/>
      <c r="AC167" s="359"/>
      <c r="AD167" s="359"/>
      <c r="AE167" s="359"/>
      <c r="AF167" s="359"/>
      <c r="AG167" s="359"/>
      <c r="AH167" s="359"/>
      <c r="AI167" s="359"/>
      <c r="AJ167" s="359"/>
      <c r="AK167" s="359"/>
      <c r="AL167" s="359"/>
      <c r="AM167" s="359"/>
      <c r="AN167" s="359"/>
      <c r="AO167" s="359"/>
      <c r="AP167" s="359"/>
      <c r="AQ167" s="359"/>
      <c r="AR167" s="359"/>
      <c r="AS167" s="359"/>
      <c r="AT167" s="359"/>
      <c r="AU167" s="359"/>
      <c r="AV167" s="359"/>
      <c r="AW167" s="359"/>
      <c r="AX167" s="359"/>
      <c r="AY167" s="359"/>
      <c r="AZ167" s="359"/>
      <c r="BA167" s="359"/>
      <c r="BB167" s="359"/>
      <c r="BC167" s="359"/>
      <c r="BD167" s="359"/>
      <c r="BE167" s="359"/>
      <c r="BF167" s="359"/>
      <c r="BG167" s="359"/>
      <c r="BH167" s="359"/>
      <c r="BI167" s="359"/>
      <c r="BJ167" s="359"/>
      <c r="BK167" s="359"/>
      <c r="BL167" s="359"/>
    </row>
    <row r="168">
      <c r="A168" s="7" t="s">
        <v>1212</v>
      </c>
      <c r="B168" s="179">
        <v>2.023110034E9</v>
      </c>
      <c r="C168" s="179" t="s">
        <v>1405</v>
      </c>
      <c r="D168" s="7" t="s">
        <v>1406</v>
      </c>
      <c r="E168" s="7" t="s">
        <v>1407</v>
      </c>
      <c r="F168" s="7" t="s">
        <v>480</v>
      </c>
      <c r="G168" s="7" t="s">
        <v>1408</v>
      </c>
      <c r="H168" s="144" t="s">
        <v>1409</v>
      </c>
      <c r="I168" s="144" t="s">
        <v>1410</v>
      </c>
      <c r="J168" s="7" t="s">
        <v>1091</v>
      </c>
      <c r="K168" s="235">
        <v>44832.0</v>
      </c>
      <c r="L168" s="17"/>
      <c r="M168" s="7" t="s">
        <v>1411</v>
      </c>
      <c r="N168" s="17"/>
      <c r="O168" s="7" t="s">
        <v>1129</v>
      </c>
      <c r="P168" s="17"/>
      <c r="Q168" s="7" t="s">
        <v>1412</v>
      </c>
      <c r="R168" s="7" t="s">
        <v>3057</v>
      </c>
      <c r="S168" s="17"/>
      <c r="T168" s="7" t="s">
        <v>3058</v>
      </c>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row>
    <row r="169">
      <c r="A169" s="7" t="s">
        <v>1212</v>
      </c>
      <c r="B169" s="179">
        <v>2.023110015E9</v>
      </c>
      <c r="C169" s="7" t="s">
        <v>1414</v>
      </c>
      <c r="D169" s="7" t="s">
        <v>1415</v>
      </c>
      <c r="E169" s="7" t="s">
        <v>1416</v>
      </c>
      <c r="F169" s="7" t="s">
        <v>123</v>
      </c>
      <c r="G169" s="7" t="s">
        <v>1417</v>
      </c>
      <c r="H169" s="144" t="s">
        <v>1418</v>
      </c>
      <c r="I169" s="7" t="s">
        <v>1419</v>
      </c>
      <c r="J169" s="7" t="s">
        <v>1091</v>
      </c>
      <c r="K169" s="235">
        <v>44832.0</v>
      </c>
      <c r="L169" s="7" t="s">
        <v>1098</v>
      </c>
      <c r="M169" s="7" t="s">
        <v>1108</v>
      </c>
      <c r="N169" s="7" t="s">
        <v>1115</v>
      </c>
      <c r="O169" s="7" t="s">
        <v>1401</v>
      </c>
      <c r="P169" s="7" t="s">
        <v>1420</v>
      </c>
      <c r="Q169" s="7" t="s">
        <v>1421</v>
      </c>
      <c r="R169" s="7" t="s">
        <v>3059</v>
      </c>
      <c r="S169" s="17"/>
      <c r="T169" s="7" t="s">
        <v>3060</v>
      </c>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row>
    <row r="170">
      <c r="A170" s="246" t="s">
        <v>1212</v>
      </c>
      <c r="B170" s="247">
        <v>2.02311002E9</v>
      </c>
      <c r="C170" s="246" t="s">
        <v>1423</v>
      </c>
      <c r="D170" s="246" t="s">
        <v>1424</v>
      </c>
      <c r="E170" s="368" t="s">
        <v>1425</v>
      </c>
      <c r="F170" s="246" t="s">
        <v>1016</v>
      </c>
      <c r="G170" s="246" t="s">
        <v>1426</v>
      </c>
      <c r="H170" s="248" t="s">
        <v>1427</v>
      </c>
      <c r="I170" s="246" t="s">
        <v>1428</v>
      </c>
      <c r="J170" s="246" t="s">
        <v>1091</v>
      </c>
      <c r="K170" s="278">
        <v>44826.0</v>
      </c>
      <c r="L170" s="246" t="s">
        <v>1098</v>
      </c>
      <c r="M170" s="246" t="s">
        <v>1108</v>
      </c>
      <c r="N170" s="246" t="s">
        <v>1430</v>
      </c>
      <c r="O170" s="246" t="s">
        <v>1401</v>
      </c>
      <c r="P170" s="246" t="s">
        <v>1431</v>
      </c>
      <c r="Q170" s="246" t="s">
        <v>1432</v>
      </c>
      <c r="R170" s="246" t="s">
        <v>1792</v>
      </c>
      <c r="S170" s="246" t="s">
        <v>1439</v>
      </c>
      <c r="T170" s="246" t="s">
        <v>3063</v>
      </c>
      <c r="U170" s="251"/>
      <c r="V170" s="251"/>
      <c r="W170" s="251"/>
      <c r="X170" s="251"/>
      <c r="Y170" s="251"/>
      <c r="Z170" s="251"/>
      <c r="AA170" s="251"/>
      <c r="AB170" s="251"/>
      <c r="AC170" s="251"/>
      <c r="AD170" s="251"/>
      <c r="AE170" s="251"/>
      <c r="AF170" s="251"/>
      <c r="AG170" s="251"/>
      <c r="AH170" s="251"/>
      <c r="AI170" s="251"/>
      <c r="AJ170" s="251"/>
      <c r="AK170" s="251"/>
      <c r="AL170" s="251"/>
      <c r="AM170" s="251"/>
      <c r="AN170" s="251"/>
      <c r="AO170" s="251"/>
      <c r="AP170" s="251"/>
      <c r="AQ170" s="251"/>
      <c r="AR170" s="251"/>
      <c r="AS170" s="251"/>
      <c r="AT170" s="251"/>
      <c r="AU170" s="251"/>
      <c r="AV170" s="251"/>
      <c r="AW170" s="251"/>
      <c r="AX170" s="251"/>
      <c r="AY170" s="251"/>
      <c r="AZ170" s="251"/>
      <c r="BA170" s="251"/>
      <c r="BB170" s="251"/>
      <c r="BC170" s="251"/>
      <c r="BD170" s="251"/>
      <c r="BE170" s="251"/>
      <c r="BF170" s="251"/>
      <c r="BG170" s="251"/>
      <c r="BH170" s="251"/>
      <c r="BI170" s="251"/>
      <c r="BJ170" s="251"/>
      <c r="BK170" s="251"/>
      <c r="BL170" s="251"/>
    </row>
    <row r="171">
      <c r="A171" s="7" t="s">
        <v>2542</v>
      </c>
      <c r="B171" s="7">
        <v>2.024040006E9</v>
      </c>
      <c r="C171" s="7" t="s">
        <v>1446</v>
      </c>
      <c r="D171" s="7" t="s">
        <v>1449</v>
      </c>
      <c r="E171" s="17"/>
      <c r="F171" s="7" t="s">
        <v>278</v>
      </c>
      <c r="G171" s="7" t="s">
        <v>1450</v>
      </c>
      <c r="H171" s="7" t="s">
        <v>1451</v>
      </c>
      <c r="I171" s="7"/>
      <c r="J171" s="7" t="s">
        <v>1091</v>
      </c>
      <c r="K171" s="235">
        <v>44832.0</v>
      </c>
      <c r="L171" s="17"/>
      <c r="M171" s="7"/>
      <c r="N171" s="17"/>
      <c r="O171" s="7" t="s">
        <v>1129</v>
      </c>
      <c r="P171" s="17"/>
      <c r="Q171" s="7" t="s">
        <v>1452</v>
      </c>
      <c r="R171" s="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row>
    <row r="172">
      <c r="A172" s="7" t="s">
        <v>219</v>
      </c>
      <c r="B172" s="179">
        <v>2.023110024E9</v>
      </c>
      <c r="C172" s="7" t="s">
        <v>1454</v>
      </c>
      <c r="D172" s="7" t="s">
        <v>1455</v>
      </c>
      <c r="E172" s="7" t="s">
        <v>1457</v>
      </c>
      <c r="F172" s="7" t="s">
        <v>1458</v>
      </c>
      <c r="G172" s="7" t="s">
        <v>1459</v>
      </c>
      <c r="H172" s="144" t="s">
        <v>1460</v>
      </c>
      <c r="I172" s="7" t="s">
        <v>1461</v>
      </c>
      <c r="J172" s="7" t="s">
        <v>1091</v>
      </c>
      <c r="K172" s="235">
        <v>44832.0</v>
      </c>
      <c r="L172" s="7" t="s">
        <v>1098</v>
      </c>
      <c r="M172" s="7" t="s">
        <v>1108</v>
      </c>
      <c r="N172" s="7" t="s">
        <v>1466</v>
      </c>
      <c r="O172" s="7" t="s">
        <v>1129</v>
      </c>
      <c r="P172" s="7"/>
      <c r="Q172" s="7" t="s">
        <v>1468</v>
      </c>
      <c r="R172" s="7" t="s">
        <v>3065</v>
      </c>
      <c r="S172" s="17"/>
      <c r="T172" s="7" t="s">
        <v>3066</v>
      </c>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row>
    <row r="173">
      <c r="A173" s="246" t="s">
        <v>1475</v>
      </c>
      <c r="B173" s="247">
        <v>2.023110027E9</v>
      </c>
      <c r="C173" s="246" t="s">
        <v>1477</v>
      </c>
      <c r="D173" s="246" t="s">
        <v>1478</v>
      </c>
      <c r="E173" s="246" t="s">
        <v>1479</v>
      </c>
      <c r="F173" s="246" t="s">
        <v>695</v>
      </c>
      <c r="G173" s="246" t="s">
        <v>1480</v>
      </c>
      <c r="H173" s="248" t="s">
        <v>1481</v>
      </c>
      <c r="I173" s="246" t="s">
        <v>1482</v>
      </c>
      <c r="J173" s="246" t="s">
        <v>1091</v>
      </c>
      <c r="K173" s="278">
        <v>44832.0</v>
      </c>
      <c r="L173" s="246" t="s">
        <v>1483</v>
      </c>
      <c r="M173" s="246" t="s">
        <v>1108</v>
      </c>
      <c r="N173" s="246" t="s">
        <v>1484</v>
      </c>
      <c r="O173" s="247" t="s">
        <v>1161</v>
      </c>
      <c r="P173" s="246" t="s">
        <v>1485</v>
      </c>
      <c r="Q173" s="303" t="s">
        <v>1486</v>
      </c>
      <c r="R173" s="246" t="s">
        <v>3067</v>
      </c>
      <c r="S173" s="246" t="s">
        <v>1439</v>
      </c>
      <c r="T173" s="7" t="s">
        <v>3068</v>
      </c>
      <c r="U173" s="251"/>
      <c r="V173" s="251"/>
      <c r="W173" s="251"/>
      <c r="X173" s="251"/>
      <c r="Y173" s="251"/>
      <c r="Z173" s="251"/>
      <c r="AA173" s="251"/>
      <c r="AB173" s="251"/>
      <c r="AC173" s="251"/>
      <c r="AD173" s="251"/>
      <c r="AE173" s="251"/>
      <c r="AF173" s="251"/>
      <c r="AG173" s="251"/>
      <c r="AH173" s="251"/>
      <c r="AI173" s="251"/>
      <c r="AJ173" s="251"/>
      <c r="AK173" s="251"/>
      <c r="AL173" s="251"/>
      <c r="AM173" s="251"/>
      <c r="AN173" s="251"/>
      <c r="AO173" s="251"/>
      <c r="AP173" s="251"/>
      <c r="AQ173" s="251"/>
      <c r="AR173" s="251"/>
      <c r="AS173" s="251"/>
      <c r="AT173" s="251"/>
      <c r="AU173" s="251"/>
      <c r="AV173" s="251"/>
      <c r="AW173" s="251"/>
      <c r="AX173" s="251"/>
      <c r="AY173" s="251"/>
      <c r="AZ173" s="251"/>
      <c r="BA173" s="251"/>
      <c r="BB173" s="251"/>
      <c r="BC173" s="251"/>
      <c r="BD173" s="251"/>
      <c r="BE173" s="251"/>
      <c r="BF173" s="251"/>
      <c r="BG173" s="251"/>
      <c r="BH173" s="251"/>
      <c r="BI173" s="251"/>
      <c r="BJ173" s="251"/>
      <c r="BK173" s="251"/>
      <c r="BL173" s="251"/>
    </row>
    <row r="174">
      <c r="A174" s="272" t="s">
        <v>1311</v>
      </c>
      <c r="B174" s="272">
        <v>2.02401003E9</v>
      </c>
      <c r="C174" s="272" t="s">
        <v>1490</v>
      </c>
      <c r="D174" s="272" t="s">
        <v>1491</v>
      </c>
      <c r="E174" s="272" t="s">
        <v>1492</v>
      </c>
      <c r="F174" s="272" t="s">
        <v>480</v>
      </c>
      <c r="G174" s="272" t="s">
        <v>1493</v>
      </c>
      <c r="H174" s="298" t="s">
        <v>1494</v>
      </c>
      <c r="I174" s="298" t="s">
        <v>1495</v>
      </c>
      <c r="J174" s="272" t="s">
        <v>1091</v>
      </c>
      <c r="K174" s="299">
        <v>44832.0</v>
      </c>
      <c r="L174" s="272" t="s">
        <v>1098</v>
      </c>
      <c r="M174" s="272" t="s">
        <v>1108</v>
      </c>
      <c r="N174" s="300"/>
      <c r="O174" s="272" t="s">
        <v>1129</v>
      </c>
      <c r="P174" s="370" t="s">
        <v>1496</v>
      </c>
      <c r="Q174" s="272" t="s">
        <v>1497</v>
      </c>
      <c r="R174" s="272" t="s">
        <v>3075</v>
      </c>
      <c r="S174" s="300"/>
      <c r="T174" s="272" t="s">
        <v>3078</v>
      </c>
      <c r="U174" s="300"/>
      <c r="V174" s="300"/>
      <c r="W174" s="300"/>
      <c r="X174" s="300"/>
      <c r="Y174" s="300"/>
      <c r="Z174" s="300"/>
      <c r="AA174" s="300"/>
      <c r="AB174" s="300"/>
      <c r="AC174" s="300"/>
      <c r="AD174" s="300"/>
      <c r="AE174" s="300"/>
      <c r="AF174" s="300"/>
      <c r="AG174" s="300"/>
      <c r="AH174" s="300"/>
      <c r="AI174" s="300"/>
      <c r="AJ174" s="300"/>
      <c r="AK174" s="300"/>
      <c r="AL174" s="300"/>
      <c r="AM174" s="300"/>
      <c r="AN174" s="300"/>
      <c r="AO174" s="300"/>
      <c r="AP174" s="300"/>
      <c r="AQ174" s="300"/>
      <c r="AR174" s="300"/>
      <c r="AS174" s="300"/>
      <c r="AT174" s="300"/>
      <c r="AU174" s="300"/>
      <c r="AV174" s="300"/>
      <c r="AW174" s="300"/>
      <c r="AX174" s="300"/>
      <c r="AY174" s="300"/>
      <c r="AZ174" s="300"/>
      <c r="BA174" s="300"/>
      <c r="BB174" s="300"/>
      <c r="BC174" s="300"/>
      <c r="BD174" s="300"/>
      <c r="BE174" s="300"/>
      <c r="BF174" s="300"/>
      <c r="BG174" s="300"/>
      <c r="BH174" s="300"/>
      <c r="BI174" s="300"/>
      <c r="BJ174" s="300"/>
      <c r="BK174" s="300"/>
      <c r="BL174" s="300"/>
    </row>
    <row r="175">
      <c r="A175" s="179" t="s">
        <v>219</v>
      </c>
      <c r="B175" s="7">
        <v>2.024050015E9</v>
      </c>
      <c r="C175" s="7" t="s">
        <v>1500</v>
      </c>
      <c r="D175" s="7" t="s">
        <v>1501</v>
      </c>
      <c r="E175" s="7" t="s">
        <v>1502</v>
      </c>
      <c r="F175" s="7" t="s">
        <v>36</v>
      </c>
      <c r="G175" s="7" t="s">
        <v>1503</v>
      </c>
      <c r="H175" s="144" t="s">
        <v>1504</v>
      </c>
      <c r="I175" s="7"/>
      <c r="J175" s="7" t="s">
        <v>1091</v>
      </c>
      <c r="K175" s="235">
        <v>44832.0</v>
      </c>
      <c r="L175" s="17"/>
      <c r="M175" s="7"/>
      <c r="N175" s="17"/>
      <c r="O175" s="7" t="s">
        <v>1129</v>
      </c>
      <c r="P175" s="17"/>
      <c r="Q175" s="179" t="s">
        <v>3079</v>
      </c>
      <c r="R175" s="272" t="s">
        <v>3080</v>
      </c>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row>
    <row r="176">
      <c r="A176" s="179" t="s">
        <v>1311</v>
      </c>
      <c r="B176" s="7">
        <v>2.024030002E9</v>
      </c>
      <c r="C176" s="7" t="s">
        <v>1528</v>
      </c>
      <c r="D176" s="7" t="s">
        <v>1531</v>
      </c>
      <c r="E176" s="7" t="s">
        <v>1532</v>
      </c>
      <c r="F176" s="179" t="s">
        <v>1533</v>
      </c>
      <c r="G176" s="7" t="s">
        <v>1537</v>
      </c>
      <c r="H176" s="144" t="s">
        <v>1538</v>
      </c>
      <c r="I176" s="7" t="s">
        <v>1539</v>
      </c>
      <c r="J176" s="7" t="s">
        <v>1338</v>
      </c>
      <c r="K176" s="244">
        <v>45031.0</v>
      </c>
      <c r="L176" s="17"/>
      <c r="M176" s="7" t="s">
        <v>1549</v>
      </c>
      <c r="N176" s="17"/>
      <c r="O176" s="7" t="s">
        <v>1129</v>
      </c>
      <c r="P176" s="7" t="s">
        <v>1556</v>
      </c>
      <c r="Q176" s="245" t="s">
        <v>1558</v>
      </c>
      <c r="R176" s="17"/>
      <c r="S176" s="17"/>
      <c r="T176" s="7" t="s">
        <v>1628</v>
      </c>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row>
    <row r="177">
      <c r="A177" s="367" t="s">
        <v>1010</v>
      </c>
      <c r="B177" s="367">
        <v>2.024020013E9</v>
      </c>
      <c r="C177" s="367" t="s">
        <v>1618</v>
      </c>
      <c r="D177" s="367" t="s">
        <v>1622</v>
      </c>
      <c r="E177" s="367" t="s">
        <v>1624</v>
      </c>
      <c r="F177" s="367" t="s">
        <v>278</v>
      </c>
      <c r="G177" s="367" t="s">
        <v>1629</v>
      </c>
      <c r="H177" s="375" t="s">
        <v>1630</v>
      </c>
      <c r="I177" s="367">
        <v>4392837.0</v>
      </c>
      <c r="J177" s="367" t="s">
        <v>1091</v>
      </c>
      <c r="K177" s="377">
        <v>44832.0</v>
      </c>
      <c r="L177" s="367" t="s">
        <v>1639</v>
      </c>
      <c r="M177" s="367" t="s">
        <v>1108</v>
      </c>
      <c r="N177" s="358" t="s">
        <v>1430</v>
      </c>
      <c r="O177" s="367" t="s">
        <v>1401</v>
      </c>
      <c r="P177" s="367" t="s">
        <v>1650</v>
      </c>
      <c r="Q177" s="378" t="s">
        <v>1654</v>
      </c>
      <c r="R177" s="367" t="s">
        <v>2486</v>
      </c>
      <c r="S177" s="379"/>
      <c r="T177" s="358" t="s">
        <v>1521</v>
      </c>
      <c r="U177" s="379"/>
      <c r="V177" s="379"/>
      <c r="W177" s="379"/>
      <c r="X177" s="379"/>
      <c r="Y177" s="379"/>
      <c r="Z177" s="379"/>
      <c r="AA177" s="379"/>
      <c r="AB177" s="379"/>
      <c r="AC177" s="379"/>
      <c r="AD177" s="379"/>
      <c r="AE177" s="379"/>
      <c r="AF177" s="379"/>
      <c r="AG177" s="379"/>
      <c r="AH177" s="379"/>
      <c r="AI177" s="379"/>
      <c r="AJ177" s="379"/>
      <c r="AK177" s="379"/>
      <c r="AL177" s="379"/>
      <c r="AM177" s="379"/>
      <c r="AN177" s="379"/>
      <c r="AO177" s="379"/>
      <c r="AP177" s="379"/>
      <c r="AQ177" s="379"/>
      <c r="AR177" s="379"/>
      <c r="AS177" s="379"/>
      <c r="AT177" s="379"/>
      <c r="AU177" s="379"/>
      <c r="AV177" s="379"/>
      <c r="AW177" s="379"/>
      <c r="AX177" s="379"/>
      <c r="AY177" s="379"/>
      <c r="AZ177" s="379"/>
      <c r="BA177" s="379"/>
      <c r="BB177" s="379"/>
      <c r="BC177" s="379"/>
      <c r="BD177" s="379"/>
      <c r="BE177" s="379"/>
      <c r="BF177" s="379"/>
      <c r="BG177" s="379"/>
      <c r="BH177" s="379"/>
      <c r="BI177" s="379"/>
      <c r="BJ177" s="379"/>
      <c r="BK177" s="379"/>
      <c r="BL177" s="379"/>
    </row>
    <row r="178">
      <c r="A178" s="358" t="s">
        <v>219</v>
      </c>
      <c r="B178" s="358">
        <v>2.024050003E9</v>
      </c>
      <c r="C178" s="358" t="s">
        <v>1691</v>
      </c>
      <c r="D178" s="358" t="s">
        <v>1692</v>
      </c>
      <c r="E178" s="358" t="s">
        <v>1693</v>
      </c>
      <c r="F178" s="358" t="s">
        <v>174</v>
      </c>
      <c r="G178" s="367" t="s">
        <v>1694</v>
      </c>
      <c r="H178" s="360" t="s">
        <v>1696</v>
      </c>
      <c r="I178" s="358">
        <v>255338.0</v>
      </c>
      <c r="J178" s="358" t="s">
        <v>1338</v>
      </c>
      <c r="K178" s="361">
        <v>44718.0</v>
      </c>
      <c r="L178" s="359"/>
      <c r="M178" s="358" t="s">
        <v>1549</v>
      </c>
      <c r="N178" s="359"/>
      <c r="O178" s="358" t="s">
        <v>1129</v>
      </c>
      <c r="P178" s="358" t="s">
        <v>1699</v>
      </c>
      <c r="Q178" s="367" t="s">
        <v>1700</v>
      </c>
      <c r="R178" s="367" t="s">
        <v>2711</v>
      </c>
      <c r="S178" s="359"/>
      <c r="T178" s="359"/>
      <c r="U178" s="359"/>
      <c r="V178" s="359"/>
      <c r="W178" s="359"/>
      <c r="X178" s="359"/>
      <c r="Y178" s="359"/>
      <c r="Z178" s="359"/>
      <c r="AA178" s="359"/>
      <c r="AB178" s="359"/>
      <c r="AC178" s="359"/>
      <c r="AD178" s="359"/>
      <c r="AE178" s="359"/>
      <c r="AF178" s="359"/>
      <c r="AG178" s="359"/>
      <c r="AH178" s="359"/>
      <c r="AI178" s="359"/>
      <c r="AJ178" s="359"/>
      <c r="AK178" s="359"/>
      <c r="AL178" s="359"/>
      <c r="AM178" s="359"/>
      <c r="AN178" s="359"/>
      <c r="AO178" s="359"/>
      <c r="AP178" s="359"/>
      <c r="AQ178" s="359"/>
      <c r="AR178" s="359"/>
      <c r="AS178" s="359"/>
      <c r="AT178" s="359"/>
      <c r="AU178" s="359"/>
      <c r="AV178" s="359"/>
      <c r="AW178" s="359"/>
      <c r="AX178" s="359"/>
      <c r="AY178" s="359"/>
      <c r="AZ178" s="359"/>
      <c r="BA178" s="359"/>
      <c r="BB178" s="359"/>
      <c r="BC178" s="359"/>
      <c r="BD178" s="359"/>
      <c r="BE178" s="359"/>
      <c r="BF178" s="359"/>
      <c r="BG178" s="359"/>
      <c r="BH178" s="359"/>
      <c r="BI178" s="359"/>
      <c r="BJ178" s="359"/>
      <c r="BK178" s="359"/>
      <c r="BL178" s="359"/>
    </row>
    <row r="179">
      <c r="A179" s="7" t="s">
        <v>219</v>
      </c>
      <c r="B179" s="179">
        <v>2.023110038E9</v>
      </c>
      <c r="C179" s="179" t="s">
        <v>1719</v>
      </c>
      <c r="D179" s="7" t="s">
        <v>1720</v>
      </c>
      <c r="E179" s="7" t="s">
        <v>1726</v>
      </c>
      <c r="F179" s="179" t="s">
        <v>1730</v>
      </c>
      <c r="G179" s="7" t="s">
        <v>1731</v>
      </c>
      <c r="H179" s="144" t="s">
        <v>1733</v>
      </c>
      <c r="I179" s="7" t="s">
        <v>1735</v>
      </c>
      <c r="J179" s="7" t="s">
        <v>1091</v>
      </c>
      <c r="K179" s="235">
        <v>44832.0</v>
      </c>
      <c r="L179" s="7" t="s">
        <v>1098</v>
      </c>
      <c r="M179" s="7" t="s">
        <v>1108</v>
      </c>
      <c r="N179" s="253" t="s">
        <v>1466</v>
      </c>
      <c r="O179" s="148" t="s">
        <v>1129</v>
      </c>
      <c r="P179" s="7" t="s">
        <v>1756</v>
      </c>
      <c r="Q179" s="7" t="s">
        <v>1757</v>
      </c>
      <c r="R179" s="17"/>
      <c r="S179" s="17"/>
      <c r="T179" s="380" t="s">
        <v>3084</v>
      </c>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row>
    <row r="180">
      <c r="A180" s="358"/>
      <c r="B180" s="358"/>
      <c r="C180" s="358"/>
      <c r="D180" s="358"/>
      <c r="E180" s="358"/>
      <c r="F180" s="358"/>
      <c r="G180" s="367"/>
      <c r="H180" s="360"/>
      <c r="I180" s="358"/>
      <c r="J180" s="358"/>
      <c r="K180" s="361"/>
      <c r="L180" s="359"/>
      <c r="M180" s="358"/>
      <c r="N180" s="359"/>
      <c r="O180" s="358"/>
      <c r="P180" s="358"/>
      <c r="Q180" s="367"/>
      <c r="R180" s="367"/>
      <c r="S180" s="359"/>
      <c r="T180" s="359"/>
      <c r="U180" s="359"/>
      <c r="V180" s="359"/>
      <c r="W180" s="359"/>
      <c r="X180" s="359"/>
      <c r="Y180" s="359"/>
      <c r="Z180" s="359"/>
      <c r="AA180" s="359"/>
      <c r="AB180" s="359"/>
      <c r="AC180" s="359"/>
      <c r="AD180" s="359"/>
      <c r="AE180" s="359"/>
      <c r="AF180" s="359"/>
      <c r="AG180" s="359"/>
      <c r="AH180" s="359"/>
      <c r="AI180" s="359"/>
      <c r="AJ180" s="359"/>
      <c r="AK180" s="359"/>
      <c r="AL180" s="359"/>
      <c r="AM180" s="359"/>
      <c r="AN180" s="359"/>
      <c r="AO180" s="359"/>
      <c r="AP180" s="359"/>
      <c r="AQ180" s="359"/>
      <c r="AR180" s="359"/>
      <c r="AS180" s="359"/>
      <c r="AT180" s="359"/>
      <c r="AU180" s="359"/>
      <c r="AV180" s="359"/>
      <c r="AW180" s="359"/>
      <c r="AX180" s="359"/>
      <c r="AY180" s="359"/>
      <c r="AZ180" s="359"/>
      <c r="BA180" s="359"/>
      <c r="BB180" s="359"/>
      <c r="BC180" s="359"/>
      <c r="BD180" s="359"/>
      <c r="BE180" s="359"/>
      <c r="BF180" s="359"/>
      <c r="BG180" s="359"/>
      <c r="BH180" s="359"/>
      <c r="BI180" s="359"/>
      <c r="BJ180" s="359"/>
      <c r="BK180" s="359"/>
      <c r="BL180" s="359"/>
    </row>
    <row r="181">
      <c r="A181" s="358"/>
      <c r="B181" s="358"/>
      <c r="C181" s="358"/>
      <c r="D181" s="358"/>
      <c r="E181" s="358"/>
      <c r="F181" s="358"/>
      <c r="G181" s="367"/>
      <c r="H181" s="360"/>
      <c r="I181" s="358"/>
      <c r="J181" s="358"/>
      <c r="K181" s="361"/>
      <c r="L181" s="359"/>
      <c r="M181" s="358"/>
      <c r="N181" s="359"/>
      <c r="O181" s="358"/>
      <c r="P181" s="358"/>
      <c r="Q181" s="367"/>
      <c r="R181" s="367"/>
      <c r="S181" s="359"/>
      <c r="T181" s="359"/>
      <c r="U181" s="359"/>
      <c r="V181" s="359"/>
      <c r="W181" s="359"/>
      <c r="X181" s="359"/>
      <c r="Y181" s="359"/>
      <c r="Z181" s="359"/>
      <c r="AA181" s="359"/>
      <c r="AB181" s="359"/>
      <c r="AC181" s="359"/>
      <c r="AD181" s="359"/>
      <c r="AE181" s="359"/>
      <c r="AF181" s="359"/>
      <c r="AG181" s="359"/>
      <c r="AH181" s="359"/>
      <c r="AI181" s="359"/>
      <c r="AJ181" s="359"/>
      <c r="AK181" s="359"/>
      <c r="AL181" s="359"/>
      <c r="AM181" s="359"/>
      <c r="AN181" s="359"/>
      <c r="AO181" s="359"/>
      <c r="AP181" s="359"/>
      <c r="AQ181" s="359"/>
      <c r="AR181" s="359"/>
      <c r="AS181" s="359"/>
      <c r="AT181" s="359"/>
      <c r="AU181" s="359"/>
      <c r="AV181" s="359"/>
      <c r="AW181" s="359"/>
      <c r="AX181" s="359"/>
      <c r="AY181" s="359"/>
      <c r="AZ181" s="359"/>
      <c r="BA181" s="359"/>
      <c r="BB181" s="359"/>
      <c r="BC181" s="359"/>
      <c r="BD181" s="359"/>
      <c r="BE181" s="359"/>
      <c r="BF181" s="359"/>
      <c r="BG181" s="359"/>
      <c r="BH181" s="359"/>
      <c r="BI181" s="359"/>
      <c r="BJ181" s="359"/>
      <c r="BK181" s="359"/>
      <c r="BL181" s="359"/>
    </row>
    <row r="182">
      <c r="A182" s="367" t="s">
        <v>3086</v>
      </c>
      <c r="C182" s="17"/>
      <c r="D182" s="17"/>
      <c r="E182" s="17"/>
      <c r="F182" s="17"/>
      <c r="G182" s="17"/>
      <c r="H182" s="356"/>
      <c r="I182" s="17"/>
      <c r="J182" s="17"/>
      <c r="K182" s="17"/>
      <c r="L182" s="17"/>
      <c r="M182" s="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row>
    <row r="183">
      <c r="A183" s="7" t="s">
        <v>219</v>
      </c>
      <c r="B183" s="179">
        <v>2.023110028E9</v>
      </c>
      <c r="C183" s="179" t="s">
        <v>3088</v>
      </c>
      <c r="D183" s="7" t="s">
        <v>3089</v>
      </c>
      <c r="E183" s="17"/>
      <c r="F183" s="7" t="s">
        <v>3090</v>
      </c>
      <c r="G183" s="7" t="s">
        <v>3091</v>
      </c>
      <c r="H183" s="144" t="s">
        <v>3092</v>
      </c>
      <c r="I183" s="7" t="s">
        <v>3093</v>
      </c>
      <c r="J183" s="7" t="s">
        <v>1091</v>
      </c>
      <c r="K183" s="235">
        <v>44832.0</v>
      </c>
      <c r="L183" s="7" t="s">
        <v>1098</v>
      </c>
      <c r="M183" s="7" t="s">
        <v>1108</v>
      </c>
      <c r="N183" s="7" t="s">
        <v>1466</v>
      </c>
      <c r="O183" s="7" t="s">
        <v>1129</v>
      </c>
      <c r="P183" s="17"/>
      <c r="Q183" s="7" t="s">
        <v>3094</v>
      </c>
      <c r="R183" s="7" t="s">
        <v>3095</v>
      </c>
      <c r="S183" s="17"/>
      <c r="T183" s="7" t="s">
        <v>3084</v>
      </c>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row>
    <row r="184">
      <c r="A184" s="7" t="s">
        <v>1010</v>
      </c>
      <c r="B184" s="179">
        <v>2.023120013E9</v>
      </c>
      <c r="C184" s="7" t="s">
        <v>3096</v>
      </c>
      <c r="D184" s="7" t="s">
        <v>3097</v>
      </c>
      <c r="E184" s="7" t="s">
        <v>3098</v>
      </c>
      <c r="F184" s="7" t="s">
        <v>3099</v>
      </c>
      <c r="G184" s="7" t="s">
        <v>3100</v>
      </c>
      <c r="H184" s="144" t="s">
        <v>3101</v>
      </c>
      <c r="I184" s="381"/>
      <c r="J184" s="7" t="s">
        <v>1091</v>
      </c>
      <c r="K184" s="235">
        <v>44832.0</v>
      </c>
      <c r="L184" s="7" t="s">
        <v>1098</v>
      </c>
      <c r="M184" s="7" t="s">
        <v>1108</v>
      </c>
      <c r="N184" s="17"/>
      <c r="O184" s="7" t="s">
        <v>1129</v>
      </c>
      <c r="P184" s="17"/>
      <c r="Q184" s="7" t="s">
        <v>3102</v>
      </c>
      <c r="R184" s="7" t="s">
        <v>2099</v>
      </c>
      <c r="S184" s="17"/>
      <c r="T184" s="7" t="s">
        <v>3103</v>
      </c>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row>
    <row r="185">
      <c r="A185" s="7" t="s">
        <v>1212</v>
      </c>
      <c r="B185" s="7">
        <v>2.024010011E9</v>
      </c>
      <c r="C185" s="7" t="s">
        <v>3104</v>
      </c>
      <c r="D185" s="7" t="s">
        <v>3105</v>
      </c>
      <c r="E185" s="7" t="s">
        <v>3106</v>
      </c>
      <c r="F185" s="7" t="s">
        <v>3107</v>
      </c>
      <c r="G185" s="7" t="s">
        <v>3108</v>
      </c>
      <c r="H185" s="144" t="s">
        <v>3110</v>
      </c>
      <c r="I185" s="17"/>
      <c r="J185" s="7" t="s">
        <v>1091</v>
      </c>
      <c r="K185" s="235">
        <v>44832.0</v>
      </c>
      <c r="L185" s="17"/>
      <c r="M185" s="7" t="s">
        <v>1746</v>
      </c>
      <c r="N185" s="17"/>
      <c r="O185" s="7" t="s">
        <v>1129</v>
      </c>
      <c r="P185" s="7"/>
      <c r="Q185" s="7" t="s">
        <v>3112</v>
      </c>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row>
    <row r="186">
      <c r="A186" s="179" t="s">
        <v>219</v>
      </c>
      <c r="B186" s="179">
        <v>2.023110025E9</v>
      </c>
      <c r="C186" s="179" t="s">
        <v>3114</v>
      </c>
      <c r="D186" s="179" t="s">
        <v>3116</v>
      </c>
      <c r="E186" s="179" t="s">
        <v>3117</v>
      </c>
      <c r="F186" s="179" t="s">
        <v>3107</v>
      </c>
      <c r="G186" s="179" t="s">
        <v>3118</v>
      </c>
      <c r="H186" s="322" t="s">
        <v>3119</v>
      </c>
      <c r="I186" s="179">
        <v>8.3674337E8</v>
      </c>
      <c r="J186" s="179" t="s">
        <v>1091</v>
      </c>
      <c r="K186" s="323">
        <v>44832.0</v>
      </c>
      <c r="L186" s="179" t="s">
        <v>1098</v>
      </c>
      <c r="M186" s="7" t="s">
        <v>1108</v>
      </c>
      <c r="N186" s="179" t="s">
        <v>1466</v>
      </c>
      <c r="O186" s="179" t="s">
        <v>1578</v>
      </c>
      <c r="P186" s="179" t="s">
        <v>3121</v>
      </c>
      <c r="Q186" s="179" t="s">
        <v>3122</v>
      </c>
      <c r="R186" s="7" t="s">
        <v>3124</v>
      </c>
      <c r="S186" s="324"/>
      <c r="T186" s="367" t="s">
        <v>3084</v>
      </c>
      <c r="U186" s="324"/>
      <c r="V186" s="324"/>
      <c r="W186" s="324"/>
      <c r="X186" s="324"/>
      <c r="Y186" s="324"/>
      <c r="Z186" s="324"/>
      <c r="AA186" s="324"/>
      <c r="AB186" s="324"/>
      <c r="AC186" s="324"/>
      <c r="AD186" s="324"/>
      <c r="AE186" s="324"/>
      <c r="AF186" s="324"/>
      <c r="AG186" s="324"/>
      <c r="AH186" s="324"/>
      <c r="AI186" s="324"/>
      <c r="AJ186" s="324"/>
      <c r="AK186" s="324"/>
      <c r="AL186" s="324"/>
      <c r="AM186" s="324"/>
      <c r="AN186" s="324"/>
      <c r="AO186" s="324"/>
      <c r="AP186" s="324"/>
      <c r="AQ186" s="324"/>
      <c r="AR186" s="324"/>
      <c r="AS186" s="324"/>
      <c r="AT186" s="324"/>
      <c r="AU186" s="324"/>
      <c r="AV186" s="324"/>
      <c r="AW186" s="324"/>
      <c r="AX186" s="324"/>
      <c r="AY186" s="324"/>
      <c r="AZ186" s="324"/>
      <c r="BA186" s="324"/>
      <c r="BB186" s="324"/>
      <c r="BC186" s="324"/>
      <c r="BD186" s="324"/>
      <c r="BE186" s="324"/>
      <c r="BF186" s="324"/>
      <c r="BG186" s="324"/>
      <c r="BH186" s="324"/>
      <c r="BI186" s="324"/>
      <c r="BJ186" s="324"/>
      <c r="BK186" s="324"/>
      <c r="BL186" s="324"/>
    </row>
    <row r="187">
      <c r="A187" s="367" t="s">
        <v>1212</v>
      </c>
      <c r="B187" s="358">
        <v>2.023110023E9</v>
      </c>
      <c r="C187" s="358" t="s">
        <v>3127</v>
      </c>
      <c r="D187" s="367" t="s">
        <v>3128</v>
      </c>
      <c r="E187" s="367" t="s">
        <v>3129</v>
      </c>
      <c r="F187" s="367" t="s">
        <v>3107</v>
      </c>
      <c r="G187" s="367" t="s">
        <v>3130</v>
      </c>
      <c r="H187" s="375" t="s">
        <v>3110</v>
      </c>
      <c r="I187" s="367" t="s">
        <v>3132</v>
      </c>
      <c r="J187" s="367" t="s">
        <v>1091</v>
      </c>
      <c r="K187" s="377">
        <v>44832.0</v>
      </c>
      <c r="L187" s="367" t="s">
        <v>1098</v>
      </c>
      <c r="M187" s="367" t="s">
        <v>1108</v>
      </c>
      <c r="N187" s="367" t="s">
        <v>1466</v>
      </c>
      <c r="O187" s="367" t="s">
        <v>1129</v>
      </c>
      <c r="P187" s="367" t="s">
        <v>3133</v>
      </c>
      <c r="Q187" s="367" t="s">
        <v>3134</v>
      </c>
      <c r="R187" s="379"/>
      <c r="S187" s="382" t="s">
        <v>3135</v>
      </c>
      <c r="T187" s="367" t="s">
        <v>3084</v>
      </c>
      <c r="U187" s="379"/>
      <c r="V187" s="379"/>
      <c r="W187" s="379"/>
      <c r="X187" s="379"/>
      <c r="Y187" s="379"/>
      <c r="Z187" s="379"/>
      <c r="AA187" s="379"/>
      <c r="AB187" s="379"/>
      <c r="AC187" s="379"/>
      <c r="AD187" s="379"/>
      <c r="AE187" s="379"/>
      <c r="AF187" s="379"/>
      <c r="AG187" s="379"/>
      <c r="AH187" s="379"/>
      <c r="AI187" s="379"/>
      <c r="AJ187" s="379"/>
      <c r="AK187" s="379"/>
      <c r="AL187" s="379"/>
      <c r="AM187" s="379"/>
      <c r="AN187" s="379"/>
      <c r="AO187" s="379"/>
      <c r="AP187" s="379"/>
      <c r="AQ187" s="379"/>
      <c r="AR187" s="379"/>
      <c r="AS187" s="379"/>
      <c r="AT187" s="379"/>
      <c r="AU187" s="379"/>
      <c r="AV187" s="379"/>
      <c r="AW187" s="379"/>
      <c r="AX187" s="379"/>
      <c r="AY187" s="379"/>
      <c r="AZ187" s="379"/>
      <c r="BA187" s="379"/>
      <c r="BB187" s="379"/>
      <c r="BC187" s="379"/>
      <c r="BD187" s="379"/>
      <c r="BE187" s="379"/>
      <c r="BF187" s="379"/>
      <c r="BG187" s="379"/>
      <c r="BH187" s="379"/>
      <c r="BI187" s="379"/>
      <c r="BJ187" s="379"/>
      <c r="BK187" s="379"/>
      <c r="BL187" s="379"/>
    </row>
    <row r="188">
      <c r="A188" s="7" t="s">
        <v>1391</v>
      </c>
      <c r="B188" s="7">
        <v>2.024010002E9</v>
      </c>
      <c r="C188" s="7" t="s">
        <v>3137</v>
      </c>
      <c r="D188" s="7" t="s">
        <v>3138</v>
      </c>
      <c r="E188" s="17"/>
      <c r="F188" s="7" t="s">
        <v>3139</v>
      </c>
      <c r="G188" s="7" t="s">
        <v>3140</v>
      </c>
      <c r="H188" s="144" t="s">
        <v>3141</v>
      </c>
      <c r="I188" s="17"/>
      <c r="J188" s="7" t="s">
        <v>1091</v>
      </c>
      <c r="K188" s="235">
        <v>44832.0</v>
      </c>
      <c r="L188" s="7" t="s">
        <v>2190</v>
      </c>
      <c r="M188" s="7" t="s">
        <v>1108</v>
      </c>
      <c r="N188" s="17"/>
      <c r="O188" s="7" t="s">
        <v>1129</v>
      </c>
      <c r="P188" s="17"/>
      <c r="Q188" s="7" t="s">
        <v>3142</v>
      </c>
      <c r="R188" s="7" t="s">
        <v>3143</v>
      </c>
      <c r="S188" s="17"/>
      <c r="T188" s="7" t="s">
        <v>3144</v>
      </c>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row>
    <row r="189">
      <c r="A189" s="383"/>
      <c r="B189" s="383"/>
      <c r="C189" s="17"/>
      <c r="D189" s="17"/>
      <c r="E189" s="17"/>
      <c r="F189" s="17"/>
      <c r="G189" s="17"/>
      <c r="H189" s="356"/>
      <c r="I189" s="17"/>
      <c r="J189" s="17"/>
      <c r="K189" s="17"/>
      <c r="L189" s="17"/>
      <c r="M189" s="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row>
    <row r="190">
      <c r="A190" s="383"/>
      <c r="B190" s="383"/>
      <c r="C190" s="17"/>
      <c r="D190" s="17"/>
      <c r="E190" s="17"/>
      <c r="F190" s="17"/>
      <c r="G190" s="17"/>
      <c r="H190" s="356"/>
      <c r="I190" s="17"/>
      <c r="J190" s="17"/>
      <c r="K190" s="17"/>
      <c r="L190" s="17"/>
      <c r="M190" s="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row>
    <row r="191">
      <c r="A191" s="383"/>
      <c r="B191" s="383"/>
      <c r="C191" s="17"/>
      <c r="D191" s="17"/>
      <c r="E191" s="17"/>
      <c r="F191" s="17"/>
      <c r="G191" s="17"/>
      <c r="H191" s="356"/>
      <c r="I191" s="17"/>
      <c r="J191" s="17"/>
      <c r="K191" s="17"/>
      <c r="L191" s="17"/>
      <c r="M191" s="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row>
    <row r="192">
      <c r="A192" s="383" t="s">
        <v>1447</v>
      </c>
      <c r="C192" s="17"/>
      <c r="D192" s="17"/>
      <c r="E192" s="17"/>
      <c r="F192" s="17"/>
      <c r="G192" s="17"/>
      <c r="H192" s="356"/>
      <c r="I192" s="17"/>
      <c r="J192" s="17"/>
      <c r="K192" s="17"/>
      <c r="L192" s="17"/>
      <c r="M192" s="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row>
    <row r="193">
      <c r="A193" s="127" t="s">
        <v>1590</v>
      </c>
      <c r="B193" s="127">
        <v>2.02310001E9</v>
      </c>
      <c r="C193" s="127" t="s">
        <v>3071</v>
      </c>
      <c r="D193" s="127" t="s">
        <v>3072</v>
      </c>
      <c r="E193" s="127" t="s">
        <v>3073</v>
      </c>
      <c r="F193" s="127" t="s">
        <v>70</v>
      </c>
      <c r="G193" s="113" t="s">
        <v>3074</v>
      </c>
      <c r="H193" s="385" t="s">
        <v>3077</v>
      </c>
      <c r="I193" s="386"/>
      <c r="J193" s="127" t="s">
        <v>1091</v>
      </c>
      <c r="K193" s="387">
        <v>44832.0</v>
      </c>
      <c r="L193" s="386"/>
      <c r="M193" s="7" t="s">
        <v>1411</v>
      </c>
      <c r="N193" s="386"/>
      <c r="O193" s="127" t="s">
        <v>1129</v>
      </c>
      <c r="P193" s="386"/>
      <c r="Q193" s="127" t="s">
        <v>3081</v>
      </c>
      <c r="R193" s="127" t="s">
        <v>3150</v>
      </c>
      <c r="S193" s="386"/>
      <c r="T193" s="386"/>
      <c r="U193" s="386"/>
      <c r="V193" s="386"/>
      <c r="W193" s="386"/>
      <c r="X193" s="386"/>
      <c r="Y193" s="386"/>
      <c r="Z193" s="386"/>
      <c r="AA193" s="386"/>
      <c r="AB193" s="386"/>
      <c r="AC193" s="386"/>
      <c r="AD193" s="386"/>
      <c r="AE193" s="386"/>
      <c r="AF193" s="386"/>
      <c r="AG193" s="386"/>
      <c r="AH193" s="386"/>
      <c r="AI193" s="386"/>
      <c r="AJ193" s="386"/>
      <c r="AK193" s="386"/>
      <c r="AL193" s="386"/>
      <c r="AM193" s="386"/>
      <c r="AN193" s="386"/>
      <c r="AO193" s="386"/>
      <c r="AP193" s="386"/>
      <c r="AQ193" s="386"/>
      <c r="AR193" s="386"/>
      <c r="AS193" s="386"/>
      <c r="AT193" s="386"/>
      <c r="AU193" s="386"/>
      <c r="AV193" s="386"/>
      <c r="AW193" s="386"/>
      <c r="AX193" s="386"/>
      <c r="AY193" s="386"/>
      <c r="AZ193" s="386"/>
      <c r="BA193" s="386"/>
      <c r="BB193" s="386"/>
      <c r="BC193" s="386"/>
      <c r="BD193" s="386"/>
      <c r="BE193" s="386"/>
      <c r="BF193" s="386"/>
      <c r="BG193" s="386"/>
      <c r="BH193" s="386"/>
      <c r="BI193" s="386"/>
      <c r="BJ193" s="386"/>
      <c r="BK193" s="386"/>
      <c r="BL193" s="386"/>
    </row>
    <row r="194">
      <c r="A194" s="179" t="s">
        <v>1391</v>
      </c>
      <c r="B194" s="179">
        <v>2.024010029E9</v>
      </c>
      <c r="C194" s="179" t="s">
        <v>3111</v>
      </c>
      <c r="D194" s="179" t="s">
        <v>3113</v>
      </c>
      <c r="E194" s="179" t="s">
        <v>3125</v>
      </c>
      <c r="F194" s="179" t="s">
        <v>91</v>
      </c>
      <c r="G194" s="179" t="s">
        <v>3126</v>
      </c>
      <c r="H194" s="322" t="s">
        <v>3131</v>
      </c>
      <c r="I194" s="179">
        <v>3.300418751E9</v>
      </c>
      <c r="J194" s="179" t="s">
        <v>1091</v>
      </c>
      <c r="K194" s="323">
        <v>44832.0</v>
      </c>
      <c r="L194" s="324"/>
      <c r="M194" s="179" t="s">
        <v>1411</v>
      </c>
      <c r="N194" s="324"/>
      <c r="O194" s="179" t="s">
        <v>1129</v>
      </c>
      <c r="P194" s="179" t="s">
        <v>3146</v>
      </c>
      <c r="Q194" s="310" t="s">
        <v>3148</v>
      </c>
      <c r="R194" s="310" t="s">
        <v>3151</v>
      </c>
      <c r="S194" s="324"/>
      <c r="T194" s="324"/>
      <c r="U194" s="324"/>
      <c r="V194" s="324"/>
      <c r="W194" s="324"/>
      <c r="X194" s="324"/>
      <c r="Y194" s="324"/>
      <c r="Z194" s="324"/>
      <c r="AA194" s="324"/>
      <c r="AB194" s="324"/>
      <c r="AC194" s="324"/>
      <c r="AD194" s="324"/>
      <c r="AE194" s="324"/>
      <c r="AF194" s="324"/>
      <c r="AG194" s="324"/>
      <c r="AH194" s="324"/>
      <c r="AI194" s="324"/>
      <c r="AJ194" s="324"/>
      <c r="AK194" s="324"/>
      <c r="AL194" s="324"/>
      <c r="AM194" s="324"/>
      <c r="AN194" s="324"/>
      <c r="AO194" s="324"/>
      <c r="AP194" s="324"/>
      <c r="AQ194" s="324"/>
      <c r="AR194" s="324"/>
      <c r="AS194" s="324"/>
      <c r="AT194" s="324"/>
      <c r="AU194" s="324"/>
      <c r="AV194" s="324"/>
      <c r="AW194" s="324"/>
      <c r="AX194" s="324"/>
      <c r="AY194" s="324"/>
      <c r="AZ194" s="324"/>
      <c r="BA194" s="324"/>
      <c r="BB194" s="324"/>
      <c r="BC194" s="324"/>
      <c r="BD194" s="324"/>
      <c r="BE194" s="324"/>
      <c r="BF194" s="324"/>
      <c r="BG194" s="324"/>
      <c r="BH194" s="324"/>
      <c r="BI194" s="324"/>
      <c r="BJ194" s="324"/>
      <c r="BK194" s="324"/>
      <c r="BL194" s="324"/>
    </row>
    <row r="195">
      <c r="A195" s="17"/>
      <c r="B195" s="17"/>
      <c r="C195" s="17"/>
      <c r="D195" s="17"/>
      <c r="E195" s="17"/>
      <c r="F195" s="17"/>
      <c r="G195" s="17"/>
      <c r="H195" s="356"/>
      <c r="I195" s="17"/>
      <c r="J195" s="17"/>
      <c r="K195" s="17"/>
      <c r="L195" s="17"/>
      <c r="M195" s="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row>
    <row r="196">
      <c r="A196" s="17"/>
      <c r="B196" s="17"/>
      <c r="C196" s="17"/>
      <c r="D196" s="17"/>
      <c r="E196" s="17"/>
      <c r="F196" s="17"/>
      <c r="G196" s="17"/>
      <c r="H196" s="356"/>
      <c r="I196" s="17"/>
      <c r="J196" s="17"/>
      <c r="K196" s="17"/>
      <c r="L196" s="17"/>
      <c r="M196" s="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row>
    <row r="197">
      <c r="A197" s="324"/>
      <c r="B197" s="324"/>
      <c r="C197" s="179" t="s">
        <v>3152</v>
      </c>
      <c r="D197" s="324"/>
      <c r="E197" s="324"/>
      <c r="F197" s="324"/>
      <c r="G197" s="324"/>
      <c r="H197" s="390"/>
      <c r="I197" s="324"/>
      <c r="J197" s="324"/>
      <c r="K197" s="324"/>
      <c r="L197" s="324"/>
      <c r="M197" s="179"/>
      <c r="N197" s="324"/>
      <c r="O197" s="324"/>
      <c r="P197" s="324"/>
      <c r="Q197" s="179" t="s">
        <v>3153</v>
      </c>
      <c r="R197" s="324"/>
      <c r="S197" s="324"/>
      <c r="T197" s="324"/>
      <c r="U197" s="324"/>
      <c r="V197" s="324"/>
      <c r="W197" s="324"/>
      <c r="X197" s="324"/>
      <c r="Y197" s="324"/>
      <c r="Z197" s="324"/>
      <c r="AA197" s="324"/>
      <c r="AB197" s="324"/>
      <c r="AC197" s="324"/>
      <c r="AD197" s="324"/>
      <c r="AE197" s="324"/>
      <c r="AF197" s="324"/>
      <c r="AG197" s="324"/>
      <c r="AH197" s="324"/>
      <c r="AI197" s="324"/>
      <c r="AJ197" s="324"/>
      <c r="AK197" s="324"/>
      <c r="AL197" s="324"/>
      <c r="AM197" s="324"/>
      <c r="AN197" s="324"/>
      <c r="AO197" s="324"/>
      <c r="AP197" s="324"/>
      <c r="AQ197" s="324"/>
      <c r="AR197" s="324"/>
      <c r="AS197" s="324"/>
      <c r="AT197" s="324"/>
      <c r="AU197" s="324"/>
      <c r="AV197" s="324"/>
      <c r="AW197" s="324"/>
      <c r="AX197" s="324"/>
      <c r="AY197" s="324"/>
      <c r="AZ197" s="324"/>
      <c r="BA197" s="324"/>
      <c r="BB197" s="324"/>
      <c r="BC197" s="324"/>
      <c r="BD197" s="324"/>
      <c r="BE197" s="324"/>
      <c r="BF197" s="324"/>
      <c r="BG197" s="324"/>
      <c r="BH197" s="324"/>
      <c r="BI197" s="324"/>
      <c r="BJ197" s="324"/>
      <c r="BK197" s="324"/>
      <c r="BL197" s="324"/>
    </row>
    <row r="198">
      <c r="A198" s="17"/>
      <c r="B198" s="17"/>
      <c r="C198" s="17"/>
      <c r="D198" s="17"/>
      <c r="E198" s="17"/>
      <c r="F198" s="17"/>
      <c r="G198" s="17"/>
      <c r="H198" s="356"/>
      <c r="I198" s="17"/>
      <c r="J198" s="17"/>
      <c r="K198" s="17"/>
      <c r="L198" s="17"/>
      <c r="M198" s="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row>
    <row r="199">
      <c r="A199" s="17"/>
      <c r="B199" s="17"/>
      <c r="C199" s="17"/>
      <c r="D199" s="17"/>
      <c r="E199" s="17"/>
      <c r="F199" s="17"/>
      <c r="G199" s="17"/>
      <c r="H199" s="356"/>
      <c r="I199" s="17"/>
      <c r="J199" s="17"/>
      <c r="K199" s="17"/>
      <c r="L199" s="17"/>
      <c r="M199" s="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row>
    <row r="200">
      <c r="A200" s="17"/>
      <c r="B200" s="17"/>
      <c r="C200" s="17"/>
      <c r="D200" s="17"/>
      <c r="E200" s="17"/>
      <c r="F200" s="17"/>
      <c r="G200" s="17"/>
      <c r="H200" s="356"/>
      <c r="I200" s="17"/>
      <c r="J200" s="17"/>
      <c r="K200" s="17"/>
      <c r="L200" s="17"/>
      <c r="M200" s="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row>
    <row r="201">
      <c r="A201" s="17"/>
      <c r="B201" s="17"/>
      <c r="C201" s="17"/>
      <c r="D201" s="17"/>
      <c r="E201" s="17"/>
      <c r="F201" s="17"/>
      <c r="G201" s="17"/>
      <c r="H201" s="356"/>
      <c r="I201" s="17"/>
      <c r="J201" s="17"/>
      <c r="K201" s="17"/>
      <c r="L201" s="17"/>
      <c r="M201" s="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row>
    <row r="202">
      <c r="A202" s="17"/>
      <c r="B202" s="17"/>
      <c r="C202" s="17"/>
      <c r="D202" s="17"/>
      <c r="E202" s="17"/>
      <c r="F202" s="17"/>
      <c r="G202" s="17"/>
      <c r="H202" s="356"/>
      <c r="I202" s="17"/>
      <c r="J202" s="17"/>
      <c r="K202" s="17"/>
      <c r="L202" s="17"/>
      <c r="M202" s="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row>
    <row r="203">
      <c r="A203" s="17"/>
      <c r="B203" s="17"/>
      <c r="C203" s="17"/>
      <c r="D203" s="17"/>
      <c r="E203" s="17"/>
      <c r="F203" s="17"/>
      <c r="G203" s="17"/>
      <c r="H203" s="356"/>
      <c r="I203" s="17"/>
      <c r="J203" s="17"/>
      <c r="K203" s="17"/>
      <c r="L203" s="17"/>
      <c r="M203" s="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row>
    <row r="204">
      <c r="A204" s="17"/>
      <c r="B204" s="17"/>
      <c r="C204" s="17"/>
      <c r="D204" s="17"/>
      <c r="E204" s="17"/>
      <c r="F204" s="17"/>
      <c r="G204" s="17"/>
      <c r="H204" s="356"/>
      <c r="I204" s="17"/>
      <c r="J204" s="17"/>
      <c r="K204" s="17"/>
      <c r="L204" s="17"/>
      <c r="M204" s="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row>
    <row r="205">
      <c r="A205" s="17"/>
      <c r="B205" s="17"/>
      <c r="C205" s="17"/>
      <c r="D205" s="17"/>
      <c r="E205" s="17"/>
      <c r="F205" s="17"/>
      <c r="G205" s="17"/>
      <c r="H205" s="356"/>
      <c r="I205" s="17"/>
      <c r="J205" s="17"/>
      <c r="K205" s="17"/>
      <c r="L205" s="17"/>
      <c r="M205" s="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row>
    <row r="206">
      <c r="A206" s="17"/>
      <c r="B206" s="17"/>
      <c r="C206" s="17"/>
      <c r="D206" s="17"/>
      <c r="E206" s="17"/>
      <c r="F206" s="17"/>
      <c r="G206" s="17"/>
      <c r="H206" s="356"/>
      <c r="I206" s="17"/>
      <c r="J206" s="17"/>
      <c r="K206" s="17"/>
      <c r="L206" s="17"/>
      <c r="M206" s="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row>
    <row r="207">
      <c r="A207" s="17"/>
      <c r="B207" s="17"/>
      <c r="C207" s="17"/>
      <c r="D207" s="17"/>
      <c r="E207" s="17"/>
      <c r="F207" s="17"/>
      <c r="G207" s="17"/>
      <c r="H207" s="356"/>
      <c r="I207" s="17"/>
      <c r="J207" s="17"/>
      <c r="K207" s="17"/>
      <c r="L207" s="17"/>
      <c r="M207" s="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row>
    <row r="208">
      <c r="A208" s="17"/>
      <c r="B208" s="17"/>
      <c r="C208" s="17"/>
      <c r="D208" s="17"/>
      <c r="E208" s="17"/>
      <c r="F208" s="17"/>
      <c r="G208" s="17"/>
      <c r="H208" s="356"/>
      <c r="I208" s="17"/>
      <c r="J208" s="17"/>
      <c r="K208" s="17"/>
      <c r="L208" s="17"/>
      <c r="M208" s="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row>
    <row r="209">
      <c r="A209" s="17"/>
      <c r="B209" s="17"/>
      <c r="C209" s="17"/>
      <c r="D209" s="17"/>
      <c r="E209" s="17"/>
      <c r="F209" s="17"/>
      <c r="G209" s="17"/>
      <c r="H209" s="356"/>
      <c r="I209" s="17"/>
      <c r="J209" s="17"/>
      <c r="K209" s="17"/>
      <c r="L209" s="17"/>
      <c r="M209" s="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row>
    <row r="210">
      <c r="A210" s="17"/>
      <c r="B210" s="17"/>
      <c r="C210" s="17"/>
      <c r="D210" s="17"/>
      <c r="E210" s="17"/>
      <c r="F210" s="17"/>
      <c r="G210" s="17"/>
      <c r="H210" s="356"/>
      <c r="I210" s="17"/>
      <c r="J210" s="17"/>
      <c r="K210" s="17"/>
      <c r="L210" s="17"/>
      <c r="M210" s="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row>
    <row r="211">
      <c r="A211" s="17"/>
      <c r="B211" s="17"/>
      <c r="C211" s="17"/>
      <c r="D211" s="17"/>
      <c r="E211" s="17"/>
      <c r="F211" s="17"/>
      <c r="G211" s="17"/>
      <c r="H211" s="356"/>
      <c r="I211" s="17"/>
      <c r="J211" s="17"/>
      <c r="K211" s="17"/>
      <c r="L211" s="17"/>
      <c r="M211" s="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row>
    <row r="212">
      <c r="A212" s="17"/>
      <c r="B212" s="17"/>
      <c r="C212" s="17"/>
      <c r="D212" s="17"/>
      <c r="E212" s="17"/>
      <c r="F212" s="17"/>
      <c r="G212" s="17"/>
      <c r="H212" s="356"/>
      <c r="I212" s="17"/>
      <c r="J212" s="17"/>
      <c r="K212" s="17"/>
      <c r="L212" s="17"/>
      <c r="M212" s="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row>
    <row r="213">
      <c r="A213" s="17"/>
      <c r="B213" s="17"/>
      <c r="C213" s="17"/>
      <c r="D213" s="17"/>
      <c r="E213" s="17"/>
      <c r="F213" s="17"/>
      <c r="G213" s="17"/>
      <c r="H213" s="356"/>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row>
    <row r="214">
      <c r="A214" s="17"/>
      <c r="B214" s="17"/>
      <c r="C214" s="17"/>
      <c r="D214" s="17"/>
      <c r="E214" s="17"/>
      <c r="F214" s="17"/>
      <c r="G214" s="17"/>
      <c r="H214" s="356"/>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row>
    <row r="215">
      <c r="A215" s="17"/>
      <c r="B215" s="17"/>
      <c r="C215" s="17"/>
      <c r="D215" s="17"/>
      <c r="E215" s="17"/>
      <c r="F215" s="17"/>
      <c r="G215" s="17"/>
      <c r="H215" s="356"/>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row>
    <row r="216">
      <c r="A216" s="17"/>
      <c r="B216" s="17"/>
      <c r="C216" s="17"/>
      <c r="D216" s="17"/>
      <c r="E216" s="17"/>
      <c r="F216" s="17"/>
      <c r="G216" s="17"/>
      <c r="H216" s="356"/>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row>
    <row r="217">
      <c r="A217" s="17"/>
      <c r="B217" s="17"/>
      <c r="C217" s="17"/>
      <c r="D217" s="17"/>
      <c r="E217" s="17"/>
      <c r="F217" s="17"/>
      <c r="G217" s="17"/>
      <c r="H217" s="356"/>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row>
    <row r="218">
      <c r="A218" s="17"/>
      <c r="B218" s="17"/>
      <c r="C218" s="17"/>
      <c r="D218" s="17"/>
      <c r="E218" s="17"/>
      <c r="F218" s="17"/>
      <c r="G218" s="17"/>
      <c r="H218" s="356"/>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row>
    <row r="219">
      <c r="A219" s="17"/>
      <c r="B219" s="17"/>
      <c r="C219" s="17"/>
      <c r="D219" s="17"/>
      <c r="E219" s="17"/>
      <c r="F219" s="17"/>
      <c r="G219" s="17"/>
      <c r="H219" s="356"/>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row>
    <row r="220">
      <c r="A220" s="17"/>
      <c r="B220" s="17"/>
      <c r="C220" s="17"/>
      <c r="D220" s="17"/>
      <c r="E220" s="17"/>
      <c r="F220" s="17"/>
      <c r="G220" s="17"/>
      <c r="H220" s="356"/>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row>
    <row r="221">
      <c r="A221" s="17"/>
      <c r="B221" s="17"/>
      <c r="C221" s="17"/>
      <c r="D221" s="17"/>
      <c r="E221" s="17"/>
      <c r="F221" s="17"/>
      <c r="G221" s="17"/>
      <c r="H221" s="356"/>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row>
    <row r="222">
      <c r="A222" s="17"/>
      <c r="B222" s="17"/>
      <c r="C222" s="17"/>
      <c r="D222" s="17"/>
      <c r="E222" s="17"/>
      <c r="F222" s="17"/>
      <c r="G222" s="17"/>
      <c r="H222" s="356"/>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row>
    <row r="223">
      <c r="A223" s="17"/>
      <c r="B223" s="17"/>
      <c r="C223" s="17"/>
      <c r="D223" s="17"/>
      <c r="E223" s="17"/>
      <c r="F223" s="17"/>
      <c r="G223" s="17"/>
      <c r="H223" s="356"/>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row>
    <row r="224">
      <c r="A224" s="17"/>
      <c r="B224" s="17"/>
      <c r="C224" s="17"/>
      <c r="D224" s="17"/>
      <c r="E224" s="17"/>
      <c r="F224" s="17"/>
      <c r="G224" s="17"/>
      <c r="H224" s="356"/>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row>
    <row r="225">
      <c r="A225" s="17"/>
      <c r="B225" s="17"/>
      <c r="C225" s="17"/>
      <c r="D225" s="17"/>
      <c r="E225" s="17"/>
      <c r="F225" s="17"/>
      <c r="G225" s="17"/>
      <c r="H225" s="356"/>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row>
    <row r="226">
      <c r="A226" s="17"/>
      <c r="B226" s="17"/>
      <c r="C226" s="17"/>
      <c r="D226" s="17"/>
      <c r="E226" s="17"/>
      <c r="F226" s="17"/>
      <c r="G226" s="17"/>
      <c r="H226" s="356"/>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row>
    <row r="227">
      <c r="A227" s="17"/>
      <c r="B227" s="17"/>
      <c r="C227" s="17"/>
      <c r="D227" s="17"/>
      <c r="E227" s="17"/>
      <c r="F227" s="17"/>
      <c r="G227" s="17"/>
      <c r="H227" s="356"/>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row>
    <row r="228">
      <c r="A228" s="17"/>
      <c r="B228" s="17"/>
      <c r="C228" s="17"/>
      <c r="D228" s="17"/>
      <c r="E228" s="17"/>
      <c r="F228" s="17"/>
      <c r="G228" s="17"/>
      <c r="H228" s="356"/>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row>
    <row r="229">
      <c r="A229" s="17"/>
      <c r="B229" s="17"/>
      <c r="C229" s="17"/>
      <c r="D229" s="17"/>
      <c r="E229" s="17"/>
      <c r="F229" s="17"/>
      <c r="G229" s="17"/>
      <c r="H229" s="356"/>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row>
    <row r="230">
      <c r="A230" s="17"/>
      <c r="B230" s="17"/>
      <c r="C230" s="17"/>
      <c r="D230" s="17"/>
      <c r="E230" s="17"/>
      <c r="F230" s="17"/>
      <c r="G230" s="17"/>
      <c r="H230" s="356"/>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row>
    <row r="231">
      <c r="A231" s="17"/>
      <c r="B231" s="17"/>
      <c r="C231" s="17"/>
      <c r="D231" s="17"/>
      <c r="E231" s="17"/>
      <c r="F231" s="17"/>
      <c r="G231" s="17"/>
      <c r="H231" s="356"/>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row>
    <row r="232">
      <c r="A232" s="17"/>
      <c r="B232" s="17"/>
      <c r="C232" s="17"/>
      <c r="D232" s="17"/>
      <c r="E232" s="17"/>
      <c r="F232" s="17"/>
      <c r="G232" s="17"/>
      <c r="H232" s="356"/>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row>
    <row r="233">
      <c r="A233" s="17"/>
      <c r="B233" s="17"/>
      <c r="C233" s="17"/>
      <c r="D233" s="17"/>
      <c r="E233" s="17"/>
      <c r="F233" s="17"/>
      <c r="G233" s="17"/>
      <c r="H233" s="356"/>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row>
    <row r="234">
      <c r="A234" s="17"/>
      <c r="B234" s="17"/>
      <c r="C234" s="17"/>
      <c r="D234" s="17"/>
      <c r="E234" s="17"/>
      <c r="F234" s="17"/>
      <c r="G234" s="17"/>
      <c r="H234" s="356"/>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row>
    <row r="235">
      <c r="A235" s="17"/>
      <c r="B235" s="17"/>
      <c r="C235" s="17"/>
      <c r="D235" s="17"/>
      <c r="E235" s="17"/>
      <c r="F235" s="17"/>
      <c r="G235" s="17"/>
      <c r="H235" s="356"/>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row>
    <row r="236">
      <c r="A236" s="17"/>
      <c r="B236" s="17"/>
      <c r="C236" s="17"/>
      <c r="D236" s="17"/>
      <c r="E236" s="17"/>
      <c r="F236" s="17"/>
      <c r="G236" s="17"/>
      <c r="H236" s="356"/>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row>
    <row r="237">
      <c r="A237" s="17"/>
      <c r="B237" s="17"/>
      <c r="C237" s="17"/>
      <c r="D237" s="17"/>
      <c r="E237" s="17"/>
      <c r="F237" s="17"/>
      <c r="G237" s="17"/>
      <c r="H237" s="356"/>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row>
    <row r="238">
      <c r="A238" s="17"/>
      <c r="B238" s="17"/>
      <c r="C238" s="17"/>
      <c r="D238" s="17"/>
      <c r="E238" s="17"/>
      <c r="F238" s="17"/>
      <c r="G238" s="17"/>
      <c r="H238" s="356"/>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row>
    <row r="239">
      <c r="A239" s="17"/>
      <c r="B239" s="17"/>
      <c r="C239" s="17"/>
      <c r="D239" s="17"/>
      <c r="E239" s="17"/>
      <c r="F239" s="17"/>
      <c r="G239" s="17"/>
      <c r="H239" s="356"/>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row>
    <row r="240">
      <c r="A240" s="17"/>
      <c r="B240" s="17"/>
      <c r="C240" s="17"/>
      <c r="D240" s="17"/>
      <c r="E240" s="17"/>
      <c r="F240" s="17"/>
      <c r="G240" s="17"/>
      <c r="H240" s="356"/>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row>
    <row r="241">
      <c r="A241" s="17"/>
      <c r="B241" s="17"/>
      <c r="C241" s="17"/>
      <c r="D241" s="17"/>
      <c r="E241" s="17"/>
      <c r="F241" s="17"/>
      <c r="G241" s="17"/>
      <c r="H241" s="356"/>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row>
    <row r="242">
      <c r="A242" s="17"/>
      <c r="B242" s="17"/>
      <c r="C242" s="17"/>
      <c r="D242" s="17"/>
      <c r="E242" s="17"/>
      <c r="F242" s="17"/>
      <c r="G242" s="17"/>
      <c r="H242" s="356"/>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row>
    <row r="243">
      <c r="A243" s="17"/>
      <c r="B243" s="17"/>
      <c r="C243" s="17"/>
      <c r="D243" s="17"/>
      <c r="E243" s="17"/>
      <c r="F243" s="17"/>
      <c r="G243" s="17"/>
      <c r="H243" s="356"/>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row>
    <row r="244">
      <c r="A244" s="17"/>
      <c r="B244" s="17"/>
      <c r="C244" s="17"/>
      <c r="D244" s="17"/>
      <c r="E244" s="17"/>
      <c r="F244" s="17"/>
      <c r="G244" s="17"/>
      <c r="H244" s="356"/>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row>
    <row r="245">
      <c r="A245" s="17"/>
      <c r="B245" s="17"/>
      <c r="C245" s="17"/>
      <c r="D245" s="17"/>
      <c r="E245" s="17"/>
      <c r="F245" s="17"/>
      <c r="G245" s="17"/>
      <c r="H245" s="356"/>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row>
    <row r="246">
      <c r="A246" s="17"/>
      <c r="B246" s="17"/>
      <c r="C246" s="17"/>
      <c r="D246" s="17"/>
      <c r="E246" s="17"/>
      <c r="F246" s="17"/>
      <c r="G246" s="17"/>
      <c r="H246" s="356"/>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row>
    <row r="247">
      <c r="A247" s="17"/>
      <c r="B247" s="17"/>
      <c r="C247" s="17"/>
      <c r="D247" s="17"/>
      <c r="E247" s="17"/>
      <c r="F247" s="17"/>
      <c r="G247" s="17"/>
      <c r="H247" s="356"/>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row>
    <row r="248">
      <c r="A248" s="17"/>
      <c r="B248" s="17"/>
      <c r="C248" s="17"/>
      <c r="D248" s="17"/>
      <c r="E248" s="17"/>
      <c r="F248" s="17"/>
      <c r="G248" s="17"/>
      <c r="H248" s="356"/>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row>
    <row r="249">
      <c r="A249" s="17"/>
      <c r="B249" s="17"/>
      <c r="C249" s="17"/>
      <c r="D249" s="17"/>
      <c r="E249" s="17"/>
      <c r="F249" s="17"/>
      <c r="G249" s="17"/>
      <c r="H249" s="356"/>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row>
    <row r="250">
      <c r="A250" s="17"/>
      <c r="B250" s="17"/>
      <c r="C250" s="17"/>
      <c r="D250" s="17"/>
      <c r="E250" s="17"/>
      <c r="F250" s="17"/>
      <c r="G250" s="17"/>
      <c r="H250" s="356"/>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row>
    <row r="251">
      <c r="A251" s="17"/>
      <c r="B251" s="17"/>
      <c r="C251" s="17"/>
      <c r="D251" s="17"/>
      <c r="E251" s="17"/>
      <c r="F251" s="17"/>
      <c r="G251" s="17"/>
      <c r="H251" s="356"/>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row>
    <row r="252">
      <c r="A252" s="17"/>
      <c r="B252" s="17"/>
      <c r="C252" s="17"/>
      <c r="D252" s="17"/>
      <c r="E252" s="17"/>
      <c r="F252" s="17"/>
      <c r="G252" s="17"/>
      <c r="H252" s="356"/>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row>
    <row r="253">
      <c r="A253" s="17"/>
      <c r="B253" s="17"/>
      <c r="C253" s="17"/>
      <c r="D253" s="17"/>
      <c r="E253" s="17"/>
      <c r="F253" s="17"/>
      <c r="G253" s="17"/>
      <c r="H253" s="356"/>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row>
    <row r="254">
      <c r="A254" s="17"/>
      <c r="B254" s="17"/>
      <c r="C254" s="17"/>
      <c r="D254" s="17"/>
      <c r="E254" s="17"/>
      <c r="F254" s="17"/>
      <c r="G254" s="17"/>
      <c r="H254" s="356"/>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row>
    <row r="255">
      <c r="A255" s="17"/>
      <c r="B255" s="17"/>
      <c r="C255" s="17"/>
      <c r="D255" s="17"/>
      <c r="E255" s="17"/>
      <c r="F255" s="17"/>
      <c r="G255" s="17"/>
      <c r="H255" s="356"/>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row>
    <row r="256">
      <c r="A256" s="17"/>
      <c r="B256" s="17"/>
      <c r="C256" s="17"/>
      <c r="D256" s="17"/>
      <c r="E256" s="17"/>
      <c r="F256" s="17"/>
      <c r="G256" s="17"/>
      <c r="H256" s="356"/>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row>
    <row r="257">
      <c r="A257" s="17"/>
      <c r="B257" s="17"/>
      <c r="C257" s="17"/>
      <c r="D257" s="17"/>
      <c r="E257" s="17"/>
      <c r="F257" s="17"/>
      <c r="G257" s="17"/>
      <c r="H257" s="356"/>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row>
    <row r="258">
      <c r="A258" s="17"/>
      <c r="B258" s="17"/>
      <c r="C258" s="17"/>
      <c r="D258" s="17"/>
      <c r="E258" s="17"/>
      <c r="F258" s="17"/>
      <c r="G258" s="17"/>
      <c r="H258" s="356"/>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row>
    <row r="259">
      <c r="A259" s="17"/>
      <c r="B259" s="17"/>
      <c r="C259" s="17"/>
      <c r="D259" s="17"/>
      <c r="E259" s="17"/>
      <c r="F259" s="17"/>
      <c r="G259" s="17"/>
      <c r="H259" s="356"/>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row>
    <row r="260">
      <c r="A260" s="17"/>
      <c r="B260" s="17"/>
      <c r="C260" s="17"/>
      <c r="D260" s="17"/>
      <c r="E260" s="17"/>
      <c r="F260" s="17"/>
      <c r="G260" s="17"/>
      <c r="H260" s="356"/>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row>
    <row r="261">
      <c r="A261" s="17"/>
      <c r="B261" s="17"/>
      <c r="C261" s="17"/>
      <c r="D261" s="17"/>
      <c r="E261" s="17"/>
      <c r="F261" s="17"/>
      <c r="G261" s="17"/>
      <c r="H261" s="356"/>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row>
    <row r="262">
      <c r="A262" s="17"/>
      <c r="B262" s="17"/>
      <c r="C262" s="17"/>
      <c r="D262" s="17"/>
      <c r="E262" s="17"/>
      <c r="F262" s="17"/>
      <c r="G262" s="17"/>
      <c r="H262" s="356"/>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row>
    <row r="263">
      <c r="A263" s="17"/>
      <c r="B263" s="17"/>
      <c r="C263" s="17"/>
      <c r="D263" s="17"/>
      <c r="E263" s="17"/>
      <c r="F263" s="17"/>
      <c r="G263" s="17"/>
      <c r="H263" s="356"/>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row>
    <row r="264">
      <c r="A264" s="17"/>
      <c r="B264" s="17"/>
      <c r="C264" s="17"/>
      <c r="D264" s="17"/>
      <c r="E264" s="17"/>
      <c r="F264" s="17"/>
      <c r="G264" s="17"/>
      <c r="H264" s="356"/>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row>
    <row r="265">
      <c r="A265" s="17"/>
      <c r="B265" s="17"/>
      <c r="C265" s="17"/>
      <c r="D265" s="17"/>
      <c r="E265" s="17"/>
      <c r="F265" s="17"/>
      <c r="G265" s="17"/>
      <c r="H265" s="356"/>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row>
    <row r="266">
      <c r="A266" s="17"/>
      <c r="B266" s="17"/>
      <c r="C266" s="17"/>
      <c r="D266" s="17"/>
      <c r="E266" s="17"/>
      <c r="F266" s="17"/>
      <c r="G266" s="17"/>
      <c r="H266" s="356"/>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row>
    <row r="267">
      <c r="A267" s="17"/>
      <c r="B267" s="17"/>
      <c r="C267" s="17"/>
      <c r="D267" s="17"/>
      <c r="E267" s="17"/>
      <c r="F267" s="17"/>
      <c r="G267" s="17"/>
      <c r="H267" s="356"/>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row>
    <row r="268">
      <c r="A268" s="17"/>
      <c r="B268" s="17"/>
      <c r="C268" s="17"/>
      <c r="D268" s="17"/>
      <c r="E268" s="17"/>
      <c r="F268" s="17"/>
      <c r="G268" s="17"/>
      <c r="H268" s="356"/>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row>
    <row r="269">
      <c r="A269" s="17"/>
      <c r="B269" s="17"/>
      <c r="C269" s="17"/>
      <c r="D269" s="17"/>
      <c r="E269" s="17"/>
      <c r="F269" s="17"/>
      <c r="G269" s="17"/>
      <c r="H269" s="356"/>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row>
    <row r="270">
      <c r="A270" s="17"/>
      <c r="B270" s="17"/>
      <c r="C270" s="17"/>
      <c r="D270" s="17"/>
      <c r="E270" s="17"/>
      <c r="F270" s="17"/>
      <c r="G270" s="17"/>
      <c r="H270" s="356"/>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row>
    <row r="271">
      <c r="A271" s="17"/>
      <c r="B271" s="17"/>
      <c r="C271" s="17"/>
      <c r="D271" s="17"/>
      <c r="E271" s="17"/>
      <c r="F271" s="17"/>
      <c r="G271" s="17"/>
      <c r="H271" s="356"/>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row>
    <row r="272">
      <c r="A272" s="17"/>
      <c r="B272" s="17"/>
      <c r="C272" s="17"/>
      <c r="D272" s="17"/>
      <c r="E272" s="17"/>
      <c r="F272" s="17"/>
      <c r="G272" s="17"/>
      <c r="H272" s="356"/>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row>
    <row r="273">
      <c r="A273" s="17"/>
      <c r="B273" s="17"/>
      <c r="C273" s="17"/>
      <c r="D273" s="17"/>
      <c r="E273" s="17"/>
      <c r="F273" s="17"/>
      <c r="G273" s="17"/>
      <c r="H273" s="356"/>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row>
    <row r="274">
      <c r="A274" s="17"/>
      <c r="B274" s="17"/>
      <c r="C274" s="17"/>
      <c r="D274" s="17"/>
      <c r="E274" s="17"/>
      <c r="F274" s="17"/>
      <c r="G274" s="17"/>
      <c r="H274" s="356"/>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row>
    <row r="275">
      <c r="A275" s="17"/>
      <c r="B275" s="17"/>
      <c r="C275" s="17"/>
      <c r="D275" s="17"/>
      <c r="E275" s="17"/>
      <c r="F275" s="17"/>
      <c r="G275" s="17"/>
      <c r="H275" s="356"/>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row>
    <row r="276">
      <c r="A276" s="17"/>
      <c r="B276" s="17"/>
      <c r="C276" s="17"/>
      <c r="D276" s="17"/>
      <c r="E276" s="17"/>
      <c r="F276" s="17"/>
      <c r="G276" s="17"/>
      <c r="H276" s="356"/>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row>
    <row r="277">
      <c r="A277" s="17"/>
      <c r="B277" s="17"/>
      <c r="C277" s="17"/>
      <c r="D277" s="17"/>
      <c r="E277" s="17"/>
      <c r="F277" s="17"/>
      <c r="G277" s="17"/>
      <c r="H277" s="356"/>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row>
    <row r="278">
      <c r="A278" s="17"/>
      <c r="B278" s="17"/>
      <c r="C278" s="17"/>
      <c r="D278" s="17"/>
      <c r="E278" s="17"/>
      <c r="F278" s="17"/>
      <c r="G278" s="17"/>
      <c r="H278" s="356"/>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row>
    <row r="279">
      <c r="A279" s="17"/>
      <c r="B279" s="17"/>
      <c r="C279" s="17"/>
      <c r="D279" s="17"/>
      <c r="E279" s="17"/>
      <c r="F279" s="17"/>
      <c r="G279" s="17"/>
      <c r="H279" s="356"/>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row>
    <row r="280">
      <c r="A280" s="17"/>
      <c r="B280" s="17"/>
      <c r="C280" s="17"/>
      <c r="D280" s="17"/>
      <c r="E280" s="17"/>
      <c r="F280" s="17"/>
      <c r="G280" s="17"/>
      <c r="H280" s="356"/>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row>
    <row r="281">
      <c r="A281" s="17"/>
      <c r="B281" s="17"/>
      <c r="C281" s="17"/>
      <c r="D281" s="17"/>
      <c r="E281" s="17"/>
      <c r="F281" s="17"/>
      <c r="G281" s="17"/>
      <c r="H281" s="356"/>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row>
    <row r="282">
      <c r="A282" s="17"/>
      <c r="B282" s="17"/>
      <c r="C282" s="17"/>
      <c r="D282" s="17"/>
      <c r="E282" s="17"/>
      <c r="F282" s="17"/>
      <c r="G282" s="17"/>
      <c r="H282" s="356"/>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row>
    <row r="283">
      <c r="A283" s="17"/>
      <c r="B283" s="17"/>
      <c r="C283" s="17"/>
      <c r="D283" s="17"/>
      <c r="E283" s="17"/>
      <c r="F283" s="17"/>
      <c r="G283" s="17"/>
      <c r="H283" s="356"/>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row>
    <row r="284">
      <c r="A284" s="17"/>
      <c r="B284" s="17"/>
      <c r="C284" s="17"/>
      <c r="D284" s="17"/>
      <c r="E284" s="17"/>
      <c r="F284" s="17"/>
      <c r="G284" s="17"/>
      <c r="H284" s="356"/>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row>
    <row r="285">
      <c r="A285" s="17"/>
      <c r="B285" s="17"/>
      <c r="C285" s="17"/>
      <c r="D285" s="17"/>
      <c r="E285" s="17"/>
      <c r="F285" s="17"/>
      <c r="G285" s="17"/>
      <c r="H285" s="356"/>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row>
    <row r="286">
      <c r="A286" s="17"/>
      <c r="B286" s="17"/>
      <c r="C286" s="17"/>
      <c r="D286" s="17"/>
      <c r="E286" s="17"/>
      <c r="F286" s="17"/>
      <c r="G286" s="17"/>
      <c r="H286" s="356"/>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row>
    <row r="287">
      <c r="A287" s="17"/>
      <c r="B287" s="17"/>
      <c r="C287" s="17"/>
      <c r="D287" s="17"/>
      <c r="E287" s="17"/>
      <c r="F287" s="17"/>
      <c r="G287" s="17"/>
      <c r="H287" s="356"/>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row>
    <row r="288">
      <c r="A288" s="17"/>
      <c r="B288" s="17"/>
      <c r="C288" s="17"/>
      <c r="D288" s="17"/>
      <c r="E288" s="17"/>
      <c r="F288" s="17"/>
      <c r="G288" s="17"/>
      <c r="H288" s="356"/>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row>
    <row r="289">
      <c r="A289" s="17"/>
      <c r="B289" s="17"/>
      <c r="C289" s="17"/>
      <c r="D289" s="17"/>
      <c r="E289" s="17"/>
      <c r="F289" s="17"/>
      <c r="G289" s="17"/>
      <c r="H289" s="356"/>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row>
    <row r="290">
      <c r="A290" s="17"/>
      <c r="B290" s="17"/>
      <c r="C290" s="17"/>
      <c r="D290" s="17"/>
      <c r="E290" s="17"/>
      <c r="F290" s="17"/>
      <c r="G290" s="17"/>
      <c r="H290" s="356"/>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row>
    <row r="291">
      <c r="A291" s="17"/>
      <c r="B291" s="17"/>
      <c r="C291" s="17"/>
      <c r="D291" s="17"/>
      <c r="E291" s="17"/>
      <c r="F291" s="17"/>
      <c r="G291" s="17"/>
      <c r="H291" s="356"/>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row>
    <row r="292">
      <c r="A292" s="17"/>
      <c r="B292" s="17"/>
      <c r="C292" s="17"/>
      <c r="D292" s="17"/>
      <c r="E292" s="17"/>
      <c r="F292" s="17"/>
      <c r="G292" s="17"/>
      <c r="H292" s="356"/>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row>
    <row r="293">
      <c r="A293" s="17"/>
      <c r="B293" s="17"/>
      <c r="C293" s="17"/>
      <c r="D293" s="17"/>
      <c r="E293" s="17"/>
      <c r="F293" s="17"/>
      <c r="G293" s="17"/>
      <c r="H293" s="356"/>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row>
    <row r="294">
      <c r="A294" s="17"/>
      <c r="B294" s="17"/>
      <c r="C294" s="17"/>
      <c r="D294" s="17"/>
      <c r="E294" s="17"/>
      <c r="F294" s="17"/>
      <c r="G294" s="17"/>
      <c r="H294" s="356"/>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row>
    <row r="295">
      <c r="A295" s="17"/>
      <c r="B295" s="17"/>
      <c r="C295" s="17"/>
      <c r="D295" s="17"/>
      <c r="E295" s="17"/>
      <c r="F295" s="17"/>
      <c r="G295" s="17"/>
      <c r="H295" s="356"/>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row>
    <row r="296">
      <c r="A296" s="17"/>
      <c r="B296" s="17"/>
      <c r="C296" s="17"/>
      <c r="D296" s="17"/>
      <c r="E296" s="17"/>
      <c r="F296" s="17"/>
      <c r="G296" s="17"/>
      <c r="H296" s="356"/>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row>
    <row r="297">
      <c r="A297" s="17"/>
      <c r="B297" s="17"/>
      <c r="C297" s="17"/>
      <c r="D297" s="17"/>
      <c r="E297" s="17"/>
      <c r="F297" s="17"/>
      <c r="G297" s="17"/>
      <c r="H297" s="356"/>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row>
    <row r="298">
      <c r="A298" s="17"/>
      <c r="B298" s="17"/>
      <c r="C298" s="17"/>
      <c r="D298" s="17"/>
      <c r="E298" s="17"/>
      <c r="F298" s="17"/>
      <c r="G298" s="17"/>
      <c r="H298" s="356"/>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row>
    <row r="299">
      <c r="A299" s="17"/>
      <c r="B299" s="17"/>
      <c r="C299" s="17"/>
      <c r="D299" s="17"/>
      <c r="E299" s="17"/>
      <c r="F299" s="17"/>
      <c r="G299" s="17"/>
      <c r="H299" s="356"/>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row>
    <row r="300">
      <c r="A300" s="17"/>
      <c r="B300" s="17"/>
      <c r="C300" s="17"/>
      <c r="D300" s="17"/>
      <c r="E300" s="17"/>
      <c r="F300" s="17"/>
      <c r="G300" s="17"/>
      <c r="H300" s="356"/>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row>
    <row r="301">
      <c r="A301" s="17"/>
      <c r="B301" s="17"/>
      <c r="C301" s="17"/>
      <c r="D301" s="17"/>
      <c r="E301" s="17"/>
      <c r="F301" s="17"/>
      <c r="G301" s="17"/>
      <c r="H301" s="356"/>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row>
    <row r="302">
      <c r="A302" s="17"/>
      <c r="B302" s="17"/>
      <c r="C302" s="17"/>
      <c r="D302" s="17"/>
      <c r="E302" s="17"/>
      <c r="F302" s="17"/>
      <c r="G302" s="17"/>
      <c r="H302" s="356"/>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row>
    <row r="303">
      <c r="A303" s="17"/>
      <c r="B303" s="17"/>
      <c r="C303" s="17"/>
      <c r="D303" s="17"/>
      <c r="E303" s="17"/>
      <c r="F303" s="17"/>
      <c r="G303" s="17"/>
      <c r="H303" s="356"/>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row>
    <row r="304">
      <c r="A304" s="17"/>
      <c r="B304" s="17"/>
      <c r="C304" s="17"/>
      <c r="D304" s="17"/>
      <c r="E304" s="17"/>
      <c r="F304" s="17"/>
      <c r="G304" s="17"/>
      <c r="H304" s="356"/>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row>
    <row r="305">
      <c r="A305" s="17"/>
      <c r="B305" s="17"/>
      <c r="C305" s="17"/>
      <c r="D305" s="17"/>
      <c r="E305" s="17"/>
      <c r="F305" s="17"/>
      <c r="G305" s="17"/>
      <c r="H305" s="356"/>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row>
    <row r="306">
      <c r="A306" s="17"/>
      <c r="B306" s="17"/>
      <c r="C306" s="17"/>
      <c r="D306" s="17"/>
      <c r="E306" s="17"/>
      <c r="F306" s="17"/>
      <c r="G306" s="17"/>
      <c r="H306" s="356"/>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row>
    <row r="307">
      <c r="A307" s="17"/>
      <c r="B307" s="17"/>
      <c r="C307" s="17"/>
      <c r="D307" s="17"/>
      <c r="E307" s="17"/>
      <c r="F307" s="17"/>
      <c r="G307" s="17"/>
      <c r="H307" s="356"/>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row>
    <row r="308">
      <c r="A308" s="17"/>
      <c r="B308" s="17"/>
      <c r="C308" s="17"/>
      <c r="D308" s="17"/>
      <c r="E308" s="17"/>
      <c r="F308" s="17"/>
      <c r="G308" s="17"/>
      <c r="H308" s="356"/>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row>
    <row r="309">
      <c r="A309" s="17"/>
      <c r="B309" s="17"/>
      <c r="C309" s="17"/>
      <c r="D309" s="17"/>
      <c r="E309" s="17"/>
      <c r="F309" s="17"/>
      <c r="G309" s="17"/>
      <c r="H309" s="356"/>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row>
    <row r="310">
      <c r="A310" s="17"/>
      <c r="B310" s="17"/>
      <c r="C310" s="17"/>
      <c r="D310" s="17"/>
      <c r="E310" s="17"/>
      <c r="F310" s="17"/>
      <c r="G310" s="17"/>
      <c r="H310" s="356"/>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row>
    <row r="311">
      <c r="A311" s="17"/>
      <c r="B311" s="17"/>
      <c r="C311" s="17"/>
      <c r="D311" s="17"/>
      <c r="E311" s="17"/>
      <c r="F311" s="17"/>
      <c r="G311" s="17"/>
      <c r="H311" s="356"/>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row>
    <row r="312">
      <c r="A312" s="17"/>
      <c r="B312" s="17"/>
      <c r="C312" s="17"/>
      <c r="D312" s="17"/>
      <c r="E312" s="17"/>
      <c r="F312" s="17"/>
      <c r="G312" s="17"/>
      <c r="H312" s="356"/>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row>
    <row r="313">
      <c r="A313" s="17"/>
      <c r="B313" s="17"/>
      <c r="C313" s="17"/>
      <c r="D313" s="17"/>
      <c r="E313" s="17"/>
      <c r="F313" s="17"/>
      <c r="G313" s="17"/>
      <c r="H313" s="356"/>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row>
    <row r="314">
      <c r="A314" s="17"/>
      <c r="B314" s="17"/>
      <c r="C314" s="17"/>
      <c r="D314" s="17"/>
      <c r="E314" s="17"/>
      <c r="F314" s="17"/>
      <c r="G314" s="17"/>
      <c r="H314" s="356"/>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row>
    <row r="315">
      <c r="A315" s="17"/>
      <c r="B315" s="17"/>
      <c r="C315" s="17"/>
      <c r="D315" s="17"/>
      <c r="E315" s="17"/>
      <c r="F315" s="17"/>
      <c r="G315" s="17"/>
      <c r="H315" s="356"/>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row>
    <row r="316">
      <c r="A316" s="17"/>
      <c r="B316" s="17"/>
      <c r="C316" s="17"/>
      <c r="D316" s="17"/>
      <c r="E316" s="17"/>
      <c r="F316" s="17"/>
      <c r="G316" s="17"/>
      <c r="H316" s="356"/>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row>
    <row r="317">
      <c r="A317" s="17"/>
      <c r="B317" s="17"/>
      <c r="C317" s="17"/>
      <c r="D317" s="17"/>
      <c r="E317" s="17"/>
      <c r="F317" s="17"/>
      <c r="G317" s="17"/>
      <c r="H317" s="356"/>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row>
    <row r="318">
      <c r="A318" s="17"/>
      <c r="B318" s="17"/>
      <c r="C318" s="17"/>
      <c r="D318" s="17"/>
      <c r="E318" s="17"/>
      <c r="F318" s="17"/>
      <c r="G318" s="17"/>
      <c r="H318" s="356"/>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row>
    <row r="319">
      <c r="A319" s="17"/>
      <c r="B319" s="17"/>
      <c r="C319" s="17"/>
      <c r="D319" s="17"/>
      <c r="E319" s="17"/>
      <c r="F319" s="17"/>
      <c r="G319" s="17"/>
      <c r="H319" s="356"/>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row>
    <row r="320">
      <c r="A320" s="17"/>
      <c r="B320" s="17"/>
      <c r="C320" s="17"/>
      <c r="D320" s="17"/>
      <c r="E320" s="17"/>
      <c r="F320" s="17"/>
      <c r="G320" s="17"/>
      <c r="H320" s="356"/>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row>
    <row r="321">
      <c r="A321" s="17"/>
      <c r="B321" s="17"/>
      <c r="C321" s="17"/>
      <c r="D321" s="17"/>
      <c r="E321" s="17"/>
      <c r="F321" s="17"/>
      <c r="G321" s="17"/>
      <c r="H321" s="356"/>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row>
    <row r="322">
      <c r="A322" s="17"/>
      <c r="B322" s="17"/>
      <c r="C322" s="17"/>
      <c r="D322" s="17"/>
      <c r="E322" s="17"/>
      <c r="F322" s="17"/>
      <c r="G322" s="17"/>
      <c r="H322" s="356"/>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row>
    <row r="323">
      <c r="A323" s="17"/>
      <c r="B323" s="17"/>
      <c r="C323" s="17"/>
      <c r="D323" s="17"/>
      <c r="E323" s="17"/>
      <c r="F323" s="17"/>
      <c r="G323" s="17"/>
      <c r="H323" s="356"/>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row>
    <row r="324">
      <c r="A324" s="17"/>
      <c r="B324" s="17"/>
      <c r="C324" s="17"/>
      <c r="D324" s="17"/>
      <c r="E324" s="17"/>
      <c r="F324" s="17"/>
      <c r="G324" s="17"/>
      <c r="H324" s="356"/>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row>
    <row r="325">
      <c r="A325" s="17"/>
      <c r="B325" s="17"/>
      <c r="C325" s="17"/>
      <c r="D325" s="17"/>
      <c r="E325" s="17"/>
      <c r="F325" s="17"/>
      <c r="G325" s="17"/>
      <c r="H325" s="356"/>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row>
    <row r="326">
      <c r="A326" s="17"/>
      <c r="B326" s="17"/>
      <c r="C326" s="17"/>
      <c r="D326" s="17"/>
      <c r="E326" s="17"/>
      <c r="F326" s="17"/>
      <c r="G326" s="17"/>
      <c r="H326" s="356"/>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row>
    <row r="327">
      <c r="A327" s="17"/>
      <c r="B327" s="17"/>
      <c r="C327" s="17"/>
      <c r="D327" s="17"/>
      <c r="E327" s="17"/>
      <c r="F327" s="17"/>
      <c r="G327" s="17"/>
      <c r="H327" s="356"/>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row>
    <row r="328">
      <c r="A328" s="17"/>
      <c r="B328" s="17"/>
      <c r="C328" s="17"/>
      <c r="D328" s="17"/>
      <c r="E328" s="17"/>
      <c r="F328" s="17"/>
      <c r="G328" s="17"/>
      <c r="H328" s="356"/>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row>
    <row r="329">
      <c r="A329" s="17"/>
      <c r="B329" s="17"/>
      <c r="C329" s="17"/>
      <c r="D329" s="17"/>
      <c r="E329" s="17"/>
      <c r="F329" s="17"/>
      <c r="G329" s="17"/>
      <c r="H329" s="356"/>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row>
    <row r="330">
      <c r="A330" s="17"/>
      <c r="B330" s="17"/>
      <c r="C330" s="17"/>
      <c r="D330" s="17"/>
      <c r="E330" s="17"/>
      <c r="F330" s="17"/>
      <c r="G330" s="17"/>
      <c r="H330" s="356"/>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row>
    <row r="331">
      <c r="A331" s="17"/>
      <c r="B331" s="17"/>
      <c r="C331" s="17"/>
      <c r="D331" s="17"/>
      <c r="E331" s="17"/>
      <c r="F331" s="17"/>
      <c r="G331" s="17"/>
      <c r="H331" s="356"/>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row>
    <row r="332">
      <c r="A332" s="17"/>
      <c r="B332" s="17"/>
      <c r="C332" s="17"/>
      <c r="D332" s="17"/>
      <c r="E332" s="17"/>
      <c r="F332" s="17"/>
      <c r="G332" s="17"/>
      <c r="H332" s="356"/>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row>
    <row r="333">
      <c r="A333" s="17"/>
      <c r="B333" s="17"/>
      <c r="C333" s="17"/>
      <c r="D333" s="17"/>
      <c r="E333" s="17"/>
      <c r="F333" s="17"/>
      <c r="G333" s="17"/>
      <c r="H333" s="356"/>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row>
    <row r="334">
      <c r="A334" s="17"/>
      <c r="B334" s="17"/>
      <c r="C334" s="17"/>
      <c r="D334" s="17"/>
      <c r="E334" s="17"/>
      <c r="F334" s="17"/>
      <c r="G334" s="17"/>
      <c r="H334" s="356"/>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row>
    <row r="335">
      <c r="A335" s="17"/>
      <c r="B335" s="17"/>
      <c r="C335" s="17"/>
      <c r="D335" s="17"/>
      <c r="E335" s="17"/>
      <c r="F335" s="17"/>
      <c r="G335" s="17"/>
      <c r="H335" s="356"/>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row>
    <row r="336">
      <c r="A336" s="17"/>
      <c r="B336" s="17"/>
      <c r="C336" s="17"/>
      <c r="D336" s="17"/>
      <c r="E336" s="17"/>
      <c r="F336" s="17"/>
      <c r="G336" s="17"/>
      <c r="H336" s="356"/>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row>
    <row r="337">
      <c r="A337" s="17"/>
      <c r="B337" s="17"/>
      <c r="C337" s="17"/>
      <c r="D337" s="17"/>
      <c r="E337" s="17"/>
      <c r="F337" s="17"/>
      <c r="G337" s="17"/>
      <c r="H337" s="356"/>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row>
    <row r="338">
      <c r="A338" s="17"/>
      <c r="B338" s="17"/>
      <c r="C338" s="17"/>
      <c r="D338" s="17"/>
      <c r="E338" s="17"/>
      <c r="F338" s="17"/>
      <c r="G338" s="17"/>
      <c r="H338" s="356"/>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row>
    <row r="339">
      <c r="A339" s="17"/>
      <c r="B339" s="17"/>
      <c r="C339" s="17"/>
      <c r="D339" s="17"/>
      <c r="E339" s="17"/>
      <c r="F339" s="17"/>
      <c r="G339" s="17"/>
      <c r="H339" s="356"/>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row>
    <row r="340">
      <c r="A340" s="17"/>
      <c r="B340" s="17"/>
      <c r="C340" s="17"/>
      <c r="D340" s="17"/>
      <c r="E340" s="17"/>
      <c r="F340" s="17"/>
      <c r="G340" s="17"/>
      <c r="H340" s="356"/>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row>
    <row r="341">
      <c r="A341" s="17"/>
      <c r="B341" s="17"/>
      <c r="C341" s="17"/>
      <c r="D341" s="17"/>
      <c r="E341" s="17"/>
      <c r="F341" s="17"/>
      <c r="G341" s="17"/>
      <c r="H341" s="356"/>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row>
    <row r="342">
      <c r="A342" s="17"/>
      <c r="B342" s="17"/>
      <c r="C342" s="17"/>
      <c r="D342" s="17"/>
      <c r="E342" s="17"/>
      <c r="F342" s="17"/>
      <c r="G342" s="17"/>
      <c r="H342" s="356"/>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row>
    <row r="343">
      <c r="A343" s="17"/>
      <c r="B343" s="17"/>
      <c r="C343" s="17"/>
      <c r="D343" s="17"/>
      <c r="E343" s="17"/>
      <c r="F343" s="17"/>
      <c r="G343" s="17"/>
      <c r="H343" s="356"/>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row>
    <row r="344">
      <c r="A344" s="17"/>
      <c r="B344" s="17"/>
      <c r="C344" s="17"/>
      <c r="D344" s="17"/>
      <c r="E344" s="17"/>
      <c r="F344" s="17"/>
      <c r="G344" s="17"/>
      <c r="H344" s="356"/>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row>
    <row r="345">
      <c r="A345" s="17"/>
      <c r="B345" s="17"/>
      <c r="C345" s="17"/>
      <c r="D345" s="17"/>
      <c r="E345" s="17"/>
      <c r="F345" s="17"/>
      <c r="G345" s="17"/>
      <c r="H345" s="356"/>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row>
    <row r="346">
      <c r="A346" s="17"/>
      <c r="B346" s="17"/>
      <c r="C346" s="17"/>
      <c r="D346" s="17"/>
      <c r="E346" s="17"/>
      <c r="F346" s="17"/>
      <c r="G346" s="17"/>
      <c r="H346" s="356"/>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row>
    <row r="347">
      <c r="A347" s="17"/>
      <c r="B347" s="17"/>
      <c r="C347" s="17"/>
      <c r="D347" s="17"/>
      <c r="E347" s="17"/>
      <c r="F347" s="17"/>
      <c r="G347" s="17"/>
      <c r="H347" s="356"/>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row>
    <row r="348">
      <c r="A348" s="17"/>
      <c r="B348" s="17"/>
      <c r="C348" s="17"/>
      <c r="D348" s="17"/>
      <c r="E348" s="17"/>
      <c r="F348" s="17"/>
      <c r="G348" s="17"/>
      <c r="H348" s="356"/>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row>
    <row r="349">
      <c r="A349" s="17"/>
      <c r="B349" s="17"/>
      <c r="C349" s="17"/>
      <c r="D349" s="17"/>
      <c r="E349" s="17"/>
      <c r="F349" s="17"/>
      <c r="G349" s="17"/>
      <c r="H349" s="356"/>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row>
    <row r="350">
      <c r="A350" s="17"/>
      <c r="B350" s="17"/>
      <c r="C350" s="17"/>
      <c r="D350" s="17"/>
      <c r="E350" s="17"/>
      <c r="F350" s="17"/>
      <c r="G350" s="17"/>
      <c r="H350" s="356"/>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row>
    <row r="351">
      <c r="A351" s="17"/>
      <c r="B351" s="17"/>
      <c r="C351" s="17"/>
      <c r="D351" s="17"/>
      <c r="E351" s="17"/>
      <c r="F351" s="17"/>
      <c r="G351" s="17"/>
      <c r="H351" s="356"/>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row>
    <row r="352">
      <c r="A352" s="17"/>
      <c r="B352" s="17"/>
      <c r="C352" s="17"/>
      <c r="D352" s="17"/>
      <c r="E352" s="17"/>
      <c r="F352" s="17"/>
      <c r="G352" s="17"/>
      <c r="H352" s="356"/>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row>
    <row r="353">
      <c r="A353" s="17"/>
      <c r="B353" s="17"/>
      <c r="C353" s="17"/>
      <c r="D353" s="17"/>
      <c r="E353" s="17"/>
      <c r="F353" s="17"/>
      <c r="G353" s="17"/>
      <c r="H353" s="356"/>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row>
    <row r="354">
      <c r="A354" s="17"/>
      <c r="B354" s="17"/>
      <c r="C354" s="17"/>
      <c r="D354" s="17"/>
      <c r="E354" s="17"/>
      <c r="F354" s="17"/>
      <c r="G354" s="17"/>
      <c r="H354" s="356"/>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row>
    <row r="355">
      <c r="A355" s="17"/>
      <c r="B355" s="17"/>
      <c r="C355" s="17"/>
      <c r="D355" s="17"/>
      <c r="E355" s="17"/>
      <c r="F355" s="17"/>
      <c r="G355" s="17"/>
      <c r="H355" s="356"/>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row>
    <row r="356">
      <c r="A356" s="17"/>
      <c r="B356" s="17"/>
      <c r="C356" s="17"/>
      <c r="D356" s="17"/>
      <c r="E356" s="17"/>
      <c r="F356" s="17"/>
      <c r="G356" s="17"/>
      <c r="H356" s="356"/>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row>
    <row r="357">
      <c r="A357" s="17"/>
      <c r="B357" s="17"/>
      <c r="C357" s="17"/>
      <c r="D357" s="17"/>
      <c r="E357" s="17"/>
      <c r="F357" s="17"/>
      <c r="G357" s="17"/>
      <c r="H357" s="356"/>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row>
    <row r="358">
      <c r="A358" s="17"/>
      <c r="B358" s="17"/>
      <c r="C358" s="17"/>
      <c r="D358" s="17"/>
      <c r="E358" s="17"/>
      <c r="F358" s="17"/>
      <c r="G358" s="17"/>
      <c r="H358" s="356"/>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row>
    <row r="359">
      <c r="A359" s="17"/>
      <c r="B359" s="17"/>
      <c r="C359" s="17"/>
      <c r="D359" s="17"/>
      <c r="E359" s="17"/>
      <c r="F359" s="17"/>
      <c r="G359" s="17"/>
      <c r="H359" s="356"/>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row>
    <row r="360">
      <c r="A360" s="17"/>
      <c r="B360" s="17"/>
      <c r="C360" s="17"/>
      <c r="D360" s="17"/>
      <c r="E360" s="17"/>
      <c r="F360" s="17"/>
      <c r="G360" s="17"/>
      <c r="H360" s="356"/>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row>
    <row r="361">
      <c r="A361" s="17"/>
      <c r="B361" s="17"/>
      <c r="C361" s="17"/>
      <c r="D361" s="17"/>
      <c r="E361" s="17"/>
      <c r="F361" s="17"/>
      <c r="G361" s="17"/>
      <c r="H361" s="356"/>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row>
    <row r="362">
      <c r="A362" s="17"/>
      <c r="B362" s="17"/>
      <c r="C362" s="17"/>
      <c r="D362" s="17"/>
      <c r="E362" s="17"/>
      <c r="F362" s="17"/>
      <c r="G362" s="17"/>
      <c r="H362" s="356"/>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row>
    <row r="363">
      <c r="A363" s="17"/>
      <c r="B363" s="17"/>
      <c r="C363" s="17"/>
      <c r="D363" s="17"/>
      <c r="E363" s="17"/>
      <c r="F363" s="17"/>
      <c r="G363" s="17"/>
      <c r="H363" s="356"/>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row>
    <row r="364">
      <c r="A364" s="17"/>
      <c r="B364" s="17"/>
      <c r="C364" s="17"/>
      <c r="D364" s="17"/>
      <c r="E364" s="17"/>
      <c r="F364" s="17"/>
      <c r="G364" s="17"/>
      <c r="H364" s="356"/>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row>
    <row r="365">
      <c r="A365" s="17"/>
      <c r="B365" s="17"/>
      <c r="C365" s="17"/>
      <c r="D365" s="17"/>
      <c r="E365" s="17"/>
      <c r="F365" s="17"/>
      <c r="G365" s="17"/>
      <c r="H365" s="356"/>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row>
    <row r="366">
      <c r="A366" s="17"/>
      <c r="B366" s="17"/>
      <c r="C366" s="17"/>
      <c r="D366" s="17"/>
      <c r="E366" s="17"/>
      <c r="F366" s="17"/>
      <c r="G366" s="17"/>
      <c r="H366" s="356"/>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row>
    <row r="367">
      <c r="A367" s="17"/>
      <c r="B367" s="17"/>
      <c r="C367" s="17"/>
      <c r="D367" s="17"/>
      <c r="E367" s="17"/>
      <c r="F367" s="17"/>
      <c r="G367" s="17"/>
      <c r="H367" s="356"/>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row>
    <row r="368">
      <c r="A368" s="17"/>
      <c r="B368" s="17"/>
      <c r="C368" s="17"/>
      <c r="D368" s="17"/>
      <c r="E368" s="17"/>
      <c r="F368" s="17"/>
      <c r="G368" s="17"/>
      <c r="H368" s="356"/>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row>
    <row r="369">
      <c r="A369" s="17"/>
      <c r="B369" s="17"/>
      <c r="C369" s="17"/>
      <c r="D369" s="17"/>
      <c r="E369" s="17"/>
      <c r="F369" s="17"/>
      <c r="G369" s="17"/>
      <c r="H369" s="356"/>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row>
    <row r="370">
      <c r="A370" s="17"/>
      <c r="B370" s="17"/>
      <c r="C370" s="17"/>
      <c r="D370" s="17"/>
      <c r="E370" s="17"/>
      <c r="F370" s="17"/>
      <c r="G370" s="17"/>
      <c r="H370" s="356"/>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row>
    <row r="371">
      <c r="A371" s="17"/>
      <c r="B371" s="17"/>
      <c r="C371" s="17"/>
      <c r="D371" s="17"/>
      <c r="E371" s="17"/>
      <c r="F371" s="17"/>
      <c r="G371" s="17"/>
      <c r="H371" s="356"/>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row>
    <row r="372">
      <c r="A372" s="17"/>
      <c r="B372" s="17"/>
      <c r="C372" s="17"/>
      <c r="D372" s="17"/>
      <c r="E372" s="17"/>
      <c r="F372" s="17"/>
      <c r="G372" s="17"/>
      <c r="H372" s="356"/>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row>
    <row r="373">
      <c r="A373" s="17"/>
      <c r="B373" s="17"/>
      <c r="C373" s="17"/>
      <c r="D373" s="17"/>
      <c r="E373" s="17"/>
      <c r="F373" s="17"/>
      <c r="G373" s="17"/>
      <c r="H373" s="356"/>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row>
    <row r="374">
      <c r="A374" s="17"/>
      <c r="B374" s="17"/>
      <c r="C374" s="17"/>
      <c r="D374" s="17"/>
      <c r="E374" s="17"/>
      <c r="F374" s="17"/>
      <c r="G374" s="17"/>
      <c r="H374" s="356"/>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row>
    <row r="375">
      <c r="A375" s="17"/>
      <c r="B375" s="17"/>
      <c r="C375" s="17"/>
      <c r="D375" s="17"/>
      <c r="E375" s="17"/>
      <c r="F375" s="17"/>
      <c r="G375" s="17"/>
      <c r="H375" s="356"/>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row>
    <row r="376">
      <c r="A376" s="17"/>
      <c r="B376" s="17"/>
      <c r="C376" s="17"/>
      <c r="D376" s="17"/>
      <c r="E376" s="17"/>
      <c r="F376" s="17"/>
      <c r="G376" s="17"/>
      <c r="H376" s="356"/>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row>
    <row r="377">
      <c r="A377" s="17"/>
      <c r="B377" s="17"/>
      <c r="C377" s="17"/>
      <c r="D377" s="17"/>
      <c r="E377" s="17"/>
      <c r="F377" s="17"/>
      <c r="G377" s="17"/>
      <c r="H377" s="356"/>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row>
    <row r="378">
      <c r="A378" s="17"/>
      <c r="B378" s="17"/>
      <c r="C378" s="17"/>
      <c r="D378" s="17"/>
      <c r="E378" s="17"/>
      <c r="F378" s="17"/>
      <c r="G378" s="17"/>
      <c r="H378" s="356"/>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row>
    <row r="379">
      <c r="A379" s="17"/>
      <c r="B379" s="17"/>
      <c r="C379" s="17"/>
      <c r="D379" s="17"/>
      <c r="E379" s="17"/>
      <c r="F379" s="17"/>
      <c r="G379" s="17"/>
      <c r="H379" s="356"/>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row>
    <row r="380">
      <c r="A380" s="17"/>
      <c r="B380" s="17"/>
      <c r="C380" s="17"/>
      <c r="D380" s="17"/>
      <c r="E380" s="17"/>
      <c r="F380" s="17"/>
      <c r="G380" s="17"/>
      <c r="H380" s="356"/>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row>
    <row r="381">
      <c r="A381" s="17"/>
      <c r="B381" s="17"/>
      <c r="C381" s="17"/>
      <c r="D381" s="17"/>
      <c r="E381" s="17"/>
      <c r="F381" s="17"/>
      <c r="G381" s="17"/>
      <c r="H381" s="356"/>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row>
    <row r="382">
      <c r="A382" s="17"/>
      <c r="B382" s="17"/>
      <c r="C382" s="17"/>
      <c r="D382" s="17"/>
      <c r="E382" s="17"/>
      <c r="F382" s="17"/>
      <c r="G382" s="17"/>
      <c r="H382" s="356"/>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row>
    <row r="383">
      <c r="A383" s="17"/>
      <c r="B383" s="17"/>
      <c r="C383" s="17"/>
      <c r="D383" s="17"/>
      <c r="E383" s="17"/>
      <c r="F383" s="17"/>
      <c r="G383" s="17"/>
      <c r="H383" s="356"/>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row>
    <row r="384">
      <c r="A384" s="17"/>
      <c r="B384" s="17"/>
      <c r="C384" s="17"/>
      <c r="D384" s="17"/>
      <c r="E384" s="17"/>
      <c r="F384" s="17"/>
      <c r="G384" s="17"/>
      <c r="H384" s="356"/>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row>
    <row r="385">
      <c r="A385" s="17"/>
      <c r="B385" s="17"/>
      <c r="C385" s="17"/>
      <c r="D385" s="17"/>
      <c r="E385" s="17"/>
      <c r="F385" s="17"/>
      <c r="G385" s="17"/>
      <c r="H385" s="356"/>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row>
    <row r="386">
      <c r="A386" s="17"/>
      <c r="B386" s="17"/>
      <c r="C386" s="17"/>
      <c r="D386" s="17"/>
      <c r="E386" s="17"/>
      <c r="F386" s="17"/>
      <c r="G386" s="17"/>
      <c r="H386" s="356"/>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row>
    <row r="387">
      <c r="A387" s="17"/>
      <c r="B387" s="17"/>
      <c r="C387" s="17"/>
      <c r="D387" s="17"/>
      <c r="E387" s="17"/>
      <c r="F387" s="17"/>
      <c r="G387" s="17"/>
      <c r="H387" s="356"/>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row>
    <row r="388">
      <c r="A388" s="17"/>
      <c r="B388" s="17"/>
      <c r="C388" s="17"/>
      <c r="D388" s="17"/>
      <c r="E388" s="17"/>
      <c r="F388" s="17"/>
      <c r="G388" s="17"/>
      <c r="H388" s="356"/>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row>
    <row r="389">
      <c r="A389" s="17"/>
      <c r="B389" s="17"/>
      <c r="C389" s="17"/>
      <c r="D389" s="17"/>
      <c r="E389" s="17"/>
      <c r="F389" s="17"/>
      <c r="G389" s="17"/>
      <c r="H389" s="356"/>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row>
    <row r="390">
      <c r="A390" s="17"/>
      <c r="B390" s="17"/>
      <c r="C390" s="17"/>
      <c r="D390" s="17"/>
      <c r="E390" s="17"/>
      <c r="F390" s="17"/>
      <c r="G390" s="17"/>
      <c r="H390" s="356"/>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row>
    <row r="391">
      <c r="A391" s="17"/>
      <c r="B391" s="17"/>
      <c r="C391" s="17"/>
      <c r="D391" s="17"/>
      <c r="E391" s="17"/>
      <c r="F391" s="17"/>
      <c r="G391" s="17"/>
      <c r="H391" s="356"/>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row>
    <row r="392">
      <c r="A392" s="17"/>
      <c r="B392" s="17"/>
      <c r="C392" s="17"/>
      <c r="D392" s="17"/>
      <c r="E392" s="17"/>
      <c r="F392" s="17"/>
      <c r="G392" s="17"/>
      <c r="H392" s="356"/>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row>
    <row r="393">
      <c r="A393" s="17"/>
      <c r="B393" s="17"/>
      <c r="C393" s="17"/>
      <c r="D393" s="17"/>
      <c r="E393" s="17"/>
      <c r="F393" s="17"/>
      <c r="G393" s="17"/>
      <c r="H393" s="356"/>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row>
    <row r="394">
      <c r="A394" s="17"/>
      <c r="B394" s="17"/>
      <c r="C394" s="17"/>
      <c r="D394" s="17"/>
      <c r="E394" s="17"/>
      <c r="F394" s="17"/>
      <c r="G394" s="17"/>
      <c r="H394" s="356"/>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row>
    <row r="395">
      <c r="A395" s="17"/>
      <c r="B395" s="17"/>
      <c r="C395" s="17"/>
      <c r="D395" s="17"/>
      <c r="E395" s="17"/>
      <c r="F395" s="17"/>
      <c r="G395" s="17"/>
      <c r="H395" s="356"/>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row>
    <row r="396">
      <c r="A396" s="17"/>
      <c r="B396" s="17"/>
      <c r="C396" s="17"/>
      <c r="D396" s="17"/>
      <c r="E396" s="17"/>
      <c r="F396" s="17"/>
      <c r="G396" s="17"/>
      <c r="H396" s="356"/>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row>
    <row r="397">
      <c r="A397" s="17"/>
      <c r="B397" s="17"/>
      <c r="C397" s="17"/>
      <c r="D397" s="17"/>
      <c r="E397" s="17"/>
      <c r="F397" s="17"/>
      <c r="G397" s="17"/>
      <c r="H397" s="356"/>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row>
    <row r="398">
      <c r="A398" s="17"/>
      <c r="B398" s="17"/>
      <c r="C398" s="17"/>
      <c r="D398" s="17"/>
      <c r="E398" s="17"/>
      <c r="F398" s="17"/>
      <c r="G398" s="17"/>
      <c r="H398" s="356"/>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row>
    <row r="399">
      <c r="A399" s="17"/>
      <c r="B399" s="17"/>
      <c r="C399" s="17"/>
      <c r="D399" s="17"/>
      <c r="E399" s="17"/>
      <c r="F399" s="17"/>
      <c r="G399" s="17"/>
      <c r="H399" s="356"/>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row>
    <row r="400">
      <c r="A400" s="17"/>
      <c r="B400" s="17"/>
      <c r="C400" s="17"/>
      <c r="D400" s="17"/>
      <c r="E400" s="17"/>
      <c r="F400" s="17"/>
      <c r="G400" s="17"/>
      <c r="H400" s="356"/>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row>
    <row r="401">
      <c r="A401" s="17"/>
      <c r="B401" s="17"/>
      <c r="C401" s="17"/>
      <c r="D401" s="17"/>
      <c r="E401" s="17"/>
      <c r="F401" s="17"/>
      <c r="G401" s="17"/>
      <c r="H401" s="356"/>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row>
    <row r="402">
      <c r="A402" s="17"/>
      <c r="B402" s="17"/>
      <c r="C402" s="17"/>
      <c r="D402" s="17"/>
      <c r="E402" s="17"/>
      <c r="F402" s="17"/>
      <c r="G402" s="17"/>
      <c r="H402" s="356"/>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row>
    <row r="403">
      <c r="A403" s="17"/>
      <c r="B403" s="17"/>
      <c r="C403" s="17"/>
      <c r="D403" s="17"/>
      <c r="E403" s="17"/>
      <c r="F403" s="17"/>
      <c r="G403" s="17"/>
      <c r="H403" s="356"/>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row>
    <row r="404">
      <c r="A404" s="17"/>
      <c r="B404" s="17"/>
      <c r="C404" s="17"/>
      <c r="D404" s="17"/>
      <c r="E404" s="17"/>
      <c r="F404" s="17"/>
      <c r="G404" s="17"/>
      <c r="H404" s="356"/>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row>
    <row r="405">
      <c r="A405" s="17"/>
      <c r="B405" s="17"/>
      <c r="C405" s="17"/>
      <c r="D405" s="17"/>
      <c r="E405" s="17"/>
      <c r="F405" s="17"/>
      <c r="G405" s="17"/>
      <c r="H405" s="356"/>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row>
    <row r="406">
      <c r="A406" s="17"/>
      <c r="B406" s="17"/>
      <c r="C406" s="17"/>
      <c r="D406" s="17"/>
      <c r="E406" s="17"/>
      <c r="F406" s="17"/>
      <c r="G406" s="17"/>
      <c r="H406" s="356"/>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row>
    <row r="407">
      <c r="A407" s="17"/>
      <c r="B407" s="17"/>
      <c r="C407" s="17"/>
      <c r="D407" s="17"/>
      <c r="E407" s="17"/>
      <c r="F407" s="17"/>
      <c r="G407" s="17"/>
      <c r="H407" s="356"/>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row>
    <row r="408">
      <c r="A408" s="17"/>
      <c r="B408" s="17"/>
      <c r="C408" s="17"/>
      <c r="D408" s="17"/>
      <c r="E408" s="17"/>
      <c r="F408" s="17"/>
      <c r="G408" s="17"/>
      <c r="H408" s="356"/>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row>
    <row r="409">
      <c r="A409" s="17"/>
      <c r="B409" s="17"/>
      <c r="C409" s="17"/>
      <c r="D409" s="17"/>
      <c r="E409" s="17"/>
      <c r="F409" s="17"/>
      <c r="G409" s="17"/>
      <c r="H409" s="356"/>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row>
    <row r="410">
      <c r="A410" s="17"/>
      <c r="B410" s="17"/>
      <c r="C410" s="17"/>
      <c r="D410" s="17"/>
      <c r="E410" s="17"/>
      <c r="F410" s="17"/>
      <c r="G410" s="17"/>
      <c r="H410" s="356"/>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row>
    <row r="411">
      <c r="A411" s="17"/>
      <c r="B411" s="17"/>
      <c r="C411" s="17"/>
      <c r="D411" s="17"/>
      <c r="E411" s="17"/>
      <c r="F411" s="17"/>
      <c r="G411" s="17"/>
      <c r="H411" s="356"/>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row>
    <row r="412">
      <c r="A412" s="17"/>
      <c r="B412" s="17"/>
      <c r="C412" s="17"/>
      <c r="D412" s="17"/>
      <c r="E412" s="17"/>
      <c r="F412" s="17"/>
      <c r="G412" s="17"/>
      <c r="H412" s="356"/>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row>
    <row r="413">
      <c r="A413" s="17"/>
      <c r="B413" s="17"/>
      <c r="C413" s="17"/>
      <c r="D413" s="17"/>
      <c r="E413" s="17"/>
      <c r="F413" s="17"/>
      <c r="G413" s="17"/>
      <c r="H413" s="356"/>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row>
    <row r="414">
      <c r="A414" s="17"/>
      <c r="B414" s="17"/>
      <c r="C414" s="17"/>
      <c r="D414" s="17"/>
      <c r="E414" s="17"/>
      <c r="F414" s="17"/>
      <c r="G414" s="17"/>
      <c r="H414" s="356"/>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row>
    <row r="415">
      <c r="A415" s="17"/>
      <c r="B415" s="17"/>
      <c r="C415" s="17"/>
      <c r="D415" s="17"/>
      <c r="E415" s="17"/>
      <c r="F415" s="17"/>
      <c r="G415" s="17"/>
      <c r="H415" s="356"/>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row>
    <row r="416">
      <c r="A416" s="17"/>
      <c r="B416" s="17"/>
      <c r="C416" s="17"/>
      <c r="D416" s="17"/>
      <c r="E416" s="17"/>
      <c r="F416" s="17"/>
      <c r="G416" s="17"/>
      <c r="H416" s="356"/>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row>
    <row r="417">
      <c r="A417" s="17"/>
      <c r="B417" s="17"/>
      <c r="C417" s="17"/>
      <c r="D417" s="17"/>
      <c r="E417" s="17"/>
      <c r="F417" s="17"/>
      <c r="G417" s="17"/>
      <c r="H417" s="356"/>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row>
    <row r="418">
      <c r="A418" s="17"/>
      <c r="B418" s="17"/>
      <c r="C418" s="17"/>
      <c r="D418" s="17"/>
      <c r="E418" s="17"/>
      <c r="F418" s="17"/>
      <c r="G418" s="17"/>
      <c r="H418" s="356"/>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row>
    <row r="419">
      <c r="A419" s="17"/>
      <c r="B419" s="17"/>
      <c r="C419" s="17"/>
      <c r="D419" s="17"/>
      <c r="E419" s="17"/>
      <c r="F419" s="17"/>
      <c r="G419" s="17"/>
      <c r="H419" s="356"/>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row>
    <row r="420">
      <c r="A420" s="17"/>
      <c r="B420" s="17"/>
      <c r="C420" s="17"/>
      <c r="D420" s="17"/>
      <c r="E420" s="17"/>
      <c r="F420" s="17"/>
      <c r="G420" s="17"/>
      <c r="H420" s="356"/>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row>
    <row r="421">
      <c r="A421" s="17"/>
      <c r="B421" s="17"/>
      <c r="C421" s="17"/>
      <c r="D421" s="17"/>
      <c r="E421" s="17"/>
      <c r="F421" s="17"/>
      <c r="G421" s="17"/>
      <c r="H421" s="356"/>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row>
    <row r="422">
      <c r="A422" s="17"/>
      <c r="B422" s="17"/>
      <c r="C422" s="17"/>
      <c r="D422" s="17"/>
      <c r="E422" s="17"/>
      <c r="F422" s="17"/>
      <c r="G422" s="17"/>
      <c r="H422" s="356"/>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row>
    <row r="423">
      <c r="A423" s="17"/>
      <c r="B423" s="17"/>
      <c r="C423" s="17"/>
      <c r="D423" s="17"/>
      <c r="E423" s="17"/>
      <c r="F423" s="17"/>
      <c r="G423" s="17"/>
      <c r="H423" s="356"/>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row>
    <row r="424">
      <c r="A424" s="17"/>
      <c r="B424" s="17"/>
      <c r="C424" s="17"/>
      <c r="D424" s="17"/>
      <c r="E424" s="17"/>
      <c r="F424" s="17"/>
      <c r="G424" s="17"/>
      <c r="H424" s="356"/>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row>
    <row r="425">
      <c r="A425" s="17"/>
      <c r="B425" s="17"/>
      <c r="C425" s="17"/>
      <c r="D425" s="17"/>
      <c r="E425" s="17"/>
      <c r="F425" s="17"/>
      <c r="G425" s="17"/>
      <c r="H425" s="356"/>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row>
    <row r="426">
      <c r="A426" s="17"/>
      <c r="B426" s="17"/>
      <c r="C426" s="17"/>
      <c r="D426" s="17"/>
      <c r="E426" s="17"/>
      <c r="F426" s="17"/>
      <c r="G426" s="17"/>
      <c r="H426" s="356"/>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row>
    <row r="427">
      <c r="A427" s="17"/>
      <c r="B427" s="17"/>
      <c r="C427" s="17"/>
      <c r="D427" s="17"/>
      <c r="E427" s="17"/>
      <c r="F427" s="17"/>
      <c r="G427" s="17"/>
      <c r="H427" s="356"/>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row>
    <row r="428">
      <c r="A428" s="17"/>
      <c r="B428" s="17"/>
      <c r="C428" s="17"/>
      <c r="D428" s="17"/>
      <c r="E428" s="17"/>
      <c r="F428" s="17"/>
      <c r="G428" s="17"/>
      <c r="H428" s="356"/>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row>
    <row r="429">
      <c r="A429" s="17"/>
      <c r="B429" s="17"/>
      <c r="C429" s="17"/>
      <c r="D429" s="17"/>
      <c r="E429" s="17"/>
      <c r="F429" s="17"/>
      <c r="G429" s="17"/>
      <c r="H429" s="356"/>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row>
    <row r="430">
      <c r="A430" s="17"/>
      <c r="B430" s="17"/>
      <c r="C430" s="17"/>
      <c r="D430" s="17"/>
      <c r="E430" s="17"/>
      <c r="F430" s="17"/>
      <c r="G430" s="17"/>
      <c r="H430" s="356"/>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row>
    <row r="431">
      <c r="A431" s="17"/>
      <c r="B431" s="17"/>
      <c r="C431" s="17"/>
      <c r="D431" s="17"/>
      <c r="E431" s="17"/>
      <c r="F431" s="17"/>
      <c r="G431" s="17"/>
      <c r="H431" s="356"/>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row>
    <row r="432">
      <c r="A432" s="17"/>
      <c r="B432" s="17"/>
      <c r="C432" s="17"/>
      <c r="D432" s="17"/>
      <c r="E432" s="17"/>
      <c r="F432" s="17"/>
      <c r="G432" s="17"/>
      <c r="H432" s="356"/>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row>
    <row r="433">
      <c r="A433" s="17"/>
      <c r="B433" s="17"/>
      <c r="C433" s="17"/>
      <c r="D433" s="17"/>
      <c r="E433" s="17"/>
      <c r="F433" s="17"/>
      <c r="G433" s="17"/>
      <c r="H433" s="356"/>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row>
    <row r="434">
      <c r="A434" s="17"/>
      <c r="B434" s="17"/>
      <c r="C434" s="17"/>
      <c r="D434" s="17"/>
      <c r="E434" s="17"/>
      <c r="F434" s="17"/>
      <c r="G434" s="17"/>
      <c r="H434" s="356"/>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row>
    <row r="435">
      <c r="A435" s="17"/>
      <c r="B435" s="17"/>
      <c r="C435" s="17"/>
      <c r="D435" s="17"/>
      <c r="E435" s="17"/>
      <c r="F435" s="17"/>
      <c r="G435" s="17"/>
      <c r="H435" s="356"/>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row>
    <row r="436">
      <c r="A436" s="17"/>
      <c r="B436" s="17"/>
      <c r="C436" s="17"/>
      <c r="D436" s="17"/>
      <c r="E436" s="17"/>
      <c r="F436" s="17"/>
      <c r="G436" s="17"/>
      <c r="H436" s="356"/>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row>
    <row r="437">
      <c r="A437" s="17"/>
      <c r="B437" s="17"/>
      <c r="C437" s="17"/>
      <c r="D437" s="17"/>
      <c r="E437" s="17"/>
      <c r="F437" s="17"/>
      <c r="G437" s="17"/>
      <c r="H437" s="356"/>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row>
    <row r="438">
      <c r="A438" s="17"/>
      <c r="B438" s="17"/>
      <c r="C438" s="17"/>
      <c r="D438" s="17"/>
      <c r="E438" s="17"/>
      <c r="F438" s="17"/>
      <c r="G438" s="17"/>
      <c r="H438" s="356"/>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row>
    <row r="439">
      <c r="A439" s="17"/>
      <c r="B439" s="17"/>
      <c r="C439" s="17"/>
      <c r="D439" s="17"/>
      <c r="E439" s="17"/>
      <c r="F439" s="17"/>
      <c r="G439" s="17"/>
      <c r="H439" s="356"/>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row>
    <row r="440">
      <c r="A440" s="17"/>
      <c r="B440" s="17"/>
      <c r="C440" s="17"/>
      <c r="D440" s="17"/>
      <c r="E440" s="17"/>
      <c r="F440" s="17"/>
      <c r="G440" s="17"/>
      <c r="H440" s="356"/>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row>
    <row r="441">
      <c r="A441" s="17"/>
      <c r="B441" s="17"/>
      <c r="C441" s="17"/>
      <c r="D441" s="17"/>
      <c r="E441" s="17"/>
      <c r="F441" s="17"/>
      <c r="G441" s="17"/>
      <c r="H441" s="356"/>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row>
    <row r="442">
      <c r="A442" s="17"/>
      <c r="B442" s="17"/>
      <c r="C442" s="17"/>
      <c r="D442" s="17"/>
      <c r="E442" s="17"/>
      <c r="F442" s="17"/>
      <c r="G442" s="17"/>
      <c r="H442" s="356"/>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row>
    <row r="443">
      <c r="A443" s="17"/>
      <c r="B443" s="17"/>
      <c r="C443" s="17"/>
      <c r="D443" s="17"/>
      <c r="E443" s="17"/>
      <c r="F443" s="17"/>
      <c r="G443" s="17"/>
      <c r="H443" s="356"/>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row>
    <row r="444">
      <c r="A444" s="17"/>
      <c r="B444" s="17"/>
      <c r="C444" s="17"/>
      <c r="D444" s="17"/>
      <c r="E444" s="17"/>
      <c r="F444" s="17"/>
      <c r="G444" s="17"/>
      <c r="H444" s="356"/>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row>
    <row r="445">
      <c r="A445" s="17"/>
      <c r="B445" s="17"/>
      <c r="C445" s="17"/>
      <c r="D445" s="17"/>
      <c r="E445" s="17"/>
      <c r="F445" s="17"/>
      <c r="G445" s="17"/>
      <c r="H445" s="356"/>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row>
    <row r="446">
      <c r="A446" s="17"/>
      <c r="B446" s="17"/>
      <c r="C446" s="17"/>
      <c r="D446" s="17"/>
      <c r="E446" s="17"/>
      <c r="F446" s="17"/>
      <c r="G446" s="17"/>
      <c r="H446" s="356"/>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row>
    <row r="447">
      <c r="A447" s="17"/>
      <c r="B447" s="17"/>
      <c r="C447" s="17"/>
      <c r="D447" s="17"/>
      <c r="E447" s="17"/>
      <c r="F447" s="17"/>
      <c r="G447" s="17"/>
      <c r="H447" s="356"/>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row>
    <row r="448">
      <c r="A448" s="17"/>
      <c r="B448" s="17"/>
      <c r="C448" s="17"/>
      <c r="D448" s="17"/>
      <c r="E448" s="17"/>
      <c r="F448" s="17"/>
      <c r="G448" s="17"/>
      <c r="H448" s="356"/>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row>
    <row r="449">
      <c r="A449" s="17"/>
      <c r="B449" s="17"/>
      <c r="C449" s="17"/>
      <c r="D449" s="17"/>
      <c r="E449" s="17"/>
      <c r="F449" s="17"/>
      <c r="G449" s="17"/>
      <c r="H449" s="356"/>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row>
    <row r="450">
      <c r="A450" s="17"/>
      <c r="B450" s="17"/>
      <c r="C450" s="17"/>
      <c r="D450" s="17"/>
      <c r="E450" s="17"/>
      <c r="F450" s="17"/>
      <c r="G450" s="17"/>
      <c r="H450" s="356"/>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row>
    <row r="451">
      <c r="A451" s="17"/>
      <c r="B451" s="17"/>
      <c r="C451" s="17"/>
      <c r="D451" s="17"/>
      <c r="E451" s="17"/>
      <c r="F451" s="17"/>
      <c r="G451" s="17"/>
      <c r="H451" s="356"/>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row>
    <row r="452">
      <c r="A452" s="17"/>
      <c r="B452" s="17"/>
      <c r="C452" s="17"/>
      <c r="D452" s="17"/>
      <c r="E452" s="17"/>
      <c r="F452" s="17"/>
      <c r="G452" s="17"/>
      <c r="H452" s="356"/>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row>
    <row r="453">
      <c r="A453" s="17"/>
      <c r="B453" s="17"/>
      <c r="C453" s="17"/>
      <c r="D453" s="17"/>
      <c r="E453" s="17"/>
      <c r="F453" s="17"/>
      <c r="G453" s="17"/>
      <c r="H453" s="356"/>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row>
    <row r="454">
      <c r="A454" s="17"/>
      <c r="B454" s="17"/>
      <c r="C454" s="17"/>
      <c r="D454" s="17"/>
      <c r="E454" s="17"/>
      <c r="F454" s="17"/>
      <c r="G454" s="17"/>
      <c r="H454" s="356"/>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row>
    <row r="455">
      <c r="A455" s="17"/>
      <c r="B455" s="17"/>
      <c r="C455" s="17"/>
      <c r="D455" s="17"/>
      <c r="E455" s="17"/>
      <c r="F455" s="17"/>
      <c r="G455" s="17"/>
      <c r="H455" s="356"/>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row>
    <row r="456">
      <c r="A456" s="17"/>
      <c r="B456" s="17"/>
      <c r="C456" s="17"/>
      <c r="D456" s="17"/>
      <c r="E456" s="17"/>
      <c r="F456" s="17"/>
      <c r="G456" s="17"/>
      <c r="H456" s="356"/>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row>
    <row r="457">
      <c r="A457" s="17"/>
      <c r="B457" s="17"/>
      <c r="C457" s="17"/>
      <c r="D457" s="17"/>
      <c r="E457" s="17"/>
      <c r="F457" s="17"/>
      <c r="G457" s="17"/>
      <c r="H457" s="356"/>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row>
    <row r="458">
      <c r="A458" s="17"/>
      <c r="B458" s="17"/>
      <c r="C458" s="17"/>
      <c r="D458" s="17"/>
      <c r="E458" s="17"/>
      <c r="F458" s="17"/>
      <c r="G458" s="17"/>
      <c r="H458" s="356"/>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row>
    <row r="459">
      <c r="A459" s="17"/>
      <c r="B459" s="17"/>
      <c r="C459" s="17"/>
      <c r="D459" s="17"/>
      <c r="E459" s="17"/>
      <c r="F459" s="17"/>
      <c r="G459" s="17"/>
      <c r="H459" s="356"/>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row>
    <row r="460">
      <c r="A460" s="17"/>
      <c r="B460" s="17"/>
      <c r="C460" s="17"/>
      <c r="D460" s="17"/>
      <c r="E460" s="17"/>
      <c r="F460" s="17"/>
      <c r="G460" s="17"/>
      <c r="H460" s="356"/>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row>
    <row r="461">
      <c r="A461" s="17"/>
      <c r="B461" s="17"/>
      <c r="C461" s="17"/>
      <c r="D461" s="17"/>
      <c r="E461" s="17"/>
      <c r="F461" s="17"/>
      <c r="G461" s="17"/>
      <c r="H461" s="356"/>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row>
    <row r="462">
      <c r="A462" s="17"/>
      <c r="B462" s="17"/>
      <c r="C462" s="17"/>
      <c r="D462" s="17"/>
      <c r="E462" s="17"/>
      <c r="F462" s="17"/>
      <c r="G462" s="17"/>
      <c r="H462" s="356"/>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row>
    <row r="463">
      <c r="A463" s="17"/>
      <c r="B463" s="17"/>
      <c r="C463" s="17"/>
      <c r="D463" s="17"/>
      <c r="E463" s="17"/>
      <c r="F463" s="17"/>
      <c r="G463" s="17"/>
      <c r="H463" s="356"/>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row>
    <row r="464">
      <c r="A464" s="17"/>
      <c r="B464" s="17"/>
      <c r="C464" s="17"/>
      <c r="D464" s="17"/>
      <c r="E464" s="17"/>
      <c r="F464" s="17"/>
      <c r="G464" s="17"/>
      <c r="H464" s="356"/>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row>
    <row r="465">
      <c r="A465" s="17"/>
      <c r="B465" s="17"/>
      <c r="C465" s="17"/>
      <c r="D465" s="17"/>
      <c r="E465" s="17"/>
      <c r="F465" s="17"/>
      <c r="G465" s="17"/>
      <c r="H465" s="356"/>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row>
    <row r="466">
      <c r="A466" s="17"/>
      <c r="B466" s="17"/>
      <c r="C466" s="17"/>
      <c r="D466" s="17"/>
      <c r="E466" s="17"/>
      <c r="F466" s="17"/>
      <c r="G466" s="17"/>
      <c r="H466" s="356"/>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row>
    <row r="467">
      <c r="A467" s="17"/>
      <c r="B467" s="17"/>
      <c r="C467" s="17"/>
      <c r="D467" s="17"/>
      <c r="E467" s="17"/>
      <c r="F467" s="17"/>
      <c r="G467" s="17"/>
      <c r="H467" s="356"/>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row>
    <row r="468">
      <c r="A468" s="17"/>
      <c r="B468" s="17"/>
      <c r="C468" s="17"/>
      <c r="D468" s="17"/>
      <c r="E468" s="17"/>
      <c r="F468" s="17"/>
      <c r="G468" s="17"/>
      <c r="H468" s="356"/>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row>
    <row r="469">
      <c r="A469" s="17"/>
      <c r="B469" s="17"/>
      <c r="C469" s="17"/>
      <c r="D469" s="17"/>
      <c r="E469" s="17"/>
      <c r="F469" s="17"/>
      <c r="G469" s="17"/>
      <c r="H469" s="356"/>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row>
    <row r="470">
      <c r="A470" s="17"/>
      <c r="B470" s="17"/>
      <c r="C470" s="17"/>
      <c r="D470" s="17"/>
      <c r="E470" s="17"/>
      <c r="F470" s="17"/>
      <c r="G470" s="17"/>
      <c r="H470" s="356"/>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row>
    <row r="471">
      <c r="A471" s="17"/>
      <c r="B471" s="17"/>
      <c r="C471" s="17"/>
      <c r="D471" s="17"/>
      <c r="E471" s="17"/>
      <c r="F471" s="17"/>
      <c r="G471" s="17"/>
      <c r="H471" s="356"/>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row>
    <row r="472">
      <c r="A472" s="17"/>
      <c r="B472" s="17"/>
      <c r="C472" s="17"/>
      <c r="D472" s="17"/>
      <c r="E472" s="17"/>
      <c r="F472" s="17"/>
      <c r="G472" s="17"/>
      <c r="H472" s="356"/>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row>
    <row r="473">
      <c r="A473" s="17"/>
      <c r="B473" s="17"/>
      <c r="C473" s="17"/>
      <c r="D473" s="17"/>
      <c r="E473" s="17"/>
      <c r="F473" s="17"/>
      <c r="G473" s="17"/>
      <c r="H473" s="356"/>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row>
    <row r="474">
      <c r="A474" s="17"/>
      <c r="B474" s="17"/>
      <c r="C474" s="17"/>
      <c r="D474" s="17"/>
      <c r="E474" s="17"/>
      <c r="F474" s="17"/>
      <c r="G474" s="17"/>
      <c r="H474" s="356"/>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row>
    <row r="475">
      <c r="A475" s="17"/>
      <c r="B475" s="17"/>
      <c r="C475" s="17"/>
      <c r="D475" s="17"/>
      <c r="E475" s="17"/>
      <c r="F475" s="17"/>
      <c r="G475" s="17"/>
      <c r="H475" s="356"/>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row>
    <row r="476">
      <c r="A476" s="17"/>
      <c r="B476" s="17"/>
      <c r="C476" s="17"/>
      <c r="D476" s="17"/>
      <c r="E476" s="17"/>
      <c r="F476" s="17"/>
      <c r="G476" s="17"/>
      <c r="H476" s="356"/>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row>
    <row r="477">
      <c r="A477" s="17"/>
      <c r="B477" s="17"/>
      <c r="C477" s="17"/>
      <c r="D477" s="17"/>
      <c r="E477" s="17"/>
      <c r="F477" s="17"/>
      <c r="G477" s="17"/>
      <c r="H477" s="356"/>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row>
    <row r="478">
      <c r="A478" s="17"/>
      <c r="B478" s="17"/>
      <c r="C478" s="17"/>
      <c r="D478" s="17"/>
      <c r="E478" s="17"/>
      <c r="F478" s="17"/>
      <c r="G478" s="17"/>
      <c r="H478" s="356"/>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row>
    <row r="479">
      <c r="A479" s="17"/>
      <c r="B479" s="17"/>
      <c r="C479" s="17"/>
      <c r="D479" s="17"/>
      <c r="E479" s="17"/>
      <c r="F479" s="17"/>
      <c r="G479" s="17"/>
      <c r="H479" s="356"/>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row>
    <row r="480">
      <c r="A480" s="17"/>
      <c r="B480" s="17"/>
      <c r="C480" s="17"/>
      <c r="D480" s="17"/>
      <c r="E480" s="17"/>
      <c r="F480" s="17"/>
      <c r="G480" s="17"/>
      <c r="H480" s="356"/>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row>
    <row r="481">
      <c r="A481" s="17"/>
      <c r="B481" s="17"/>
      <c r="C481" s="17"/>
      <c r="D481" s="17"/>
      <c r="E481" s="17"/>
      <c r="F481" s="17"/>
      <c r="G481" s="17"/>
      <c r="H481" s="356"/>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row>
    <row r="482">
      <c r="A482" s="17"/>
      <c r="B482" s="17"/>
      <c r="C482" s="17"/>
      <c r="D482" s="17"/>
      <c r="E482" s="17"/>
      <c r="F482" s="17"/>
      <c r="G482" s="17"/>
      <c r="H482" s="356"/>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row>
    <row r="483">
      <c r="A483" s="17"/>
      <c r="B483" s="17"/>
      <c r="C483" s="17"/>
      <c r="D483" s="17"/>
      <c r="E483" s="17"/>
      <c r="F483" s="17"/>
      <c r="G483" s="17"/>
      <c r="H483" s="356"/>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row>
    <row r="484">
      <c r="A484" s="17"/>
      <c r="B484" s="17"/>
      <c r="C484" s="17"/>
      <c r="D484" s="17"/>
      <c r="E484" s="17"/>
      <c r="F484" s="17"/>
      <c r="G484" s="17"/>
      <c r="H484" s="356"/>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row>
    <row r="485">
      <c r="A485" s="17"/>
      <c r="B485" s="17"/>
      <c r="C485" s="17"/>
      <c r="D485" s="17"/>
      <c r="E485" s="17"/>
      <c r="F485" s="17"/>
      <c r="G485" s="17"/>
      <c r="H485" s="356"/>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row>
    <row r="486">
      <c r="A486" s="17"/>
      <c r="B486" s="17"/>
      <c r="C486" s="17"/>
      <c r="D486" s="17"/>
      <c r="E486" s="17"/>
      <c r="F486" s="17"/>
      <c r="G486" s="17"/>
      <c r="H486" s="356"/>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row>
    <row r="487">
      <c r="A487" s="17"/>
      <c r="B487" s="17"/>
      <c r="C487" s="17"/>
      <c r="D487" s="17"/>
      <c r="E487" s="17"/>
      <c r="F487" s="17"/>
      <c r="G487" s="17"/>
      <c r="H487" s="356"/>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row>
    <row r="488">
      <c r="A488" s="17"/>
      <c r="B488" s="17"/>
      <c r="C488" s="17"/>
      <c r="D488" s="17"/>
      <c r="E488" s="17"/>
      <c r="F488" s="17"/>
      <c r="G488" s="17"/>
      <c r="H488" s="356"/>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row>
    <row r="489">
      <c r="A489" s="17"/>
      <c r="B489" s="17"/>
      <c r="C489" s="17"/>
      <c r="D489" s="17"/>
      <c r="E489" s="17"/>
      <c r="F489" s="17"/>
      <c r="G489" s="17"/>
      <c r="H489" s="356"/>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row>
    <row r="490">
      <c r="A490" s="17"/>
      <c r="B490" s="17"/>
      <c r="C490" s="17"/>
      <c r="D490" s="17"/>
      <c r="E490" s="17"/>
      <c r="F490" s="17"/>
      <c r="G490" s="17"/>
      <c r="H490" s="356"/>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row>
    <row r="491">
      <c r="A491" s="17"/>
      <c r="B491" s="17"/>
      <c r="C491" s="17"/>
      <c r="D491" s="17"/>
      <c r="E491" s="17"/>
      <c r="F491" s="17"/>
      <c r="G491" s="17"/>
      <c r="H491" s="356"/>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row>
    <row r="492">
      <c r="A492" s="17"/>
      <c r="B492" s="17"/>
      <c r="C492" s="17"/>
      <c r="D492" s="17"/>
      <c r="E492" s="17"/>
      <c r="F492" s="17"/>
      <c r="G492" s="17"/>
      <c r="H492" s="356"/>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row>
    <row r="493">
      <c r="A493" s="17"/>
      <c r="B493" s="17"/>
      <c r="C493" s="17"/>
      <c r="D493" s="17"/>
      <c r="E493" s="17"/>
      <c r="F493" s="17"/>
      <c r="G493" s="17"/>
      <c r="H493" s="356"/>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row>
    <row r="494">
      <c r="A494" s="17"/>
      <c r="B494" s="17"/>
      <c r="C494" s="17"/>
      <c r="D494" s="17"/>
      <c r="E494" s="17"/>
      <c r="F494" s="17"/>
      <c r="G494" s="17"/>
      <c r="H494" s="356"/>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row>
    <row r="495">
      <c r="A495" s="17"/>
      <c r="B495" s="17"/>
      <c r="C495" s="17"/>
      <c r="D495" s="17"/>
      <c r="E495" s="17"/>
      <c r="F495" s="17"/>
      <c r="G495" s="17"/>
      <c r="H495" s="356"/>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row>
    <row r="496">
      <c r="A496" s="17"/>
      <c r="B496" s="17"/>
      <c r="C496" s="17"/>
      <c r="D496" s="17"/>
      <c r="E496" s="17"/>
      <c r="F496" s="17"/>
      <c r="G496" s="17"/>
      <c r="H496" s="356"/>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row>
    <row r="497">
      <c r="A497" s="17"/>
      <c r="B497" s="17"/>
      <c r="C497" s="17"/>
      <c r="D497" s="17"/>
      <c r="E497" s="17"/>
      <c r="F497" s="17"/>
      <c r="G497" s="17"/>
      <c r="H497" s="356"/>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row>
    <row r="498">
      <c r="A498" s="17"/>
      <c r="B498" s="17"/>
      <c r="C498" s="17"/>
      <c r="D498" s="17"/>
      <c r="E498" s="17"/>
      <c r="F498" s="17"/>
      <c r="G498" s="17"/>
      <c r="H498" s="356"/>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row>
    <row r="499">
      <c r="A499" s="17"/>
      <c r="B499" s="17"/>
      <c r="C499" s="17"/>
      <c r="D499" s="17"/>
      <c r="E499" s="17"/>
      <c r="F499" s="17"/>
      <c r="G499" s="17"/>
      <c r="H499" s="356"/>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row>
    <row r="500">
      <c r="A500" s="17"/>
      <c r="B500" s="17"/>
      <c r="C500" s="17"/>
      <c r="D500" s="17"/>
      <c r="E500" s="17"/>
      <c r="F500" s="17"/>
      <c r="G500" s="17"/>
      <c r="H500" s="356"/>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row>
    <row r="501">
      <c r="A501" s="17"/>
      <c r="B501" s="17"/>
      <c r="C501" s="17"/>
      <c r="D501" s="17"/>
      <c r="E501" s="17"/>
      <c r="F501" s="17"/>
      <c r="G501" s="17"/>
      <c r="H501" s="356"/>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row>
    <row r="502">
      <c r="A502" s="17"/>
      <c r="B502" s="17"/>
      <c r="C502" s="17"/>
      <c r="D502" s="17"/>
      <c r="E502" s="17"/>
      <c r="F502" s="17"/>
      <c r="G502" s="17"/>
      <c r="H502" s="356"/>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row>
    <row r="503">
      <c r="A503" s="17"/>
      <c r="B503" s="17"/>
      <c r="C503" s="17"/>
      <c r="D503" s="17"/>
      <c r="E503" s="17"/>
      <c r="F503" s="17"/>
      <c r="G503" s="17"/>
      <c r="H503" s="356"/>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row>
    <row r="504">
      <c r="A504" s="17"/>
      <c r="B504" s="17"/>
      <c r="C504" s="17"/>
      <c r="D504" s="17"/>
      <c r="E504" s="17"/>
      <c r="F504" s="17"/>
      <c r="G504" s="17"/>
      <c r="H504" s="356"/>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row>
    <row r="505">
      <c r="A505" s="17"/>
      <c r="B505" s="17"/>
      <c r="C505" s="17"/>
      <c r="D505" s="17"/>
      <c r="E505" s="17"/>
      <c r="F505" s="17"/>
      <c r="G505" s="17"/>
      <c r="H505" s="356"/>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row>
    <row r="506">
      <c r="A506" s="17"/>
      <c r="B506" s="17"/>
      <c r="C506" s="17"/>
      <c r="D506" s="17"/>
      <c r="E506" s="17"/>
      <c r="F506" s="17"/>
      <c r="G506" s="17"/>
      <c r="H506" s="356"/>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row>
    <row r="507">
      <c r="A507" s="17"/>
      <c r="B507" s="17"/>
      <c r="C507" s="17"/>
      <c r="D507" s="17"/>
      <c r="E507" s="17"/>
      <c r="F507" s="17"/>
      <c r="G507" s="17"/>
      <c r="H507" s="356"/>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row>
    <row r="508">
      <c r="A508" s="17"/>
      <c r="B508" s="17"/>
      <c r="C508" s="17"/>
      <c r="D508" s="17"/>
      <c r="E508" s="17"/>
      <c r="F508" s="17"/>
      <c r="G508" s="17"/>
      <c r="H508" s="356"/>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row>
    <row r="509">
      <c r="A509" s="17"/>
      <c r="B509" s="17"/>
      <c r="C509" s="17"/>
      <c r="D509" s="17"/>
      <c r="E509" s="17"/>
      <c r="F509" s="17"/>
      <c r="G509" s="17"/>
      <c r="H509" s="356"/>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row>
    <row r="510">
      <c r="A510" s="17"/>
      <c r="B510" s="17"/>
      <c r="C510" s="17"/>
      <c r="D510" s="17"/>
      <c r="E510" s="17"/>
      <c r="F510" s="17"/>
      <c r="G510" s="17"/>
      <c r="H510" s="356"/>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row>
    <row r="511">
      <c r="A511" s="17"/>
      <c r="B511" s="17"/>
      <c r="C511" s="17"/>
      <c r="D511" s="17"/>
      <c r="E511" s="17"/>
      <c r="F511" s="17"/>
      <c r="G511" s="17"/>
      <c r="H511" s="356"/>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row>
    <row r="512">
      <c r="A512" s="17"/>
      <c r="B512" s="17"/>
      <c r="C512" s="17"/>
      <c r="D512" s="17"/>
      <c r="E512" s="17"/>
      <c r="F512" s="17"/>
      <c r="G512" s="17"/>
      <c r="H512" s="356"/>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row>
    <row r="513">
      <c r="A513" s="17"/>
      <c r="B513" s="17"/>
      <c r="C513" s="17"/>
      <c r="D513" s="17"/>
      <c r="E513" s="17"/>
      <c r="F513" s="17"/>
      <c r="G513" s="17"/>
      <c r="H513" s="356"/>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row>
    <row r="514">
      <c r="A514" s="17"/>
      <c r="B514" s="17"/>
      <c r="C514" s="17"/>
      <c r="D514" s="17"/>
      <c r="E514" s="17"/>
      <c r="F514" s="17"/>
      <c r="G514" s="17"/>
      <c r="H514" s="356"/>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row>
    <row r="515">
      <c r="A515" s="17"/>
      <c r="B515" s="17"/>
      <c r="C515" s="17"/>
      <c r="D515" s="17"/>
      <c r="E515" s="17"/>
      <c r="F515" s="17"/>
      <c r="G515" s="17"/>
      <c r="H515" s="356"/>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row>
    <row r="516">
      <c r="A516" s="17"/>
      <c r="B516" s="17"/>
      <c r="C516" s="17"/>
      <c r="D516" s="17"/>
      <c r="E516" s="17"/>
      <c r="F516" s="17"/>
      <c r="G516" s="17"/>
      <c r="H516" s="356"/>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row>
    <row r="517">
      <c r="A517" s="17"/>
      <c r="B517" s="17"/>
      <c r="C517" s="17"/>
      <c r="D517" s="17"/>
      <c r="E517" s="17"/>
      <c r="F517" s="17"/>
      <c r="G517" s="17"/>
      <c r="H517" s="356"/>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row>
    <row r="518">
      <c r="A518" s="17"/>
      <c r="B518" s="17"/>
      <c r="C518" s="17"/>
      <c r="D518" s="17"/>
      <c r="E518" s="17"/>
      <c r="F518" s="17"/>
      <c r="G518" s="17"/>
      <c r="H518" s="356"/>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row>
    <row r="519">
      <c r="A519" s="17"/>
      <c r="B519" s="17"/>
      <c r="C519" s="17"/>
      <c r="D519" s="17"/>
      <c r="E519" s="17"/>
      <c r="F519" s="17"/>
      <c r="G519" s="17"/>
      <c r="H519" s="356"/>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row>
    <row r="520">
      <c r="A520" s="17"/>
      <c r="B520" s="17"/>
      <c r="C520" s="17"/>
      <c r="D520" s="17"/>
      <c r="E520" s="17"/>
      <c r="F520" s="17"/>
      <c r="G520" s="17"/>
      <c r="H520" s="356"/>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row>
    <row r="521">
      <c r="A521" s="17"/>
      <c r="B521" s="17"/>
      <c r="C521" s="17"/>
      <c r="D521" s="17"/>
      <c r="E521" s="17"/>
      <c r="F521" s="17"/>
      <c r="G521" s="17"/>
      <c r="H521" s="356"/>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row>
    <row r="522">
      <c r="A522" s="17"/>
      <c r="B522" s="17"/>
      <c r="C522" s="17"/>
      <c r="D522" s="17"/>
      <c r="E522" s="17"/>
      <c r="F522" s="17"/>
      <c r="G522" s="17"/>
      <c r="H522" s="356"/>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row>
    <row r="523">
      <c r="A523" s="17"/>
      <c r="B523" s="17"/>
      <c r="C523" s="17"/>
      <c r="D523" s="17"/>
      <c r="E523" s="17"/>
      <c r="F523" s="17"/>
      <c r="G523" s="17"/>
      <c r="H523" s="356"/>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row>
    <row r="524">
      <c r="A524" s="17"/>
      <c r="B524" s="17"/>
      <c r="C524" s="17"/>
      <c r="D524" s="17"/>
      <c r="E524" s="17"/>
      <c r="F524" s="17"/>
      <c r="G524" s="17"/>
      <c r="H524" s="356"/>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row>
    <row r="525">
      <c r="A525" s="17"/>
      <c r="B525" s="17"/>
      <c r="C525" s="17"/>
      <c r="D525" s="17"/>
      <c r="E525" s="17"/>
      <c r="F525" s="17"/>
      <c r="G525" s="17"/>
      <c r="H525" s="356"/>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row>
    <row r="526">
      <c r="A526" s="17"/>
      <c r="B526" s="17"/>
      <c r="C526" s="17"/>
      <c r="D526" s="17"/>
      <c r="E526" s="17"/>
      <c r="F526" s="17"/>
      <c r="G526" s="17"/>
      <c r="H526" s="356"/>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row>
    <row r="527">
      <c r="A527" s="17"/>
      <c r="B527" s="17"/>
      <c r="C527" s="17"/>
      <c r="D527" s="17"/>
      <c r="E527" s="17"/>
      <c r="F527" s="17"/>
      <c r="G527" s="17"/>
      <c r="H527" s="356"/>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row>
    <row r="528">
      <c r="A528" s="17"/>
      <c r="B528" s="17"/>
      <c r="C528" s="17"/>
      <c r="D528" s="17"/>
      <c r="E528" s="17"/>
      <c r="F528" s="17"/>
      <c r="G528" s="17"/>
      <c r="H528" s="356"/>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row>
    <row r="529">
      <c r="A529" s="17"/>
      <c r="B529" s="17"/>
      <c r="C529" s="17"/>
      <c r="D529" s="17"/>
      <c r="E529" s="17"/>
      <c r="F529" s="17"/>
      <c r="G529" s="17"/>
      <c r="H529" s="356"/>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row>
    <row r="530">
      <c r="A530" s="17"/>
      <c r="B530" s="17"/>
      <c r="C530" s="17"/>
      <c r="D530" s="17"/>
      <c r="E530" s="17"/>
      <c r="F530" s="17"/>
      <c r="G530" s="17"/>
      <c r="H530" s="356"/>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row>
    <row r="531">
      <c r="A531" s="17"/>
      <c r="B531" s="17"/>
      <c r="C531" s="17"/>
      <c r="D531" s="17"/>
      <c r="E531" s="17"/>
      <c r="F531" s="17"/>
      <c r="G531" s="17"/>
      <c r="H531" s="356"/>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row>
    <row r="532">
      <c r="A532" s="17"/>
      <c r="B532" s="17"/>
      <c r="C532" s="17"/>
      <c r="D532" s="17"/>
      <c r="E532" s="17"/>
      <c r="F532" s="17"/>
      <c r="G532" s="17"/>
      <c r="H532" s="356"/>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row>
    <row r="533">
      <c r="A533" s="17"/>
      <c r="B533" s="17"/>
      <c r="C533" s="17"/>
      <c r="D533" s="17"/>
      <c r="E533" s="17"/>
      <c r="F533" s="17"/>
      <c r="G533" s="17"/>
      <c r="H533" s="356"/>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row>
    <row r="534">
      <c r="A534" s="17"/>
      <c r="B534" s="17"/>
      <c r="C534" s="17"/>
      <c r="D534" s="17"/>
      <c r="E534" s="17"/>
      <c r="F534" s="17"/>
      <c r="G534" s="17"/>
      <c r="H534" s="356"/>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row>
    <row r="535">
      <c r="A535" s="17"/>
      <c r="B535" s="17"/>
      <c r="C535" s="17"/>
      <c r="D535" s="17"/>
      <c r="E535" s="17"/>
      <c r="F535" s="17"/>
      <c r="G535" s="17"/>
      <c r="H535" s="356"/>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row>
    <row r="536">
      <c r="A536" s="17"/>
      <c r="B536" s="17"/>
      <c r="C536" s="17"/>
      <c r="D536" s="17"/>
      <c r="E536" s="17"/>
      <c r="F536" s="17"/>
      <c r="G536" s="17"/>
      <c r="H536" s="356"/>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row>
    <row r="537">
      <c r="A537" s="17"/>
      <c r="B537" s="17"/>
      <c r="C537" s="17"/>
      <c r="D537" s="17"/>
      <c r="E537" s="17"/>
      <c r="F537" s="17"/>
      <c r="G537" s="17"/>
      <c r="H537" s="356"/>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row>
    <row r="538">
      <c r="A538" s="17"/>
      <c r="B538" s="17"/>
      <c r="C538" s="17"/>
      <c r="D538" s="17"/>
      <c r="E538" s="17"/>
      <c r="F538" s="17"/>
      <c r="G538" s="17"/>
      <c r="H538" s="356"/>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row>
    <row r="539">
      <c r="A539" s="17"/>
      <c r="B539" s="17"/>
      <c r="C539" s="17"/>
      <c r="D539" s="17"/>
      <c r="E539" s="17"/>
      <c r="F539" s="17"/>
      <c r="G539" s="17"/>
      <c r="H539" s="356"/>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row>
    <row r="540">
      <c r="A540" s="17"/>
      <c r="B540" s="17"/>
      <c r="C540" s="17"/>
      <c r="D540" s="17"/>
      <c r="E540" s="17"/>
      <c r="F540" s="17"/>
      <c r="G540" s="17"/>
      <c r="H540" s="356"/>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row>
    <row r="541">
      <c r="A541" s="17"/>
      <c r="B541" s="17"/>
      <c r="C541" s="17"/>
      <c r="D541" s="17"/>
      <c r="E541" s="17"/>
      <c r="F541" s="17"/>
      <c r="G541" s="17"/>
      <c r="H541" s="356"/>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row>
    <row r="542">
      <c r="A542" s="17"/>
      <c r="B542" s="17"/>
      <c r="C542" s="17"/>
      <c r="D542" s="17"/>
      <c r="E542" s="17"/>
      <c r="F542" s="17"/>
      <c r="G542" s="17"/>
      <c r="H542" s="356"/>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row>
    <row r="543">
      <c r="A543" s="17"/>
      <c r="B543" s="17"/>
      <c r="C543" s="17"/>
      <c r="D543" s="17"/>
      <c r="E543" s="17"/>
      <c r="F543" s="17"/>
      <c r="G543" s="17"/>
      <c r="H543" s="356"/>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row>
    <row r="544">
      <c r="A544" s="17"/>
      <c r="B544" s="17"/>
      <c r="C544" s="17"/>
      <c r="D544" s="17"/>
      <c r="E544" s="17"/>
      <c r="F544" s="17"/>
      <c r="G544" s="17"/>
      <c r="H544" s="356"/>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row>
    <row r="545">
      <c r="A545" s="17"/>
      <c r="B545" s="17"/>
      <c r="C545" s="17"/>
      <c r="D545" s="17"/>
      <c r="E545" s="17"/>
      <c r="F545" s="17"/>
      <c r="G545" s="17"/>
      <c r="H545" s="356"/>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row>
    <row r="546">
      <c r="A546" s="17"/>
      <c r="B546" s="17"/>
      <c r="C546" s="17"/>
      <c r="D546" s="17"/>
      <c r="E546" s="17"/>
      <c r="F546" s="17"/>
      <c r="G546" s="17"/>
      <c r="H546" s="356"/>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row>
    <row r="547">
      <c r="A547" s="17"/>
      <c r="B547" s="17"/>
      <c r="C547" s="17"/>
      <c r="D547" s="17"/>
      <c r="E547" s="17"/>
      <c r="F547" s="17"/>
      <c r="G547" s="17"/>
      <c r="H547" s="356"/>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row>
    <row r="548">
      <c r="A548" s="17"/>
      <c r="B548" s="17"/>
      <c r="C548" s="17"/>
      <c r="D548" s="17"/>
      <c r="E548" s="17"/>
      <c r="F548" s="17"/>
      <c r="G548" s="17"/>
      <c r="H548" s="356"/>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row>
    <row r="549">
      <c r="A549" s="17"/>
      <c r="B549" s="17"/>
      <c r="C549" s="17"/>
      <c r="D549" s="17"/>
      <c r="E549" s="17"/>
      <c r="F549" s="17"/>
      <c r="G549" s="17"/>
      <c r="H549" s="356"/>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row>
    <row r="550">
      <c r="A550" s="17"/>
      <c r="B550" s="17"/>
      <c r="C550" s="17"/>
      <c r="D550" s="17"/>
      <c r="E550" s="17"/>
      <c r="F550" s="17"/>
      <c r="G550" s="17"/>
      <c r="H550" s="356"/>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row>
    <row r="551">
      <c r="A551" s="17"/>
      <c r="B551" s="17"/>
      <c r="C551" s="17"/>
      <c r="D551" s="17"/>
      <c r="E551" s="17"/>
      <c r="F551" s="17"/>
      <c r="G551" s="17"/>
      <c r="H551" s="356"/>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row>
    <row r="552">
      <c r="A552" s="17"/>
      <c r="B552" s="17"/>
      <c r="C552" s="17"/>
      <c r="D552" s="17"/>
      <c r="E552" s="17"/>
      <c r="F552" s="17"/>
      <c r="G552" s="17"/>
      <c r="H552" s="356"/>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row>
    <row r="553">
      <c r="A553" s="17"/>
      <c r="B553" s="17"/>
      <c r="C553" s="17"/>
      <c r="D553" s="17"/>
      <c r="E553" s="17"/>
      <c r="F553" s="17"/>
      <c r="G553" s="17"/>
      <c r="H553" s="356"/>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row>
    <row r="554">
      <c r="A554" s="17"/>
      <c r="B554" s="17"/>
      <c r="C554" s="17"/>
      <c r="D554" s="17"/>
      <c r="E554" s="17"/>
      <c r="F554" s="17"/>
      <c r="G554" s="17"/>
      <c r="H554" s="356"/>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row>
    <row r="555">
      <c r="A555" s="17"/>
      <c r="B555" s="17"/>
      <c r="C555" s="17"/>
      <c r="D555" s="17"/>
      <c r="E555" s="17"/>
      <c r="F555" s="17"/>
      <c r="G555" s="17"/>
      <c r="H555" s="356"/>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row>
    <row r="556">
      <c r="A556" s="17"/>
      <c r="B556" s="17"/>
      <c r="C556" s="17"/>
      <c r="D556" s="17"/>
      <c r="E556" s="17"/>
      <c r="F556" s="17"/>
      <c r="G556" s="17"/>
      <c r="H556" s="356"/>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row>
    <row r="557">
      <c r="A557" s="17"/>
      <c r="B557" s="17"/>
      <c r="C557" s="17"/>
      <c r="D557" s="17"/>
      <c r="E557" s="17"/>
      <c r="F557" s="17"/>
      <c r="G557" s="17"/>
      <c r="H557" s="356"/>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row>
    <row r="558">
      <c r="A558" s="17"/>
      <c r="B558" s="17"/>
      <c r="C558" s="17"/>
      <c r="D558" s="17"/>
      <c r="E558" s="17"/>
      <c r="F558" s="17"/>
      <c r="G558" s="17"/>
      <c r="H558" s="356"/>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row>
    <row r="559">
      <c r="A559" s="17"/>
      <c r="B559" s="17"/>
      <c r="C559" s="17"/>
      <c r="D559" s="17"/>
      <c r="E559" s="17"/>
      <c r="F559" s="17"/>
      <c r="G559" s="17"/>
      <c r="H559" s="356"/>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row>
    <row r="560">
      <c r="A560" s="17"/>
      <c r="B560" s="17"/>
      <c r="C560" s="17"/>
      <c r="D560" s="17"/>
      <c r="E560" s="17"/>
      <c r="F560" s="17"/>
      <c r="G560" s="17"/>
      <c r="H560" s="356"/>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row>
    <row r="561">
      <c r="A561" s="17"/>
      <c r="B561" s="17"/>
      <c r="C561" s="17"/>
      <c r="D561" s="17"/>
      <c r="E561" s="17"/>
      <c r="F561" s="17"/>
      <c r="G561" s="17"/>
      <c r="H561" s="356"/>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row>
    <row r="562">
      <c r="A562" s="17"/>
      <c r="B562" s="17"/>
      <c r="C562" s="17"/>
      <c r="D562" s="17"/>
      <c r="E562" s="17"/>
      <c r="F562" s="17"/>
      <c r="G562" s="17"/>
      <c r="H562" s="356"/>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row>
    <row r="563">
      <c r="A563" s="17"/>
      <c r="B563" s="17"/>
      <c r="C563" s="17"/>
      <c r="D563" s="17"/>
      <c r="E563" s="17"/>
      <c r="F563" s="17"/>
      <c r="G563" s="17"/>
      <c r="H563" s="356"/>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row>
    <row r="564">
      <c r="A564" s="17"/>
      <c r="B564" s="17"/>
      <c r="C564" s="17"/>
      <c r="D564" s="17"/>
      <c r="E564" s="17"/>
      <c r="F564" s="17"/>
      <c r="G564" s="17"/>
      <c r="H564" s="356"/>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row>
    <row r="565">
      <c r="A565" s="17"/>
      <c r="B565" s="17"/>
      <c r="C565" s="17"/>
      <c r="D565" s="17"/>
      <c r="E565" s="17"/>
      <c r="F565" s="17"/>
      <c r="G565" s="17"/>
      <c r="H565" s="356"/>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row>
    <row r="566">
      <c r="A566" s="17"/>
      <c r="B566" s="17"/>
      <c r="C566" s="17"/>
      <c r="D566" s="17"/>
      <c r="E566" s="17"/>
      <c r="F566" s="17"/>
      <c r="G566" s="17"/>
      <c r="H566" s="356"/>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row>
    <row r="567">
      <c r="A567" s="17"/>
      <c r="B567" s="17"/>
      <c r="C567" s="17"/>
      <c r="D567" s="17"/>
      <c r="E567" s="17"/>
      <c r="F567" s="17"/>
      <c r="G567" s="17"/>
      <c r="H567" s="356"/>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row>
    <row r="568">
      <c r="A568" s="17"/>
      <c r="B568" s="17"/>
      <c r="C568" s="17"/>
      <c r="D568" s="17"/>
      <c r="E568" s="17"/>
      <c r="F568" s="17"/>
      <c r="G568" s="17"/>
      <c r="H568" s="356"/>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row>
    <row r="569">
      <c r="A569" s="17"/>
      <c r="B569" s="17"/>
      <c r="C569" s="17"/>
      <c r="D569" s="17"/>
      <c r="E569" s="17"/>
      <c r="F569" s="17"/>
      <c r="G569" s="17"/>
      <c r="H569" s="356"/>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row>
    <row r="570">
      <c r="A570" s="17"/>
      <c r="B570" s="17"/>
      <c r="C570" s="17"/>
      <c r="D570" s="17"/>
      <c r="E570" s="17"/>
      <c r="F570" s="17"/>
      <c r="G570" s="17"/>
      <c r="H570" s="356"/>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row>
    <row r="571">
      <c r="A571" s="17"/>
      <c r="B571" s="17"/>
      <c r="C571" s="17"/>
      <c r="D571" s="17"/>
      <c r="E571" s="17"/>
      <c r="F571" s="17"/>
      <c r="G571" s="17"/>
      <c r="H571" s="356"/>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row>
    <row r="572">
      <c r="A572" s="17"/>
      <c r="B572" s="17"/>
      <c r="C572" s="17"/>
      <c r="D572" s="17"/>
      <c r="E572" s="17"/>
      <c r="F572" s="17"/>
      <c r="G572" s="17"/>
      <c r="H572" s="356"/>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row>
    <row r="573">
      <c r="A573" s="17"/>
      <c r="B573" s="17"/>
      <c r="C573" s="17"/>
      <c r="D573" s="17"/>
      <c r="E573" s="17"/>
      <c r="F573" s="17"/>
      <c r="G573" s="17"/>
      <c r="H573" s="356"/>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row>
    <row r="574">
      <c r="A574" s="17"/>
      <c r="B574" s="17"/>
      <c r="C574" s="17"/>
      <c r="D574" s="17"/>
      <c r="E574" s="17"/>
      <c r="F574" s="17"/>
      <c r="G574" s="17"/>
      <c r="H574" s="356"/>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row>
    <row r="575">
      <c r="A575" s="17"/>
      <c r="B575" s="17"/>
      <c r="C575" s="17"/>
      <c r="D575" s="17"/>
      <c r="E575" s="17"/>
      <c r="F575" s="17"/>
      <c r="G575" s="17"/>
      <c r="H575" s="356"/>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row>
    <row r="576">
      <c r="A576" s="17"/>
      <c r="B576" s="17"/>
      <c r="C576" s="17"/>
      <c r="D576" s="17"/>
      <c r="E576" s="17"/>
      <c r="F576" s="17"/>
      <c r="G576" s="17"/>
      <c r="H576" s="356"/>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row>
    <row r="577">
      <c r="A577" s="17"/>
      <c r="B577" s="17"/>
      <c r="C577" s="17"/>
      <c r="D577" s="17"/>
      <c r="E577" s="17"/>
      <c r="F577" s="17"/>
      <c r="G577" s="17"/>
      <c r="H577" s="356"/>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row>
    <row r="578">
      <c r="A578" s="17"/>
      <c r="B578" s="17"/>
      <c r="C578" s="17"/>
      <c r="D578" s="17"/>
      <c r="E578" s="17"/>
      <c r="F578" s="17"/>
      <c r="G578" s="17"/>
      <c r="H578" s="356"/>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row>
    <row r="579">
      <c r="A579" s="17"/>
      <c r="B579" s="17"/>
      <c r="C579" s="17"/>
      <c r="D579" s="17"/>
      <c r="E579" s="17"/>
      <c r="F579" s="17"/>
      <c r="G579" s="17"/>
      <c r="H579" s="356"/>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row>
    <row r="580">
      <c r="A580" s="17"/>
      <c r="B580" s="17"/>
      <c r="C580" s="17"/>
      <c r="D580" s="17"/>
      <c r="E580" s="17"/>
      <c r="F580" s="17"/>
      <c r="G580" s="17"/>
      <c r="H580" s="356"/>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row>
    <row r="581">
      <c r="A581" s="17"/>
      <c r="B581" s="17"/>
      <c r="C581" s="17"/>
      <c r="D581" s="17"/>
      <c r="E581" s="17"/>
      <c r="F581" s="17"/>
      <c r="G581" s="17"/>
      <c r="H581" s="356"/>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row>
    <row r="582">
      <c r="A582" s="17"/>
      <c r="B582" s="17"/>
      <c r="C582" s="17"/>
      <c r="D582" s="17"/>
      <c r="E582" s="17"/>
      <c r="F582" s="17"/>
      <c r="G582" s="17"/>
      <c r="H582" s="356"/>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row>
    <row r="583">
      <c r="A583" s="17"/>
      <c r="B583" s="17"/>
      <c r="C583" s="17"/>
      <c r="D583" s="17"/>
      <c r="E583" s="17"/>
      <c r="F583" s="17"/>
      <c r="G583" s="17"/>
      <c r="H583" s="356"/>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row>
    <row r="584">
      <c r="A584" s="17"/>
      <c r="B584" s="17"/>
      <c r="C584" s="17"/>
      <c r="D584" s="17"/>
      <c r="E584" s="17"/>
      <c r="F584" s="17"/>
      <c r="G584" s="17"/>
      <c r="H584" s="356"/>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row>
    <row r="585">
      <c r="A585" s="17"/>
      <c r="B585" s="17"/>
      <c r="C585" s="17"/>
      <c r="D585" s="17"/>
      <c r="E585" s="17"/>
      <c r="F585" s="17"/>
      <c r="G585" s="17"/>
      <c r="H585" s="356"/>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row>
    <row r="586">
      <c r="A586" s="17"/>
      <c r="B586" s="17"/>
      <c r="C586" s="17"/>
      <c r="D586" s="17"/>
      <c r="E586" s="17"/>
      <c r="F586" s="17"/>
      <c r="G586" s="17"/>
      <c r="H586" s="356"/>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row>
    <row r="587">
      <c r="A587" s="17"/>
      <c r="B587" s="17"/>
      <c r="C587" s="17"/>
      <c r="D587" s="17"/>
      <c r="E587" s="17"/>
      <c r="F587" s="17"/>
      <c r="G587" s="17"/>
      <c r="H587" s="356"/>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row>
    <row r="588">
      <c r="A588" s="17"/>
      <c r="B588" s="17"/>
      <c r="C588" s="17"/>
      <c r="D588" s="17"/>
      <c r="E588" s="17"/>
      <c r="F588" s="17"/>
      <c r="G588" s="17"/>
      <c r="H588" s="356"/>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row>
    <row r="589">
      <c r="A589" s="17"/>
      <c r="B589" s="17"/>
      <c r="C589" s="17"/>
      <c r="D589" s="17"/>
      <c r="E589" s="17"/>
      <c r="F589" s="17"/>
      <c r="G589" s="17"/>
      <c r="H589" s="356"/>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row>
    <row r="590">
      <c r="A590" s="17"/>
      <c r="B590" s="17"/>
      <c r="C590" s="17"/>
      <c r="D590" s="17"/>
      <c r="E590" s="17"/>
      <c r="F590" s="17"/>
      <c r="G590" s="17"/>
      <c r="H590" s="356"/>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row>
    <row r="591">
      <c r="A591" s="17"/>
      <c r="B591" s="17"/>
      <c r="C591" s="17"/>
      <c r="D591" s="17"/>
      <c r="E591" s="17"/>
      <c r="F591" s="17"/>
      <c r="G591" s="17"/>
      <c r="H591" s="356"/>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row>
    <row r="592">
      <c r="A592" s="17"/>
      <c r="B592" s="17"/>
      <c r="C592" s="17"/>
      <c r="D592" s="17"/>
      <c r="E592" s="17"/>
      <c r="F592" s="17"/>
      <c r="G592" s="17"/>
      <c r="H592" s="356"/>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row>
    <row r="593">
      <c r="A593" s="17"/>
      <c r="B593" s="17"/>
      <c r="C593" s="17"/>
      <c r="D593" s="17"/>
      <c r="E593" s="17"/>
      <c r="F593" s="17"/>
      <c r="G593" s="17"/>
      <c r="H593" s="356"/>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row>
    <row r="594">
      <c r="A594" s="17"/>
      <c r="B594" s="17"/>
      <c r="C594" s="17"/>
      <c r="D594" s="17"/>
      <c r="E594" s="17"/>
      <c r="F594" s="17"/>
      <c r="G594" s="17"/>
      <c r="H594" s="356"/>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row>
    <row r="595">
      <c r="A595" s="17"/>
      <c r="B595" s="17"/>
      <c r="C595" s="17"/>
      <c r="D595" s="17"/>
      <c r="E595" s="17"/>
      <c r="F595" s="17"/>
      <c r="G595" s="17"/>
      <c r="H595" s="356"/>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row>
    <row r="596">
      <c r="A596" s="17"/>
      <c r="B596" s="17"/>
      <c r="C596" s="17"/>
      <c r="D596" s="17"/>
      <c r="E596" s="17"/>
      <c r="F596" s="17"/>
      <c r="G596" s="17"/>
      <c r="H596" s="356"/>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row>
    <row r="597">
      <c r="A597" s="17"/>
      <c r="B597" s="17"/>
      <c r="C597" s="17"/>
      <c r="D597" s="17"/>
      <c r="E597" s="17"/>
      <c r="F597" s="17"/>
      <c r="G597" s="17"/>
      <c r="H597" s="356"/>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row>
    <row r="598">
      <c r="A598" s="17"/>
      <c r="B598" s="17"/>
      <c r="C598" s="17"/>
      <c r="D598" s="17"/>
      <c r="E598" s="17"/>
      <c r="F598" s="17"/>
      <c r="G598" s="17"/>
      <c r="H598" s="356"/>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row>
    <row r="599">
      <c r="A599" s="17"/>
      <c r="B599" s="17"/>
      <c r="C599" s="17"/>
      <c r="D599" s="17"/>
      <c r="E599" s="17"/>
      <c r="F599" s="17"/>
      <c r="G599" s="17"/>
      <c r="H599" s="356"/>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row>
    <row r="600">
      <c r="A600" s="17"/>
      <c r="B600" s="17"/>
      <c r="C600" s="17"/>
      <c r="D600" s="17"/>
      <c r="E600" s="17"/>
      <c r="F600" s="17"/>
      <c r="G600" s="17"/>
      <c r="H600" s="356"/>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row>
    <row r="601">
      <c r="A601" s="17"/>
      <c r="B601" s="17"/>
      <c r="C601" s="17"/>
      <c r="D601" s="17"/>
      <c r="E601" s="17"/>
      <c r="F601" s="17"/>
      <c r="G601" s="17"/>
      <c r="H601" s="356"/>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row>
    <row r="602">
      <c r="A602" s="17"/>
      <c r="B602" s="17"/>
      <c r="C602" s="17"/>
      <c r="D602" s="17"/>
      <c r="E602" s="17"/>
      <c r="F602" s="17"/>
      <c r="G602" s="17"/>
      <c r="H602" s="356"/>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row>
    <row r="603">
      <c r="A603" s="17"/>
      <c r="B603" s="17"/>
      <c r="C603" s="17"/>
      <c r="D603" s="17"/>
      <c r="E603" s="17"/>
      <c r="F603" s="17"/>
      <c r="G603" s="17"/>
      <c r="H603" s="356"/>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row>
    <row r="604">
      <c r="A604" s="17"/>
      <c r="B604" s="17"/>
      <c r="C604" s="17"/>
      <c r="D604" s="17"/>
      <c r="E604" s="17"/>
      <c r="F604" s="17"/>
      <c r="G604" s="17"/>
      <c r="H604" s="356"/>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row>
    <row r="605">
      <c r="A605" s="17"/>
      <c r="B605" s="17"/>
      <c r="C605" s="17"/>
      <c r="D605" s="17"/>
      <c r="E605" s="17"/>
      <c r="F605" s="17"/>
      <c r="G605" s="17"/>
      <c r="H605" s="356"/>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row>
    <row r="606">
      <c r="A606" s="17"/>
      <c r="B606" s="17"/>
      <c r="C606" s="17"/>
      <c r="D606" s="17"/>
      <c r="E606" s="17"/>
      <c r="F606" s="17"/>
      <c r="G606" s="17"/>
      <c r="H606" s="356"/>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row>
    <row r="607">
      <c r="A607" s="17"/>
      <c r="B607" s="17"/>
      <c r="C607" s="17"/>
      <c r="D607" s="17"/>
      <c r="E607" s="17"/>
      <c r="F607" s="17"/>
      <c r="G607" s="17"/>
      <c r="H607" s="356"/>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row>
    <row r="608">
      <c r="A608" s="17"/>
      <c r="B608" s="17"/>
      <c r="C608" s="17"/>
      <c r="D608" s="17"/>
      <c r="E608" s="17"/>
      <c r="F608" s="17"/>
      <c r="G608" s="17"/>
      <c r="H608" s="356"/>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row>
    <row r="609">
      <c r="A609" s="17"/>
      <c r="B609" s="17"/>
      <c r="C609" s="17"/>
      <c r="D609" s="17"/>
      <c r="E609" s="17"/>
      <c r="F609" s="17"/>
      <c r="G609" s="17"/>
      <c r="H609" s="356"/>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row>
    <row r="610">
      <c r="A610" s="17"/>
      <c r="B610" s="17"/>
      <c r="C610" s="17"/>
      <c r="D610" s="17"/>
      <c r="E610" s="17"/>
      <c r="F610" s="17"/>
      <c r="G610" s="17"/>
      <c r="H610" s="356"/>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row>
    <row r="611">
      <c r="A611" s="17"/>
      <c r="B611" s="17"/>
      <c r="C611" s="17"/>
      <c r="D611" s="17"/>
      <c r="E611" s="17"/>
      <c r="F611" s="17"/>
      <c r="G611" s="17"/>
      <c r="H611" s="356"/>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row>
    <row r="612">
      <c r="A612" s="17"/>
      <c r="B612" s="17"/>
      <c r="C612" s="17"/>
      <c r="D612" s="17"/>
      <c r="E612" s="17"/>
      <c r="F612" s="17"/>
      <c r="G612" s="17"/>
      <c r="H612" s="356"/>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row>
    <row r="613">
      <c r="A613" s="17"/>
      <c r="B613" s="17"/>
      <c r="C613" s="17"/>
      <c r="D613" s="17"/>
      <c r="E613" s="17"/>
      <c r="F613" s="17"/>
      <c r="G613" s="17"/>
      <c r="H613" s="356"/>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row>
    <row r="614">
      <c r="A614" s="17"/>
      <c r="B614" s="17"/>
      <c r="C614" s="17"/>
      <c r="D614" s="17"/>
      <c r="E614" s="17"/>
      <c r="F614" s="17"/>
      <c r="G614" s="17"/>
      <c r="H614" s="356"/>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row>
    <row r="615">
      <c r="A615" s="17"/>
      <c r="B615" s="17"/>
      <c r="C615" s="17"/>
      <c r="D615" s="17"/>
      <c r="E615" s="17"/>
      <c r="F615" s="17"/>
      <c r="G615" s="17"/>
      <c r="H615" s="356"/>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row>
    <row r="616">
      <c r="A616" s="17"/>
      <c r="B616" s="17"/>
      <c r="C616" s="17"/>
      <c r="D616" s="17"/>
      <c r="E616" s="17"/>
      <c r="F616" s="17"/>
      <c r="G616" s="17"/>
      <c r="H616" s="356"/>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row>
    <row r="617">
      <c r="A617" s="17"/>
      <c r="B617" s="17"/>
      <c r="C617" s="17"/>
      <c r="D617" s="17"/>
      <c r="E617" s="17"/>
      <c r="F617" s="17"/>
      <c r="G617" s="17"/>
      <c r="H617" s="356"/>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row>
    <row r="618">
      <c r="A618" s="17"/>
      <c r="B618" s="17"/>
      <c r="C618" s="17"/>
      <c r="D618" s="17"/>
      <c r="E618" s="17"/>
      <c r="F618" s="17"/>
      <c r="G618" s="17"/>
      <c r="H618" s="356"/>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row>
    <row r="619">
      <c r="A619" s="17"/>
      <c r="B619" s="17"/>
      <c r="C619" s="17"/>
      <c r="D619" s="17"/>
      <c r="E619" s="17"/>
      <c r="F619" s="17"/>
      <c r="G619" s="17"/>
      <c r="H619" s="356"/>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row>
    <row r="620">
      <c r="A620" s="17"/>
      <c r="B620" s="17"/>
      <c r="C620" s="17"/>
      <c r="D620" s="17"/>
      <c r="E620" s="17"/>
      <c r="F620" s="17"/>
      <c r="G620" s="17"/>
      <c r="H620" s="356"/>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row>
    <row r="621">
      <c r="A621" s="17"/>
      <c r="B621" s="17"/>
      <c r="C621" s="17"/>
      <c r="D621" s="17"/>
      <c r="E621" s="17"/>
      <c r="F621" s="17"/>
      <c r="G621" s="17"/>
      <c r="H621" s="356"/>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row>
    <row r="622">
      <c r="A622" s="17"/>
      <c r="B622" s="17"/>
      <c r="C622" s="17"/>
      <c r="D622" s="17"/>
      <c r="E622" s="17"/>
      <c r="F622" s="17"/>
      <c r="G622" s="17"/>
      <c r="H622" s="356"/>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row>
    <row r="623">
      <c r="A623" s="17"/>
      <c r="B623" s="17"/>
      <c r="C623" s="17"/>
      <c r="D623" s="17"/>
      <c r="E623" s="17"/>
      <c r="F623" s="17"/>
      <c r="G623" s="17"/>
      <c r="H623" s="356"/>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row>
    <row r="624">
      <c r="A624" s="17"/>
      <c r="B624" s="17"/>
      <c r="C624" s="17"/>
      <c r="D624" s="17"/>
      <c r="E624" s="17"/>
      <c r="F624" s="17"/>
      <c r="G624" s="17"/>
      <c r="H624" s="356"/>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row>
    <row r="625">
      <c r="A625" s="17"/>
      <c r="B625" s="17"/>
      <c r="C625" s="17"/>
      <c r="D625" s="17"/>
      <c r="E625" s="17"/>
      <c r="F625" s="17"/>
      <c r="G625" s="17"/>
      <c r="H625" s="356"/>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row>
    <row r="626">
      <c r="A626" s="17"/>
      <c r="B626" s="17"/>
      <c r="C626" s="17"/>
      <c r="D626" s="17"/>
      <c r="E626" s="17"/>
      <c r="F626" s="17"/>
      <c r="G626" s="17"/>
      <c r="H626" s="356"/>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row>
    <row r="627">
      <c r="A627" s="17"/>
      <c r="B627" s="17"/>
      <c r="C627" s="17"/>
      <c r="D627" s="17"/>
      <c r="E627" s="17"/>
      <c r="F627" s="17"/>
      <c r="G627" s="17"/>
      <c r="H627" s="356"/>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row>
    <row r="628">
      <c r="A628" s="17"/>
      <c r="B628" s="17"/>
      <c r="C628" s="17"/>
      <c r="D628" s="17"/>
      <c r="E628" s="17"/>
      <c r="F628" s="17"/>
      <c r="G628" s="17"/>
      <c r="H628" s="356"/>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row>
    <row r="629">
      <c r="A629" s="17"/>
      <c r="B629" s="17"/>
      <c r="C629" s="17"/>
      <c r="D629" s="17"/>
      <c r="E629" s="17"/>
      <c r="F629" s="17"/>
      <c r="G629" s="17"/>
      <c r="H629" s="356"/>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row>
    <row r="630">
      <c r="A630" s="17"/>
      <c r="B630" s="17"/>
      <c r="C630" s="17"/>
      <c r="D630" s="17"/>
      <c r="E630" s="17"/>
      <c r="F630" s="17"/>
      <c r="G630" s="17"/>
      <c r="H630" s="356"/>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row>
    <row r="631">
      <c r="A631" s="17"/>
      <c r="B631" s="17"/>
      <c r="C631" s="17"/>
      <c r="D631" s="17"/>
      <c r="E631" s="17"/>
      <c r="F631" s="17"/>
      <c r="G631" s="17"/>
      <c r="H631" s="356"/>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row>
    <row r="632">
      <c r="A632" s="17"/>
      <c r="B632" s="17"/>
      <c r="C632" s="17"/>
      <c r="D632" s="17"/>
      <c r="E632" s="17"/>
      <c r="F632" s="17"/>
      <c r="G632" s="17"/>
      <c r="H632" s="356"/>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row>
    <row r="633">
      <c r="A633" s="17"/>
      <c r="B633" s="17"/>
      <c r="C633" s="17"/>
      <c r="D633" s="17"/>
      <c r="E633" s="17"/>
      <c r="F633" s="17"/>
      <c r="G633" s="17"/>
      <c r="H633" s="356"/>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row>
    <row r="634">
      <c r="A634" s="17"/>
      <c r="B634" s="17"/>
      <c r="C634" s="17"/>
      <c r="D634" s="17"/>
      <c r="E634" s="17"/>
      <c r="F634" s="17"/>
      <c r="G634" s="17"/>
      <c r="H634" s="356"/>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row>
    <row r="635">
      <c r="A635" s="17"/>
      <c r="B635" s="17"/>
      <c r="C635" s="17"/>
      <c r="D635" s="17"/>
      <c r="E635" s="17"/>
      <c r="F635" s="17"/>
      <c r="G635" s="17"/>
      <c r="H635" s="356"/>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row>
    <row r="636">
      <c r="A636" s="17"/>
      <c r="B636" s="17"/>
      <c r="C636" s="17"/>
      <c r="D636" s="17"/>
      <c r="E636" s="17"/>
      <c r="F636" s="17"/>
      <c r="G636" s="17"/>
      <c r="H636" s="356"/>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row>
    <row r="637">
      <c r="A637" s="17"/>
      <c r="B637" s="17"/>
      <c r="C637" s="17"/>
      <c r="D637" s="17"/>
      <c r="E637" s="17"/>
      <c r="F637" s="17"/>
      <c r="G637" s="17"/>
      <c r="H637" s="356"/>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row>
    <row r="638">
      <c r="A638" s="17"/>
      <c r="B638" s="17"/>
      <c r="C638" s="17"/>
      <c r="D638" s="17"/>
      <c r="E638" s="17"/>
      <c r="F638" s="17"/>
      <c r="G638" s="17"/>
      <c r="H638" s="356"/>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row>
    <row r="639">
      <c r="A639" s="17"/>
      <c r="B639" s="17"/>
      <c r="C639" s="17"/>
      <c r="D639" s="17"/>
      <c r="E639" s="17"/>
      <c r="F639" s="17"/>
      <c r="G639" s="17"/>
      <c r="H639" s="356"/>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row>
    <row r="640">
      <c r="A640" s="17"/>
      <c r="B640" s="17"/>
      <c r="C640" s="17"/>
      <c r="D640" s="17"/>
      <c r="E640" s="17"/>
      <c r="F640" s="17"/>
      <c r="G640" s="17"/>
      <c r="H640" s="356"/>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row>
    <row r="641">
      <c r="A641" s="17"/>
      <c r="B641" s="17"/>
      <c r="C641" s="17"/>
      <c r="D641" s="17"/>
      <c r="E641" s="17"/>
      <c r="F641" s="17"/>
      <c r="G641" s="17"/>
      <c r="H641" s="356"/>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row>
    <row r="642">
      <c r="A642" s="17"/>
      <c r="B642" s="17"/>
      <c r="C642" s="17"/>
      <c r="D642" s="17"/>
      <c r="E642" s="17"/>
      <c r="F642" s="17"/>
      <c r="G642" s="17"/>
      <c r="H642" s="356"/>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row>
    <row r="643">
      <c r="A643" s="17"/>
      <c r="B643" s="17"/>
      <c r="C643" s="17"/>
      <c r="D643" s="17"/>
      <c r="E643" s="17"/>
      <c r="F643" s="17"/>
      <c r="G643" s="17"/>
      <c r="H643" s="356"/>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row>
    <row r="644">
      <c r="A644" s="17"/>
      <c r="B644" s="17"/>
      <c r="C644" s="17"/>
      <c r="D644" s="17"/>
      <c r="E644" s="17"/>
      <c r="F644" s="17"/>
      <c r="G644" s="17"/>
      <c r="H644" s="356"/>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row>
    <row r="645">
      <c r="A645" s="17"/>
      <c r="B645" s="17"/>
      <c r="C645" s="17"/>
      <c r="D645" s="17"/>
      <c r="E645" s="17"/>
      <c r="F645" s="17"/>
      <c r="G645" s="17"/>
      <c r="H645" s="356"/>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row>
    <row r="646">
      <c r="A646" s="17"/>
      <c r="B646" s="17"/>
      <c r="C646" s="17"/>
      <c r="D646" s="17"/>
      <c r="E646" s="17"/>
      <c r="F646" s="17"/>
      <c r="G646" s="17"/>
      <c r="H646" s="356"/>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row>
    <row r="647">
      <c r="A647" s="17"/>
      <c r="B647" s="17"/>
      <c r="C647" s="17"/>
      <c r="D647" s="17"/>
      <c r="E647" s="17"/>
      <c r="F647" s="17"/>
      <c r="G647" s="17"/>
      <c r="H647" s="356"/>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row>
    <row r="648">
      <c r="A648" s="17"/>
      <c r="B648" s="17"/>
      <c r="C648" s="17"/>
      <c r="D648" s="17"/>
      <c r="E648" s="17"/>
      <c r="F648" s="17"/>
      <c r="G648" s="17"/>
      <c r="H648" s="356"/>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row>
    <row r="649">
      <c r="A649" s="17"/>
      <c r="B649" s="17"/>
      <c r="C649" s="17"/>
      <c r="D649" s="17"/>
      <c r="E649" s="17"/>
      <c r="F649" s="17"/>
      <c r="G649" s="17"/>
      <c r="H649" s="356"/>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row>
    <row r="650">
      <c r="A650" s="17"/>
      <c r="B650" s="17"/>
      <c r="C650" s="17"/>
      <c r="D650" s="17"/>
      <c r="E650" s="17"/>
      <c r="F650" s="17"/>
      <c r="G650" s="17"/>
      <c r="H650" s="356"/>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row>
    <row r="651">
      <c r="A651" s="17"/>
      <c r="B651" s="17"/>
      <c r="C651" s="17"/>
      <c r="D651" s="17"/>
      <c r="E651" s="17"/>
      <c r="F651" s="17"/>
      <c r="G651" s="17"/>
      <c r="H651" s="356"/>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row>
    <row r="652">
      <c r="A652" s="17"/>
      <c r="B652" s="17"/>
      <c r="C652" s="17"/>
      <c r="D652" s="17"/>
      <c r="E652" s="17"/>
      <c r="F652" s="17"/>
      <c r="G652" s="17"/>
      <c r="H652" s="356"/>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row>
    <row r="653">
      <c r="A653" s="17"/>
      <c r="B653" s="17"/>
      <c r="C653" s="17"/>
      <c r="D653" s="17"/>
      <c r="E653" s="17"/>
      <c r="F653" s="17"/>
      <c r="G653" s="17"/>
      <c r="H653" s="356"/>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row>
    <row r="654">
      <c r="A654" s="17"/>
      <c r="B654" s="17"/>
      <c r="C654" s="17"/>
      <c r="D654" s="17"/>
      <c r="E654" s="17"/>
      <c r="F654" s="17"/>
      <c r="G654" s="17"/>
      <c r="H654" s="356"/>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row>
    <row r="655">
      <c r="A655" s="17"/>
      <c r="B655" s="17"/>
      <c r="C655" s="17"/>
      <c r="D655" s="17"/>
      <c r="E655" s="17"/>
      <c r="F655" s="17"/>
      <c r="G655" s="17"/>
      <c r="H655" s="356"/>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row>
    <row r="656">
      <c r="A656" s="17"/>
      <c r="B656" s="17"/>
      <c r="C656" s="17"/>
      <c r="D656" s="17"/>
      <c r="E656" s="17"/>
      <c r="F656" s="17"/>
      <c r="G656" s="17"/>
      <c r="H656" s="356"/>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row>
    <row r="657">
      <c r="A657" s="17"/>
      <c r="B657" s="17"/>
      <c r="C657" s="17"/>
      <c r="D657" s="17"/>
      <c r="E657" s="17"/>
      <c r="F657" s="17"/>
      <c r="G657" s="17"/>
      <c r="H657" s="356"/>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row>
    <row r="658">
      <c r="A658" s="17"/>
      <c r="B658" s="17"/>
      <c r="C658" s="17"/>
      <c r="D658" s="17"/>
      <c r="E658" s="17"/>
      <c r="F658" s="17"/>
      <c r="G658" s="17"/>
      <c r="H658" s="356"/>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row>
    <row r="659">
      <c r="A659" s="17"/>
      <c r="B659" s="17"/>
      <c r="C659" s="17"/>
      <c r="D659" s="17"/>
      <c r="E659" s="17"/>
      <c r="F659" s="17"/>
      <c r="G659" s="17"/>
      <c r="H659" s="356"/>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row>
    <row r="660">
      <c r="A660" s="17"/>
      <c r="B660" s="17"/>
      <c r="C660" s="17"/>
      <c r="D660" s="17"/>
      <c r="E660" s="17"/>
      <c r="F660" s="17"/>
      <c r="G660" s="17"/>
      <c r="H660" s="356"/>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row>
    <row r="661">
      <c r="A661" s="17"/>
      <c r="B661" s="17"/>
      <c r="C661" s="17"/>
      <c r="D661" s="17"/>
      <c r="E661" s="17"/>
      <c r="F661" s="17"/>
      <c r="G661" s="17"/>
      <c r="H661" s="356"/>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row>
    <row r="662">
      <c r="A662" s="17"/>
      <c r="B662" s="17"/>
      <c r="C662" s="17"/>
      <c r="D662" s="17"/>
      <c r="E662" s="17"/>
      <c r="F662" s="17"/>
      <c r="G662" s="17"/>
      <c r="H662" s="356"/>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row>
    <row r="663">
      <c r="A663" s="17"/>
      <c r="B663" s="17"/>
      <c r="C663" s="17"/>
      <c r="D663" s="17"/>
      <c r="E663" s="17"/>
      <c r="F663" s="17"/>
      <c r="G663" s="17"/>
      <c r="H663" s="356"/>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row>
    <row r="664">
      <c r="A664" s="17"/>
      <c r="B664" s="17"/>
      <c r="C664" s="17"/>
      <c r="D664" s="17"/>
      <c r="E664" s="17"/>
      <c r="F664" s="17"/>
      <c r="G664" s="17"/>
      <c r="H664" s="356"/>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row>
    <row r="665">
      <c r="A665" s="17"/>
      <c r="B665" s="17"/>
      <c r="C665" s="17"/>
      <c r="D665" s="17"/>
      <c r="E665" s="17"/>
      <c r="F665" s="17"/>
      <c r="G665" s="17"/>
      <c r="H665" s="356"/>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row>
    <row r="666">
      <c r="A666" s="17"/>
      <c r="B666" s="17"/>
      <c r="C666" s="17"/>
      <c r="D666" s="17"/>
      <c r="E666" s="17"/>
      <c r="F666" s="17"/>
      <c r="G666" s="17"/>
      <c r="H666" s="356"/>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row>
    <row r="667">
      <c r="A667" s="17"/>
      <c r="B667" s="17"/>
      <c r="C667" s="17"/>
      <c r="D667" s="17"/>
      <c r="E667" s="17"/>
      <c r="F667" s="17"/>
      <c r="G667" s="17"/>
      <c r="H667" s="356"/>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row>
    <row r="668">
      <c r="A668" s="17"/>
      <c r="B668" s="17"/>
      <c r="C668" s="17"/>
      <c r="D668" s="17"/>
      <c r="E668" s="17"/>
      <c r="F668" s="17"/>
      <c r="G668" s="17"/>
      <c r="H668" s="356"/>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row>
    <row r="669">
      <c r="A669" s="17"/>
      <c r="B669" s="17"/>
      <c r="C669" s="17"/>
      <c r="D669" s="17"/>
      <c r="E669" s="17"/>
      <c r="F669" s="17"/>
      <c r="G669" s="17"/>
      <c r="H669" s="356"/>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row>
    <row r="670">
      <c r="A670" s="17"/>
      <c r="B670" s="17"/>
      <c r="C670" s="17"/>
      <c r="D670" s="17"/>
      <c r="E670" s="17"/>
      <c r="F670" s="17"/>
      <c r="G670" s="17"/>
      <c r="H670" s="356"/>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row>
    <row r="671">
      <c r="A671" s="17"/>
      <c r="B671" s="17"/>
      <c r="C671" s="17"/>
      <c r="D671" s="17"/>
      <c r="E671" s="17"/>
      <c r="F671" s="17"/>
      <c r="G671" s="17"/>
      <c r="H671" s="356"/>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row>
    <row r="672">
      <c r="A672" s="17"/>
      <c r="B672" s="17"/>
      <c r="C672" s="17"/>
      <c r="D672" s="17"/>
      <c r="E672" s="17"/>
      <c r="F672" s="17"/>
      <c r="G672" s="17"/>
      <c r="H672" s="356"/>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row>
    <row r="673">
      <c r="A673" s="17"/>
      <c r="B673" s="17"/>
      <c r="C673" s="17"/>
      <c r="D673" s="17"/>
      <c r="E673" s="17"/>
      <c r="F673" s="17"/>
      <c r="G673" s="17"/>
      <c r="H673" s="356"/>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row>
    <row r="674">
      <c r="A674" s="17"/>
      <c r="B674" s="17"/>
      <c r="C674" s="17"/>
      <c r="D674" s="17"/>
      <c r="E674" s="17"/>
      <c r="F674" s="17"/>
      <c r="G674" s="17"/>
      <c r="H674" s="356"/>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row>
    <row r="675">
      <c r="A675" s="17"/>
      <c r="B675" s="17"/>
      <c r="C675" s="17"/>
      <c r="D675" s="17"/>
      <c r="E675" s="17"/>
      <c r="F675" s="17"/>
      <c r="G675" s="17"/>
      <c r="H675" s="356"/>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row>
    <row r="676">
      <c r="A676" s="17"/>
      <c r="B676" s="17"/>
      <c r="C676" s="17"/>
      <c r="D676" s="17"/>
      <c r="E676" s="17"/>
      <c r="F676" s="17"/>
      <c r="G676" s="17"/>
      <c r="H676" s="356"/>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row>
    <row r="677">
      <c r="A677" s="17"/>
      <c r="B677" s="17"/>
      <c r="C677" s="17"/>
      <c r="D677" s="17"/>
      <c r="E677" s="17"/>
      <c r="F677" s="17"/>
      <c r="G677" s="17"/>
      <c r="H677" s="356"/>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row>
    <row r="678">
      <c r="A678" s="17"/>
      <c r="B678" s="17"/>
      <c r="C678" s="17"/>
      <c r="D678" s="17"/>
      <c r="E678" s="17"/>
      <c r="F678" s="17"/>
      <c r="G678" s="17"/>
      <c r="H678" s="356"/>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row>
    <row r="679">
      <c r="A679" s="17"/>
      <c r="B679" s="17"/>
      <c r="C679" s="17"/>
      <c r="D679" s="17"/>
      <c r="E679" s="17"/>
      <c r="F679" s="17"/>
      <c r="G679" s="17"/>
      <c r="H679" s="356"/>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row>
    <row r="680">
      <c r="A680" s="17"/>
      <c r="B680" s="17"/>
      <c r="C680" s="17"/>
      <c r="D680" s="17"/>
      <c r="E680" s="17"/>
      <c r="F680" s="17"/>
      <c r="G680" s="17"/>
      <c r="H680" s="356"/>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row>
    <row r="681">
      <c r="A681" s="17"/>
      <c r="B681" s="17"/>
      <c r="C681" s="17"/>
      <c r="D681" s="17"/>
      <c r="E681" s="17"/>
      <c r="F681" s="17"/>
      <c r="G681" s="17"/>
      <c r="H681" s="356"/>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row>
    <row r="682">
      <c r="A682" s="17"/>
      <c r="B682" s="17"/>
      <c r="C682" s="17"/>
      <c r="D682" s="17"/>
      <c r="E682" s="17"/>
      <c r="F682" s="17"/>
      <c r="G682" s="17"/>
      <c r="H682" s="356"/>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row>
    <row r="683">
      <c r="A683" s="17"/>
      <c r="B683" s="17"/>
      <c r="C683" s="17"/>
      <c r="D683" s="17"/>
      <c r="E683" s="17"/>
      <c r="F683" s="17"/>
      <c r="G683" s="17"/>
      <c r="H683" s="356"/>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row>
    <row r="684">
      <c r="A684" s="17"/>
      <c r="B684" s="17"/>
      <c r="C684" s="17"/>
      <c r="D684" s="17"/>
      <c r="E684" s="17"/>
      <c r="F684" s="17"/>
      <c r="G684" s="17"/>
      <c r="H684" s="356"/>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row>
    <row r="685">
      <c r="A685" s="17"/>
      <c r="B685" s="17"/>
      <c r="C685" s="17"/>
      <c r="D685" s="17"/>
      <c r="E685" s="17"/>
      <c r="F685" s="17"/>
      <c r="G685" s="17"/>
      <c r="H685" s="356"/>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row>
    <row r="686">
      <c r="A686" s="17"/>
      <c r="B686" s="17"/>
      <c r="C686" s="17"/>
      <c r="D686" s="17"/>
      <c r="E686" s="17"/>
      <c r="F686" s="17"/>
      <c r="G686" s="17"/>
      <c r="H686" s="356"/>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row>
    <row r="687">
      <c r="A687" s="17"/>
      <c r="B687" s="17"/>
      <c r="C687" s="17"/>
      <c r="D687" s="17"/>
      <c r="E687" s="17"/>
      <c r="F687" s="17"/>
      <c r="G687" s="17"/>
      <c r="H687" s="356"/>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row>
    <row r="688">
      <c r="A688" s="17"/>
      <c r="B688" s="17"/>
      <c r="C688" s="17"/>
      <c r="D688" s="17"/>
      <c r="E688" s="17"/>
      <c r="F688" s="17"/>
      <c r="G688" s="17"/>
      <c r="H688" s="356"/>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row>
    <row r="689">
      <c r="A689" s="17"/>
      <c r="B689" s="17"/>
      <c r="C689" s="17"/>
      <c r="D689" s="17"/>
      <c r="E689" s="17"/>
      <c r="F689" s="17"/>
      <c r="G689" s="17"/>
      <c r="H689" s="356"/>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row>
    <row r="690">
      <c r="A690" s="17"/>
      <c r="B690" s="17"/>
      <c r="C690" s="17"/>
      <c r="D690" s="17"/>
      <c r="E690" s="17"/>
      <c r="F690" s="17"/>
      <c r="G690" s="17"/>
      <c r="H690" s="356"/>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row>
    <row r="691">
      <c r="A691" s="17"/>
      <c r="B691" s="17"/>
      <c r="C691" s="17"/>
      <c r="D691" s="17"/>
      <c r="E691" s="17"/>
      <c r="F691" s="17"/>
      <c r="G691" s="17"/>
      <c r="H691" s="356"/>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row>
    <row r="692">
      <c r="A692" s="17"/>
      <c r="B692" s="17"/>
      <c r="C692" s="17"/>
      <c r="D692" s="17"/>
      <c r="E692" s="17"/>
      <c r="F692" s="17"/>
      <c r="G692" s="17"/>
      <c r="H692" s="356"/>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row>
    <row r="693">
      <c r="A693" s="17"/>
      <c r="B693" s="17"/>
      <c r="C693" s="17"/>
      <c r="D693" s="17"/>
      <c r="E693" s="17"/>
      <c r="F693" s="17"/>
      <c r="G693" s="17"/>
      <c r="H693" s="356"/>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row>
    <row r="694">
      <c r="A694" s="17"/>
      <c r="B694" s="17"/>
      <c r="C694" s="17"/>
      <c r="D694" s="17"/>
      <c r="E694" s="17"/>
      <c r="F694" s="17"/>
      <c r="G694" s="17"/>
      <c r="H694" s="356"/>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row>
    <row r="695">
      <c r="A695" s="17"/>
      <c r="B695" s="17"/>
      <c r="C695" s="17"/>
      <c r="D695" s="17"/>
      <c r="E695" s="17"/>
      <c r="F695" s="17"/>
      <c r="G695" s="17"/>
      <c r="H695" s="356"/>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row>
    <row r="696">
      <c r="A696" s="17"/>
      <c r="B696" s="17"/>
      <c r="C696" s="17"/>
      <c r="D696" s="17"/>
      <c r="E696" s="17"/>
      <c r="F696" s="17"/>
      <c r="G696" s="17"/>
      <c r="H696" s="356"/>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row>
    <row r="697">
      <c r="A697" s="17"/>
      <c r="B697" s="17"/>
      <c r="C697" s="17"/>
      <c r="D697" s="17"/>
      <c r="E697" s="17"/>
      <c r="F697" s="17"/>
      <c r="G697" s="17"/>
      <c r="H697" s="356"/>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row>
    <row r="698">
      <c r="A698" s="17"/>
      <c r="B698" s="17"/>
      <c r="C698" s="17"/>
      <c r="D698" s="17"/>
      <c r="E698" s="17"/>
      <c r="F698" s="17"/>
      <c r="G698" s="17"/>
      <c r="H698" s="356"/>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row>
    <row r="699">
      <c r="A699" s="17"/>
      <c r="B699" s="17"/>
      <c r="C699" s="17"/>
      <c r="D699" s="17"/>
      <c r="E699" s="17"/>
      <c r="F699" s="17"/>
      <c r="G699" s="17"/>
      <c r="H699" s="356"/>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row>
    <row r="700">
      <c r="A700" s="17"/>
      <c r="B700" s="17"/>
      <c r="C700" s="17"/>
      <c r="D700" s="17"/>
      <c r="E700" s="17"/>
      <c r="F700" s="17"/>
      <c r="G700" s="17"/>
      <c r="H700" s="356"/>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row>
    <row r="701">
      <c r="A701" s="17"/>
      <c r="B701" s="17"/>
      <c r="C701" s="17"/>
      <c r="D701" s="17"/>
      <c r="E701" s="17"/>
      <c r="F701" s="17"/>
      <c r="G701" s="17"/>
      <c r="H701" s="356"/>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row>
    <row r="702">
      <c r="A702" s="17"/>
      <c r="B702" s="17"/>
      <c r="C702" s="17"/>
      <c r="D702" s="17"/>
      <c r="E702" s="17"/>
      <c r="F702" s="17"/>
      <c r="G702" s="17"/>
      <c r="H702" s="356"/>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row>
    <row r="703">
      <c r="A703" s="17"/>
      <c r="B703" s="17"/>
      <c r="C703" s="17"/>
      <c r="D703" s="17"/>
      <c r="E703" s="17"/>
      <c r="F703" s="17"/>
      <c r="G703" s="17"/>
      <c r="H703" s="356"/>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row>
    <row r="704">
      <c r="A704" s="17"/>
      <c r="B704" s="17"/>
      <c r="C704" s="17"/>
      <c r="D704" s="17"/>
      <c r="E704" s="17"/>
      <c r="F704" s="17"/>
      <c r="G704" s="17"/>
      <c r="H704" s="356"/>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row>
    <row r="705">
      <c r="A705" s="17"/>
      <c r="B705" s="17"/>
      <c r="C705" s="17"/>
      <c r="D705" s="17"/>
      <c r="E705" s="17"/>
      <c r="F705" s="17"/>
      <c r="G705" s="17"/>
      <c r="H705" s="356"/>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row>
    <row r="706">
      <c r="A706" s="17"/>
      <c r="B706" s="17"/>
      <c r="C706" s="17"/>
      <c r="D706" s="17"/>
      <c r="E706" s="17"/>
      <c r="F706" s="17"/>
      <c r="G706" s="17"/>
      <c r="H706" s="356"/>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row>
    <row r="707">
      <c r="A707" s="17"/>
      <c r="B707" s="17"/>
      <c r="C707" s="17"/>
      <c r="D707" s="17"/>
      <c r="E707" s="17"/>
      <c r="F707" s="17"/>
      <c r="G707" s="17"/>
      <c r="H707" s="356"/>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row>
    <row r="708">
      <c r="A708" s="17"/>
      <c r="B708" s="17"/>
      <c r="C708" s="17"/>
      <c r="D708" s="17"/>
      <c r="E708" s="17"/>
      <c r="F708" s="17"/>
      <c r="G708" s="17"/>
      <c r="H708" s="356"/>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row>
    <row r="709">
      <c r="A709" s="17"/>
      <c r="B709" s="17"/>
      <c r="C709" s="17"/>
      <c r="D709" s="17"/>
      <c r="E709" s="17"/>
      <c r="F709" s="17"/>
      <c r="G709" s="17"/>
      <c r="H709" s="356"/>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row>
    <row r="710">
      <c r="A710" s="17"/>
      <c r="B710" s="17"/>
      <c r="C710" s="17"/>
      <c r="D710" s="17"/>
      <c r="E710" s="17"/>
      <c r="F710" s="17"/>
      <c r="G710" s="17"/>
      <c r="H710" s="356"/>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row>
    <row r="711">
      <c r="A711" s="17"/>
      <c r="B711" s="17"/>
      <c r="C711" s="17"/>
      <c r="D711" s="17"/>
      <c r="E711" s="17"/>
      <c r="F711" s="17"/>
      <c r="G711" s="17"/>
      <c r="H711" s="356"/>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row>
    <row r="712">
      <c r="A712" s="17"/>
      <c r="B712" s="17"/>
      <c r="C712" s="17"/>
      <c r="D712" s="17"/>
      <c r="E712" s="17"/>
      <c r="F712" s="17"/>
      <c r="G712" s="17"/>
      <c r="H712" s="356"/>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row>
    <row r="713">
      <c r="A713" s="17"/>
      <c r="B713" s="17"/>
      <c r="C713" s="17"/>
      <c r="D713" s="17"/>
      <c r="E713" s="17"/>
      <c r="F713" s="17"/>
      <c r="G713" s="17"/>
      <c r="H713" s="356"/>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row>
    <row r="714">
      <c r="A714" s="17"/>
      <c r="B714" s="17"/>
      <c r="C714" s="17"/>
      <c r="D714" s="17"/>
      <c r="E714" s="17"/>
      <c r="F714" s="17"/>
      <c r="G714" s="17"/>
      <c r="H714" s="356"/>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row>
    <row r="715">
      <c r="A715" s="17"/>
      <c r="B715" s="17"/>
      <c r="C715" s="17"/>
      <c r="D715" s="17"/>
      <c r="E715" s="17"/>
      <c r="F715" s="17"/>
      <c r="G715" s="17"/>
      <c r="H715" s="356"/>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row>
    <row r="716">
      <c r="A716" s="17"/>
      <c r="B716" s="17"/>
      <c r="C716" s="17"/>
      <c r="D716" s="17"/>
      <c r="E716" s="17"/>
      <c r="F716" s="17"/>
      <c r="G716" s="17"/>
      <c r="H716" s="356"/>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row>
    <row r="717">
      <c r="A717" s="17"/>
      <c r="B717" s="17"/>
      <c r="C717" s="17"/>
      <c r="D717" s="17"/>
      <c r="E717" s="17"/>
      <c r="F717" s="17"/>
      <c r="G717" s="17"/>
      <c r="H717" s="356"/>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row>
    <row r="718">
      <c r="A718" s="17"/>
      <c r="B718" s="17"/>
      <c r="C718" s="17"/>
      <c r="D718" s="17"/>
      <c r="E718" s="17"/>
      <c r="F718" s="17"/>
      <c r="G718" s="17"/>
      <c r="H718" s="356"/>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row>
    <row r="719">
      <c r="A719" s="17"/>
      <c r="B719" s="17"/>
      <c r="C719" s="17"/>
      <c r="D719" s="17"/>
      <c r="E719" s="17"/>
      <c r="F719" s="17"/>
      <c r="G719" s="17"/>
      <c r="H719" s="356"/>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row>
    <row r="720">
      <c r="A720" s="17"/>
      <c r="B720" s="17"/>
      <c r="C720" s="17"/>
      <c r="D720" s="17"/>
      <c r="E720" s="17"/>
      <c r="F720" s="17"/>
      <c r="G720" s="17"/>
      <c r="H720" s="356"/>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row>
    <row r="721">
      <c r="A721" s="17"/>
      <c r="B721" s="17"/>
      <c r="C721" s="17"/>
      <c r="D721" s="17"/>
      <c r="E721" s="17"/>
      <c r="F721" s="17"/>
      <c r="G721" s="17"/>
      <c r="H721" s="356"/>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row>
    <row r="722">
      <c r="A722" s="17"/>
      <c r="B722" s="17"/>
      <c r="C722" s="17"/>
      <c r="D722" s="17"/>
      <c r="E722" s="17"/>
      <c r="F722" s="17"/>
      <c r="G722" s="17"/>
      <c r="H722" s="356"/>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row>
    <row r="723">
      <c r="A723" s="17"/>
      <c r="B723" s="17"/>
      <c r="C723" s="17"/>
      <c r="D723" s="17"/>
      <c r="E723" s="17"/>
      <c r="F723" s="17"/>
      <c r="G723" s="17"/>
      <c r="H723" s="356"/>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row>
    <row r="724">
      <c r="A724" s="17"/>
      <c r="B724" s="17"/>
      <c r="C724" s="17"/>
      <c r="D724" s="17"/>
      <c r="E724" s="17"/>
      <c r="F724" s="17"/>
      <c r="G724" s="17"/>
      <c r="H724" s="356"/>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row>
    <row r="725">
      <c r="A725" s="17"/>
      <c r="B725" s="17"/>
      <c r="C725" s="17"/>
      <c r="D725" s="17"/>
      <c r="E725" s="17"/>
      <c r="F725" s="17"/>
      <c r="G725" s="17"/>
      <c r="H725" s="356"/>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row>
    <row r="726">
      <c r="A726" s="17"/>
      <c r="B726" s="17"/>
      <c r="C726" s="17"/>
      <c r="D726" s="17"/>
      <c r="E726" s="17"/>
      <c r="F726" s="17"/>
      <c r="G726" s="17"/>
      <c r="H726" s="356"/>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row>
    <row r="727">
      <c r="A727" s="17"/>
      <c r="B727" s="17"/>
      <c r="C727" s="17"/>
      <c r="D727" s="17"/>
      <c r="E727" s="17"/>
      <c r="F727" s="17"/>
      <c r="G727" s="17"/>
      <c r="H727" s="356"/>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row>
    <row r="728">
      <c r="A728" s="17"/>
      <c r="B728" s="17"/>
      <c r="C728" s="17"/>
      <c r="D728" s="17"/>
      <c r="E728" s="17"/>
      <c r="F728" s="17"/>
      <c r="G728" s="17"/>
      <c r="H728" s="356"/>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row>
    <row r="729">
      <c r="A729" s="17"/>
      <c r="B729" s="17"/>
      <c r="C729" s="17"/>
      <c r="D729" s="17"/>
      <c r="E729" s="17"/>
      <c r="F729" s="17"/>
      <c r="G729" s="17"/>
      <c r="H729" s="356"/>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row>
    <row r="730">
      <c r="A730" s="17"/>
      <c r="B730" s="17"/>
      <c r="C730" s="17"/>
      <c r="D730" s="17"/>
      <c r="E730" s="17"/>
      <c r="F730" s="17"/>
      <c r="G730" s="17"/>
      <c r="H730" s="356"/>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row>
    <row r="731">
      <c r="A731" s="17"/>
      <c r="B731" s="17"/>
      <c r="C731" s="17"/>
      <c r="D731" s="17"/>
      <c r="E731" s="17"/>
      <c r="F731" s="17"/>
      <c r="G731" s="17"/>
      <c r="H731" s="356"/>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row>
    <row r="732">
      <c r="A732" s="17"/>
      <c r="B732" s="17"/>
      <c r="C732" s="17"/>
      <c r="D732" s="17"/>
      <c r="E732" s="17"/>
      <c r="F732" s="17"/>
      <c r="G732" s="17"/>
      <c r="H732" s="356"/>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row>
    <row r="733">
      <c r="A733" s="17"/>
      <c r="B733" s="17"/>
      <c r="C733" s="17"/>
      <c r="D733" s="17"/>
      <c r="E733" s="17"/>
      <c r="F733" s="17"/>
      <c r="G733" s="17"/>
      <c r="H733" s="356"/>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row>
    <row r="734">
      <c r="A734" s="17"/>
      <c r="B734" s="17"/>
      <c r="C734" s="17"/>
      <c r="D734" s="17"/>
      <c r="E734" s="17"/>
      <c r="F734" s="17"/>
      <c r="G734" s="17"/>
      <c r="H734" s="356"/>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row>
    <row r="735">
      <c r="A735" s="17"/>
      <c r="B735" s="17"/>
      <c r="C735" s="17"/>
      <c r="D735" s="17"/>
      <c r="E735" s="17"/>
      <c r="F735" s="17"/>
      <c r="G735" s="17"/>
      <c r="H735" s="356"/>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row>
    <row r="736">
      <c r="A736" s="17"/>
      <c r="B736" s="17"/>
      <c r="C736" s="17"/>
      <c r="D736" s="17"/>
      <c r="E736" s="17"/>
      <c r="F736" s="17"/>
      <c r="G736" s="17"/>
      <c r="H736" s="356"/>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row>
    <row r="737">
      <c r="A737" s="17"/>
      <c r="B737" s="17"/>
      <c r="C737" s="17"/>
      <c r="D737" s="17"/>
      <c r="E737" s="17"/>
      <c r="F737" s="17"/>
      <c r="G737" s="17"/>
      <c r="H737" s="356"/>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row>
    <row r="738">
      <c r="A738" s="17"/>
      <c r="B738" s="17"/>
      <c r="C738" s="17"/>
      <c r="D738" s="17"/>
      <c r="E738" s="17"/>
      <c r="F738" s="17"/>
      <c r="G738" s="17"/>
      <c r="H738" s="356"/>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row>
    <row r="739">
      <c r="A739" s="17"/>
      <c r="B739" s="17"/>
      <c r="C739" s="17"/>
      <c r="D739" s="17"/>
      <c r="E739" s="17"/>
      <c r="F739" s="17"/>
      <c r="G739" s="17"/>
      <c r="H739" s="356"/>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row>
    <row r="740">
      <c r="A740" s="17"/>
      <c r="B740" s="17"/>
      <c r="C740" s="17"/>
      <c r="D740" s="17"/>
      <c r="E740" s="17"/>
      <c r="F740" s="17"/>
      <c r="G740" s="17"/>
      <c r="H740" s="356"/>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row>
    <row r="741">
      <c r="A741" s="17"/>
      <c r="B741" s="17"/>
      <c r="C741" s="17"/>
      <c r="D741" s="17"/>
      <c r="E741" s="17"/>
      <c r="F741" s="17"/>
      <c r="G741" s="17"/>
      <c r="H741" s="356"/>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row>
    <row r="742">
      <c r="A742" s="17"/>
      <c r="B742" s="17"/>
      <c r="C742" s="17"/>
      <c r="D742" s="17"/>
      <c r="E742" s="17"/>
      <c r="F742" s="17"/>
      <c r="G742" s="17"/>
      <c r="H742" s="356"/>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row>
    <row r="743">
      <c r="A743" s="17"/>
      <c r="B743" s="17"/>
      <c r="C743" s="17"/>
      <c r="D743" s="17"/>
      <c r="E743" s="17"/>
      <c r="F743" s="17"/>
      <c r="G743" s="17"/>
      <c r="H743" s="356"/>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row>
    <row r="744">
      <c r="A744" s="17"/>
      <c r="B744" s="17"/>
      <c r="C744" s="17"/>
      <c r="D744" s="17"/>
      <c r="E744" s="17"/>
      <c r="F744" s="17"/>
      <c r="G744" s="17"/>
      <c r="H744" s="356"/>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row>
    <row r="745">
      <c r="A745" s="17"/>
      <c r="B745" s="17"/>
      <c r="C745" s="17"/>
      <c r="D745" s="17"/>
      <c r="E745" s="17"/>
      <c r="F745" s="17"/>
      <c r="G745" s="17"/>
      <c r="H745" s="356"/>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row>
    <row r="746">
      <c r="A746" s="17"/>
      <c r="B746" s="17"/>
      <c r="C746" s="17"/>
      <c r="D746" s="17"/>
      <c r="E746" s="17"/>
      <c r="F746" s="17"/>
      <c r="G746" s="17"/>
      <c r="H746" s="356"/>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row>
    <row r="747">
      <c r="A747" s="17"/>
      <c r="B747" s="17"/>
      <c r="C747" s="17"/>
      <c r="D747" s="17"/>
      <c r="E747" s="17"/>
      <c r="F747" s="17"/>
      <c r="G747" s="17"/>
      <c r="H747" s="356"/>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row>
    <row r="748">
      <c r="A748" s="17"/>
      <c r="B748" s="17"/>
      <c r="C748" s="17"/>
      <c r="D748" s="17"/>
      <c r="E748" s="17"/>
      <c r="F748" s="17"/>
      <c r="G748" s="17"/>
      <c r="H748" s="356"/>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row>
    <row r="749">
      <c r="A749" s="17"/>
      <c r="B749" s="17"/>
      <c r="C749" s="17"/>
      <c r="D749" s="17"/>
      <c r="E749" s="17"/>
      <c r="F749" s="17"/>
      <c r="G749" s="17"/>
      <c r="H749" s="356"/>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row>
    <row r="750">
      <c r="A750" s="17"/>
      <c r="B750" s="17"/>
      <c r="C750" s="17"/>
      <c r="D750" s="17"/>
      <c r="E750" s="17"/>
      <c r="F750" s="17"/>
      <c r="G750" s="17"/>
      <c r="H750" s="356"/>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row>
    <row r="751">
      <c r="A751" s="17"/>
      <c r="B751" s="17"/>
      <c r="C751" s="17"/>
      <c r="D751" s="17"/>
      <c r="E751" s="17"/>
      <c r="F751" s="17"/>
      <c r="G751" s="17"/>
      <c r="H751" s="356"/>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row>
    <row r="752">
      <c r="A752" s="17"/>
      <c r="B752" s="17"/>
      <c r="C752" s="17"/>
      <c r="D752" s="17"/>
      <c r="E752" s="17"/>
      <c r="F752" s="17"/>
      <c r="G752" s="17"/>
      <c r="H752" s="356"/>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row>
    <row r="753">
      <c r="A753" s="17"/>
      <c r="B753" s="17"/>
      <c r="C753" s="17"/>
      <c r="D753" s="17"/>
      <c r="E753" s="17"/>
      <c r="F753" s="17"/>
      <c r="G753" s="17"/>
      <c r="H753" s="356"/>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row>
    <row r="754">
      <c r="A754" s="17"/>
      <c r="B754" s="17"/>
      <c r="C754" s="17"/>
      <c r="D754" s="17"/>
      <c r="E754" s="17"/>
      <c r="F754" s="17"/>
      <c r="G754" s="17"/>
      <c r="H754" s="356"/>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row>
    <row r="755">
      <c r="A755" s="17"/>
      <c r="B755" s="17"/>
      <c r="C755" s="17"/>
      <c r="D755" s="17"/>
      <c r="E755" s="17"/>
      <c r="F755" s="17"/>
      <c r="G755" s="17"/>
      <c r="H755" s="356"/>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row>
    <row r="756">
      <c r="A756" s="17"/>
      <c r="B756" s="17"/>
      <c r="C756" s="17"/>
      <c r="D756" s="17"/>
      <c r="E756" s="17"/>
      <c r="F756" s="17"/>
      <c r="G756" s="17"/>
      <c r="H756" s="356"/>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row>
    <row r="757">
      <c r="A757" s="17"/>
      <c r="B757" s="17"/>
      <c r="C757" s="17"/>
      <c r="D757" s="17"/>
      <c r="E757" s="17"/>
      <c r="F757" s="17"/>
      <c r="G757" s="17"/>
      <c r="H757" s="356"/>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row>
    <row r="758">
      <c r="A758" s="17"/>
      <c r="B758" s="17"/>
      <c r="C758" s="17"/>
      <c r="D758" s="17"/>
      <c r="E758" s="17"/>
      <c r="F758" s="17"/>
      <c r="G758" s="17"/>
      <c r="H758" s="356"/>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row>
    <row r="759">
      <c r="A759" s="17"/>
      <c r="B759" s="17"/>
      <c r="C759" s="17"/>
      <c r="D759" s="17"/>
      <c r="E759" s="17"/>
      <c r="F759" s="17"/>
      <c r="G759" s="17"/>
      <c r="H759" s="356"/>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row>
    <row r="760">
      <c r="A760" s="17"/>
      <c r="B760" s="17"/>
      <c r="C760" s="17"/>
      <c r="D760" s="17"/>
      <c r="E760" s="17"/>
      <c r="F760" s="17"/>
      <c r="G760" s="17"/>
      <c r="H760" s="356"/>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row>
    <row r="761">
      <c r="A761" s="17"/>
      <c r="B761" s="17"/>
      <c r="C761" s="17"/>
      <c r="D761" s="17"/>
      <c r="E761" s="17"/>
      <c r="F761" s="17"/>
      <c r="G761" s="17"/>
      <c r="H761" s="356"/>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row>
    <row r="762">
      <c r="A762" s="17"/>
      <c r="B762" s="17"/>
      <c r="C762" s="17"/>
      <c r="D762" s="17"/>
      <c r="E762" s="17"/>
      <c r="F762" s="17"/>
      <c r="G762" s="17"/>
      <c r="H762" s="356"/>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row>
    <row r="763">
      <c r="A763" s="17"/>
      <c r="B763" s="17"/>
      <c r="C763" s="17"/>
      <c r="D763" s="17"/>
      <c r="E763" s="17"/>
      <c r="F763" s="17"/>
      <c r="G763" s="17"/>
      <c r="H763" s="356"/>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row>
    <row r="764">
      <c r="A764" s="17"/>
      <c r="B764" s="17"/>
      <c r="C764" s="17"/>
      <c r="D764" s="17"/>
      <c r="E764" s="17"/>
      <c r="F764" s="17"/>
      <c r="G764" s="17"/>
      <c r="H764" s="356"/>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row>
    <row r="765">
      <c r="A765" s="17"/>
      <c r="B765" s="17"/>
      <c r="C765" s="17"/>
      <c r="D765" s="17"/>
      <c r="E765" s="17"/>
      <c r="F765" s="17"/>
      <c r="G765" s="17"/>
      <c r="H765" s="356"/>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row>
    <row r="766">
      <c r="A766" s="17"/>
      <c r="B766" s="17"/>
      <c r="C766" s="17"/>
      <c r="D766" s="17"/>
      <c r="E766" s="17"/>
      <c r="F766" s="17"/>
      <c r="G766" s="17"/>
      <c r="H766" s="356"/>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row>
    <row r="767">
      <c r="A767" s="17"/>
      <c r="B767" s="17"/>
      <c r="C767" s="17"/>
      <c r="D767" s="17"/>
      <c r="E767" s="17"/>
      <c r="F767" s="17"/>
      <c r="G767" s="17"/>
      <c r="H767" s="356"/>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row>
    <row r="768">
      <c r="A768" s="17"/>
      <c r="B768" s="17"/>
      <c r="C768" s="17"/>
      <c r="D768" s="17"/>
      <c r="E768" s="17"/>
      <c r="F768" s="17"/>
      <c r="G768" s="17"/>
      <c r="H768" s="356"/>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row>
    <row r="769">
      <c r="A769" s="17"/>
      <c r="B769" s="17"/>
      <c r="C769" s="17"/>
      <c r="D769" s="17"/>
      <c r="E769" s="17"/>
      <c r="F769" s="17"/>
      <c r="G769" s="17"/>
      <c r="H769" s="356"/>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row>
    <row r="770">
      <c r="A770" s="17"/>
      <c r="B770" s="17"/>
      <c r="C770" s="17"/>
      <c r="D770" s="17"/>
      <c r="E770" s="17"/>
      <c r="F770" s="17"/>
      <c r="G770" s="17"/>
      <c r="H770" s="356"/>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row>
    <row r="771">
      <c r="A771" s="17"/>
      <c r="B771" s="17"/>
      <c r="C771" s="17"/>
      <c r="D771" s="17"/>
      <c r="E771" s="17"/>
      <c r="F771" s="17"/>
      <c r="G771" s="17"/>
      <c r="H771" s="356"/>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row>
    <row r="772">
      <c r="A772" s="17"/>
      <c r="B772" s="17"/>
      <c r="C772" s="17"/>
      <c r="D772" s="17"/>
      <c r="E772" s="17"/>
      <c r="F772" s="17"/>
      <c r="G772" s="17"/>
      <c r="H772" s="356"/>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row>
    <row r="773">
      <c r="A773" s="17"/>
      <c r="B773" s="17"/>
      <c r="C773" s="17"/>
      <c r="D773" s="17"/>
      <c r="E773" s="17"/>
      <c r="F773" s="17"/>
      <c r="G773" s="17"/>
      <c r="H773" s="356"/>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row>
    <row r="774">
      <c r="A774" s="17"/>
      <c r="B774" s="17"/>
      <c r="C774" s="17"/>
      <c r="D774" s="17"/>
      <c r="E774" s="17"/>
      <c r="F774" s="17"/>
      <c r="G774" s="17"/>
      <c r="H774" s="356"/>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row>
    <row r="775">
      <c r="A775" s="17"/>
      <c r="B775" s="17"/>
      <c r="C775" s="17"/>
      <c r="D775" s="17"/>
      <c r="E775" s="17"/>
      <c r="F775" s="17"/>
      <c r="G775" s="17"/>
      <c r="H775" s="356"/>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row>
    <row r="776">
      <c r="A776" s="17"/>
      <c r="B776" s="17"/>
      <c r="C776" s="17"/>
      <c r="D776" s="17"/>
      <c r="E776" s="17"/>
      <c r="F776" s="17"/>
      <c r="G776" s="17"/>
      <c r="H776" s="356"/>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row>
    <row r="777">
      <c r="A777" s="17"/>
      <c r="B777" s="17"/>
      <c r="C777" s="17"/>
      <c r="D777" s="17"/>
      <c r="E777" s="17"/>
      <c r="F777" s="17"/>
      <c r="G777" s="17"/>
      <c r="H777" s="356"/>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row>
    <row r="778">
      <c r="A778" s="17"/>
      <c r="B778" s="17"/>
      <c r="C778" s="17"/>
      <c r="D778" s="17"/>
      <c r="E778" s="17"/>
      <c r="F778" s="17"/>
      <c r="G778" s="17"/>
      <c r="H778" s="356"/>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row>
    <row r="779">
      <c r="A779" s="17"/>
      <c r="B779" s="17"/>
      <c r="C779" s="17"/>
      <c r="D779" s="17"/>
      <c r="E779" s="17"/>
      <c r="F779" s="17"/>
      <c r="G779" s="17"/>
      <c r="H779" s="356"/>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row>
    <row r="780">
      <c r="A780" s="17"/>
      <c r="B780" s="17"/>
      <c r="C780" s="17"/>
      <c r="D780" s="17"/>
      <c r="E780" s="17"/>
      <c r="F780" s="17"/>
      <c r="G780" s="17"/>
      <c r="H780" s="356"/>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row>
    <row r="781">
      <c r="A781" s="17"/>
      <c r="B781" s="17"/>
      <c r="C781" s="17"/>
      <c r="D781" s="17"/>
      <c r="E781" s="17"/>
      <c r="F781" s="17"/>
      <c r="G781" s="17"/>
      <c r="H781" s="356"/>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row>
    <row r="782">
      <c r="A782" s="17"/>
      <c r="B782" s="17"/>
      <c r="C782" s="17"/>
      <c r="D782" s="17"/>
      <c r="E782" s="17"/>
      <c r="F782" s="17"/>
      <c r="G782" s="17"/>
      <c r="H782" s="356"/>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row>
    <row r="783">
      <c r="A783" s="17"/>
      <c r="B783" s="17"/>
      <c r="C783" s="17"/>
      <c r="D783" s="17"/>
      <c r="E783" s="17"/>
      <c r="F783" s="17"/>
      <c r="G783" s="17"/>
      <c r="H783" s="356"/>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row>
    <row r="784">
      <c r="A784" s="17"/>
      <c r="B784" s="17"/>
      <c r="C784" s="17"/>
      <c r="D784" s="17"/>
      <c r="E784" s="17"/>
      <c r="F784" s="17"/>
      <c r="G784" s="17"/>
      <c r="H784" s="356"/>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row>
    <row r="785">
      <c r="A785" s="17"/>
      <c r="B785" s="17"/>
      <c r="C785" s="17"/>
      <c r="D785" s="17"/>
      <c r="E785" s="17"/>
      <c r="F785" s="17"/>
      <c r="G785" s="17"/>
      <c r="H785" s="356"/>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row>
    <row r="786">
      <c r="A786" s="17"/>
      <c r="B786" s="17"/>
      <c r="C786" s="17"/>
      <c r="D786" s="17"/>
      <c r="E786" s="17"/>
      <c r="F786" s="17"/>
      <c r="G786" s="17"/>
      <c r="H786" s="356"/>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row>
    <row r="787">
      <c r="A787" s="17"/>
      <c r="B787" s="17"/>
      <c r="C787" s="17"/>
      <c r="D787" s="17"/>
      <c r="E787" s="17"/>
      <c r="F787" s="17"/>
      <c r="G787" s="17"/>
      <c r="H787" s="356"/>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row>
    <row r="788">
      <c r="A788" s="17"/>
      <c r="B788" s="17"/>
      <c r="C788" s="17"/>
      <c r="D788" s="17"/>
      <c r="E788" s="17"/>
      <c r="F788" s="17"/>
      <c r="G788" s="17"/>
      <c r="H788" s="356"/>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row>
    <row r="789">
      <c r="A789" s="17"/>
      <c r="B789" s="17"/>
      <c r="C789" s="17"/>
      <c r="D789" s="17"/>
      <c r="E789" s="17"/>
      <c r="F789" s="17"/>
      <c r="G789" s="17"/>
      <c r="H789" s="356"/>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row>
    <row r="790">
      <c r="A790" s="17"/>
      <c r="B790" s="17"/>
      <c r="C790" s="17"/>
      <c r="D790" s="17"/>
      <c r="E790" s="17"/>
      <c r="F790" s="17"/>
      <c r="G790" s="17"/>
      <c r="H790" s="356"/>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row>
    <row r="791">
      <c r="A791" s="17"/>
      <c r="B791" s="17"/>
      <c r="C791" s="17"/>
      <c r="D791" s="17"/>
      <c r="E791" s="17"/>
      <c r="F791" s="17"/>
      <c r="G791" s="17"/>
      <c r="H791" s="356"/>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row>
    <row r="792">
      <c r="A792" s="17"/>
      <c r="B792" s="17"/>
      <c r="C792" s="17"/>
      <c r="D792" s="17"/>
      <c r="E792" s="17"/>
      <c r="F792" s="17"/>
      <c r="G792" s="17"/>
      <c r="H792" s="356"/>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row>
    <row r="793">
      <c r="A793" s="17"/>
      <c r="B793" s="17"/>
      <c r="C793" s="17"/>
      <c r="D793" s="17"/>
      <c r="E793" s="17"/>
      <c r="F793" s="17"/>
      <c r="G793" s="17"/>
      <c r="H793" s="356"/>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row>
    <row r="794">
      <c r="A794" s="17"/>
      <c r="B794" s="17"/>
      <c r="C794" s="17"/>
      <c r="D794" s="17"/>
      <c r="E794" s="17"/>
      <c r="F794" s="17"/>
      <c r="G794" s="17"/>
      <c r="H794" s="356"/>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row>
    <row r="795">
      <c r="A795" s="17"/>
      <c r="B795" s="17"/>
      <c r="C795" s="17"/>
      <c r="D795" s="17"/>
      <c r="E795" s="17"/>
      <c r="F795" s="17"/>
      <c r="G795" s="17"/>
      <c r="H795" s="356"/>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row>
    <row r="796">
      <c r="A796" s="17"/>
      <c r="B796" s="17"/>
      <c r="C796" s="17"/>
      <c r="D796" s="17"/>
      <c r="E796" s="17"/>
      <c r="F796" s="17"/>
      <c r="G796" s="17"/>
      <c r="H796" s="356"/>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row>
    <row r="797">
      <c r="A797" s="17"/>
      <c r="B797" s="17"/>
      <c r="C797" s="17"/>
      <c r="D797" s="17"/>
      <c r="E797" s="17"/>
      <c r="F797" s="17"/>
      <c r="G797" s="17"/>
      <c r="H797" s="356"/>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row>
    <row r="798">
      <c r="A798" s="17"/>
      <c r="B798" s="17"/>
      <c r="C798" s="17"/>
      <c r="D798" s="17"/>
      <c r="E798" s="17"/>
      <c r="F798" s="17"/>
      <c r="G798" s="17"/>
      <c r="H798" s="356"/>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row>
    <row r="799">
      <c r="A799" s="17"/>
      <c r="B799" s="17"/>
      <c r="C799" s="17"/>
      <c r="D799" s="17"/>
      <c r="E799" s="17"/>
      <c r="F799" s="17"/>
      <c r="G799" s="17"/>
      <c r="H799" s="356"/>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row>
    <row r="800">
      <c r="A800" s="17"/>
      <c r="B800" s="17"/>
      <c r="C800" s="17"/>
      <c r="D800" s="17"/>
      <c r="E800" s="17"/>
      <c r="F800" s="17"/>
      <c r="G800" s="17"/>
      <c r="H800" s="356"/>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row>
    <row r="801">
      <c r="A801" s="17"/>
      <c r="B801" s="17"/>
      <c r="C801" s="17"/>
      <c r="D801" s="17"/>
      <c r="E801" s="17"/>
      <c r="F801" s="17"/>
      <c r="G801" s="17"/>
      <c r="H801" s="356"/>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row>
    <row r="802">
      <c r="A802" s="17"/>
      <c r="B802" s="17"/>
      <c r="C802" s="17"/>
      <c r="D802" s="17"/>
      <c r="E802" s="17"/>
      <c r="F802" s="17"/>
      <c r="G802" s="17"/>
      <c r="H802" s="356"/>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row>
    <row r="803">
      <c r="A803" s="17"/>
      <c r="B803" s="17"/>
      <c r="C803" s="17"/>
      <c r="D803" s="17"/>
      <c r="E803" s="17"/>
      <c r="F803" s="17"/>
      <c r="G803" s="17"/>
      <c r="H803" s="356"/>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row>
    <row r="804">
      <c r="A804" s="17"/>
      <c r="B804" s="17"/>
      <c r="C804" s="17"/>
      <c r="D804" s="17"/>
      <c r="E804" s="17"/>
      <c r="F804" s="17"/>
      <c r="G804" s="17"/>
      <c r="H804" s="356"/>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row>
    <row r="805">
      <c r="A805" s="17"/>
      <c r="B805" s="17"/>
      <c r="C805" s="17"/>
      <c r="D805" s="17"/>
      <c r="E805" s="17"/>
      <c r="F805" s="17"/>
      <c r="G805" s="17"/>
      <c r="H805" s="356"/>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row>
    <row r="806">
      <c r="A806" s="17"/>
      <c r="B806" s="17"/>
      <c r="C806" s="17"/>
      <c r="D806" s="17"/>
      <c r="E806" s="17"/>
      <c r="F806" s="17"/>
      <c r="G806" s="17"/>
      <c r="H806" s="356"/>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row>
    <row r="807">
      <c r="A807" s="17"/>
      <c r="B807" s="17"/>
      <c r="C807" s="17"/>
      <c r="D807" s="17"/>
      <c r="E807" s="17"/>
      <c r="F807" s="17"/>
      <c r="G807" s="17"/>
      <c r="H807" s="356"/>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row>
    <row r="808">
      <c r="A808" s="17"/>
      <c r="B808" s="17"/>
      <c r="C808" s="17"/>
      <c r="D808" s="17"/>
      <c r="E808" s="17"/>
      <c r="F808" s="17"/>
      <c r="G808" s="17"/>
      <c r="H808" s="356"/>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row>
    <row r="809">
      <c r="A809" s="17"/>
      <c r="B809" s="17"/>
      <c r="C809" s="17"/>
      <c r="D809" s="17"/>
      <c r="E809" s="17"/>
      <c r="F809" s="17"/>
      <c r="G809" s="17"/>
      <c r="H809" s="356"/>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row>
    <row r="810">
      <c r="A810" s="17"/>
      <c r="B810" s="17"/>
      <c r="C810" s="17"/>
      <c r="D810" s="17"/>
      <c r="E810" s="17"/>
      <c r="F810" s="17"/>
      <c r="G810" s="17"/>
      <c r="H810" s="356"/>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row>
    <row r="811">
      <c r="A811" s="17"/>
      <c r="B811" s="17"/>
      <c r="C811" s="17"/>
      <c r="D811" s="17"/>
      <c r="E811" s="17"/>
      <c r="F811" s="17"/>
      <c r="G811" s="17"/>
      <c r="H811" s="356"/>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row>
    <row r="812">
      <c r="A812" s="17"/>
      <c r="B812" s="17"/>
      <c r="C812" s="17"/>
      <c r="D812" s="17"/>
      <c r="E812" s="17"/>
      <c r="F812" s="17"/>
      <c r="G812" s="17"/>
      <c r="H812" s="356"/>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row>
    <row r="813">
      <c r="A813" s="17"/>
      <c r="B813" s="17"/>
      <c r="C813" s="17"/>
      <c r="D813" s="17"/>
      <c r="E813" s="17"/>
      <c r="F813" s="17"/>
      <c r="G813" s="17"/>
      <c r="H813" s="356"/>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row>
    <row r="814">
      <c r="A814" s="17"/>
      <c r="B814" s="17"/>
      <c r="C814" s="17"/>
      <c r="D814" s="17"/>
      <c r="E814" s="17"/>
      <c r="F814" s="17"/>
      <c r="G814" s="17"/>
      <c r="H814" s="356"/>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row>
    <row r="815">
      <c r="A815" s="17"/>
      <c r="B815" s="17"/>
      <c r="C815" s="17"/>
      <c r="D815" s="17"/>
      <c r="E815" s="17"/>
      <c r="F815" s="17"/>
      <c r="G815" s="17"/>
      <c r="H815" s="356"/>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row>
    <row r="816">
      <c r="A816" s="17"/>
      <c r="B816" s="17"/>
      <c r="C816" s="17"/>
      <c r="D816" s="17"/>
      <c r="E816" s="17"/>
      <c r="F816" s="17"/>
      <c r="G816" s="17"/>
      <c r="H816" s="356"/>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row>
    <row r="817">
      <c r="A817" s="17"/>
      <c r="B817" s="17"/>
      <c r="C817" s="17"/>
      <c r="D817" s="17"/>
      <c r="E817" s="17"/>
      <c r="F817" s="17"/>
      <c r="G817" s="17"/>
      <c r="H817" s="356"/>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row>
    <row r="818">
      <c r="A818" s="17"/>
      <c r="B818" s="17"/>
      <c r="C818" s="17"/>
      <c r="D818" s="17"/>
      <c r="E818" s="17"/>
      <c r="F818" s="17"/>
      <c r="G818" s="17"/>
      <c r="H818" s="356"/>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row>
    <row r="819">
      <c r="A819" s="17"/>
      <c r="B819" s="17"/>
      <c r="C819" s="17"/>
      <c r="D819" s="17"/>
      <c r="E819" s="17"/>
      <c r="F819" s="17"/>
      <c r="G819" s="17"/>
      <c r="H819" s="356"/>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row>
    <row r="820">
      <c r="A820" s="17"/>
      <c r="B820" s="17"/>
      <c r="C820" s="17"/>
      <c r="D820" s="17"/>
      <c r="E820" s="17"/>
      <c r="F820" s="17"/>
      <c r="G820" s="17"/>
      <c r="H820" s="356"/>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row>
    <row r="821">
      <c r="A821" s="17"/>
      <c r="B821" s="17"/>
      <c r="C821" s="17"/>
      <c r="D821" s="17"/>
      <c r="E821" s="17"/>
      <c r="F821" s="17"/>
      <c r="G821" s="17"/>
      <c r="H821" s="356"/>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row>
    <row r="822">
      <c r="A822" s="17"/>
      <c r="B822" s="17"/>
      <c r="C822" s="17"/>
      <c r="D822" s="17"/>
      <c r="E822" s="17"/>
      <c r="F822" s="17"/>
      <c r="G822" s="17"/>
      <c r="H822" s="356"/>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row>
    <row r="823">
      <c r="A823" s="17"/>
      <c r="B823" s="17"/>
      <c r="C823" s="17"/>
      <c r="D823" s="17"/>
      <c r="E823" s="17"/>
      <c r="F823" s="17"/>
      <c r="G823" s="17"/>
      <c r="H823" s="356"/>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row>
    <row r="824">
      <c r="A824" s="17"/>
      <c r="B824" s="17"/>
      <c r="C824" s="17"/>
      <c r="D824" s="17"/>
      <c r="E824" s="17"/>
      <c r="F824" s="17"/>
      <c r="G824" s="17"/>
      <c r="H824" s="356"/>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row>
    <row r="825">
      <c r="A825" s="17"/>
      <c r="B825" s="17"/>
      <c r="C825" s="17"/>
      <c r="D825" s="17"/>
      <c r="E825" s="17"/>
      <c r="F825" s="17"/>
      <c r="G825" s="17"/>
      <c r="H825" s="356"/>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row>
    <row r="826">
      <c r="A826" s="17"/>
      <c r="B826" s="17"/>
      <c r="C826" s="17"/>
      <c r="D826" s="17"/>
      <c r="E826" s="17"/>
      <c r="F826" s="17"/>
      <c r="G826" s="17"/>
      <c r="H826" s="356"/>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row>
    <row r="827">
      <c r="A827" s="17"/>
      <c r="B827" s="17"/>
      <c r="C827" s="17"/>
      <c r="D827" s="17"/>
      <c r="E827" s="17"/>
      <c r="F827" s="17"/>
      <c r="G827" s="17"/>
      <c r="H827" s="356"/>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row>
    <row r="828">
      <c r="A828" s="17"/>
      <c r="B828" s="17"/>
      <c r="C828" s="17"/>
      <c r="D828" s="17"/>
      <c r="E828" s="17"/>
      <c r="F828" s="17"/>
      <c r="G828" s="17"/>
      <c r="H828" s="356"/>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row>
    <row r="829">
      <c r="A829" s="17"/>
      <c r="B829" s="17"/>
      <c r="C829" s="17"/>
      <c r="D829" s="17"/>
      <c r="E829" s="17"/>
      <c r="F829" s="17"/>
      <c r="G829" s="17"/>
      <c r="H829" s="356"/>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row>
    <row r="830">
      <c r="A830" s="17"/>
      <c r="B830" s="17"/>
      <c r="C830" s="17"/>
      <c r="D830" s="17"/>
      <c r="E830" s="17"/>
      <c r="F830" s="17"/>
      <c r="G830" s="17"/>
      <c r="H830" s="356"/>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row>
    <row r="831">
      <c r="A831" s="17"/>
      <c r="B831" s="17"/>
      <c r="C831" s="17"/>
      <c r="D831" s="17"/>
      <c r="E831" s="17"/>
      <c r="F831" s="17"/>
      <c r="G831" s="17"/>
      <c r="H831" s="356"/>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row>
    <row r="832">
      <c r="A832" s="17"/>
      <c r="B832" s="17"/>
      <c r="C832" s="17"/>
      <c r="D832" s="17"/>
      <c r="E832" s="17"/>
      <c r="F832" s="17"/>
      <c r="G832" s="17"/>
      <c r="H832" s="356"/>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row>
    <row r="833">
      <c r="A833" s="17"/>
      <c r="B833" s="17"/>
      <c r="C833" s="17"/>
      <c r="D833" s="17"/>
      <c r="E833" s="17"/>
      <c r="F833" s="17"/>
      <c r="G833" s="17"/>
      <c r="H833" s="356"/>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row>
    <row r="834">
      <c r="A834" s="17"/>
      <c r="B834" s="17"/>
      <c r="C834" s="17"/>
      <c r="D834" s="17"/>
      <c r="E834" s="17"/>
      <c r="F834" s="17"/>
      <c r="G834" s="17"/>
      <c r="H834" s="356"/>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row>
    <row r="835">
      <c r="A835" s="17"/>
      <c r="B835" s="17"/>
      <c r="C835" s="17"/>
      <c r="D835" s="17"/>
      <c r="E835" s="17"/>
      <c r="F835" s="17"/>
      <c r="G835" s="17"/>
      <c r="H835" s="356"/>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row>
    <row r="836">
      <c r="A836" s="17"/>
      <c r="B836" s="17"/>
      <c r="C836" s="17"/>
      <c r="D836" s="17"/>
      <c r="E836" s="17"/>
      <c r="F836" s="17"/>
      <c r="G836" s="17"/>
      <c r="H836" s="356"/>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row>
    <row r="837">
      <c r="A837" s="17"/>
      <c r="B837" s="17"/>
      <c r="C837" s="17"/>
      <c r="D837" s="17"/>
      <c r="E837" s="17"/>
      <c r="F837" s="17"/>
      <c r="G837" s="17"/>
      <c r="H837" s="356"/>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row>
    <row r="838">
      <c r="A838" s="17"/>
      <c r="B838" s="17"/>
      <c r="C838" s="17"/>
      <c r="D838" s="17"/>
      <c r="E838" s="17"/>
      <c r="F838" s="17"/>
      <c r="G838" s="17"/>
      <c r="H838" s="356"/>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row>
    <row r="839">
      <c r="A839" s="17"/>
      <c r="B839" s="17"/>
      <c r="C839" s="17"/>
      <c r="D839" s="17"/>
      <c r="E839" s="17"/>
      <c r="F839" s="17"/>
      <c r="G839" s="17"/>
      <c r="H839" s="356"/>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row>
    <row r="840">
      <c r="A840" s="17"/>
      <c r="B840" s="17"/>
      <c r="C840" s="17"/>
      <c r="D840" s="17"/>
      <c r="E840" s="17"/>
      <c r="F840" s="17"/>
      <c r="G840" s="17"/>
      <c r="H840" s="356"/>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row>
    <row r="841">
      <c r="A841" s="17"/>
      <c r="B841" s="17"/>
      <c r="C841" s="17"/>
      <c r="D841" s="17"/>
      <c r="E841" s="17"/>
      <c r="F841" s="17"/>
      <c r="G841" s="17"/>
      <c r="H841" s="356"/>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row>
    <row r="842">
      <c r="A842" s="17"/>
      <c r="B842" s="17"/>
      <c r="C842" s="17"/>
      <c r="D842" s="17"/>
      <c r="E842" s="17"/>
      <c r="F842" s="17"/>
      <c r="G842" s="17"/>
      <c r="H842" s="356"/>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row>
    <row r="843">
      <c r="A843" s="17"/>
      <c r="B843" s="17"/>
      <c r="C843" s="17"/>
      <c r="D843" s="17"/>
      <c r="E843" s="17"/>
      <c r="F843" s="17"/>
      <c r="G843" s="17"/>
      <c r="H843" s="356"/>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row>
    <row r="844">
      <c r="A844" s="17"/>
      <c r="B844" s="17"/>
      <c r="C844" s="17"/>
      <c r="D844" s="17"/>
      <c r="E844" s="17"/>
      <c r="F844" s="17"/>
      <c r="G844" s="17"/>
      <c r="H844" s="356"/>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row>
    <row r="845">
      <c r="A845" s="17"/>
      <c r="B845" s="17"/>
      <c r="C845" s="17"/>
      <c r="D845" s="17"/>
      <c r="E845" s="17"/>
      <c r="F845" s="17"/>
      <c r="G845" s="17"/>
      <c r="H845" s="356"/>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row>
    <row r="846">
      <c r="A846" s="17"/>
      <c r="B846" s="17"/>
      <c r="C846" s="17"/>
      <c r="D846" s="17"/>
      <c r="E846" s="17"/>
      <c r="F846" s="17"/>
      <c r="G846" s="17"/>
      <c r="H846" s="356"/>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row>
    <row r="847">
      <c r="A847" s="17"/>
      <c r="B847" s="17"/>
      <c r="C847" s="17"/>
      <c r="D847" s="17"/>
      <c r="E847" s="17"/>
      <c r="F847" s="17"/>
      <c r="G847" s="17"/>
      <c r="H847" s="356"/>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row>
    <row r="848">
      <c r="A848" s="17"/>
      <c r="B848" s="17"/>
      <c r="C848" s="17"/>
      <c r="D848" s="17"/>
      <c r="E848" s="17"/>
      <c r="F848" s="17"/>
      <c r="G848" s="17"/>
      <c r="H848" s="356"/>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row>
    <row r="849">
      <c r="A849" s="17"/>
      <c r="B849" s="17"/>
      <c r="C849" s="17"/>
      <c r="D849" s="17"/>
      <c r="E849" s="17"/>
      <c r="F849" s="17"/>
      <c r="G849" s="17"/>
      <c r="H849" s="356"/>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row>
    <row r="850">
      <c r="A850" s="17"/>
      <c r="B850" s="17"/>
      <c r="C850" s="17"/>
      <c r="D850" s="17"/>
      <c r="E850" s="17"/>
      <c r="F850" s="17"/>
      <c r="G850" s="17"/>
      <c r="H850" s="356"/>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row>
    <row r="851">
      <c r="A851" s="17"/>
      <c r="B851" s="17"/>
      <c r="C851" s="17"/>
      <c r="D851" s="17"/>
      <c r="E851" s="17"/>
      <c r="F851" s="17"/>
      <c r="G851" s="17"/>
      <c r="H851" s="356"/>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row>
    <row r="852">
      <c r="A852" s="17"/>
      <c r="B852" s="17"/>
      <c r="C852" s="17"/>
      <c r="D852" s="17"/>
      <c r="E852" s="17"/>
      <c r="F852" s="17"/>
      <c r="G852" s="17"/>
      <c r="H852" s="356"/>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row>
    <row r="853">
      <c r="A853" s="17"/>
      <c r="B853" s="17"/>
      <c r="C853" s="17"/>
      <c r="D853" s="17"/>
      <c r="E853" s="17"/>
      <c r="F853" s="17"/>
      <c r="G853" s="17"/>
      <c r="H853" s="356"/>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row>
    <row r="854">
      <c r="A854" s="17"/>
      <c r="B854" s="17"/>
      <c r="C854" s="17"/>
      <c r="D854" s="17"/>
      <c r="E854" s="17"/>
      <c r="F854" s="17"/>
      <c r="G854" s="17"/>
      <c r="H854" s="356"/>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row>
    <row r="855">
      <c r="A855" s="17"/>
      <c r="B855" s="17"/>
      <c r="C855" s="17"/>
      <c r="D855" s="17"/>
      <c r="E855" s="17"/>
      <c r="F855" s="17"/>
      <c r="G855" s="17"/>
      <c r="H855" s="356"/>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row>
    <row r="856">
      <c r="A856" s="17"/>
      <c r="B856" s="17"/>
      <c r="C856" s="17"/>
      <c r="D856" s="17"/>
      <c r="E856" s="17"/>
      <c r="F856" s="17"/>
      <c r="G856" s="17"/>
      <c r="H856" s="356"/>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row>
    <row r="857">
      <c r="A857" s="17"/>
      <c r="B857" s="17"/>
      <c r="C857" s="17"/>
      <c r="D857" s="17"/>
      <c r="E857" s="17"/>
      <c r="F857" s="17"/>
      <c r="G857" s="17"/>
      <c r="H857" s="356"/>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row>
    <row r="858">
      <c r="A858" s="17"/>
      <c r="B858" s="17"/>
      <c r="C858" s="17"/>
      <c r="D858" s="17"/>
      <c r="E858" s="17"/>
      <c r="F858" s="17"/>
      <c r="G858" s="17"/>
      <c r="H858" s="356"/>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row>
    <row r="859">
      <c r="A859" s="17"/>
      <c r="B859" s="17"/>
      <c r="C859" s="17"/>
      <c r="D859" s="17"/>
      <c r="E859" s="17"/>
      <c r="F859" s="17"/>
      <c r="G859" s="17"/>
      <c r="H859" s="356"/>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row>
    <row r="860">
      <c r="A860" s="17"/>
      <c r="B860" s="17"/>
      <c r="C860" s="17"/>
      <c r="D860" s="17"/>
      <c r="E860" s="17"/>
      <c r="F860" s="17"/>
      <c r="G860" s="17"/>
      <c r="H860" s="356"/>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row>
    <row r="861">
      <c r="A861" s="17"/>
      <c r="B861" s="17"/>
      <c r="C861" s="17"/>
      <c r="D861" s="17"/>
      <c r="E861" s="17"/>
      <c r="F861" s="17"/>
      <c r="G861" s="17"/>
      <c r="H861" s="356"/>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row>
    <row r="862">
      <c r="A862" s="17"/>
      <c r="B862" s="17"/>
      <c r="C862" s="17"/>
      <c r="D862" s="17"/>
      <c r="E862" s="17"/>
      <c r="F862" s="17"/>
      <c r="G862" s="17"/>
      <c r="H862" s="356"/>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row>
    <row r="863">
      <c r="A863" s="17"/>
      <c r="B863" s="17"/>
      <c r="C863" s="17"/>
      <c r="D863" s="17"/>
      <c r="E863" s="17"/>
      <c r="F863" s="17"/>
      <c r="G863" s="17"/>
      <c r="H863" s="356"/>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row>
    <row r="864">
      <c r="A864" s="17"/>
      <c r="B864" s="17"/>
      <c r="C864" s="17"/>
      <c r="D864" s="17"/>
      <c r="E864" s="17"/>
      <c r="F864" s="17"/>
      <c r="G864" s="17"/>
      <c r="H864" s="356"/>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row>
    <row r="865">
      <c r="A865" s="17"/>
      <c r="B865" s="17"/>
      <c r="C865" s="17"/>
      <c r="D865" s="17"/>
      <c r="E865" s="17"/>
      <c r="F865" s="17"/>
      <c r="G865" s="17"/>
      <c r="H865" s="356"/>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row>
    <row r="866">
      <c r="A866" s="17"/>
      <c r="B866" s="17"/>
      <c r="C866" s="17"/>
      <c r="D866" s="17"/>
      <c r="E866" s="17"/>
      <c r="F866" s="17"/>
      <c r="G866" s="17"/>
      <c r="H866" s="356"/>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row>
    <row r="867">
      <c r="A867" s="17"/>
      <c r="B867" s="17"/>
      <c r="C867" s="17"/>
      <c r="D867" s="17"/>
      <c r="E867" s="17"/>
      <c r="F867" s="17"/>
      <c r="G867" s="17"/>
      <c r="H867" s="356"/>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row>
    <row r="868">
      <c r="A868" s="17"/>
      <c r="B868" s="17"/>
      <c r="C868" s="17"/>
      <c r="D868" s="17"/>
      <c r="E868" s="17"/>
      <c r="F868" s="17"/>
      <c r="G868" s="17"/>
      <c r="H868" s="356"/>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row>
    <row r="869">
      <c r="A869" s="17"/>
      <c r="B869" s="17"/>
      <c r="C869" s="17"/>
      <c r="D869" s="17"/>
      <c r="E869" s="17"/>
      <c r="F869" s="17"/>
      <c r="G869" s="17"/>
      <c r="H869" s="356"/>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row>
    <row r="870">
      <c r="A870" s="17"/>
      <c r="B870" s="17"/>
      <c r="C870" s="17"/>
      <c r="D870" s="17"/>
      <c r="E870" s="17"/>
      <c r="F870" s="17"/>
      <c r="G870" s="17"/>
      <c r="H870" s="356"/>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row>
    <row r="871">
      <c r="A871" s="17"/>
      <c r="B871" s="17"/>
      <c r="C871" s="17"/>
      <c r="D871" s="17"/>
      <c r="E871" s="17"/>
      <c r="F871" s="17"/>
      <c r="G871" s="17"/>
      <c r="H871" s="356"/>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row>
    <row r="872">
      <c r="A872" s="17"/>
      <c r="B872" s="17"/>
      <c r="C872" s="17"/>
      <c r="D872" s="17"/>
      <c r="E872" s="17"/>
      <c r="F872" s="17"/>
      <c r="G872" s="17"/>
      <c r="H872" s="356"/>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row>
    <row r="873">
      <c r="A873" s="17"/>
      <c r="B873" s="17"/>
      <c r="C873" s="17"/>
      <c r="D873" s="17"/>
      <c r="E873" s="17"/>
      <c r="F873" s="17"/>
      <c r="G873" s="17"/>
      <c r="H873" s="356"/>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row>
    <row r="874">
      <c r="A874" s="17"/>
      <c r="B874" s="17"/>
      <c r="C874" s="17"/>
      <c r="D874" s="17"/>
      <c r="E874" s="17"/>
      <c r="F874" s="17"/>
      <c r="G874" s="17"/>
      <c r="H874" s="356"/>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row>
    <row r="875">
      <c r="A875" s="17"/>
      <c r="B875" s="17"/>
      <c r="C875" s="17"/>
      <c r="D875" s="17"/>
      <c r="E875" s="17"/>
      <c r="F875" s="17"/>
      <c r="G875" s="17"/>
      <c r="H875" s="356"/>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row>
    <row r="876">
      <c r="A876" s="17"/>
      <c r="B876" s="17"/>
      <c r="C876" s="17"/>
      <c r="D876" s="17"/>
      <c r="E876" s="17"/>
      <c r="F876" s="17"/>
      <c r="G876" s="17"/>
      <c r="H876" s="356"/>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row>
    <row r="877">
      <c r="A877" s="17"/>
      <c r="B877" s="17"/>
      <c r="C877" s="17"/>
      <c r="D877" s="17"/>
      <c r="E877" s="17"/>
      <c r="F877" s="17"/>
      <c r="G877" s="17"/>
      <c r="H877" s="356"/>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row>
    <row r="878">
      <c r="A878" s="17"/>
      <c r="B878" s="17"/>
      <c r="C878" s="17"/>
      <c r="D878" s="17"/>
      <c r="E878" s="17"/>
      <c r="F878" s="17"/>
      <c r="G878" s="17"/>
      <c r="H878" s="356"/>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row>
    <row r="879">
      <c r="A879" s="17"/>
      <c r="B879" s="17"/>
      <c r="C879" s="17"/>
      <c r="D879" s="17"/>
      <c r="E879" s="17"/>
      <c r="F879" s="17"/>
      <c r="G879" s="17"/>
      <c r="H879" s="356"/>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row>
    <row r="880">
      <c r="A880" s="17"/>
      <c r="B880" s="17"/>
      <c r="C880" s="17"/>
      <c r="D880" s="17"/>
      <c r="E880" s="17"/>
      <c r="F880" s="17"/>
      <c r="G880" s="17"/>
      <c r="H880" s="356"/>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row>
    <row r="881">
      <c r="A881" s="17"/>
      <c r="B881" s="17"/>
      <c r="C881" s="17"/>
      <c r="D881" s="17"/>
      <c r="E881" s="17"/>
      <c r="F881" s="17"/>
      <c r="G881" s="17"/>
      <c r="H881" s="356"/>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row>
    <row r="882">
      <c r="A882" s="17"/>
      <c r="B882" s="17"/>
      <c r="C882" s="17"/>
      <c r="D882" s="17"/>
      <c r="E882" s="17"/>
      <c r="F882" s="17"/>
      <c r="G882" s="17"/>
      <c r="H882" s="356"/>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row>
    <row r="883">
      <c r="A883" s="17"/>
      <c r="B883" s="17"/>
      <c r="C883" s="17"/>
      <c r="D883" s="17"/>
      <c r="E883" s="17"/>
      <c r="F883" s="17"/>
      <c r="G883" s="17"/>
      <c r="H883" s="356"/>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row>
    <row r="884">
      <c r="A884" s="17"/>
      <c r="B884" s="17"/>
      <c r="C884" s="17"/>
      <c r="D884" s="17"/>
      <c r="E884" s="17"/>
      <c r="F884" s="17"/>
      <c r="G884" s="17"/>
      <c r="H884" s="356"/>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row>
    <row r="885">
      <c r="A885" s="17"/>
      <c r="B885" s="17"/>
      <c r="C885" s="17"/>
      <c r="D885" s="17"/>
      <c r="E885" s="17"/>
      <c r="F885" s="17"/>
      <c r="G885" s="17"/>
      <c r="H885" s="356"/>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row>
    <row r="886">
      <c r="A886" s="17"/>
      <c r="B886" s="17"/>
      <c r="C886" s="17"/>
      <c r="D886" s="17"/>
      <c r="E886" s="17"/>
      <c r="F886" s="17"/>
      <c r="G886" s="17"/>
      <c r="H886" s="356"/>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row>
    <row r="887">
      <c r="A887" s="17"/>
      <c r="B887" s="17"/>
      <c r="C887" s="17"/>
      <c r="D887" s="17"/>
      <c r="E887" s="17"/>
      <c r="F887" s="17"/>
      <c r="G887" s="17"/>
      <c r="H887" s="356"/>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row>
    <row r="888">
      <c r="A888" s="17"/>
      <c r="B888" s="17"/>
      <c r="C888" s="17"/>
      <c r="D888" s="17"/>
      <c r="E888" s="17"/>
      <c r="F888" s="17"/>
      <c r="G888" s="17"/>
      <c r="H888" s="356"/>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row>
    <row r="889">
      <c r="A889" s="17"/>
      <c r="B889" s="17"/>
      <c r="C889" s="17"/>
      <c r="D889" s="17"/>
      <c r="E889" s="17"/>
      <c r="F889" s="17"/>
      <c r="G889" s="17"/>
      <c r="H889" s="356"/>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row>
    <row r="890">
      <c r="A890" s="17"/>
      <c r="B890" s="17"/>
      <c r="C890" s="17"/>
      <c r="D890" s="17"/>
      <c r="E890" s="17"/>
      <c r="F890" s="17"/>
      <c r="G890" s="17"/>
      <c r="H890" s="356"/>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row>
    <row r="891">
      <c r="A891" s="17"/>
      <c r="B891" s="17"/>
      <c r="C891" s="17"/>
      <c r="D891" s="17"/>
      <c r="E891" s="17"/>
      <c r="F891" s="17"/>
      <c r="G891" s="17"/>
      <c r="H891" s="356"/>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row>
    <row r="892">
      <c r="A892" s="17"/>
      <c r="B892" s="17"/>
      <c r="C892" s="17"/>
      <c r="D892" s="17"/>
      <c r="E892" s="17"/>
      <c r="F892" s="17"/>
      <c r="G892" s="17"/>
      <c r="H892" s="356"/>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row>
    <row r="893">
      <c r="A893" s="17"/>
      <c r="B893" s="17"/>
      <c r="C893" s="17"/>
      <c r="D893" s="17"/>
      <c r="E893" s="17"/>
      <c r="F893" s="17"/>
      <c r="G893" s="17"/>
      <c r="H893" s="356"/>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row>
    <row r="894">
      <c r="A894" s="17"/>
      <c r="B894" s="17"/>
      <c r="C894" s="17"/>
      <c r="D894" s="17"/>
      <c r="E894" s="17"/>
      <c r="F894" s="17"/>
      <c r="G894" s="17"/>
      <c r="H894" s="356"/>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row>
    <row r="895">
      <c r="A895" s="17"/>
      <c r="B895" s="17"/>
      <c r="C895" s="17"/>
      <c r="D895" s="17"/>
      <c r="E895" s="17"/>
      <c r="F895" s="17"/>
      <c r="G895" s="17"/>
      <c r="H895" s="356"/>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row>
    <row r="896">
      <c r="A896" s="17"/>
      <c r="B896" s="17"/>
      <c r="C896" s="17"/>
      <c r="D896" s="17"/>
      <c r="E896" s="17"/>
      <c r="F896" s="17"/>
      <c r="G896" s="17"/>
      <c r="H896" s="356"/>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row>
    <row r="897">
      <c r="A897" s="17"/>
      <c r="B897" s="17"/>
      <c r="C897" s="17"/>
      <c r="D897" s="17"/>
      <c r="E897" s="17"/>
      <c r="F897" s="17"/>
      <c r="G897" s="17"/>
      <c r="H897" s="356"/>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row>
    <row r="898">
      <c r="A898" s="17"/>
      <c r="B898" s="17"/>
      <c r="C898" s="17"/>
      <c r="D898" s="17"/>
      <c r="E898" s="17"/>
      <c r="F898" s="17"/>
      <c r="G898" s="17"/>
      <c r="H898" s="356"/>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row>
    <row r="899">
      <c r="A899" s="17"/>
      <c r="B899" s="17"/>
      <c r="C899" s="17"/>
      <c r="D899" s="17"/>
      <c r="E899" s="17"/>
      <c r="F899" s="17"/>
      <c r="G899" s="17"/>
      <c r="H899" s="356"/>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row>
    <row r="900">
      <c r="A900" s="17"/>
      <c r="B900" s="17"/>
      <c r="C900" s="17"/>
      <c r="D900" s="17"/>
      <c r="E900" s="17"/>
      <c r="F900" s="17"/>
      <c r="G900" s="17"/>
      <c r="H900" s="356"/>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row>
    <row r="901">
      <c r="A901" s="17"/>
      <c r="B901" s="17"/>
      <c r="C901" s="17"/>
      <c r="D901" s="17"/>
      <c r="E901" s="17"/>
      <c r="F901" s="17"/>
      <c r="G901" s="17"/>
      <c r="H901" s="356"/>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row>
    <row r="902">
      <c r="A902" s="17"/>
      <c r="B902" s="17"/>
      <c r="C902" s="17"/>
      <c r="D902" s="17"/>
      <c r="E902" s="17"/>
      <c r="F902" s="17"/>
      <c r="G902" s="17"/>
      <c r="H902" s="356"/>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row>
    <row r="903">
      <c r="A903" s="17"/>
      <c r="B903" s="17"/>
      <c r="C903" s="17"/>
      <c r="D903" s="17"/>
      <c r="E903" s="17"/>
      <c r="F903" s="17"/>
      <c r="G903" s="17"/>
      <c r="H903" s="356"/>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row>
    <row r="904">
      <c r="A904" s="17"/>
      <c r="B904" s="17"/>
      <c r="C904" s="17"/>
      <c r="D904" s="17"/>
      <c r="E904" s="17"/>
      <c r="F904" s="17"/>
      <c r="G904" s="17"/>
      <c r="H904" s="356"/>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row>
    <row r="905">
      <c r="A905" s="17"/>
      <c r="B905" s="17"/>
      <c r="C905" s="17"/>
      <c r="D905" s="17"/>
      <c r="E905" s="17"/>
      <c r="F905" s="17"/>
      <c r="G905" s="17"/>
      <c r="H905" s="356"/>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row>
    <row r="906">
      <c r="A906" s="17"/>
      <c r="B906" s="17"/>
      <c r="C906" s="17"/>
      <c r="D906" s="17"/>
      <c r="E906" s="17"/>
      <c r="F906" s="17"/>
      <c r="G906" s="17"/>
      <c r="H906" s="356"/>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row>
    <row r="907">
      <c r="A907" s="17"/>
      <c r="B907" s="17"/>
      <c r="C907" s="17"/>
      <c r="D907" s="17"/>
      <c r="E907" s="17"/>
      <c r="F907" s="17"/>
      <c r="G907" s="17"/>
      <c r="H907" s="356"/>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row>
    <row r="908">
      <c r="A908" s="17"/>
      <c r="B908" s="17"/>
      <c r="C908" s="17"/>
      <c r="D908" s="17"/>
      <c r="E908" s="17"/>
      <c r="F908" s="17"/>
      <c r="G908" s="17"/>
      <c r="H908" s="356"/>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row>
    <row r="909">
      <c r="A909" s="17"/>
      <c r="B909" s="17"/>
      <c r="C909" s="17"/>
      <c r="D909" s="17"/>
      <c r="E909" s="17"/>
      <c r="F909" s="17"/>
      <c r="G909" s="17"/>
      <c r="H909" s="356"/>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row>
    <row r="910">
      <c r="A910" s="17"/>
      <c r="B910" s="17"/>
      <c r="C910" s="17"/>
      <c r="D910" s="17"/>
      <c r="E910" s="17"/>
      <c r="F910" s="17"/>
      <c r="G910" s="17"/>
      <c r="H910" s="356"/>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row>
    <row r="911">
      <c r="A911" s="17"/>
      <c r="B911" s="17"/>
      <c r="C911" s="17"/>
      <c r="D911" s="17"/>
      <c r="E911" s="17"/>
      <c r="F911" s="17"/>
      <c r="G911" s="17"/>
      <c r="H911" s="356"/>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row>
    <row r="912">
      <c r="A912" s="17"/>
      <c r="B912" s="17"/>
      <c r="C912" s="17"/>
      <c r="D912" s="17"/>
      <c r="E912" s="17"/>
      <c r="F912" s="17"/>
      <c r="G912" s="17"/>
      <c r="H912" s="356"/>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row>
    <row r="913">
      <c r="A913" s="17"/>
      <c r="B913" s="17"/>
      <c r="C913" s="17"/>
      <c r="D913" s="17"/>
      <c r="E913" s="17"/>
      <c r="F913" s="17"/>
      <c r="G913" s="17"/>
      <c r="H913" s="356"/>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row>
    <row r="914">
      <c r="A914" s="17"/>
      <c r="B914" s="17"/>
      <c r="C914" s="17"/>
      <c r="D914" s="17"/>
      <c r="E914" s="17"/>
      <c r="F914" s="17"/>
      <c r="G914" s="17"/>
      <c r="H914" s="356"/>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row>
    <row r="915">
      <c r="A915" s="17"/>
      <c r="B915" s="17"/>
      <c r="C915" s="17"/>
      <c r="D915" s="17"/>
      <c r="E915" s="17"/>
      <c r="F915" s="17"/>
      <c r="G915" s="17"/>
      <c r="H915" s="356"/>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row>
    <row r="916">
      <c r="A916" s="17"/>
      <c r="B916" s="17"/>
      <c r="C916" s="17"/>
      <c r="D916" s="17"/>
      <c r="E916" s="17"/>
      <c r="F916" s="17"/>
      <c r="G916" s="17"/>
      <c r="H916" s="356"/>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row>
    <row r="917">
      <c r="A917" s="17"/>
      <c r="B917" s="17"/>
      <c r="C917" s="17"/>
      <c r="D917" s="17"/>
      <c r="E917" s="17"/>
      <c r="F917" s="17"/>
      <c r="G917" s="17"/>
      <c r="H917" s="356"/>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row>
    <row r="918">
      <c r="A918" s="17"/>
      <c r="B918" s="17"/>
      <c r="C918" s="17"/>
      <c r="D918" s="17"/>
      <c r="E918" s="17"/>
      <c r="F918" s="17"/>
      <c r="G918" s="17"/>
      <c r="H918" s="356"/>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row>
    <row r="919">
      <c r="A919" s="17"/>
      <c r="B919" s="17"/>
      <c r="C919" s="17"/>
      <c r="D919" s="17"/>
      <c r="E919" s="17"/>
      <c r="F919" s="17"/>
      <c r="G919" s="17"/>
      <c r="H919" s="356"/>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row>
    <row r="920">
      <c r="A920" s="17"/>
      <c r="B920" s="17"/>
      <c r="C920" s="17"/>
      <c r="D920" s="17"/>
      <c r="E920" s="17"/>
      <c r="F920" s="17"/>
      <c r="G920" s="17"/>
      <c r="H920" s="356"/>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row>
    <row r="921">
      <c r="A921" s="17"/>
      <c r="B921" s="17"/>
      <c r="C921" s="17"/>
      <c r="D921" s="17"/>
      <c r="E921" s="17"/>
      <c r="F921" s="17"/>
      <c r="G921" s="17"/>
      <c r="H921" s="356"/>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row>
    <row r="922">
      <c r="A922" s="17"/>
      <c r="B922" s="17"/>
      <c r="C922" s="17"/>
      <c r="D922" s="17"/>
      <c r="E922" s="17"/>
      <c r="F922" s="17"/>
      <c r="G922" s="17"/>
      <c r="H922" s="356"/>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row>
    <row r="923">
      <c r="A923" s="17"/>
      <c r="B923" s="17"/>
      <c r="C923" s="17"/>
      <c r="D923" s="17"/>
      <c r="E923" s="17"/>
      <c r="F923" s="17"/>
      <c r="G923" s="17"/>
      <c r="H923" s="356"/>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row>
    <row r="924">
      <c r="A924" s="17"/>
      <c r="B924" s="17"/>
      <c r="C924" s="17"/>
      <c r="D924" s="17"/>
      <c r="E924" s="17"/>
      <c r="F924" s="17"/>
      <c r="G924" s="17"/>
      <c r="H924" s="356"/>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row>
    <row r="925">
      <c r="A925" s="17"/>
      <c r="B925" s="17"/>
      <c r="C925" s="17"/>
      <c r="D925" s="17"/>
      <c r="E925" s="17"/>
      <c r="F925" s="17"/>
      <c r="G925" s="17"/>
      <c r="H925" s="356"/>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row>
    <row r="926">
      <c r="A926" s="17"/>
      <c r="B926" s="17"/>
      <c r="C926" s="17"/>
      <c r="D926" s="17"/>
      <c r="E926" s="17"/>
      <c r="F926" s="17"/>
      <c r="G926" s="17"/>
      <c r="H926" s="356"/>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row>
    <row r="927">
      <c r="A927" s="17"/>
      <c r="B927" s="17"/>
      <c r="C927" s="17"/>
      <c r="D927" s="17"/>
      <c r="E927" s="17"/>
      <c r="F927" s="17"/>
      <c r="G927" s="17"/>
      <c r="H927" s="356"/>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row>
    <row r="928">
      <c r="A928" s="17"/>
      <c r="B928" s="17"/>
      <c r="C928" s="17"/>
      <c r="D928" s="17"/>
      <c r="E928" s="17"/>
      <c r="F928" s="17"/>
      <c r="G928" s="17"/>
      <c r="H928" s="356"/>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row>
    <row r="929">
      <c r="A929" s="17"/>
      <c r="B929" s="17"/>
      <c r="C929" s="17"/>
      <c r="D929" s="17"/>
      <c r="E929" s="17"/>
      <c r="F929" s="17"/>
      <c r="G929" s="17"/>
      <c r="H929" s="356"/>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row>
    <row r="930">
      <c r="A930" s="17"/>
      <c r="B930" s="17"/>
      <c r="C930" s="17"/>
      <c r="D930" s="17"/>
      <c r="E930" s="17"/>
      <c r="F930" s="17"/>
      <c r="G930" s="17"/>
      <c r="H930" s="356"/>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row>
    <row r="931">
      <c r="A931" s="17"/>
      <c r="B931" s="17"/>
      <c r="C931" s="17"/>
      <c r="D931" s="17"/>
      <c r="E931" s="17"/>
      <c r="F931" s="17"/>
      <c r="G931" s="17"/>
      <c r="H931" s="356"/>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row>
    <row r="932">
      <c r="A932" s="17"/>
      <c r="B932" s="17"/>
      <c r="C932" s="17"/>
      <c r="D932" s="17"/>
      <c r="E932" s="17"/>
      <c r="F932" s="17"/>
      <c r="G932" s="17"/>
      <c r="H932" s="356"/>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row>
    <row r="933">
      <c r="A933" s="17"/>
      <c r="B933" s="17"/>
      <c r="C933" s="17"/>
      <c r="D933" s="17"/>
      <c r="E933" s="17"/>
      <c r="F933" s="17"/>
      <c r="G933" s="17"/>
      <c r="H933" s="356"/>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row>
    <row r="934">
      <c r="A934" s="17"/>
      <c r="B934" s="17"/>
      <c r="C934" s="17"/>
      <c r="D934" s="17"/>
      <c r="E934" s="17"/>
      <c r="F934" s="17"/>
      <c r="G934" s="17"/>
      <c r="H934" s="356"/>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row>
    <row r="935">
      <c r="A935" s="17"/>
      <c r="B935" s="17"/>
      <c r="C935" s="17"/>
      <c r="D935" s="17"/>
      <c r="E935" s="17"/>
      <c r="F935" s="17"/>
      <c r="G935" s="17"/>
      <c r="H935" s="356"/>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row>
    <row r="936">
      <c r="A936" s="17"/>
      <c r="B936" s="17"/>
      <c r="C936" s="17"/>
      <c r="D936" s="17"/>
      <c r="E936" s="17"/>
      <c r="F936" s="17"/>
      <c r="G936" s="17"/>
      <c r="H936" s="356"/>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row>
    <row r="937">
      <c r="A937" s="17"/>
      <c r="B937" s="17"/>
      <c r="C937" s="17"/>
      <c r="D937" s="17"/>
      <c r="E937" s="17"/>
      <c r="F937" s="17"/>
      <c r="G937" s="17"/>
      <c r="H937" s="356"/>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row>
    <row r="938">
      <c r="A938" s="17"/>
      <c r="B938" s="17"/>
      <c r="C938" s="17"/>
      <c r="D938" s="17"/>
      <c r="E938" s="17"/>
      <c r="F938" s="17"/>
      <c r="G938" s="17"/>
      <c r="H938" s="356"/>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row>
    <row r="939">
      <c r="A939" s="17"/>
      <c r="B939" s="17"/>
      <c r="C939" s="17"/>
      <c r="D939" s="17"/>
      <c r="E939" s="17"/>
      <c r="F939" s="17"/>
      <c r="G939" s="17"/>
      <c r="H939" s="356"/>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row>
    <row r="940">
      <c r="A940" s="17"/>
      <c r="B940" s="17"/>
      <c r="C940" s="17"/>
      <c r="D940" s="17"/>
      <c r="E940" s="17"/>
      <c r="F940" s="17"/>
      <c r="G940" s="17"/>
      <c r="H940" s="356"/>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row>
    <row r="941">
      <c r="A941" s="17"/>
      <c r="B941" s="17"/>
      <c r="C941" s="17"/>
      <c r="D941" s="17"/>
      <c r="E941" s="17"/>
      <c r="F941" s="17"/>
      <c r="G941" s="17"/>
      <c r="H941" s="356"/>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row>
    <row r="942">
      <c r="A942" s="17"/>
      <c r="B942" s="17"/>
      <c r="C942" s="17"/>
      <c r="D942" s="17"/>
      <c r="E942" s="17"/>
      <c r="F942" s="17"/>
      <c r="G942" s="17"/>
      <c r="H942" s="356"/>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row>
    <row r="943">
      <c r="A943" s="17"/>
      <c r="B943" s="17"/>
      <c r="C943" s="17"/>
      <c r="D943" s="17"/>
      <c r="E943" s="17"/>
      <c r="F943" s="17"/>
      <c r="G943" s="17"/>
      <c r="H943" s="356"/>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row>
    <row r="944">
      <c r="A944" s="17"/>
      <c r="B944" s="17"/>
      <c r="C944" s="17"/>
      <c r="D944" s="17"/>
      <c r="E944" s="17"/>
      <c r="F944" s="17"/>
      <c r="G944" s="17"/>
      <c r="H944" s="356"/>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row>
    <row r="945">
      <c r="A945" s="17"/>
      <c r="B945" s="17"/>
      <c r="C945" s="17"/>
      <c r="D945" s="17"/>
      <c r="E945" s="17"/>
      <c r="F945" s="17"/>
      <c r="G945" s="17"/>
      <c r="H945" s="356"/>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row>
    <row r="946">
      <c r="A946" s="17"/>
      <c r="B946" s="17"/>
      <c r="C946" s="17"/>
      <c r="D946" s="17"/>
      <c r="E946" s="17"/>
      <c r="F946" s="17"/>
      <c r="G946" s="17"/>
      <c r="H946" s="356"/>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row>
    <row r="947">
      <c r="A947" s="17"/>
      <c r="B947" s="17"/>
      <c r="C947" s="17"/>
      <c r="D947" s="17"/>
      <c r="E947" s="17"/>
      <c r="F947" s="17"/>
      <c r="G947" s="17"/>
      <c r="H947" s="356"/>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row>
    <row r="948">
      <c r="A948" s="17"/>
      <c r="B948" s="17"/>
      <c r="C948" s="17"/>
      <c r="D948" s="17"/>
      <c r="E948" s="17"/>
      <c r="F948" s="17"/>
      <c r="G948" s="17"/>
      <c r="H948" s="356"/>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row>
    <row r="949">
      <c r="A949" s="17"/>
      <c r="B949" s="17"/>
      <c r="C949" s="17"/>
      <c r="D949" s="17"/>
      <c r="E949" s="17"/>
      <c r="F949" s="17"/>
      <c r="G949" s="17"/>
      <c r="H949" s="356"/>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row>
    <row r="950">
      <c r="A950" s="17"/>
      <c r="B950" s="17"/>
      <c r="C950" s="17"/>
      <c r="D950" s="17"/>
      <c r="E950" s="17"/>
      <c r="F950" s="17"/>
      <c r="G950" s="17"/>
      <c r="H950" s="356"/>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row>
    <row r="951">
      <c r="A951" s="17"/>
      <c r="B951" s="17"/>
      <c r="C951" s="17"/>
      <c r="D951" s="17"/>
      <c r="E951" s="17"/>
      <c r="F951" s="17"/>
      <c r="G951" s="17"/>
      <c r="H951" s="356"/>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row>
    <row r="952">
      <c r="A952" s="17"/>
      <c r="B952" s="17"/>
      <c r="C952" s="17"/>
      <c r="D952" s="17"/>
      <c r="E952" s="17"/>
      <c r="F952" s="17"/>
      <c r="G952" s="17"/>
      <c r="H952" s="356"/>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row>
    <row r="953">
      <c r="A953" s="17"/>
      <c r="B953" s="17"/>
      <c r="C953" s="17"/>
      <c r="D953" s="17"/>
      <c r="E953" s="17"/>
      <c r="F953" s="17"/>
      <c r="G953" s="17"/>
      <c r="H953" s="356"/>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row>
    <row r="954">
      <c r="A954" s="17"/>
      <c r="B954" s="17"/>
      <c r="C954" s="17"/>
      <c r="D954" s="17"/>
      <c r="E954" s="17"/>
      <c r="F954" s="17"/>
      <c r="G954" s="17"/>
      <c r="H954" s="356"/>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row>
    <row r="955">
      <c r="A955" s="17"/>
      <c r="B955" s="17"/>
      <c r="C955" s="17"/>
      <c r="D955" s="17"/>
      <c r="E955" s="17"/>
      <c r="F955" s="17"/>
      <c r="G955" s="17"/>
      <c r="H955" s="356"/>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row>
    <row r="956">
      <c r="A956" s="17"/>
      <c r="B956" s="17"/>
      <c r="C956" s="17"/>
      <c r="D956" s="17"/>
      <c r="E956" s="17"/>
      <c r="F956" s="17"/>
      <c r="G956" s="17"/>
      <c r="H956" s="356"/>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row>
    <row r="957">
      <c r="A957" s="17"/>
      <c r="B957" s="17"/>
      <c r="C957" s="17"/>
      <c r="D957" s="17"/>
      <c r="E957" s="17"/>
      <c r="F957" s="17"/>
      <c r="G957" s="17"/>
      <c r="H957" s="356"/>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row>
    <row r="958">
      <c r="A958" s="17"/>
      <c r="B958" s="17"/>
      <c r="C958" s="17"/>
      <c r="D958" s="17"/>
      <c r="E958" s="17"/>
      <c r="F958" s="17"/>
      <c r="G958" s="17"/>
      <c r="H958" s="356"/>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row>
    <row r="959">
      <c r="A959" s="17"/>
      <c r="B959" s="17"/>
      <c r="C959" s="17"/>
      <c r="D959" s="17"/>
      <c r="E959" s="17"/>
      <c r="F959" s="17"/>
      <c r="G959" s="17"/>
      <c r="H959" s="356"/>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row>
    <row r="960">
      <c r="A960" s="17"/>
      <c r="B960" s="17"/>
      <c r="C960" s="17"/>
      <c r="D960" s="17"/>
      <c r="E960" s="17"/>
      <c r="F960" s="17"/>
      <c r="G960" s="17"/>
      <c r="H960" s="356"/>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row>
    <row r="961">
      <c r="A961" s="17"/>
      <c r="B961" s="17"/>
      <c r="C961" s="17"/>
      <c r="D961" s="17"/>
      <c r="E961" s="17"/>
      <c r="F961" s="17"/>
      <c r="G961" s="17"/>
      <c r="H961" s="356"/>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row>
    <row r="962">
      <c r="A962" s="17"/>
      <c r="B962" s="17"/>
      <c r="C962" s="17"/>
      <c r="D962" s="17"/>
      <c r="E962" s="17"/>
      <c r="F962" s="17"/>
      <c r="G962" s="17"/>
      <c r="H962" s="356"/>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row>
    <row r="963">
      <c r="A963" s="17"/>
      <c r="B963" s="17"/>
      <c r="C963" s="17"/>
      <c r="D963" s="17"/>
      <c r="E963" s="17"/>
      <c r="F963" s="17"/>
      <c r="G963" s="17"/>
      <c r="H963" s="356"/>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row>
    <row r="964">
      <c r="A964" s="17"/>
      <c r="B964" s="17"/>
      <c r="C964" s="17"/>
      <c r="D964" s="17"/>
      <c r="E964" s="17"/>
      <c r="F964" s="17"/>
      <c r="G964" s="17"/>
      <c r="H964" s="356"/>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row>
    <row r="965">
      <c r="A965" s="17"/>
      <c r="B965" s="17"/>
      <c r="C965" s="17"/>
      <c r="D965" s="17"/>
      <c r="E965" s="17"/>
      <c r="F965" s="17"/>
      <c r="G965" s="17"/>
      <c r="H965" s="356"/>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row>
    <row r="966">
      <c r="A966" s="17"/>
      <c r="B966" s="17"/>
      <c r="C966" s="17"/>
      <c r="D966" s="17"/>
      <c r="E966" s="17"/>
      <c r="F966" s="17"/>
      <c r="G966" s="17"/>
      <c r="H966" s="356"/>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row>
    <row r="967">
      <c r="A967" s="17"/>
      <c r="B967" s="17"/>
      <c r="C967" s="17"/>
      <c r="D967" s="17"/>
      <c r="E967" s="17"/>
      <c r="F967" s="17"/>
      <c r="G967" s="17"/>
      <c r="H967" s="356"/>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row>
    <row r="968">
      <c r="A968" s="17"/>
      <c r="B968" s="17"/>
      <c r="C968" s="17"/>
      <c r="D968" s="17"/>
      <c r="E968" s="17"/>
      <c r="F968" s="17"/>
      <c r="G968" s="17"/>
      <c r="H968" s="356"/>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row>
    <row r="969">
      <c r="A969" s="17"/>
      <c r="B969" s="17"/>
      <c r="C969" s="17"/>
      <c r="D969" s="17"/>
      <c r="E969" s="17"/>
      <c r="F969" s="17"/>
      <c r="G969" s="17"/>
      <c r="H969" s="356"/>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row>
    <row r="970">
      <c r="A970" s="17"/>
      <c r="B970" s="17"/>
      <c r="C970" s="17"/>
      <c r="D970" s="17"/>
      <c r="E970" s="17"/>
      <c r="F970" s="17"/>
      <c r="G970" s="17"/>
      <c r="H970" s="356"/>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row>
    <row r="971">
      <c r="A971" s="17"/>
      <c r="B971" s="17"/>
      <c r="C971" s="17"/>
      <c r="D971" s="17"/>
      <c r="E971" s="17"/>
      <c r="F971" s="17"/>
      <c r="G971" s="17"/>
      <c r="H971" s="356"/>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row>
    <row r="972">
      <c r="A972" s="17"/>
      <c r="B972" s="17"/>
      <c r="C972" s="17"/>
      <c r="D972" s="17"/>
      <c r="E972" s="17"/>
      <c r="F972" s="17"/>
      <c r="G972" s="17"/>
      <c r="H972" s="356"/>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row>
    <row r="973">
      <c r="A973" s="17"/>
      <c r="B973" s="17"/>
      <c r="C973" s="17"/>
      <c r="D973" s="17"/>
      <c r="E973" s="17"/>
      <c r="F973" s="17"/>
      <c r="G973" s="17"/>
      <c r="H973" s="356"/>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row>
    <row r="974">
      <c r="A974" s="17"/>
      <c r="B974" s="17"/>
      <c r="C974" s="17"/>
      <c r="D974" s="17"/>
      <c r="E974" s="17"/>
      <c r="F974" s="17"/>
      <c r="G974" s="17"/>
      <c r="H974" s="356"/>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row>
    <row r="975">
      <c r="A975" s="17"/>
      <c r="B975" s="17"/>
      <c r="C975" s="17"/>
      <c r="D975" s="17"/>
      <c r="E975" s="17"/>
      <c r="F975" s="17"/>
      <c r="G975" s="17"/>
      <c r="H975" s="356"/>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row>
    <row r="976">
      <c r="A976" s="17"/>
      <c r="B976" s="17"/>
      <c r="C976" s="17"/>
      <c r="D976" s="17"/>
      <c r="E976" s="17"/>
      <c r="F976" s="17"/>
      <c r="G976" s="17"/>
      <c r="H976" s="356"/>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row>
    <row r="977">
      <c r="A977" s="17"/>
      <c r="B977" s="17"/>
      <c r="C977" s="17"/>
      <c r="D977" s="17"/>
      <c r="E977" s="17"/>
      <c r="F977" s="17"/>
      <c r="G977" s="17"/>
      <c r="H977" s="356"/>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row>
    <row r="978">
      <c r="A978" s="17"/>
      <c r="B978" s="17"/>
      <c r="C978" s="17"/>
      <c r="D978" s="17"/>
      <c r="E978" s="17"/>
      <c r="F978" s="17"/>
      <c r="G978" s="17"/>
      <c r="H978" s="356"/>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row>
    <row r="979">
      <c r="A979" s="17"/>
      <c r="B979" s="17"/>
      <c r="C979" s="17"/>
      <c r="D979" s="17"/>
      <c r="E979" s="17"/>
      <c r="F979" s="17"/>
      <c r="G979" s="17"/>
      <c r="H979" s="356"/>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row>
    <row r="980">
      <c r="A980" s="17"/>
      <c r="B980" s="17"/>
      <c r="C980" s="17"/>
      <c r="D980" s="17"/>
      <c r="E980" s="17"/>
      <c r="F980" s="17"/>
      <c r="G980" s="17"/>
      <c r="H980" s="356"/>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row>
    <row r="981">
      <c r="A981" s="17"/>
      <c r="B981" s="17"/>
      <c r="C981" s="17"/>
      <c r="D981" s="17"/>
      <c r="E981" s="17"/>
      <c r="F981" s="17"/>
      <c r="G981" s="17"/>
      <c r="H981" s="356"/>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row>
    <row r="982">
      <c r="A982" s="17"/>
      <c r="B982" s="17"/>
      <c r="C982" s="17"/>
      <c r="D982" s="17"/>
      <c r="E982" s="17"/>
      <c r="F982" s="17"/>
      <c r="G982" s="17"/>
      <c r="H982" s="356"/>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row>
    <row r="983">
      <c r="A983" s="17"/>
      <c r="B983" s="17"/>
      <c r="C983" s="17"/>
      <c r="D983" s="17"/>
      <c r="E983" s="17"/>
      <c r="F983" s="17"/>
      <c r="G983" s="17"/>
      <c r="H983" s="356"/>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row>
    <row r="984">
      <c r="A984" s="17"/>
      <c r="B984" s="17"/>
      <c r="C984" s="17"/>
      <c r="D984" s="17"/>
      <c r="E984" s="17"/>
      <c r="F984" s="17"/>
      <c r="G984" s="17"/>
      <c r="H984" s="356"/>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row>
    <row r="985">
      <c r="A985" s="17"/>
      <c r="B985" s="17"/>
      <c r="C985" s="17"/>
      <c r="D985" s="17"/>
      <c r="E985" s="17"/>
      <c r="F985" s="17"/>
      <c r="G985" s="17"/>
      <c r="H985" s="356"/>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row>
    <row r="986">
      <c r="A986" s="17"/>
      <c r="B986" s="17"/>
      <c r="C986" s="17"/>
      <c r="D986" s="17"/>
      <c r="E986" s="17"/>
      <c r="F986" s="17"/>
      <c r="G986" s="17"/>
      <c r="H986" s="356"/>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row>
    <row r="987">
      <c r="A987" s="17"/>
      <c r="B987" s="17"/>
      <c r="C987" s="17"/>
      <c r="D987" s="17"/>
      <c r="E987" s="17"/>
      <c r="F987" s="17"/>
      <c r="G987" s="17"/>
      <c r="H987" s="356"/>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row>
    <row r="988">
      <c r="A988" s="17"/>
      <c r="B988" s="17"/>
      <c r="C988" s="17"/>
      <c r="D988" s="17"/>
      <c r="E988" s="17"/>
      <c r="F988" s="17"/>
      <c r="G988" s="17"/>
      <c r="H988" s="356"/>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row>
    <row r="989">
      <c r="A989" s="17"/>
      <c r="B989" s="17"/>
      <c r="C989" s="17"/>
      <c r="D989" s="17"/>
      <c r="E989" s="17"/>
      <c r="F989" s="17"/>
      <c r="G989" s="17"/>
      <c r="H989" s="356"/>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row>
    <row r="990">
      <c r="A990" s="17"/>
      <c r="B990" s="17"/>
      <c r="C990" s="17"/>
      <c r="D990" s="17"/>
      <c r="E990" s="17"/>
      <c r="F990" s="17"/>
      <c r="G990" s="17"/>
      <c r="H990" s="356"/>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row>
    <row r="991">
      <c r="A991" s="17"/>
      <c r="B991" s="17"/>
      <c r="C991" s="17"/>
      <c r="D991" s="17"/>
      <c r="E991" s="17"/>
      <c r="F991" s="17"/>
      <c r="G991" s="17"/>
      <c r="H991" s="356"/>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row>
    <row r="992">
      <c r="A992" s="17"/>
      <c r="B992" s="17"/>
      <c r="C992" s="17"/>
      <c r="D992" s="17"/>
      <c r="E992" s="17"/>
      <c r="F992" s="17"/>
      <c r="G992" s="17"/>
      <c r="H992" s="356"/>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row>
    <row r="993">
      <c r="A993" s="17"/>
      <c r="B993" s="17"/>
      <c r="C993" s="17"/>
      <c r="D993" s="17"/>
      <c r="E993" s="17"/>
      <c r="F993" s="17"/>
      <c r="G993" s="17"/>
      <c r="H993" s="356"/>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row>
    <row r="994">
      <c r="A994" s="17"/>
      <c r="B994" s="17"/>
      <c r="C994" s="17"/>
      <c r="D994" s="17"/>
      <c r="E994" s="17"/>
      <c r="F994" s="17"/>
      <c r="G994" s="17"/>
      <c r="H994" s="356"/>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row>
    <row r="995">
      <c r="A995" s="17"/>
      <c r="B995" s="17"/>
      <c r="C995" s="17"/>
      <c r="D995" s="17"/>
      <c r="E995" s="17"/>
      <c r="F995" s="17"/>
      <c r="G995" s="17"/>
      <c r="H995" s="356"/>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row>
    <row r="996">
      <c r="A996" s="17"/>
      <c r="B996" s="17"/>
      <c r="C996" s="17"/>
      <c r="D996" s="17"/>
      <c r="E996" s="17"/>
      <c r="F996" s="17"/>
      <c r="G996" s="17"/>
      <c r="H996" s="356"/>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row>
    <row r="997">
      <c r="A997" s="17"/>
      <c r="B997" s="17"/>
      <c r="C997" s="17"/>
      <c r="D997" s="17"/>
      <c r="E997" s="17"/>
      <c r="F997" s="17"/>
      <c r="G997" s="17"/>
      <c r="H997" s="356"/>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row>
    <row r="998">
      <c r="A998" s="17"/>
      <c r="B998" s="17"/>
      <c r="C998" s="17"/>
      <c r="D998" s="17"/>
      <c r="E998" s="17"/>
      <c r="F998" s="17"/>
      <c r="G998" s="17"/>
      <c r="H998" s="356"/>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row>
    <row r="999">
      <c r="A999" s="17"/>
      <c r="B999" s="17"/>
      <c r="C999" s="17"/>
      <c r="D999" s="17"/>
      <c r="E999" s="17"/>
      <c r="F999" s="17"/>
      <c r="G999" s="17"/>
      <c r="H999" s="356"/>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row>
    <row r="1000">
      <c r="A1000" s="17"/>
      <c r="B1000" s="17"/>
      <c r="C1000" s="17"/>
      <c r="D1000" s="17"/>
      <c r="E1000" s="17"/>
      <c r="F1000" s="17"/>
      <c r="G1000" s="17"/>
      <c r="H1000" s="356"/>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row>
    <row r="1001">
      <c r="A1001" s="17"/>
      <c r="B1001" s="17"/>
      <c r="C1001" s="17"/>
      <c r="D1001" s="17"/>
      <c r="E1001" s="17"/>
      <c r="F1001" s="17"/>
      <c r="G1001" s="17"/>
      <c r="H1001" s="356"/>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row>
    <row r="1002">
      <c r="A1002" s="17"/>
      <c r="B1002" s="17"/>
      <c r="C1002" s="17"/>
      <c r="D1002" s="17"/>
      <c r="E1002" s="17"/>
      <c r="F1002" s="17"/>
      <c r="G1002" s="17"/>
      <c r="H1002" s="356"/>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row>
    <row r="1003">
      <c r="A1003" s="17"/>
      <c r="B1003" s="17"/>
      <c r="C1003" s="17"/>
      <c r="D1003" s="17"/>
      <c r="E1003" s="17"/>
      <c r="F1003" s="17"/>
      <c r="G1003" s="17"/>
      <c r="H1003" s="356"/>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row>
    <row r="1004">
      <c r="A1004" s="17"/>
      <c r="B1004" s="17"/>
      <c r="C1004" s="17"/>
      <c r="D1004" s="17"/>
      <c r="E1004" s="17"/>
      <c r="F1004" s="17"/>
      <c r="G1004" s="17"/>
      <c r="H1004" s="356"/>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c r="BF1004" s="17"/>
      <c r="BG1004" s="17"/>
      <c r="BH1004" s="17"/>
      <c r="BI1004" s="17"/>
      <c r="BJ1004" s="17"/>
      <c r="BK1004" s="17"/>
      <c r="BL1004" s="17"/>
    </row>
    <row r="1005">
      <c r="A1005" s="17"/>
      <c r="B1005" s="17"/>
      <c r="C1005" s="17"/>
      <c r="D1005" s="17"/>
      <c r="E1005" s="17"/>
      <c r="F1005" s="17"/>
      <c r="G1005" s="17"/>
      <c r="H1005" s="356"/>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c r="BF1005" s="17"/>
      <c r="BG1005" s="17"/>
      <c r="BH1005" s="17"/>
      <c r="BI1005" s="17"/>
      <c r="BJ1005" s="17"/>
      <c r="BK1005" s="17"/>
      <c r="BL1005" s="17"/>
    </row>
    <row r="1006">
      <c r="A1006" s="17"/>
      <c r="B1006" s="17"/>
      <c r="C1006" s="17"/>
      <c r="D1006" s="17"/>
      <c r="E1006" s="17"/>
      <c r="F1006" s="17"/>
      <c r="G1006" s="17"/>
      <c r="H1006" s="356"/>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c r="BF1006" s="17"/>
      <c r="BG1006" s="17"/>
      <c r="BH1006" s="17"/>
      <c r="BI1006" s="17"/>
      <c r="BJ1006" s="17"/>
      <c r="BK1006" s="17"/>
      <c r="BL1006" s="17"/>
    </row>
    <row r="1007">
      <c r="A1007" s="17"/>
      <c r="B1007" s="17"/>
      <c r="C1007" s="17"/>
      <c r="D1007" s="17"/>
      <c r="E1007" s="17"/>
      <c r="F1007" s="17"/>
      <c r="G1007" s="17"/>
      <c r="H1007" s="356"/>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row>
    <row r="1008">
      <c r="A1008" s="17"/>
      <c r="B1008" s="17"/>
      <c r="C1008" s="17"/>
      <c r="D1008" s="17"/>
      <c r="E1008" s="17"/>
      <c r="F1008" s="17"/>
      <c r="G1008" s="17"/>
      <c r="H1008" s="356"/>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c r="BF1008" s="17"/>
      <c r="BG1008" s="17"/>
      <c r="BH1008" s="17"/>
      <c r="BI1008" s="17"/>
      <c r="BJ1008" s="17"/>
      <c r="BK1008" s="17"/>
      <c r="BL1008" s="17"/>
    </row>
    <row r="1009">
      <c r="A1009" s="17"/>
      <c r="B1009" s="17"/>
      <c r="C1009" s="17"/>
      <c r="D1009" s="17"/>
      <c r="E1009" s="17"/>
      <c r="F1009" s="17"/>
      <c r="G1009" s="17"/>
      <c r="H1009" s="356"/>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c r="BF1009" s="17"/>
      <c r="BG1009" s="17"/>
      <c r="BH1009" s="17"/>
      <c r="BI1009" s="17"/>
      <c r="BJ1009" s="17"/>
      <c r="BK1009" s="17"/>
      <c r="BL1009" s="17"/>
    </row>
    <row r="1010">
      <c r="A1010" s="17"/>
      <c r="B1010" s="17"/>
      <c r="C1010" s="17"/>
      <c r="D1010" s="17"/>
      <c r="E1010" s="17"/>
      <c r="F1010" s="17"/>
      <c r="G1010" s="17"/>
      <c r="H1010" s="356"/>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c r="BF1010" s="17"/>
      <c r="BG1010" s="17"/>
      <c r="BH1010" s="17"/>
      <c r="BI1010" s="17"/>
      <c r="BJ1010" s="17"/>
      <c r="BK1010" s="17"/>
      <c r="BL1010" s="17"/>
    </row>
    <row r="1011">
      <c r="A1011" s="17"/>
      <c r="B1011" s="17"/>
      <c r="C1011" s="17"/>
      <c r="D1011" s="17"/>
      <c r="E1011" s="17"/>
      <c r="F1011" s="17"/>
      <c r="G1011" s="17"/>
      <c r="H1011" s="356"/>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c r="BF1011" s="17"/>
      <c r="BG1011" s="17"/>
      <c r="BH1011" s="17"/>
      <c r="BI1011" s="17"/>
      <c r="BJ1011" s="17"/>
      <c r="BK1011" s="17"/>
      <c r="BL1011" s="17"/>
    </row>
    <row r="1012">
      <c r="A1012" s="17"/>
      <c r="B1012" s="17"/>
      <c r="C1012" s="17"/>
      <c r="D1012" s="17"/>
      <c r="E1012" s="17"/>
      <c r="F1012" s="17"/>
      <c r="G1012" s="17"/>
      <c r="H1012" s="356"/>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c r="BF1012" s="17"/>
      <c r="BG1012" s="17"/>
      <c r="BH1012" s="17"/>
      <c r="BI1012" s="17"/>
      <c r="BJ1012" s="17"/>
      <c r="BK1012" s="17"/>
      <c r="BL1012" s="17"/>
    </row>
    <row r="1013">
      <c r="A1013" s="17"/>
      <c r="B1013" s="17"/>
      <c r="C1013" s="17"/>
      <c r="D1013" s="17"/>
      <c r="E1013" s="17"/>
      <c r="F1013" s="17"/>
      <c r="G1013" s="17"/>
      <c r="H1013" s="356"/>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c r="BF1013" s="17"/>
      <c r="BG1013" s="17"/>
      <c r="BH1013" s="17"/>
      <c r="BI1013" s="17"/>
      <c r="BJ1013" s="17"/>
      <c r="BK1013" s="17"/>
      <c r="BL1013" s="17"/>
    </row>
    <row r="1014">
      <c r="A1014" s="17"/>
      <c r="B1014" s="17"/>
      <c r="C1014" s="17"/>
      <c r="D1014" s="17"/>
      <c r="E1014" s="17"/>
      <c r="F1014" s="17"/>
      <c r="G1014" s="17"/>
      <c r="H1014" s="356"/>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c r="BH1014" s="17"/>
      <c r="BI1014" s="17"/>
      <c r="BJ1014" s="17"/>
      <c r="BK1014" s="17"/>
      <c r="BL1014" s="17"/>
    </row>
    <row r="1015">
      <c r="A1015" s="17"/>
      <c r="B1015" s="17"/>
      <c r="C1015" s="17"/>
      <c r="D1015" s="17"/>
      <c r="E1015" s="17"/>
      <c r="F1015" s="17"/>
      <c r="G1015" s="17"/>
      <c r="H1015" s="356"/>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c r="BH1015" s="17"/>
      <c r="BI1015" s="17"/>
      <c r="BJ1015" s="17"/>
      <c r="BK1015" s="17"/>
      <c r="BL1015" s="17"/>
    </row>
    <row r="1016">
      <c r="A1016" s="17"/>
      <c r="B1016" s="17"/>
      <c r="C1016" s="17"/>
      <c r="D1016" s="17"/>
      <c r="E1016" s="17"/>
      <c r="F1016" s="17"/>
      <c r="G1016" s="17"/>
      <c r="H1016" s="356"/>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c r="BF1016" s="17"/>
      <c r="BG1016" s="17"/>
      <c r="BH1016" s="17"/>
      <c r="BI1016" s="17"/>
      <c r="BJ1016" s="17"/>
      <c r="BK1016" s="17"/>
      <c r="BL1016" s="17"/>
    </row>
    <row r="1017">
      <c r="A1017" s="17"/>
      <c r="B1017" s="17"/>
      <c r="C1017" s="17"/>
      <c r="D1017" s="17"/>
      <c r="E1017" s="17"/>
      <c r="F1017" s="17"/>
      <c r="G1017" s="17"/>
      <c r="H1017" s="356"/>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c r="BH1017" s="17"/>
      <c r="BI1017" s="17"/>
      <c r="BJ1017" s="17"/>
      <c r="BK1017" s="17"/>
      <c r="BL1017" s="17"/>
    </row>
    <row r="1018">
      <c r="A1018" s="17"/>
      <c r="B1018" s="17"/>
      <c r="C1018" s="17"/>
      <c r="D1018" s="17"/>
      <c r="E1018" s="17"/>
      <c r="F1018" s="17"/>
      <c r="G1018" s="17"/>
      <c r="H1018" s="356"/>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c r="BF1018" s="17"/>
      <c r="BG1018" s="17"/>
      <c r="BH1018" s="17"/>
      <c r="BI1018" s="17"/>
      <c r="BJ1018" s="17"/>
      <c r="BK1018" s="17"/>
      <c r="BL1018" s="17"/>
    </row>
    <row r="1019">
      <c r="A1019" s="17"/>
      <c r="B1019" s="17"/>
      <c r="C1019" s="17"/>
      <c r="D1019" s="17"/>
      <c r="E1019" s="17"/>
      <c r="F1019" s="17"/>
      <c r="G1019" s="17"/>
      <c r="H1019" s="356"/>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c r="BF1019" s="17"/>
      <c r="BG1019" s="17"/>
      <c r="BH1019" s="17"/>
      <c r="BI1019" s="17"/>
      <c r="BJ1019" s="17"/>
      <c r="BK1019" s="17"/>
      <c r="BL1019" s="17"/>
    </row>
    <row r="1020">
      <c r="A1020" s="17"/>
      <c r="B1020" s="17"/>
      <c r="C1020" s="17"/>
      <c r="D1020" s="17"/>
      <c r="E1020" s="17"/>
      <c r="F1020" s="17"/>
      <c r="G1020" s="17"/>
      <c r="H1020" s="356"/>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c r="BF1020" s="17"/>
      <c r="BG1020" s="17"/>
      <c r="BH1020" s="17"/>
      <c r="BI1020" s="17"/>
      <c r="BJ1020" s="17"/>
      <c r="BK1020" s="17"/>
      <c r="BL1020" s="17"/>
    </row>
    <row r="1021">
      <c r="A1021" s="17"/>
      <c r="B1021" s="17"/>
      <c r="C1021" s="17"/>
      <c r="D1021" s="17"/>
      <c r="E1021" s="17"/>
      <c r="F1021" s="17"/>
      <c r="G1021" s="17"/>
      <c r="H1021" s="356"/>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c r="BF1021" s="17"/>
      <c r="BG1021" s="17"/>
      <c r="BH1021" s="17"/>
      <c r="BI1021" s="17"/>
      <c r="BJ1021" s="17"/>
      <c r="BK1021" s="17"/>
      <c r="BL1021" s="17"/>
    </row>
    <row r="1022">
      <c r="A1022" s="17"/>
      <c r="B1022" s="17"/>
      <c r="C1022" s="17"/>
      <c r="D1022" s="17"/>
      <c r="E1022" s="17"/>
      <c r="F1022" s="17"/>
      <c r="G1022" s="17"/>
      <c r="H1022" s="356"/>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row>
    <row r="1023">
      <c r="A1023" s="17"/>
      <c r="B1023" s="17"/>
      <c r="C1023" s="17"/>
      <c r="D1023" s="17"/>
      <c r="E1023" s="17"/>
      <c r="F1023" s="17"/>
      <c r="G1023" s="17"/>
      <c r="H1023" s="356"/>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c r="BH1023" s="17"/>
      <c r="BI1023" s="17"/>
      <c r="BJ1023" s="17"/>
      <c r="BK1023" s="17"/>
      <c r="BL1023" s="17"/>
    </row>
    <row r="1024">
      <c r="A1024" s="17"/>
      <c r="B1024" s="17"/>
      <c r="C1024" s="17"/>
      <c r="D1024" s="17"/>
      <c r="E1024" s="17"/>
      <c r="F1024" s="17"/>
      <c r="G1024" s="17"/>
      <c r="H1024" s="356"/>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c r="BH1024" s="17"/>
      <c r="BI1024" s="17"/>
      <c r="BJ1024" s="17"/>
      <c r="BK1024" s="17"/>
      <c r="BL1024" s="17"/>
    </row>
    <row r="1025">
      <c r="A1025" s="17"/>
      <c r="B1025" s="17"/>
      <c r="C1025" s="17"/>
      <c r="D1025" s="17"/>
      <c r="E1025" s="17"/>
      <c r="F1025" s="17"/>
      <c r="G1025" s="17"/>
      <c r="H1025" s="356"/>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row>
    <row r="1026">
      <c r="A1026" s="17"/>
      <c r="B1026" s="17"/>
      <c r="C1026" s="17"/>
      <c r="D1026" s="17"/>
      <c r="E1026" s="17"/>
      <c r="F1026" s="17"/>
      <c r="G1026" s="17"/>
      <c r="H1026" s="356"/>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c r="BH1026" s="17"/>
      <c r="BI1026" s="17"/>
      <c r="BJ1026" s="17"/>
      <c r="BK1026" s="17"/>
      <c r="BL1026" s="17"/>
    </row>
    <row r="1027">
      <c r="A1027" s="17"/>
      <c r="B1027" s="17"/>
      <c r="C1027" s="17"/>
      <c r="D1027" s="17"/>
      <c r="E1027" s="17"/>
      <c r="F1027" s="17"/>
      <c r="G1027" s="17"/>
      <c r="H1027" s="356"/>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c r="BH1027" s="17"/>
      <c r="BI1027" s="17"/>
      <c r="BJ1027" s="17"/>
      <c r="BK1027" s="17"/>
      <c r="BL1027" s="17"/>
    </row>
    <row r="1028">
      <c r="A1028" s="17"/>
      <c r="B1028" s="17"/>
      <c r="C1028" s="17"/>
      <c r="D1028" s="17"/>
      <c r="E1028" s="17"/>
      <c r="F1028" s="17"/>
      <c r="G1028" s="17"/>
      <c r="H1028" s="356"/>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c r="BH1028" s="17"/>
      <c r="BI1028" s="17"/>
      <c r="BJ1028" s="17"/>
      <c r="BK1028" s="17"/>
      <c r="BL1028" s="17"/>
    </row>
    <row r="1029">
      <c r="A1029" s="17"/>
      <c r="B1029" s="17"/>
      <c r="C1029" s="17"/>
      <c r="D1029" s="17"/>
      <c r="E1029" s="17"/>
      <c r="F1029" s="17"/>
      <c r="G1029" s="17"/>
      <c r="H1029" s="356"/>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c r="BH1029" s="17"/>
      <c r="BI1029" s="17"/>
      <c r="BJ1029" s="17"/>
      <c r="BK1029" s="17"/>
      <c r="BL1029" s="17"/>
    </row>
    <row r="1030">
      <c r="A1030" s="17"/>
      <c r="B1030" s="17"/>
      <c r="C1030" s="17"/>
      <c r="D1030" s="17"/>
      <c r="E1030" s="17"/>
      <c r="F1030" s="17"/>
      <c r="G1030" s="17"/>
      <c r="H1030" s="356"/>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c r="BH1030" s="17"/>
      <c r="BI1030" s="17"/>
      <c r="BJ1030" s="17"/>
      <c r="BK1030" s="17"/>
      <c r="BL1030" s="17"/>
    </row>
    <row r="1031">
      <c r="A1031" s="17"/>
      <c r="B1031" s="17"/>
      <c r="C1031" s="17"/>
      <c r="D1031" s="17"/>
      <c r="E1031" s="17"/>
      <c r="F1031" s="17"/>
      <c r="G1031" s="17"/>
      <c r="H1031" s="356"/>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c r="BH1031" s="17"/>
      <c r="BI1031" s="17"/>
      <c r="BJ1031" s="17"/>
      <c r="BK1031" s="17"/>
      <c r="BL1031" s="17"/>
    </row>
    <row r="1032">
      <c r="A1032" s="17"/>
      <c r="B1032" s="17"/>
      <c r="C1032" s="17"/>
      <c r="D1032" s="17"/>
      <c r="E1032" s="17"/>
      <c r="F1032" s="17"/>
      <c r="G1032" s="17"/>
      <c r="H1032" s="356"/>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c r="BH1032" s="17"/>
      <c r="BI1032" s="17"/>
      <c r="BJ1032" s="17"/>
      <c r="BK1032" s="17"/>
      <c r="BL1032" s="17"/>
    </row>
    <row r="1033">
      <c r="A1033" s="17"/>
      <c r="B1033" s="17"/>
      <c r="C1033" s="17"/>
      <c r="D1033" s="17"/>
      <c r="E1033" s="17"/>
      <c r="F1033" s="17"/>
      <c r="G1033" s="17"/>
      <c r="H1033" s="356"/>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c r="BH1033" s="17"/>
      <c r="BI1033" s="17"/>
      <c r="BJ1033" s="17"/>
      <c r="BK1033" s="17"/>
      <c r="BL1033" s="17"/>
    </row>
    <row r="1034">
      <c r="A1034" s="17"/>
      <c r="B1034" s="17"/>
      <c r="C1034" s="17"/>
      <c r="D1034" s="17"/>
      <c r="E1034" s="17"/>
      <c r="F1034" s="17"/>
      <c r="G1034" s="17"/>
      <c r="H1034" s="356"/>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c r="BH1034" s="17"/>
      <c r="BI1034" s="17"/>
      <c r="BJ1034" s="17"/>
      <c r="BK1034" s="17"/>
      <c r="BL1034" s="17"/>
    </row>
    <row r="1035">
      <c r="A1035" s="17"/>
      <c r="B1035" s="17"/>
      <c r="C1035" s="17"/>
      <c r="D1035" s="17"/>
      <c r="E1035" s="17"/>
      <c r="F1035" s="17"/>
      <c r="G1035" s="17"/>
      <c r="H1035" s="356"/>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c r="BH1035" s="17"/>
      <c r="BI1035" s="17"/>
      <c r="BJ1035" s="17"/>
      <c r="BK1035" s="17"/>
      <c r="BL1035" s="17"/>
    </row>
    <row r="1036">
      <c r="A1036" s="17"/>
      <c r="B1036" s="17"/>
      <c r="C1036" s="17"/>
      <c r="D1036" s="17"/>
      <c r="E1036" s="17"/>
      <c r="F1036" s="17"/>
      <c r="G1036" s="17"/>
      <c r="H1036" s="356"/>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c r="BH1036" s="17"/>
      <c r="BI1036" s="17"/>
      <c r="BJ1036" s="17"/>
      <c r="BK1036" s="17"/>
      <c r="BL1036" s="17"/>
    </row>
    <row r="1037">
      <c r="A1037" s="17"/>
      <c r="B1037" s="17"/>
      <c r="C1037" s="17"/>
      <c r="D1037" s="17"/>
      <c r="E1037" s="17"/>
      <c r="F1037" s="17"/>
      <c r="G1037" s="17"/>
      <c r="H1037" s="356"/>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c r="BH1037" s="17"/>
      <c r="BI1037" s="17"/>
      <c r="BJ1037" s="17"/>
      <c r="BK1037" s="17"/>
      <c r="BL1037" s="17"/>
    </row>
    <row r="1038">
      <c r="A1038" s="17"/>
      <c r="B1038" s="17"/>
      <c r="C1038" s="17"/>
      <c r="D1038" s="17"/>
      <c r="E1038" s="17"/>
      <c r="F1038" s="17"/>
      <c r="G1038" s="17"/>
      <c r="H1038" s="356"/>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c r="BH1038" s="17"/>
      <c r="BI1038" s="17"/>
      <c r="BJ1038" s="17"/>
      <c r="BK1038" s="17"/>
      <c r="BL1038" s="17"/>
    </row>
    <row r="1039">
      <c r="A1039" s="17"/>
      <c r="B1039" s="17"/>
      <c r="C1039" s="17"/>
      <c r="D1039" s="17"/>
      <c r="E1039" s="17"/>
      <c r="F1039" s="17"/>
      <c r="G1039" s="17"/>
      <c r="H1039" s="356"/>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c r="BH1039" s="17"/>
      <c r="BI1039" s="17"/>
      <c r="BJ1039" s="17"/>
      <c r="BK1039" s="17"/>
      <c r="BL1039" s="17"/>
    </row>
    <row r="1040">
      <c r="A1040" s="17"/>
      <c r="B1040" s="17"/>
      <c r="C1040" s="17"/>
      <c r="D1040" s="17"/>
      <c r="E1040" s="17"/>
      <c r="F1040" s="17"/>
      <c r="G1040" s="17"/>
      <c r="H1040" s="356"/>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c r="BH1040" s="17"/>
      <c r="BI1040" s="17"/>
      <c r="BJ1040" s="17"/>
      <c r="BK1040" s="17"/>
      <c r="BL1040" s="17"/>
    </row>
    <row r="1041">
      <c r="A1041" s="17"/>
      <c r="B1041" s="17"/>
      <c r="C1041" s="17"/>
      <c r="D1041" s="17"/>
      <c r="E1041" s="17"/>
      <c r="F1041" s="17"/>
      <c r="G1041" s="17"/>
      <c r="H1041" s="356"/>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c r="BH1041" s="17"/>
      <c r="BI1041" s="17"/>
      <c r="BJ1041" s="17"/>
      <c r="BK1041" s="17"/>
      <c r="BL1041" s="17"/>
    </row>
    <row r="1042">
      <c r="A1042" s="17"/>
      <c r="B1042" s="17"/>
      <c r="C1042" s="17"/>
      <c r="D1042" s="17"/>
      <c r="E1042" s="17"/>
      <c r="F1042" s="17"/>
      <c r="G1042" s="17"/>
      <c r="H1042" s="356"/>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c r="BH1042" s="17"/>
      <c r="BI1042" s="17"/>
      <c r="BJ1042" s="17"/>
      <c r="BK1042" s="17"/>
      <c r="BL1042" s="17"/>
    </row>
    <row r="1043">
      <c r="A1043" s="17"/>
      <c r="B1043" s="17"/>
      <c r="C1043" s="17"/>
      <c r="D1043" s="17"/>
      <c r="E1043" s="17"/>
      <c r="F1043" s="17"/>
      <c r="G1043" s="17"/>
      <c r="H1043" s="356"/>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c r="BH1043" s="17"/>
      <c r="BI1043" s="17"/>
      <c r="BJ1043" s="17"/>
      <c r="BK1043" s="17"/>
      <c r="BL1043" s="17"/>
    </row>
    <row r="1044">
      <c r="A1044" s="17"/>
      <c r="B1044" s="17"/>
      <c r="C1044" s="17"/>
      <c r="D1044" s="17"/>
      <c r="E1044" s="17"/>
      <c r="F1044" s="17"/>
      <c r="G1044" s="17"/>
      <c r="H1044" s="356"/>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c r="BH1044" s="17"/>
      <c r="BI1044" s="17"/>
      <c r="BJ1044" s="17"/>
      <c r="BK1044" s="17"/>
      <c r="BL1044" s="17"/>
    </row>
    <row r="1045">
      <c r="A1045" s="17"/>
      <c r="B1045" s="17"/>
      <c r="C1045" s="17"/>
      <c r="D1045" s="17"/>
      <c r="E1045" s="17"/>
      <c r="F1045" s="17"/>
      <c r="G1045" s="17"/>
      <c r="H1045" s="356"/>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row>
    <row r="1046">
      <c r="A1046" s="17"/>
      <c r="B1046" s="17"/>
      <c r="C1046" s="17"/>
      <c r="D1046" s="17"/>
      <c r="E1046" s="17"/>
      <c r="F1046" s="17"/>
      <c r="G1046" s="17"/>
      <c r="H1046" s="356"/>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row>
    <row r="1047">
      <c r="A1047" s="17"/>
      <c r="B1047" s="17"/>
      <c r="C1047" s="17"/>
      <c r="D1047" s="17"/>
      <c r="E1047" s="17"/>
      <c r="F1047" s="17"/>
      <c r="G1047" s="17"/>
      <c r="H1047" s="356"/>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c r="BH1047" s="17"/>
      <c r="BI1047" s="17"/>
      <c r="BJ1047" s="17"/>
      <c r="BK1047" s="17"/>
      <c r="BL1047" s="17"/>
    </row>
    <row r="1048">
      <c r="A1048" s="17"/>
      <c r="B1048" s="17"/>
      <c r="C1048" s="17"/>
      <c r="D1048" s="17"/>
      <c r="E1048" s="17"/>
      <c r="F1048" s="17"/>
      <c r="G1048" s="17"/>
      <c r="H1048" s="356"/>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c r="BF1048" s="17"/>
      <c r="BG1048" s="17"/>
      <c r="BH1048" s="17"/>
      <c r="BI1048" s="17"/>
      <c r="BJ1048" s="17"/>
      <c r="BK1048" s="17"/>
      <c r="BL1048" s="17"/>
    </row>
    <row r="1049">
      <c r="A1049" s="17"/>
      <c r="B1049" s="17"/>
      <c r="C1049" s="17"/>
      <c r="D1049" s="17"/>
      <c r="E1049" s="17"/>
      <c r="F1049" s="17"/>
      <c r="G1049" s="17"/>
      <c r="H1049" s="356"/>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c r="BF1049" s="17"/>
      <c r="BG1049" s="17"/>
      <c r="BH1049" s="17"/>
      <c r="BI1049" s="17"/>
      <c r="BJ1049" s="17"/>
      <c r="BK1049" s="17"/>
      <c r="BL1049" s="17"/>
    </row>
    <row r="1050">
      <c r="A1050" s="17"/>
      <c r="B1050" s="17"/>
      <c r="C1050" s="17"/>
      <c r="D1050" s="17"/>
      <c r="E1050" s="17"/>
      <c r="F1050" s="17"/>
      <c r="G1050" s="17"/>
      <c r="H1050" s="356"/>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c r="BF1050" s="17"/>
      <c r="BG1050" s="17"/>
      <c r="BH1050" s="17"/>
      <c r="BI1050" s="17"/>
      <c r="BJ1050" s="17"/>
      <c r="BK1050" s="17"/>
      <c r="BL1050" s="17"/>
    </row>
    <row r="1051">
      <c r="A1051" s="17"/>
      <c r="B1051" s="17"/>
      <c r="C1051" s="17"/>
      <c r="D1051" s="17"/>
      <c r="E1051" s="17"/>
      <c r="F1051" s="17"/>
      <c r="G1051" s="17"/>
      <c r="H1051" s="356"/>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c r="BF1051" s="17"/>
      <c r="BG1051" s="17"/>
      <c r="BH1051" s="17"/>
      <c r="BI1051" s="17"/>
      <c r="BJ1051" s="17"/>
      <c r="BK1051" s="17"/>
      <c r="BL1051" s="17"/>
    </row>
    <row r="1052">
      <c r="A1052" s="17"/>
      <c r="B1052" s="17"/>
      <c r="C1052" s="17"/>
      <c r="D1052" s="17"/>
      <c r="E1052" s="17"/>
      <c r="F1052" s="17"/>
      <c r="G1052" s="17"/>
      <c r="H1052" s="356"/>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c r="BF1052" s="17"/>
      <c r="BG1052" s="17"/>
      <c r="BH1052" s="17"/>
      <c r="BI1052" s="17"/>
      <c r="BJ1052" s="17"/>
      <c r="BK1052" s="17"/>
      <c r="BL1052" s="17"/>
    </row>
    <row r="1053">
      <c r="A1053" s="17"/>
      <c r="B1053" s="17"/>
      <c r="C1053" s="17"/>
      <c r="D1053" s="17"/>
      <c r="E1053" s="17"/>
      <c r="F1053" s="17"/>
      <c r="G1053" s="17"/>
      <c r="H1053" s="356"/>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c r="BF1053" s="17"/>
      <c r="BG1053" s="17"/>
      <c r="BH1053" s="17"/>
      <c r="BI1053" s="17"/>
      <c r="BJ1053" s="17"/>
      <c r="BK1053" s="17"/>
      <c r="BL1053" s="17"/>
    </row>
    <row r="1054">
      <c r="A1054" s="17"/>
      <c r="B1054" s="17"/>
      <c r="C1054" s="17"/>
      <c r="D1054" s="17"/>
      <c r="E1054" s="17"/>
      <c r="F1054" s="17"/>
      <c r="G1054" s="17"/>
      <c r="H1054" s="356"/>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c r="BF1054" s="17"/>
      <c r="BG1054" s="17"/>
      <c r="BH1054" s="17"/>
      <c r="BI1054" s="17"/>
      <c r="BJ1054" s="17"/>
      <c r="BK1054" s="17"/>
      <c r="BL1054" s="17"/>
    </row>
    <row r="1055">
      <c r="A1055" s="17"/>
      <c r="B1055" s="17"/>
      <c r="C1055" s="17"/>
      <c r="D1055" s="17"/>
      <c r="E1055" s="17"/>
      <c r="F1055" s="17"/>
      <c r="G1055" s="17"/>
      <c r="H1055" s="356"/>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c r="BF1055" s="17"/>
      <c r="BG1055" s="17"/>
      <c r="BH1055" s="17"/>
      <c r="BI1055" s="17"/>
      <c r="BJ1055" s="17"/>
      <c r="BK1055" s="17"/>
      <c r="BL1055" s="17"/>
    </row>
    <row r="1056">
      <c r="A1056" s="17"/>
      <c r="B1056" s="17"/>
      <c r="C1056" s="17"/>
      <c r="D1056" s="17"/>
      <c r="E1056" s="17"/>
      <c r="F1056" s="17"/>
      <c r="G1056" s="17"/>
      <c r="H1056" s="356"/>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c r="BF1056" s="17"/>
      <c r="BG1056" s="17"/>
      <c r="BH1056" s="17"/>
      <c r="BI1056" s="17"/>
      <c r="BJ1056" s="17"/>
      <c r="BK1056" s="17"/>
      <c r="BL1056" s="17"/>
    </row>
    <row r="1057">
      <c r="A1057" s="17"/>
      <c r="B1057" s="17"/>
      <c r="C1057" s="17"/>
      <c r="D1057" s="17"/>
      <c r="E1057" s="17"/>
      <c r="F1057" s="17"/>
      <c r="G1057" s="17"/>
      <c r="H1057" s="356"/>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c r="BF1057" s="17"/>
      <c r="BG1057" s="17"/>
      <c r="BH1057" s="17"/>
      <c r="BI1057" s="17"/>
      <c r="BJ1057" s="17"/>
      <c r="BK1057" s="17"/>
      <c r="BL1057" s="17"/>
    </row>
    <row r="1058">
      <c r="A1058" s="17"/>
      <c r="B1058" s="17"/>
      <c r="C1058" s="17"/>
      <c r="D1058" s="17"/>
      <c r="E1058" s="17"/>
      <c r="F1058" s="17"/>
      <c r="G1058" s="17"/>
      <c r="H1058" s="356"/>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c r="BF1058" s="17"/>
      <c r="BG1058" s="17"/>
      <c r="BH1058" s="17"/>
      <c r="BI1058" s="17"/>
      <c r="BJ1058" s="17"/>
      <c r="BK1058" s="17"/>
      <c r="BL1058" s="17"/>
    </row>
    <row r="1059">
      <c r="A1059" s="17"/>
      <c r="B1059" s="17"/>
      <c r="C1059" s="17"/>
      <c r="D1059" s="17"/>
      <c r="E1059" s="17"/>
      <c r="F1059" s="17"/>
      <c r="G1059" s="17"/>
      <c r="H1059" s="356"/>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c r="BF1059" s="17"/>
      <c r="BG1059" s="17"/>
      <c r="BH1059" s="17"/>
      <c r="BI1059" s="17"/>
      <c r="BJ1059" s="17"/>
      <c r="BK1059" s="17"/>
      <c r="BL1059" s="17"/>
    </row>
    <row r="1060">
      <c r="A1060" s="17"/>
      <c r="B1060" s="17"/>
      <c r="C1060" s="17"/>
      <c r="D1060" s="17"/>
      <c r="E1060" s="17"/>
      <c r="F1060" s="17"/>
      <c r="G1060" s="17"/>
      <c r="H1060" s="356"/>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c r="BF1060" s="17"/>
      <c r="BG1060" s="17"/>
      <c r="BH1060" s="17"/>
      <c r="BI1060" s="17"/>
      <c r="BJ1060" s="17"/>
      <c r="BK1060" s="17"/>
      <c r="BL1060" s="17"/>
    </row>
    <row r="1061">
      <c r="A1061" s="17"/>
      <c r="B1061" s="17"/>
      <c r="C1061" s="17"/>
      <c r="D1061" s="17"/>
      <c r="E1061" s="17"/>
      <c r="F1061" s="17"/>
      <c r="G1061" s="17"/>
      <c r="H1061" s="356"/>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row>
    <row r="1062">
      <c r="A1062" s="17"/>
      <c r="B1062" s="17"/>
      <c r="C1062" s="17"/>
      <c r="D1062" s="17"/>
      <c r="E1062" s="17"/>
      <c r="F1062" s="17"/>
      <c r="G1062" s="17"/>
      <c r="H1062" s="356"/>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c r="BF1062" s="17"/>
      <c r="BG1062" s="17"/>
      <c r="BH1062" s="17"/>
      <c r="BI1062" s="17"/>
      <c r="BJ1062" s="17"/>
      <c r="BK1062" s="17"/>
      <c r="BL1062" s="17"/>
    </row>
    <row r="1063">
      <c r="A1063" s="17"/>
      <c r="B1063" s="17"/>
      <c r="C1063" s="17"/>
      <c r="D1063" s="17"/>
      <c r="E1063" s="17"/>
      <c r="F1063" s="17"/>
      <c r="G1063" s="17"/>
      <c r="H1063" s="356"/>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c r="BF1063" s="17"/>
      <c r="BG1063" s="17"/>
      <c r="BH1063" s="17"/>
      <c r="BI1063" s="17"/>
      <c r="BJ1063" s="17"/>
      <c r="BK1063" s="17"/>
      <c r="BL1063" s="17"/>
    </row>
    <row r="1064">
      <c r="A1064" s="17"/>
      <c r="B1064" s="17"/>
      <c r="C1064" s="17"/>
      <c r="D1064" s="17"/>
      <c r="E1064" s="17"/>
      <c r="F1064" s="17"/>
      <c r="G1064" s="17"/>
      <c r="H1064" s="356"/>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c r="BF1064" s="17"/>
      <c r="BG1064" s="17"/>
      <c r="BH1064" s="17"/>
      <c r="BI1064" s="17"/>
      <c r="BJ1064" s="17"/>
      <c r="BK1064" s="17"/>
      <c r="BL1064" s="17"/>
    </row>
    <row r="1065">
      <c r="A1065" s="17"/>
      <c r="B1065" s="17"/>
      <c r="C1065" s="17"/>
      <c r="D1065" s="17"/>
      <c r="E1065" s="17"/>
      <c r="F1065" s="17"/>
      <c r="G1065" s="17"/>
      <c r="H1065" s="356"/>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c r="BF1065" s="17"/>
      <c r="BG1065" s="17"/>
      <c r="BH1065" s="17"/>
      <c r="BI1065" s="17"/>
      <c r="BJ1065" s="17"/>
      <c r="BK1065" s="17"/>
      <c r="BL1065" s="17"/>
    </row>
    <row r="1066">
      <c r="A1066" s="17"/>
      <c r="B1066" s="17"/>
      <c r="C1066" s="17"/>
      <c r="D1066" s="17"/>
      <c r="E1066" s="17"/>
      <c r="F1066" s="17"/>
      <c r="G1066" s="17"/>
      <c r="H1066" s="356"/>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c r="BF1066" s="17"/>
      <c r="BG1066" s="17"/>
      <c r="BH1066" s="17"/>
      <c r="BI1066" s="17"/>
      <c r="BJ1066" s="17"/>
      <c r="BK1066" s="17"/>
      <c r="BL1066" s="17"/>
    </row>
    <row r="1067">
      <c r="A1067" s="17"/>
      <c r="B1067" s="17"/>
      <c r="C1067" s="17"/>
      <c r="D1067" s="17"/>
      <c r="E1067" s="17"/>
      <c r="F1067" s="17"/>
      <c r="G1067" s="17"/>
      <c r="H1067" s="356"/>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c r="BF1067" s="17"/>
      <c r="BG1067" s="17"/>
      <c r="BH1067" s="17"/>
      <c r="BI1067" s="17"/>
      <c r="BJ1067" s="17"/>
      <c r="BK1067" s="17"/>
      <c r="BL1067" s="17"/>
    </row>
    <row r="1068">
      <c r="A1068" s="17"/>
      <c r="B1068" s="17"/>
      <c r="C1068" s="17"/>
      <c r="D1068" s="17"/>
      <c r="E1068" s="17"/>
      <c r="F1068" s="17"/>
      <c r="G1068" s="17"/>
      <c r="H1068" s="356"/>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c r="BF1068" s="17"/>
      <c r="BG1068" s="17"/>
      <c r="BH1068" s="17"/>
      <c r="BI1068" s="17"/>
      <c r="BJ1068" s="17"/>
      <c r="BK1068" s="17"/>
      <c r="BL1068" s="17"/>
    </row>
    <row r="1069">
      <c r="A1069" s="17"/>
      <c r="B1069" s="17"/>
      <c r="C1069" s="17"/>
      <c r="D1069" s="17"/>
      <c r="E1069" s="17"/>
      <c r="F1069" s="17"/>
      <c r="G1069" s="17"/>
      <c r="H1069" s="356"/>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c r="BF1069" s="17"/>
      <c r="BG1069" s="17"/>
      <c r="BH1069" s="17"/>
      <c r="BI1069" s="17"/>
      <c r="BJ1069" s="17"/>
      <c r="BK1069" s="17"/>
      <c r="BL1069" s="17"/>
    </row>
    <row r="1070">
      <c r="A1070" s="17"/>
      <c r="B1070" s="17"/>
      <c r="C1070" s="17"/>
      <c r="D1070" s="17"/>
      <c r="E1070" s="17"/>
      <c r="F1070" s="17"/>
      <c r="G1070" s="17"/>
      <c r="H1070" s="356"/>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c r="BF1070" s="17"/>
      <c r="BG1070" s="17"/>
      <c r="BH1070" s="17"/>
      <c r="BI1070" s="17"/>
      <c r="BJ1070" s="17"/>
      <c r="BK1070" s="17"/>
      <c r="BL1070" s="17"/>
    </row>
    <row r="1071">
      <c r="A1071" s="17"/>
      <c r="B1071" s="17"/>
      <c r="C1071" s="17"/>
      <c r="D1071" s="17"/>
      <c r="E1071" s="17"/>
      <c r="F1071" s="17"/>
      <c r="G1071" s="17"/>
      <c r="H1071" s="356"/>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c r="BF1071" s="17"/>
      <c r="BG1071" s="17"/>
      <c r="BH1071" s="17"/>
      <c r="BI1071" s="17"/>
      <c r="BJ1071" s="17"/>
      <c r="BK1071" s="17"/>
      <c r="BL1071" s="17"/>
    </row>
    <row r="1072">
      <c r="A1072" s="17"/>
      <c r="B1072" s="17"/>
      <c r="C1072" s="17"/>
      <c r="D1072" s="17"/>
      <c r="E1072" s="17"/>
      <c r="F1072" s="17"/>
      <c r="G1072" s="17"/>
      <c r="H1072" s="356"/>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c r="BF1072" s="17"/>
      <c r="BG1072" s="17"/>
      <c r="BH1072" s="17"/>
      <c r="BI1072" s="17"/>
      <c r="BJ1072" s="17"/>
      <c r="BK1072" s="17"/>
      <c r="BL1072" s="17"/>
    </row>
    <row r="1073">
      <c r="A1073" s="17"/>
      <c r="B1073" s="17"/>
      <c r="C1073" s="17"/>
      <c r="D1073" s="17"/>
      <c r="E1073" s="17"/>
      <c r="F1073" s="17"/>
      <c r="G1073" s="17"/>
      <c r="H1073" s="356"/>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c r="BF1073" s="17"/>
      <c r="BG1073" s="17"/>
      <c r="BH1073" s="17"/>
      <c r="BI1073" s="17"/>
      <c r="BJ1073" s="17"/>
      <c r="BK1073" s="17"/>
      <c r="BL1073" s="17"/>
    </row>
    <row r="1074">
      <c r="A1074" s="17"/>
      <c r="B1074" s="17"/>
      <c r="C1074" s="17"/>
      <c r="D1074" s="17"/>
      <c r="E1074" s="17"/>
      <c r="F1074" s="17"/>
      <c r="G1074" s="17"/>
      <c r="H1074" s="356"/>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c r="BF1074" s="17"/>
      <c r="BG1074" s="17"/>
      <c r="BH1074" s="17"/>
      <c r="BI1074" s="17"/>
      <c r="BJ1074" s="17"/>
      <c r="BK1074" s="17"/>
      <c r="BL1074" s="17"/>
    </row>
    <row r="1075">
      <c r="A1075" s="17"/>
      <c r="B1075" s="17"/>
      <c r="C1075" s="17"/>
      <c r="D1075" s="17"/>
      <c r="E1075" s="17"/>
      <c r="F1075" s="17"/>
      <c r="G1075" s="17"/>
      <c r="H1075" s="356"/>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c r="BD1075" s="17"/>
      <c r="BE1075" s="17"/>
      <c r="BF1075" s="17"/>
      <c r="BG1075" s="17"/>
      <c r="BH1075" s="17"/>
      <c r="BI1075" s="17"/>
      <c r="BJ1075" s="17"/>
      <c r="BK1075" s="17"/>
      <c r="BL1075" s="17"/>
    </row>
    <row r="1076">
      <c r="A1076" s="17"/>
      <c r="B1076" s="17"/>
      <c r="C1076" s="17"/>
      <c r="D1076" s="17"/>
      <c r="E1076" s="17"/>
      <c r="F1076" s="17"/>
      <c r="G1076" s="17"/>
      <c r="H1076" s="356"/>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c r="BF1076" s="17"/>
      <c r="BG1076" s="17"/>
      <c r="BH1076" s="17"/>
      <c r="BI1076" s="17"/>
      <c r="BJ1076" s="17"/>
      <c r="BK1076" s="17"/>
      <c r="BL1076" s="17"/>
    </row>
    <row r="1077">
      <c r="A1077" s="17"/>
      <c r="B1077" s="17"/>
      <c r="C1077" s="17"/>
      <c r="D1077" s="17"/>
      <c r="E1077" s="17"/>
      <c r="F1077" s="17"/>
      <c r="G1077" s="17"/>
      <c r="H1077" s="356"/>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c r="BF1077" s="17"/>
      <c r="BG1077" s="17"/>
      <c r="BH1077" s="17"/>
      <c r="BI1077" s="17"/>
      <c r="BJ1077" s="17"/>
      <c r="BK1077" s="17"/>
      <c r="BL1077" s="17"/>
    </row>
    <row r="1078">
      <c r="A1078" s="17"/>
      <c r="B1078" s="17"/>
      <c r="C1078" s="17"/>
      <c r="D1078" s="17"/>
      <c r="E1078" s="17"/>
      <c r="F1078" s="17"/>
      <c r="G1078" s="17"/>
      <c r="H1078" s="356"/>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c r="BF1078" s="17"/>
      <c r="BG1078" s="17"/>
      <c r="BH1078" s="17"/>
      <c r="BI1078" s="17"/>
      <c r="BJ1078" s="17"/>
      <c r="BK1078" s="17"/>
      <c r="BL1078" s="17"/>
    </row>
    <row r="1079">
      <c r="A1079" s="17"/>
      <c r="B1079" s="17"/>
      <c r="C1079" s="17"/>
      <c r="D1079" s="17"/>
      <c r="E1079" s="17"/>
      <c r="F1079" s="17"/>
      <c r="G1079" s="17"/>
      <c r="H1079" s="356"/>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c r="BF1079" s="17"/>
      <c r="BG1079" s="17"/>
      <c r="BH1079" s="17"/>
      <c r="BI1079" s="17"/>
      <c r="BJ1079" s="17"/>
      <c r="BK1079" s="17"/>
      <c r="BL1079" s="17"/>
    </row>
    <row r="1080">
      <c r="A1080" s="17"/>
      <c r="B1080" s="17"/>
      <c r="C1080" s="17"/>
      <c r="D1080" s="17"/>
      <c r="E1080" s="17"/>
      <c r="F1080" s="17"/>
      <c r="G1080" s="17"/>
      <c r="H1080" s="356"/>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c r="BF1080" s="17"/>
      <c r="BG1080" s="17"/>
      <c r="BH1080" s="17"/>
      <c r="BI1080" s="17"/>
      <c r="BJ1080" s="17"/>
      <c r="BK1080" s="17"/>
      <c r="BL1080" s="17"/>
    </row>
    <row r="1081">
      <c r="A1081" s="17"/>
      <c r="B1081" s="17"/>
      <c r="C1081" s="17"/>
      <c r="D1081" s="17"/>
      <c r="E1081" s="17"/>
      <c r="F1081" s="17"/>
      <c r="G1081" s="17"/>
      <c r="H1081" s="356"/>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c r="BF1081" s="17"/>
      <c r="BG1081" s="17"/>
      <c r="BH1081" s="17"/>
      <c r="BI1081" s="17"/>
      <c r="BJ1081" s="17"/>
      <c r="BK1081" s="17"/>
      <c r="BL1081" s="17"/>
    </row>
    <row r="1082">
      <c r="A1082" s="17"/>
      <c r="B1082" s="17"/>
      <c r="C1082" s="17"/>
      <c r="D1082" s="17"/>
      <c r="E1082" s="17"/>
      <c r="F1082" s="17"/>
      <c r="G1082" s="17"/>
      <c r="H1082" s="356"/>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c r="BF1082" s="17"/>
      <c r="BG1082" s="17"/>
      <c r="BH1082" s="17"/>
      <c r="BI1082" s="17"/>
      <c r="BJ1082" s="17"/>
      <c r="BK1082" s="17"/>
      <c r="BL1082" s="17"/>
    </row>
    <row r="1083">
      <c r="A1083" s="17"/>
      <c r="B1083" s="17"/>
      <c r="C1083" s="17"/>
      <c r="D1083" s="17"/>
      <c r="E1083" s="17"/>
      <c r="F1083" s="17"/>
      <c r="G1083" s="17"/>
      <c r="H1083" s="356"/>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c r="BF1083" s="17"/>
      <c r="BG1083" s="17"/>
      <c r="BH1083" s="17"/>
      <c r="BI1083" s="17"/>
      <c r="BJ1083" s="17"/>
      <c r="BK1083" s="17"/>
      <c r="BL1083" s="17"/>
    </row>
    <row r="1084">
      <c r="A1084" s="17"/>
      <c r="B1084" s="17"/>
      <c r="C1084" s="17"/>
      <c r="D1084" s="17"/>
      <c r="E1084" s="17"/>
      <c r="F1084" s="17"/>
      <c r="G1084" s="17"/>
      <c r="H1084" s="356"/>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c r="BF1084" s="17"/>
      <c r="BG1084" s="17"/>
      <c r="BH1084" s="17"/>
      <c r="BI1084" s="17"/>
      <c r="BJ1084" s="17"/>
      <c r="BK1084" s="17"/>
      <c r="BL1084" s="17"/>
    </row>
    <row r="1085">
      <c r="A1085" s="17"/>
      <c r="B1085" s="17"/>
      <c r="C1085" s="17"/>
      <c r="D1085" s="17"/>
      <c r="E1085" s="17"/>
      <c r="F1085" s="17"/>
      <c r="G1085" s="17"/>
      <c r="H1085" s="356"/>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c r="BF1085" s="17"/>
      <c r="BG1085" s="17"/>
      <c r="BH1085" s="17"/>
      <c r="BI1085" s="17"/>
      <c r="BJ1085" s="17"/>
      <c r="BK1085" s="17"/>
      <c r="BL1085" s="17"/>
    </row>
    <row r="1086">
      <c r="A1086" s="17"/>
      <c r="B1086" s="17"/>
      <c r="C1086" s="17"/>
      <c r="D1086" s="17"/>
      <c r="E1086" s="17"/>
      <c r="F1086" s="17"/>
      <c r="G1086" s="17"/>
      <c r="H1086" s="356"/>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c r="BF1086" s="17"/>
      <c r="BG1086" s="17"/>
      <c r="BH1086" s="17"/>
      <c r="BI1086" s="17"/>
      <c r="BJ1086" s="17"/>
      <c r="BK1086" s="17"/>
      <c r="BL1086" s="17"/>
    </row>
    <row r="1087">
      <c r="A1087" s="17"/>
      <c r="B1087" s="17"/>
      <c r="C1087" s="17"/>
      <c r="D1087" s="17"/>
      <c r="E1087" s="17"/>
      <c r="F1087" s="17"/>
      <c r="G1087" s="17"/>
      <c r="H1087" s="356"/>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c r="BF1087" s="17"/>
      <c r="BG1087" s="17"/>
      <c r="BH1087" s="17"/>
      <c r="BI1087" s="17"/>
      <c r="BJ1087" s="17"/>
      <c r="BK1087" s="17"/>
      <c r="BL1087" s="17"/>
    </row>
    <row r="1088">
      <c r="A1088" s="17"/>
      <c r="B1088" s="17"/>
      <c r="C1088" s="17"/>
      <c r="D1088" s="17"/>
      <c r="E1088" s="17"/>
      <c r="F1088" s="17"/>
      <c r="G1088" s="17"/>
      <c r="H1088" s="356"/>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c r="BF1088" s="17"/>
      <c r="BG1088" s="17"/>
      <c r="BH1088" s="17"/>
      <c r="BI1088" s="17"/>
      <c r="BJ1088" s="17"/>
      <c r="BK1088" s="17"/>
      <c r="BL1088" s="17"/>
    </row>
    <row r="1089">
      <c r="A1089" s="17"/>
      <c r="B1089" s="17"/>
      <c r="C1089" s="17"/>
      <c r="D1089" s="17"/>
      <c r="E1089" s="17"/>
      <c r="F1089" s="17"/>
      <c r="G1089" s="17"/>
      <c r="H1089" s="356"/>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c r="BF1089" s="17"/>
      <c r="BG1089" s="17"/>
      <c r="BH1089" s="17"/>
      <c r="BI1089" s="17"/>
      <c r="BJ1089" s="17"/>
      <c r="BK1089" s="17"/>
      <c r="BL1089" s="17"/>
    </row>
    <row r="1090">
      <c r="A1090" s="17"/>
      <c r="B1090" s="17"/>
      <c r="C1090" s="17"/>
      <c r="D1090" s="17"/>
      <c r="E1090" s="17"/>
      <c r="F1090" s="17"/>
      <c r="G1090" s="17"/>
      <c r="H1090" s="356"/>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c r="BF1090" s="17"/>
      <c r="BG1090" s="17"/>
      <c r="BH1090" s="17"/>
      <c r="BI1090" s="17"/>
      <c r="BJ1090" s="17"/>
      <c r="BK1090" s="17"/>
      <c r="BL1090" s="17"/>
    </row>
    <row r="1091">
      <c r="A1091" s="17"/>
      <c r="B1091" s="17"/>
      <c r="C1091" s="17"/>
      <c r="D1091" s="17"/>
      <c r="E1091" s="17"/>
      <c r="F1091" s="17"/>
      <c r="G1091" s="17"/>
      <c r="H1091" s="356"/>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c r="BF1091" s="17"/>
      <c r="BG1091" s="17"/>
      <c r="BH1091" s="17"/>
      <c r="BI1091" s="17"/>
      <c r="BJ1091" s="17"/>
      <c r="BK1091" s="17"/>
      <c r="BL1091" s="17"/>
    </row>
    <row r="1092">
      <c r="A1092" s="17"/>
      <c r="B1092" s="17"/>
      <c r="C1092" s="17"/>
      <c r="D1092" s="17"/>
      <c r="E1092" s="17"/>
      <c r="F1092" s="17"/>
      <c r="G1092" s="17"/>
      <c r="H1092" s="356"/>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c r="BF1092" s="17"/>
      <c r="BG1092" s="17"/>
      <c r="BH1092" s="17"/>
      <c r="BI1092" s="17"/>
      <c r="BJ1092" s="17"/>
      <c r="BK1092" s="17"/>
      <c r="BL1092" s="17"/>
    </row>
    <row r="1093">
      <c r="A1093" s="17"/>
      <c r="B1093" s="17"/>
      <c r="C1093" s="17"/>
      <c r="D1093" s="17"/>
      <c r="E1093" s="17"/>
      <c r="F1093" s="17"/>
      <c r="G1093" s="17"/>
      <c r="H1093" s="356"/>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c r="BF1093" s="17"/>
      <c r="BG1093" s="17"/>
      <c r="BH1093" s="17"/>
      <c r="BI1093" s="17"/>
      <c r="BJ1093" s="17"/>
      <c r="BK1093" s="17"/>
      <c r="BL1093" s="17"/>
    </row>
    <row r="1094">
      <c r="A1094" s="17"/>
      <c r="B1094" s="17"/>
      <c r="C1094" s="17"/>
      <c r="D1094" s="17"/>
      <c r="E1094" s="17"/>
      <c r="F1094" s="17"/>
      <c r="G1094" s="17"/>
      <c r="H1094" s="356"/>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c r="BD1094" s="17"/>
      <c r="BE1094" s="17"/>
      <c r="BF1094" s="17"/>
      <c r="BG1094" s="17"/>
      <c r="BH1094" s="17"/>
      <c r="BI1094" s="17"/>
      <c r="BJ1094" s="17"/>
      <c r="BK1094" s="17"/>
      <c r="BL1094" s="17"/>
    </row>
    <row r="1095">
      <c r="A1095" s="17"/>
      <c r="B1095" s="17"/>
      <c r="C1095" s="17"/>
      <c r="D1095" s="17"/>
      <c r="E1095" s="17"/>
      <c r="F1095" s="17"/>
      <c r="G1095" s="17"/>
      <c r="H1095" s="356"/>
      <c r="I1095" s="17"/>
      <c r="J1095" s="17"/>
      <c r="K1095" s="17"/>
      <c r="L1095" s="17"/>
      <c r="M1095" s="17"/>
      <c r="N1095" s="17"/>
      <c r="O1095" s="17"/>
      <c r="P1095" s="17"/>
      <c r="Q1095" s="17"/>
      <c r="R1095" s="17"/>
      <c r="S1095" s="17"/>
      <c r="T1095" s="17"/>
      <c r="U1095" s="17"/>
      <c r="V1095" s="17"/>
      <c r="W1095" s="17"/>
      <c r="X1095" s="17"/>
      <c r="Y1095" s="17"/>
      <c r="Z1095" s="17"/>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c r="BF1095" s="17"/>
      <c r="BG1095" s="17"/>
      <c r="BH1095" s="17"/>
      <c r="BI1095" s="17"/>
      <c r="BJ1095" s="17"/>
      <c r="BK1095" s="17"/>
      <c r="BL1095" s="17"/>
    </row>
    <row r="1096">
      <c r="A1096" s="17"/>
      <c r="B1096" s="17"/>
      <c r="C1096" s="17"/>
      <c r="D1096" s="17"/>
      <c r="E1096" s="17"/>
      <c r="F1096" s="17"/>
      <c r="G1096" s="17"/>
      <c r="H1096" s="356"/>
      <c r="I1096" s="17"/>
      <c r="J1096" s="17"/>
      <c r="K1096" s="17"/>
      <c r="L1096" s="17"/>
      <c r="M1096" s="17"/>
      <c r="N1096" s="17"/>
      <c r="O1096" s="17"/>
      <c r="P1096" s="17"/>
      <c r="Q1096" s="17"/>
      <c r="R1096" s="17"/>
      <c r="S1096" s="17"/>
      <c r="T1096" s="17"/>
      <c r="U1096" s="17"/>
      <c r="V1096" s="17"/>
      <c r="W1096" s="17"/>
      <c r="X1096" s="17"/>
      <c r="Y1096" s="17"/>
      <c r="Z1096" s="17"/>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c r="BF1096" s="17"/>
      <c r="BG1096" s="17"/>
      <c r="BH1096" s="17"/>
      <c r="BI1096" s="17"/>
      <c r="BJ1096" s="17"/>
      <c r="BK1096" s="17"/>
      <c r="BL1096" s="17"/>
    </row>
    <row r="1097">
      <c r="A1097" s="17"/>
      <c r="B1097" s="17"/>
      <c r="C1097" s="17"/>
      <c r="D1097" s="17"/>
      <c r="E1097" s="17"/>
      <c r="F1097" s="17"/>
      <c r="G1097" s="17"/>
      <c r="H1097" s="356"/>
      <c r="I1097" s="17"/>
      <c r="J1097" s="17"/>
      <c r="K1097" s="17"/>
      <c r="L1097" s="17"/>
      <c r="M1097" s="17"/>
      <c r="N1097" s="17"/>
      <c r="O1097" s="17"/>
      <c r="P1097" s="17"/>
      <c r="Q1097" s="17"/>
      <c r="R1097" s="17"/>
      <c r="S1097" s="17"/>
      <c r="T1097" s="17"/>
      <c r="U1097" s="17"/>
      <c r="V1097" s="17"/>
      <c r="W1097" s="17"/>
      <c r="X1097" s="17"/>
      <c r="Y1097" s="17"/>
      <c r="Z1097" s="17"/>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c r="BF1097" s="17"/>
      <c r="BG1097" s="17"/>
      <c r="BH1097" s="17"/>
      <c r="BI1097" s="17"/>
      <c r="BJ1097" s="17"/>
      <c r="BK1097" s="17"/>
      <c r="BL1097" s="17"/>
    </row>
    <row r="1098">
      <c r="A1098" s="17"/>
      <c r="B1098" s="17"/>
      <c r="C1098" s="17"/>
      <c r="D1098" s="17"/>
      <c r="E1098" s="17"/>
      <c r="F1098" s="17"/>
      <c r="G1098" s="17"/>
      <c r="H1098" s="356"/>
      <c r="I1098" s="17"/>
      <c r="J1098" s="17"/>
      <c r="K1098" s="17"/>
      <c r="L1098" s="17"/>
      <c r="M1098" s="17"/>
      <c r="N1098" s="17"/>
      <c r="O1098" s="17"/>
      <c r="P1098" s="17"/>
      <c r="Q1098" s="17"/>
      <c r="R1098" s="17"/>
      <c r="S1098" s="17"/>
      <c r="T1098" s="17"/>
      <c r="U1098" s="17"/>
      <c r="V1098" s="17"/>
      <c r="W1098" s="17"/>
      <c r="X1098" s="17"/>
      <c r="Y1098" s="17"/>
      <c r="Z1098" s="17"/>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c r="BF1098" s="17"/>
      <c r="BG1098" s="17"/>
      <c r="BH1098" s="17"/>
      <c r="BI1098" s="17"/>
      <c r="BJ1098" s="17"/>
      <c r="BK1098" s="17"/>
      <c r="BL1098" s="17"/>
    </row>
    <row r="1099">
      <c r="A1099" s="17"/>
      <c r="B1099" s="17"/>
      <c r="C1099" s="17"/>
      <c r="D1099" s="17"/>
      <c r="E1099" s="17"/>
      <c r="F1099" s="17"/>
      <c r="G1099" s="17"/>
      <c r="H1099" s="356"/>
      <c r="I1099" s="17"/>
      <c r="J1099" s="17"/>
      <c r="K1099" s="17"/>
      <c r="L1099" s="17"/>
      <c r="M1099" s="17"/>
      <c r="N1099" s="17"/>
      <c r="O1099" s="17"/>
      <c r="P1099" s="17"/>
      <c r="Q1099" s="17"/>
      <c r="R1099" s="17"/>
      <c r="S1099" s="17"/>
      <c r="T1099" s="17"/>
      <c r="U1099" s="17"/>
      <c r="V1099" s="17"/>
      <c r="W1099" s="17"/>
      <c r="X1099" s="17"/>
      <c r="Y1099" s="17"/>
      <c r="Z1099" s="17"/>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c r="BF1099" s="17"/>
      <c r="BG1099" s="17"/>
      <c r="BH1099" s="17"/>
      <c r="BI1099" s="17"/>
      <c r="BJ1099" s="17"/>
      <c r="BK1099" s="17"/>
      <c r="BL1099" s="17"/>
    </row>
    <row r="1100">
      <c r="A1100" s="17"/>
      <c r="B1100" s="17"/>
      <c r="C1100" s="17"/>
      <c r="D1100" s="17"/>
      <c r="E1100" s="17"/>
      <c r="F1100" s="17"/>
      <c r="G1100" s="17"/>
      <c r="H1100" s="356"/>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c r="BF1100" s="17"/>
      <c r="BG1100" s="17"/>
      <c r="BH1100" s="17"/>
      <c r="BI1100" s="17"/>
      <c r="BJ1100" s="17"/>
      <c r="BK1100" s="17"/>
      <c r="BL1100" s="17"/>
    </row>
    <row r="1101">
      <c r="A1101" s="17"/>
      <c r="B1101" s="17"/>
      <c r="C1101" s="17"/>
      <c r="D1101" s="17"/>
      <c r="E1101" s="17"/>
      <c r="F1101" s="17"/>
      <c r="G1101" s="17"/>
      <c r="H1101" s="356"/>
      <c r="I1101" s="17"/>
      <c r="J1101" s="17"/>
      <c r="K1101" s="17"/>
      <c r="L1101" s="17"/>
      <c r="M1101" s="17"/>
      <c r="N1101" s="17"/>
      <c r="O1101" s="17"/>
      <c r="P1101" s="17"/>
      <c r="Q1101" s="17"/>
      <c r="R1101" s="17"/>
      <c r="S1101" s="17"/>
      <c r="T1101" s="17"/>
      <c r="U1101" s="17"/>
      <c r="V1101" s="17"/>
      <c r="W1101" s="17"/>
      <c r="X1101" s="17"/>
      <c r="Y1101" s="17"/>
      <c r="Z1101" s="17"/>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c r="BF1101" s="17"/>
      <c r="BG1101" s="17"/>
      <c r="BH1101" s="17"/>
      <c r="BI1101" s="17"/>
      <c r="BJ1101" s="17"/>
      <c r="BK1101" s="17"/>
      <c r="BL1101" s="17"/>
    </row>
    <row r="1102">
      <c r="A1102" s="17"/>
      <c r="B1102" s="17"/>
      <c r="C1102" s="17"/>
      <c r="D1102" s="17"/>
      <c r="E1102" s="17"/>
      <c r="F1102" s="17"/>
      <c r="G1102" s="17"/>
      <c r="H1102" s="356"/>
      <c r="I1102" s="17"/>
      <c r="J1102" s="17"/>
      <c r="K1102" s="17"/>
      <c r="L1102" s="17"/>
      <c r="M1102" s="17"/>
      <c r="N1102" s="17"/>
      <c r="O1102" s="17"/>
      <c r="P1102" s="17"/>
      <c r="Q1102" s="17"/>
      <c r="R1102" s="17"/>
      <c r="S1102" s="17"/>
      <c r="T1102" s="17"/>
      <c r="U1102" s="17"/>
      <c r="V1102" s="17"/>
      <c r="W1102" s="17"/>
      <c r="X1102" s="17"/>
      <c r="Y1102" s="17"/>
      <c r="Z1102" s="17"/>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c r="BF1102" s="17"/>
      <c r="BG1102" s="17"/>
      <c r="BH1102" s="17"/>
      <c r="BI1102" s="17"/>
      <c r="BJ1102" s="17"/>
      <c r="BK1102" s="17"/>
      <c r="BL1102" s="17"/>
    </row>
    <row r="1103">
      <c r="A1103" s="17"/>
      <c r="B1103" s="17"/>
      <c r="C1103" s="17"/>
      <c r="D1103" s="17"/>
      <c r="E1103" s="17"/>
      <c r="F1103" s="17"/>
      <c r="G1103" s="17"/>
      <c r="H1103" s="356"/>
      <c r="I1103" s="17"/>
      <c r="J1103" s="17"/>
      <c r="K1103" s="17"/>
      <c r="L1103" s="17"/>
      <c r="M1103" s="17"/>
      <c r="N1103" s="17"/>
      <c r="O1103" s="17"/>
      <c r="P1103" s="17"/>
      <c r="Q1103" s="17"/>
      <c r="R1103" s="17"/>
      <c r="S1103" s="17"/>
      <c r="T1103" s="17"/>
      <c r="U1103" s="17"/>
      <c r="V1103" s="17"/>
      <c r="W1103" s="17"/>
      <c r="X1103" s="17"/>
      <c r="Y1103" s="17"/>
      <c r="Z1103" s="17"/>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c r="BF1103" s="17"/>
      <c r="BG1103" s="17"/>
      <c r="BH1103" s="17"/>
      <c r="BI1103" s="17"/>
      <c r="BJ1103" s="17"/>
      <c r="BK1103" s="17"/>
      <c r="BL1103" s="17"/>
    </row>
    <row r="1104">
      <c r="A1104" s="17"/>
      <c r="B1104" s="17"/>
      <c r="C1104" s="17"/>
      <c r="D1104" s="17"/>
      <c r="E1104" s="17"/>
      <c r="F1104" s="17"/>
      <c r="G1104" s="17"/>
      <c r="H1104" s="356"/>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c r="BF1104" s="17"/>
      <c r="BG1104" s="17"/>
      <c r="BH1104" s="17"/>
      <c r="BI1104" s="17"/>
      <c r="BJ1104" s="17"/>
      <c r="BK1104" s="17"/>
      <c r="BL1104" s="17"/>
    </row>
    <row r="1105">
      <c r="A1105" s="17"/>
      <c r="B1105" s="17"/>
      <c r="C1105" s="17"/>
      <c r="D1105" s="17"/>
      <c r="E1105" s="17"/>
      <c r="F1105" s="17"/>
      <c r="G1105" s="17"/>
      <c r="H1105" s="356"/>
      <c r="I1105" s="17"/>
      <c r="J1105" s="17"/>
      <c r="K1105" s="17"/>
      <c r="L1105" s="17"/>
      <c r="M1105" s="17"/>
      <c r="N1105" s="17"/>
      <c r="O1105" s="17"/>
      <c r="P1105" s="17"/>
      <c r="Q1105" s="17"/>
      <c r="R1105" s="17"/>
      <c r="S1105" s="17"/>
      <c r="T1105" s="17"/>
      <c r="U1105" s="17"/>
      <c r="V1105" s="17"/>
      <c r="W1105" s="17"/>
      <c r="X1105" s="17"/>
      <c r="Y1105" s="17"/>
      <c r="Z1105" s="17"/>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c r="BF1105" s="17"/>
      <c r="BG1105" s="17"/>
      <c r="BH1105" s="17"/>
      <c r="BI1105" s="17"/>
      <c r="BJ1105" s="17"/>
      <c r="BK1105" s="17"/>
      <c r="BL1105" s="17"/>
    </row>
    <row r="1106">
      <c r="A1106" s="17"/>
      <c r="B1106" s="17"/>
      <c r="C1106" s="17"/>
      <c r="D1106" s="17"/>
      <c r="E1106" s="17"/>
      <c r="F1106" s="17"/>
      <c r="G1106" s="17"/>
      <c r="H1106" s="356"/>
      <c r="I1106" s="17"/>
      <c r="J1106" s="17"/>
      <c r="K1106" s="17"/>
      <c r="L1106" s="17"/>
      <c r="M1106" s="17"/>
      <c r="N1106" s="17"/>
      <c r="O1106" s="17"/>
      <c r="P1106" s="17"/>
      <c r="Q1106" s="17"/>
      <c r="R1106" s="17"/>
      <c r="S1106" s="17"/>
      <c r="T1106" s="17"/>
      <c r="U1106" s="17"/>
      <c r="V1106" s="17"/>
      <c r="W1106" s="17"/>
      <c r="X1106" s="17"/>
      <c r="Y1106" s="17"/>
      <c r="Z1106" s="17"/>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c r="BF1106" s="17"/>
      <c r="BG1106" s="17"/>
      <c r="BH1106" s="17"/>
      <c r="BI1106" s="17"/>
      <c r="BJ1106" s="17"/>
      <c r="BK1106" s="17"/>
      <c r="BL1106" s="17"/>
    </row>
    <row r="1107">
      <c r="A1107" s="17"/>
      <c r="B1107" s="17"/>
      <c r="C1107" s="17"/>
      <c r="D1107" s="17"/>
      <c r="E1107" s="17"/>
      <c r="F1107" s="17"/>
      <c r="G1107" s="17"/>
      <c r="H1107" s="356"/>
      <c r="I1107" s="17"/>
      <c r="J1107" s="17"/>
      <c r="K1107" s="17"/>
      <c r="L1107" s="17"/>
      <c r="M1107" s="17"/>
      <c r="N1107" s="17"/>
      <c r="O1107" s="17"/>
      <c r="P1107" s="17"/>
      <c r="Q1107" s="17"/>
      <c r="R1107" s="17"/>
      <c r="S1107" s="17"/>
      <c r="T1107" s="17"/>
      <c r="U1107" s="17"/>
      <c r="V1107" s="17"/>
      <c r="W1107" s="17"/>
      <c r="X1107" s="17"/>
      <c r="Y1107" s="17"/>
      <c r="Z1107" s="17"/>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c r="BF1107" s="17"/>
      <c r="BG1107" s="17"/>
      <c r="BH1107" s="17"/>
      <c r="BI1107" s="17"/>
      <c r="BJ1107" s="17"/>
      <c r="BK1107" s="17"/>
      <c r="BL1107" s="17"/>
    </row>
    <row r="1108">
      <c r="A1108" s="17"/>
      <c r="B1108" s="17"/>
      <c r="C1108" s="17"/>
      <c r="D1108" s="17"/>
      <c r="E1108" s="17"/>
      <c r="F1108" s="17"/>
      <c r="G1108" s="17"/>
      <c r="H1108" s="356"/>
      <c r="I1108" s="17"/>
      <c r="J1108" s="17"/>
      <c r="K1108" s="17"/>
      <c r="L1108" s="17"/>
      <c r="M1108" s="17"/>
      <c r="N1108" s="17"/>
      <c r="O1108" s="17"/>
      <c r="P1108" s="17"/>
      <c r="Q1108" s="17"/>
      <c r="R1108" s="17"/>
      <c r="S1108" s="17"/>
      <c r="T1108" s="17"/>
      <c r="U1108" s="17"/>
      <c r="V1108" s="17"/>
      <c r="W1108" s="17"/>
      <c r="X1108" s="17"/>
      <c r="Y1108" s="17"/>
      <c r="Z1108" s="17"/>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c r="BF1108" s="17"/>
      <c r="BG1108" s="17"/>
      <c r="BH1108" s="17"/>
      <c r="BI1108" s="17"/>
      <c r="BJ1108" s="17"/>
      <c r="BK1108" s="17"/>
      <c r="BL1108" s="17"/>
    </row>
    <row r="1109">
      <c r="A1109" s="17"/>
      <c r="B1109" s="17"/>
      <c r="C1109" s="17"/>
      <c r="D1109" s="17"/>
      <c r="E1109" s="17"/>
      <c r="F1109" s="17"/>
      <c r="G1109" s="17"/>
      <c r="H1109" s="356"/>
      <c r="I1109" s="17"/>
      <c r="J1109" s="17"/>
      <c r="K1109" s="17"/>
      <c r="L1109" s="17"/>
      <c r="M1109" s="17"/>
      <c r="N1109" s="17"/>
      <c r="O1109" s="17"/>
      <c r="P1109" s="17"/>
      <c r="Q1109" s="17"/>
      <c r="R1109" s="17"/>
      <c r="S1109" s="17"/>
      <c r="T1109" s="17"/>
      <c r="U1109" s="17"/>
      <c r="V1109" s="17"/>
      <c r="W1109" s="17"/>
      <c r="X1109" s="17"/>
      <c r="Y1109" s="17"/>
      <c r="Z1109" s="17"/>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c r="BF1109" s="17"/>
      <c r="BG1109" s="17"/>
      <c r="BH1109" s="17"/>
      <c r="BI1109" s="17"/>
      <c r="BJ1109" s="17"/>
      <c r="BK1109" s="17"/>
      <c r="BL1109" s="17"/>
    </row>
    <row r="1110">
      <c r="A1110" s="17"/>
      <c r="B1110" s="17"/>
      <c r="C1110" s="17"/>
      <c r="D1110" s="17"/>
      <c r="E1110" s="17"/>
      <c r="F1110" s="17"/>
      <c r="G1110" s="17"/>
      <c r="H1110" s="356"/>
      <c r="I1110" s="17"/>
      <c r="J1110" s="17"/>
      <c r="K1110" s="17"/>
      <c r="L1110" s="17"/>
      <c r="M1110" s="17"/>
      <c r="N1110" s="17"/>
      <c r="O1110" s="17"/>
      <c r="P1110" s="17"/>
      <c r="Q1110" s="17"/>
      <c r="R1110" s="17"/>
      <c r="S1110" s="17"/>
      <c r="T1110" s="17"/>
      <c r="U1110" s="17"/>
      <c r="V1110" s="17"/>
      <c r="W1110" s="17"/>
      <c r="X1110" s="17"/>
      <c r="Y1110" s="17"/>
      <c r="Z1110" s="17"/>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c r="BF1110" s="17"/>
      <c r="BG1110" s="17"/>
      <c r="BH1110" s="17"/>
      <c r="BI1110" s="17"/>
      <c r="BJ1110" s="17"/>
      <c r="BK1110" s="17"/>
      <c r="BL1110" s="17"/>
    </row>
    <row r="1111">
      <c r="A1111" s="17"/>
      <c r="B1111" s="17"/>
      <c r="C1111" s="17"/>
      <c r="D1111" s="17"/>
      <c r="E1111" s="17"/>
      <c r="F1111" s="17"/>
      <c r="G1111" s="17"/>
      <c r="H1111" s="356"/>
      <c r="I1111" s="17"/>
      <c r="J1111" s="17"/>
      <c r="K1111" s="17"/>
      <c r="L1111" s="17"/>
      <c r="M1111" s="17"/>
      <c r="N1111" s="17"/>
      <c r="O1111" s="17"/>
      <c r="P1111" s="17"/>
      <c r="Q1111" s="17"/>
      <c r="R1111" s="17"/>
      <c r="S1111" s="17"/>
      <c r="T1111" s="17"/>
      <c r="U1111" s="17"/>
      <c r="V1111" s="17"/>
      <c r="W1111" s="17"/>
      <c r="X1111" s="17"/>
      <c r="Y1111" s="17"/>
      <c r="Z1111" s="17"/>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c r="BF1111" s="17"/>
      <c r="BG1111" s="17"/>
      <c r="BH1111" s="17"/>
      <c r="BI1111" s="17"/>
      <c r="BJ1111" s="17"/>
      <c r="BK1111" s="17"/>
      <c r="BL1111" s="17"/>
    </row>
    <row r="1112">
      <c r="A1112" s="17"/>
      <c r="B1112" s="17"/>
      <c r="C1112" s="17"/>
      <c r="D1112" s="17"/>
      <c r="E1112" s="17"/>
      <c r="F1112" s="17"/>
      <c r="G1112" s="17"/>
      <c r="H1112" s="356"/>
      <c r="I1112" s="17"/>
      <c r="J1112" s="17"/>
      <c r="K1112" s="17"/>
      <c r="L1112" s="17"/>
      <c r="M1112" s="17"/>
      <c r="N1112" s="17"/>
      <c r="O1112" s="17"/>
      <c r="P1112" s="17"/>
      <c r="Q1112" s="17"/>
      <c r="R1112" s="17"/>
      <c r="S1112" s="17"/>
      <c r="T1112" s="17"/>
      <c r="U1112" s="17"/>
      <c r="V1112" s="17"/>
      <c r="W1112" s="17"/>
      <c r="X1112" s="17"/>
      <c r="Y1112" s="17"/>
      <c r="Z1112" s="17"/>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c r="BF1112" s="17"/>
      <c r="BG1112" s="17"/>
      <c r="BH1112" s="17"/>
      <c r="BI1112" s="17"/>
      <c r="BJ1112" s="17"/>
      <c r="BK1112" s="17"/>
      <c r="BL1112" s="17"/>
    </row>
    <row r="1113">
      <c r="A1113" s="17"/>
      <c r="B1113" s="17"/>
      <c r="C1113" s="17"/>
      <c r="D1113" s="17"/>
      <c r="E1113" s="17"/>
      <c r="F1113" s="17"/>
      <c r="G1113" s="17"/>
      <c r="H1113" s="356"/>
      <c r="I1113" s="17"/>
      <c r="J1113" s="17"/>
      <c r="K1113" s="17"/>
      <c r="L1113" s="17"/>
      <c r="M1113" s="17"/>
      <c r="N1113" s="17"/>
      <c r="O1113" s="17"/>
      <c r="P1113" s="17"/>
      <c r="Q1113" s="17"/>
      <c r="R1113" s="17"/>
      <c r="S1113" s="17"/>
      <c r="T1113" s="17"/>
      <c r="U1113" s="17"/>
      <c r="V1113" s="17"/>
      <c r="W1113" s="17"/>
      <c r="X1113" s="17"/>
      <c r="Y1113" s="17"/>
      <c r="Z1113" s="17"/>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c r="BA1113" s="17"/>
      <c r="BB1113" s="17"/>
      <c r="BC1113" s="17"/>
      <c r="BD1113" s="17"/>
      <c r="BE1113" s="17"/>
      <c r="BF1113" s="17"/>
      <c r="BG1113" s="17"/>
      <c r="BH1113" s="17"/>
      <c r="BI1113" s="17"/>
      <c r="BJ1113" s="17"/>
      <c r="BK1113" s="17"/>
      <c r="BL1113" s="17"/>
    </row>
    <row r="1114">
      <c r="A1114" s="17"/>
      <c r="B1114" s="17"/>
      <c r="C1114" s="17"/>
      <c r="D1114" s="17"/>
      <c r="E1114" s="17"/>
      <c r="F1114" s="17"/>
      <c r="G1114" s="17"/>
      <c r="H1114" s="356"/>
      <c r="I1114" s="17"/>
      <c r="J1114" s="17"/>
      <c r="K1114" s="17"/>
      <c r="L1114" s="17"/>
      <c r="M1114" s="17"/>
      <c r="N1114" s="17"/>
      <c r="O1114" s="17"/>
      <c r="P1114" s="17"/>
      <c r="Q1114" s="17"/>
      <c r="R1114" s="17"/>
      <c r="S1114" s="17"/>
      <c r="T1114" s="17"/>
      <c r="U1114" s="17"/>
      <c r="V1114" s="17"/>
      <c r="W1114" s="17"/>
      <c r="X1114" s="17"/>
      <c r="Y1114" s="17"/>
      <c r="Z1114" s="17"/>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c r="BF1114" s="17"/>
      <c r="BG1114" s="17"/>
      <c r="BH1114" s="17"/>
      <c r="BI1114" s="17"/>
      <c r="BJ1114" s="17"/>
      <c r="BK1114" s="17"/>
      <c r="BL1114" s="17"/>
    </row>
    <row r="1115">
      <c r="A1115" s="17"/>
      <c r="B1115" s="17"/>
      <c r="C1115" s="17"/>
      <c r="D1115" s="17"/>
      <c r="E1115" s="17"/>
      <c r="F1115" s="17"/>
      <c r="G1115" s="17"/>
      <c r="H1115" s="356"/>
      <c r="I1115" s="17"/>
      <c r="J1115" s="17"/>
      <c r="K1115" s="17"/>
      <c r="L1115" s="17"/>
      <c r="M1115" s="17"/>
      <c r="N1115" s="17"/>
      <c r="O1115" s="17"/>
      <c r="P1115" s="17"/>
      <c r="Q1115" s="17"/>
      <c r="R1115" s="17"/>
      <c r="S1115" s="17"/>
      <c r="T1115" s="17"/>
      <c r="U1115" s="17"/>
      <c r="V1115" s="17"/>
      <c r="W1115" s="17"/>
      <c r="X1115" s="17"/>
      <c r="Y1115" s="17"/>
      <c r="Z1115" s="17"/>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c r="BF1115" s="17"/>
      <c r="BG1115" s="17"/>
      <c r="BH1115" s="17"/>
      <c r="BI1115" s="17"/>
      <c r="BJ1115" s="17"/>
      <c r="BK1115" s="17"/>
      <c r="BL1115" s="17"/>
    </row>
    <row r="1116">
      <c r="A1116" s="17"/>
      <c r="B1116" s="17"/>
      <c r="C1116" s="17"/>
      <c r="D1116" s="17"/>
      <c r="E1116" s="17"/>
      <c r="F1116" s="17"/>
      <c r="G1116" s="17"/>
      <c r="H1116" s="356"/>
      <c r="I1116" s="17"/>
      <c r="J1116" s="17"/>
      <c r="K1116" s="17"/>
      <c r="L1116" s="17"/>
      <c r="M1116" s="17"/>
      <c r="N1116" s="17"/>
      <c r="O1116" s="17"/>
      <c r="P1116" s="17"/>
      <c r="Q1116" s="17"/>
      <c r="R1116" s="17"/>
      <c r="S1116" s="17"/>
      <c r="T1116" s="17"/>
      <c r="U1116" s="17"/>
      <c r="V1116" s="17"/>
      <c r="W1116" s="17"/>
      <c r="X1116" s="17"/>
      <c r="Y1116" s="17"/>
      <c r="Z1116" s="17"/>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c r="BF1116" s="17"/>
      <c r="BG1116" s="17"/>
      <c r="BH1116" s="17"/>
      <c r="BI1116" s="17"/>
      <c r="BJ1116" s="17"/>
      <c r="BK1116" s="17"/>
      <c r="BL1116" s="17"/>
    </row>
    <row r="1117">
      <c r="A1117" s="17"/>
      <c r="B1117" s="17"/>
      <c r="C1117" s="17"/>
      <c r="D1117" s="17"/>
      <c r="E1117" s="17"/>
      <c r="F1117" s="17"/>
      <c r="G1117" s="17"/>
      <c r="H1117" s="356"/>
      <c r="I1117" s="17"/>
      <c r="J1117" s="17"/>
      <c r="K1117" s="17"/>
      <c r="L1117" s="17"/>
      <c r="M1117" s="17"/>
      <c r="N1117" s="17"/>
      <c r="O1117" s="17"/>
      <c r="P1117" s="17"/>
      <c r="Q1117" s="17"/>
      <c r="R1117" s="17"/>
      <c r="S1117" s="17"/>
      <c r="T1117" s="17"/>
      <c r="U1117" s="17"/>
      <c r="V1117" s="17"/>
      <c r="W1117" s="17"/>
      <c r="X1117" s="17"/>
      <c r="Y1117" s="17"/>
      <c r="Z1117" s="17"/>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c r="BF1117" s="17"/>
      <c r="BG1117" s="17"/>
      <c r="BH1117" s="17"/>
      <c r="BI1117" s="17"/>
      <c r="BJ1117" s="17"/>
      <c r="BK1117" s="17"/>
      <c r="BL1117" s="17"/>
    </row>
    <row r="1118">
      <c r="A1118" s="17"/>
      <c r="B1118" s="17"/>
      <c r="C1118" s="17"/>
      <c r="D1118" s="17"/>
      <c r="E1118" s="17"/>
      <c r="F1118" s="17"/>
      <c r="G1118" s="17"/>
      <c r="H1118" s="356"/>
      <c r="I1118" s="17"/>
      <c r="J1118" s="17"/>
      <c r="K1118" s="17"/>
      <c r="L1118" s="17"/>
      <c r="M1118" s="17"/>
      <c r="N1118" s="17"/>
      <c r="O1118" s="17"/>
      <c r="P1118" s="17"/>
      <c r="Q1118" s="17"/>
      <c r="R1118" s="17"/>
      <c r="S1118" s="17"/>
      <c r="T1118" s="17"/>
      <c r="U1118" s="17"/>
      <c r="V1118" s="17"/>
      <c r="W1118" s="17"/>
      <c r="X1118" s="17"/>
      <c r="Y1118" s="17"/>
      <c r="Z1118" s="17"/>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c r="BF1118" s="17"/>
      <c r="BG1118" s="17"/>
      <c r="BH1118" s="17"/>
      <c r="BI1118" s="17"/>
      <c r="BJ1118" s="17"/>
      <c r="BK1118" s="17"/>
      <c r="BL1118" s="17"/>
    </row>
    <row r="1119">
      <c r="A1119" s="17"/>
      <c r="B1119" s="17"/>
      <c r="C1119" s="17"/>
      <c r="D1119" s="17"/>
      <c r="E1119" s="17"/>
      <c r="F1119" s="17"/>
      <c r="G1119" s="17"/>
      <c r="H1119" s="356"/>
      <c r="I1119" s="17"/>
      <c r="J1119" s="17"/>
      <c r="K1119" s="17"/>
      <c r="L1119" s="17"/>
      <c r="M1119" s="17"/>
      <c r="N1119" s="17"/>
      <c r="O1119" s="17"/>
      <c r="P1119" s="17"/>
      <c r="Q1119" s="17"/>
      <c r="R1119" s="17"/>
      <c r="S1119" s="17"/>
      <c r="T1119" s="17"/>
      <c r="U1119" s="17"/>
      <c r="V1119" s="17"/>
      <c r="W1119" s="17"/>
      <c r="X1119" s="17"/>
      <c r="Y1119" s="17"/>
      <c r="Z1119" s="17"/>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c r="BF1119" s="17"/>
      <c r="BG1119" s="17"/>
      <c r="BH1119" s="17"/>
      <c r="BI1119" s="17"/>
      <c r="BJ1119" s="17"/>
      <c r="BK1119" s="17"/>
      <c r="BL1119" s="17"/>
    </row>
    <row r="1120">
      <c r="A1120" s="17"/>
      <c r="B1120" s="17"/>
      <c r="C1120" s="17"/>
      <c r="D1120" s="17"/>
      <c r="E1120" s="17"/>
      <c r="F1120" s="17"/>
      <c r="G1120" s="17"/>
      <c r="H1120" s="356"/>
      <c r="I1120" s="17"/>
      <c r="J1120" s="17"/>
      <c r="K1120" s="17"/>
      <c r="L1120" s="17"/>
      <c r="M1120" s="17"/>
      <c r="N1120" s="17"/>
      <c r="O1120" s="17"/>
      <c r="P1120" s="17"/>
      <c r="Q1120" s="17"/>
      <c r="R1120" s="17"/>
      <c r="S1120" s="17"/>
      <c r="T1120" s="17"/>
      <c r="U1120" s="17"/>
      <c r="V1120" s="17"/>
      <c r="W1120" s="17"/>
      <c r="X1120" s="17"/>
      <c r="Y1120" s="17"/>
      <c r="Z1120" s="17"/>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c r="BF1120" s="17"/>
      <c r="BG1120" s="17"/>
      <c r="BH1120" s="17"/>
      <c r="BI1120" s="17"/>
      <c r="BJ1120" s="17"/>
      <c r="BK1120" s="17"/>
      <c r="BL1120" s="17"/>
    </row>
    <row r="1121">
      <c r="A1121" s="17"/>
      <c r="B1121" s="17"/>
      <c r="C1121" s="17"/>
      <c r="D1121" s="17"/>
      <c r="E1121" s="17"/>
      <c r="F1121" s="17"/>
      <c r="G1121" s="17"/>
      <c r="H1121" s="356"/>
      <c r="I1121" s="17"/>
      <c r="J1121" s="17"/>
      <c r="K1121" s="17"/>
      <c r="L1121" s="17"/>
      <c r="M1121" s="17"/>
      <c r="N1121" s="17"/>
      <c r="O1121" s="17"/>
      <c r="P1121" s="17"/>
      <c r="Q1121" s="17"/>
      <c r="R1121" s="17"/>
      <c r="S1121" s="17"/>
      <c r="T1121" s="17"/>
      <c r="U1121" s="17"/>
      <c r="V1121" s="17"/>
      <c r="W1121" s="17"/>
      <c r="X1121" s="17"/>
      <c r="Y1121" s="17"/>
      <c r="Z1121" s="17"/>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c r="BF1121" s="17"/>
      <c r="BG1121" s="17"/>
      <c r="BH1121" s="17"/>
      <c r="BI1121" s="17"/>
      <c r="BJ1121" s="17"/>
      <c r="BK1121" s="17"/>
      <c r="BL1121" s="17"/>
    </row>
    <row r="1122">
      <c r="A1122" s="17"/>
      <c r="B1122" s="17"/>
      <c r="C1122" s="17"/>
      <c r="D1122" s="17"/>
      <c r="E1122" s="17"/>
      <c r="F1122" s="17"/>
      <c r="G1122" s="17"/>
      <c r="H1122" s="356"/>
      <c r="I1122" s="17"/>
      <c r="J1122" s="17"/>
      <c r="K1122" s="17"/>
      <c r="L1122" s="17"/>
      <c r="M1122" s="17"/>
      <c r="N1122" s="17"/>
      <c r="O1122" s="17"/>
      <c r="P1122" s="17"/>
      <c r="Q1122" s="17"/>
      <c r="R1122" s="17"/>
      <c r="S1122" s="17"/>
      <c r="T1122" s="17"/>
      <c r="U1122" s="17"/>
      <c r="V1122" s="17"/>
      <c r="W1122" s="17"/>
      <c r="X1122" s="17"/>
      <c r="Y1122" s="17"/>
      <c r="Z1122" s="17"/>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c r="BF1122" s="17"/>
      <c r="BG1122" s="17"/>
      <c r="BH1122" s="17"/>
      <c r="BI1122" s="17"/>
      <c r="BJ1122" s="17"/>
      <c r="BK1122" s="17"/>
      <c r="BL1122" s="17"/>
    </row>
    <row r="1123">
      <c r="A1123" s="17"/>
      <c r="B1123" s="17"/>
      <c r="C1123" s="17"/>
      <c r="D1123" s="17"/>
      <c r="E1123" s="17"/>
      <c r="F1123" s="17"/>
      <c r="G1123" s="17"/>
      <c r="H1123" s="356"/>
      <c r="I1123" s="17"/>
      <c r="J1123" s="17"/>
      <c r="K1123" s="17"/>
      <c r="L1123" s="17"/>
      <c r="M1123" s="17"/>
      <c r="N1123" s="17"/>
      <c r="O1123" s="17"/>
      <c r="P1123" s="17"/>
      <c r="Q1123" s="17"/>
      <c r="R1123" s="17"/>
      <c r="S1123" s="17"/>
      <c r="T1123" s="17"/>
      <c r="U1123" s="17"/>
      <c r="V1123" s="17"/>
      <c r="W1123" s="17"/>
      <c r="X1123" s="17"/>
      <c r="Y1123" s="17"/>
      <c r="Z1123" s="17"/>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c r="BF1123" s="17"/>
      <c r="BG1123" s="17"/>
      <c r="BH1123" s="17"/>
      <c r="BI1123" s="17"/>
      <c r="BJ1123" s="17"/>
      <c r="BK1123" s="17"/>
      <c r="BL1123" s="17"/>
    </row>
    <row r="1124">
      <c r="A1124" s="17"/>
      <c r="B1124" s="17"/>
      <c r="C1124" s="17"/>
      <c r="D1124" s="17"/>
      <c r="E1124" s="17"/>
      <c r="F1124" s="17"/>
      <c r="G1124" s="17"/>
      <c r="H1124" s="356"/>
      <c r="I1124" s="17"/>
      <c r="J1124" s="17"/>
      <c r="K1124" s="17"/>
      <c r="L1124" s="17"/>
      <c r="M1124" s="17"/>
      <c r="N1124" s="17"/>
      <c r="O1124" s="17"/>
      <c r="P1124" s="17"/>
      <c r="Q1124" s="17"/>
      <c r="R1124" s="17"/>
      <c r="S1124" s="17"/>
      <c r="T1124" s="17"/>
      <c r="U1124" s="17"/>
      <c r="V1124" s="17"/>
      <c r="W1124" s="17"/>
      <c r="X1124" s="17"/>
      <c r="Y1124" s="17"/>
      <c r="Z1124" s="17"/>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c r="BF1124" s="17"/>
      <c r="BG1124" s="17"/>
      <c r="BH1124" s="17"/>
      <c r="BI1124" s="17"/>
      <c r="BJ1124" s="17"/>
      <c r="BK1124" s="17"/>
      <c r="BL1124" s="17"/>
    </row>
    <row r="1125">
      <c r="A1125" s="17"/>
      <c r="B1125" s="17"/>
      <c r="C1125" s="17"/>
      <c r="D1125" s="17"/>
      <c r="E1125" s="17"/>
      <c r="F1125" s="17"/>
      <c r="G1125" s="17"/>
      <c r="H1125" s="356"/>
      <c r="I1125" s="1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c r="BF1125" s="17"/>
      <c r="BG1125" s="17"/>
      <c r="BH1125" s="17"/>
      <c r="BI1125" s="17"/>
      <c r="BJ1125" s="17"/>
      <c r="BK1125" s="17"/>
      <c r="BL1125" s="17"/>
    </row>
    <row r="1126">
      <c r="A1126" s="17"/>
      <c r="B1126" s="17"/>
      <c r="C1126" s="17"/>
      <c r="D1126" s="17"/>
      <c r="E1126" s="17"/>
      <c r="F1126" s="17"/>
      <c r="G1126" s="17"/>
      <c r="H1126" s="356"/>
      <c r="I1126" s="17"/>
      <c r="J1126" s="17"/>
      <c r="K1126" s="17"/>
      <c r="L1126" s="17"/>
      <c r="M1126" s="17"/>
      <c r="N1126" s="17"/>
      <c r="O1126" s="17"/>
      <c r="P1126" s="17"/>
      <c r="Q1126" s="17"/>
      <c r="R1126" s="17"/>
      <c r="S1126" s="17"/>
      <c r="T1126" s="17"/>
      <c r="U1126" s="17"/>
      <c r="V1126" s="17"/>
      <c r="W1126" s="17"/>
      <c r="X1126" s="17"/>
      <c r="Y1126" s="17"/>
      <c r="Z1126" s="17"/>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c r="BF1126" s="17"/>
      <c r="BG1126" s="17"/>
      <c r="BH1126" s="17"/>
      <c r="BI1126" s="17"/>
      <c r="BJ1126" s="17"/>
      <c r="BK1126" s="17"/>
      <c r="BL1126" s="17"/>
    </row>
    <row r="1127">
      <c r="A1127" s="17"/>
      <c r="B1127" s="17"/>
      <c r="C1127" s="17"/>
      <c r="D1127" s="17"/>
      <c r="E1127" s="17"/>
      <c r="F1127" s="17"/>
      <c r="G1127" s="17"/>
      <c r="H1127" s="356"/>
      <c r="I1127" s="17"/>
      <c r="J1127" s="17"/>
      <c r="K1127" s="17"/>
      <c r="L1127" s="17"/>
      <c r="M1127" s="17"/>
      <c r="N1127" s="17"/>
      <c r="O1127" s="17"/>
      <c r="P1127" s="17"/>
      <c r="Q1127" s="17"/>
      <c r="R1127" s="17"/>
      <c r="S1127" s="17"/>
      <c r="T1127" s="17"/>
      <c r="U1127" s="17"/>
      <c r="V1127" s="17"/>
      <c r="W1127" s="17"/>
      <c r="X1127" s="17"/>
      <c r="Y1127" s="17"/>
      <c r="Z1127" s="17"/>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c r="BF1127" s="17"/>
      <c r="BG1127" s="17"/>
      <c r="BH1127" s="17"/>
      <c r="BI1127" s="17"/>
      <c r="BJ1127" s="17"/>
      <c r="BK1127" s="17"/>
      <c r="BL1127" s="17"/>
    </row>
    <row r="1128">
      <c r="A1128" s="17"/>
      <c r="B1128" s="17"/>
      <c r="C1128" s="17"/>
      <c r="D1128" s="17"/>
      <c r="E1128" s="17"/>
      <c r="F1128" s="17"/>
      <c r="G1128" s="17"/>
      <c r="H1128" s="356"/>
      <c r="I1128" s="17"/>
      <c r="J1128" s="17"/>
      <c r="K1128" s="17"/>
      <c r="L1128" s="17"/>
      <c r="M1128" s="17"/>
      <c r="N1128" s="17"/>
      <c r="O1128" s="17"/>
      <c r="P1128" s="17"/>
      <c r="Q1128" s="17"/>
      <c r="R1128" s="17"/>
      <c r="S1128" s="17"/>
      <c r="T1128" s="17"/>
      <c r="U1128" s="17"/>
      <c r="V1128" s="17"/>
      <c r="W1128" s="17"/>
      <c r="X1128" s="17"/>
      <c r="Y1128" s="17"/>
      <c r="Z1128" s="17"/>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c r="BF1128" s="17"/>
      <c r="BG1128" s="17"/>
      <c r="BH1128" s="17"/>
      <c r="BI1128" s="17"/>
      <c r="BJ1128" s="17"/>
      <c r="BK1128" s="17"/>
      <c r="BL1128" s="17"/>
    </row>
    <row r="1129">
      <c r="A1129" s="17"/>
      <c r="B1129" s="17"/>
      <c r="C1129" s="17"/>
      <c r="D1129" s="17"/>
      <c r="E1129" s="17"/>
      <c r="F1129" s="17"/>
      <c r="G1129" s="17"/>
      <c r="H1129" s="356"/>
      <c r="I1129" s="17"/>
      <c r="J1129" s="17"/>
      <c r="K1129" s="17"/>
      <c r="L1129" s="17"/>
      <c r="M1129" s="17"/>
      <c r="N1129" s="17"/>
      <c r="O1129" s="17"/>
      <c r="P1129" s="17"/>
      <c r="Q1129" s="17"/>
      <c r="R1129" s="17"/>
      <c r="S1129" s="17"/>
      <c r="T1129" s="17"/>
      <c r="U1129" s="17"/>
      <c r="V1129" s="17"/>
      <c r="W1129" s="17"/>
      <c r="X1129" s="17"/>
      <c r="Y1129" s="17"/>
      <c r="Z1129" s="17"/>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c r="BF1129" s="17"/>
      <c r="BG1129" s="17"/>
      <c r="BH1129" s="17"/>
      <c r="BI1129" s="17"/>
      <c r="BJ1129" s="17"/>
      <c r="BK1129" s="17"/>
      <c r="BL1129" s="17"/>
    </row>
    <row r="1130">
      <c r="A1130" s="17"/>
      <c r="B1130" s="17"/>
      <c r="C1130" s="17"/>
      <c r="D1130" s="17"/>
      <c r="E1130" s="17"/>
      <c r="F1130" s="17"/>
      <c r="G1130" s="17"/>
      <c r="H1130" s="356"/>
      <c r="I1130" s="17"/>
      <c r="J1130" s="17"/>
      <c r="K1130" s="17"/>
      <c r="L1130" s="17"/>
      <c r="M1130" s="17"/>
      <c r="N1130" s="17"/>
      <c r="O1130" s="17"/>
      <c r="P1130" s="17"/>
      <c r="Q1130" s="17"/>
      <c r="R1130" s="17"/>
      <c r="S1130" s="17"/>
      <c r="T1130" s="17"/>
      <c r="U1130" s="17"/>
      <c r="V1130" s="17"/>
      <c r="W1130" s="17"/>
      <c r="X1130" s="17"/>
      <c r="Y1130" s="17"/>
      <c r="Z1130" s="17"/>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c r="BF1130" s="17"/>
      <c r="BG1130" s="17"/>
      <c r="BH1130" s="17"/>
      <c r="BI1130" s="17"/>
      <c r="BJ1130" s="17"/>
      <c r="BK1130" s="17"/>
      <c r="BL1130" s="17"/>
    </row>
    <row r="1131">
      <c r="A1131" s="17"/>
      <c r="B1131" s="17"/>
      <c r="C1131" s="17"/>
      <c r="D1131" s="17"/>
      <c r="E1131" s="17"/>
      <c r="F1131" s="17"/>
      <c r="G1131" s="17"/>
      <c r="H1131" s="356"/>
      <c r="I1131" s="17"/>
      <c r="J1131" s="17"/>
      <c r="K1131" s="17"/>
      <c r="L1131" s="17"/>
      <c r="M1131" s="17"/>
      <c r="N1131" s="17"/>
      <c r="O1131" s="17"/>
      <c r="P1131" s="17"/>
      <c r="Q1131" s="17"/>
      <c r="R1131" s="17"/>
      <c r="S1131" s="17"/>
      <c r="T1131" s="17"/>
      <c r="U1131" s="17"/>
      <c r="V1131" s="17"/>
      <c r="W1131" s="17"/>
      <c r="X1131" s="17"/>
      <c r="Y1131" s="17"/>
      <c r="Z1131" s="17"/>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c r="BF1131" s="17"/>
      <c r="BG1131" s="17"/>
      <c r="BH1131" s="17"/>
      <c r="BI1131" s="17"/>
      <c r="BJ1131" s="17"/>
      <c r="BK1131" s="17"/>
      <c r="BL1131" s="17"/>
    </row>
    <row r="1132">
      <c r="A1132" s="17"/>
      <c r="B1132" s="17"/>
      <c r="C1132" s="17"/>
      <c r="D1132" s="17"/>
      <c r="E1132" s="17"/>
      <c r="F1132" s="17"/>
      <c r="G1132" s="17"/>
      <c r="H1132" s="356"/>
      <c r="I1132" s="17"/>
      <c r="J1132" s="17"/>
      <c r="K1132" s="17"/>
      <c r="L1132" s="17"/>
      <c r="M1132" s="17"/>
      <c r="N1132" s="17"/>
      <c r="O1132" s="17"/>
      <c r="P1132" s="17"/>
      <c r="Q1132" s="17"/>
      <c r="R1132" s="17"/>
      <c r="S1132" s="17"/>
      <c r="T1132" s="17"/>
      <c r="U1132" s="17"/>
      <c r="V1132" s="17"/>
      <c r="W1132" s="17"/>
      <c r="X1132" s="17"/>
      <c r="Y1132" s="17"/>
      <c r="Z1132" s="17"/>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c r="BF1132" s="17"/>
      <c r="BG1132" s="17"/>
      <c r="BH1132" s="17"/>
      <c r="BI1132" s="17"/>
      <c r="BJ1132" s="17"/>
      <c r="BK1132" s="17"/>
      <c r="BL1132" s="17"/>
    </row>
    <row r="1133">
      <c r="A1133" s="17"/>
      <c r="B1133" s="17"/>
      <c r="C1133" s="17"/>
      <c r="D1133" s="17"/>
      <c r="E1133" s="17"/>
      <c r="F1133" s="17"/>
      <c r="G1133" s="17"/>
      <c r="H1133" s="356"/>
      <c r="I1133" s="17"/>
      <c r="J1133" s="17"/>
      <c r="K1133" s="17"/>
      <c r="L1133" s="17"/>
      <c r="M1133" s="17"/>
      <c r="N1133" s="17"/>
      <c r="O1133" s="17"/>
      <c r="P1133" s="17"/>
      <c r="Q1133" s="17"/>
      <c r="R1133" s="17"/>
      <c r="S1133" s="17"/>
      <c r="T1133" s="17"/>
      <c r="U1133" s="17"/>
      <c r="V1133" s="17"/>
      <c r="W1133" s="17"/>
      <c r="X1133" s="17"/>
      <c r="Y1133" s="17"/>
      <c r="Z1133" s="17"/>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c r="BA1133" s="17"/>
      <c r="BB1133" s="17"/>
      <c r="BC1133" s="17"/>
      <c r="BD1133" s="17"/>
      <c r="BE1133" s="17"/>
      <c r="BF1133" s="17"/>
      <c r="BG1133" s="17"/>
      <c r="BH1133" s="17"/>
      <c r="BI1133" s="17"/>
      <c r="BJ1133" s="17"/>
      <c r="BK1133" s="17"/>
      <c r="BL1133" s="17"/>
    </row>
    <row r="1134">
      <c r="A1134" s="17"/>
      <c r="B1134" s="17"/>
      <c r="C1134" s="17"/>
      <c r="D1134" s="17"/>
      <c r="E1134" s="17"/>
      <c r="F1134" s="17"/>
      <c r="G1134" s="17"/>
      <c r="H1134" s="356"/>
      <c r="I1134" s="17"/>
      <c r="J1134" s="17"/>
      <c r="K1134" s="17"/>
      <c r="L1134" s="17"/>
      <c r="M1134" s="17"/>
      <c r="N1134" s="17"/>
      <c r="O1134" s="17"/>
      <c r="P1134" s="17"/>
      <c r="Q1134" s="17"/>
      <c r="R1134" s="17"/>
      <c r="S1134" s="17"/>
      <c r="T1134" s="17"/>
      <c r="U1134" s="17"/>
      <c r="V1134" s="17"/>
      <c r="W1134" s="17"/>
      <c r="X1134" s="17"/>
      <c r="Y1134" s="17"/>
      <c r="Z1134" s="17"/>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c r="BF1134" s="17"/>
      <c r="BG1134" s="17"/>
      <c r="BH1134" s="17"/>
      <c r="BI1134" s="17"/>
      <c r="BJ1134" s="17"/>
      <c r="BK1134" s="17"/>
      <c r="BL1134" s="17"/>
    </row>
    <row r="1135">
      <c r="A1135" s="17"/>
      <c r="B1135" s="17"/>
      <c r="C1135" s="17"/>
      <c r="D1135" s="17"/>
      <c r="E1135" s="17"/>
      <c r="F1135" s="17"/>
      <c r="G1135" s="17"/>
      <c r="H1135" s="356"/>
      <c r="I1135" s="17"/>
      <c r="J1135" s="17"/>
      <c r="K1135" s="17"/>
      <c r="L1135" s="17"/>
      <c r="M1135" s="17"/>
      <c r="N1135" s="17"/>
      <c r="O1135" s="17"/>
      <c r="P1135" s="17"/>
      <c r="Q1135" s="17"/>
      <c r="R1135" s="17"/>
      <c r="S1135" s="17"/>
      <c r="T1135" s="17"/>
      <c r="U1135" s="17"/>
      <c r="V1135" s="17"/>
      <c r="W1135" s="17"/>
      <c r="X1135" s="17"/>
      <c r="Y1135" s="17"/>
      <c r="Z1135" s="17"/>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c r="BF1135" s="17"/>
      <c r="BG1135" s="17"/>
      <c r="BH1135" s="17"/>
      <c r="BI1135" s="17"/>
      <c r="BJ1135" s="17"/>
      <c r="BK1135" s="17"/>
      <c r="BL1135" s="17"/>
    </row>
    <row r="1136">
      <c r="A1136" s="17"/>
      <c r="B1136" s="17"/>
      <c r="C1136" s="17"/>
      <c r="D1136" s="17"/>
      <c r="E1136" s="17"/>
      <c r="F1136" s="17"/>
      <c r="G1136" s="17"/>
      <c r="H1136" s="356"/>
      <c r="I1136" s="17"/>
      <c r="J1136" s="17"/>
      <c r="K1136" s="17"/>
      <c r="L1136" s="17"/>
      <c r="M1136" s="17"/>
      <c r="N1136" s="17"/>
      <c r="O1136" s="17"/>
      <c r="P1136" s="17"/>
      <c r="Q1136" s="17"/>
      <c r="R1136" s="17"/>
      <c r="S1136" s="17"/>
      <c r="T1136" s="17"/>
      <c r="U1136" s="17"/>
      <c r="V1136" s="17"/>
      <c r="W1136" s="17"/>
      <c r="X1136" s="17"/>
      <c r="Y1136" s="17"/>
      <c r="Z1136" s="17"/>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c r="BF1136" s="17"/>
      <c r="BG1136" s="17"/>
      <c r="BH1136" s="17"/>
      <c r="BI1136" s="17"/>
      <c r="BJ1136" s="17"/>
      <c r="BK1136" s="17"/>
      <c r="BL1136" s="17"/>
    </row>
    <row r="1137">
      <c r="A1137" s="17"/>
      <c r="B1137" s="17"/>
      <c r="C1137" s="17"/>
      <c r="D1137" s="17"/>
      <c r="E1137" s="17"/>
      <c r="F1137" s="17"/>
      <c r="G1137" s="17"/>
      <c r="H1137" s="356"/>
      <c r="I1137" s="17"/>
      <c r="J1137" s="17"/>
      <c r="K1137" s="17"/>
      <c r="L1137" s="17"/>
      <c r="M1137" s="17"/>
      <c r="N1137" s="17"/>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c r="BF1137" s="17"/>
      <c r="BG1137" s="17"/>
      <c r="BH1137" s="17"/>
      <c r="BI1137" s="17"/>
      <c r="BJ1137" s="17"/>
      <c r="BK1137" s="17"/>
      <c r="BL1137" s="17"/>
    </row>
    <row r="1138">
      <c r="A1138" s="17"/>
      <c r="B1138" s="17"/>
      <c r="C1138" s="17"/>
      <c r="D1138" s="17"/>
      <c r="E1138" s="17"/>
      <c r="F1138" s="17"/>
      <c r="G1138" s="17"/>
      <c r="H1138" s="356"/>
      <c r="I1138" s="17"/>
      <c r="J1138" s="17"/>
      <c r="K1138" s="17"/>
      <c r="L1138" s="17"/>
      <c r="M1138" s="17"/>
      <c r="N1138" s="17"/>
      <c r="O1138" s="17"/>
      <c r="P1138" s="17"/>
      <c r="Q1138" s="17"/>
      <c r="R1138" s="17"/>
      <c r="S1138" s="17"/>
      <c r="T1138" s="17"/>
      <c r="U1138" s="17"/>
      <c r="V1138" s="17"/>
      <c r="W1138" s="17"/>
      <c r="X1138" s="17"/>
      <c r="Y1138" s="17"/>
      <c r="Z1138" s="17"/>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c r="BF1138" s="17"/>
      <c r="BG1138" s="17"/>
      <c r="BH1138" s="17"/>
      <c r="BI1138" s="17"/>
      <c r="BJ1138" s="17"/>
      <c r="BK1138" s="17"/>
      <c r="BL1138" s="17"/>
    </row>
    <row r="1139">
      <c r="A1139" s="17"/>
      <c r="B1139" s="17"/>
      <c r="C1139" s="17"/>
      <c r="D1139" s="17"/>
      <c r="E1139" s="17"/>
      <c r="F1139" s="17"/>
      <c r="G1139" s="17"/>
      <c r="H1139" s="356"/>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c r="BF1139" s="17"/>
      <c r="BG1139" s="17"/>
      <c r="BH1139" s="17"/>
      <c r="BI1139" s="17"/>
      <c r="BJ1139" s="17"/>
      <c r="BK1139" s="17"/>
      <c r="BL1139" s="17"/>
    </row>
    <row r="1140">
      <c r="A1140" s="17"/>
      <c r="B1140" s="17"/>
      <c r="C1140" s="17"/>
      <c r="D1140" s="17"/>
      <c r="E1140" s="17"/>
      <c r="F1140" s="17"/>
      <c r="G1140" s="17"/>
      <c r="H1140" s="356"/>
      <c r="I1140" s="17"/>
      <c r="J1140" s="17"/>
      <c r="K1140" s="17"/>
      <c r="L1140" s="17"/>
      <c r="M1140" s="17"/>
      <c r="N1140" s="17"/>
      <c r="O1140" s="17"/>
      <c r="P1140" s="17"/>
      <c r="Q1140" s="17"/>
      <c r="R1140" s="17"/>
      <c r="S1140" s="17"/>
      <c r="T1140" s="17"/>
      <c r="U1140" s="17"/>
      <c r="V1140" s="17"/>
      <c r="W1140" s="17"/>
      <c r="X1140" s="17"/>
      <c r="Y1140" s="17"/>
      <c r="Z1140" s="17"/>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c r="BF1140" s="17"/>
      <c r="BG1140" s="17"/>
      <c r="BH1140" s="17"/>
      <c r="BI1140" s="17"/>
      <c r="BJ1140" s="17"/>
      <c r="BK1140" s="17"/>
      <c r="BL1140" s="17"/>
    </row>
    <row r="1141">
      <c r="A1141" s="17"/>
      <c r="B1141" s="17"/>
      <c r="C1141" s="17"/>
      <c r="D1141" s="17"/>
      <c r="E1141" s="17"/>
      <c r="F1141" s="17"/>
      <c r="G1141" s="17"/>
      <c r="H1141" s="356"/>
      <c r="I1141" s="17"/>
      <c r="J1141" s="17"/>
      <c r="K1141" s="17"/>
      <c r="L1141" s="17"/>
      <c r="M1141" s="17"/>
      <c r="N1141" s="17"/>
      <c r="O1141" s="17"/>
      <c r="P1141" s="17"/>
      <c r="Q1141" s="17"/>
      <c r="R1141" s="17"/>
      <c r="S1141" s="17"/>
      <c r="T1141" s="17"/>
      <c r="U1141" s="17"/>
      <c r="V1141" s="17"/>
      <c r="W1141" s="17"/>
      <c r="X1141" s="17"/>
      <c r="Y1141" s="17"/>
      <c r="Z1141" s="17"/>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c r="BA1141" s="17"/>
      <c r="BB1141" s="17"/>
      <c r="BC1141" s="17"/>
      <c r="BD1141" s="17"/>
      <c r="BE1141" s="17"/>
      <c r="BF1141" s="17"/>
      <c r="BG1141" s="17"/>
      <c r="BH1141" s="17"/>
      <c r="BI1141" s="17"/>
      <c r="BJ1141" s="17"/>
      <c r="BK1141" s="17"/>
      <c r="BL1141" s="17"/>
    </row>
    <row r="1142">
      <c r="A1142" s="17"/>
      <c r="B1142" s="17"/>
      <c r="C1142" s="17"/>
      <c r="D1142" s="17"/>
      <c r="E1142" s="17"/>
      <c r="F1142" s="17"/>
      <c r="G1142" s="17"/>
      <c r="H1142" s="356"/>
      <c r="I1142" s="17"/>
      <c r="J1142" s="17"/>
      <c r="K1142" s="17"/>
      <c r="L1142" s="17"/>
      <c r="M1142" s="17"/>
      <c r="N1142" s="17"/>
      <c r="O1142" s="17"/>
      <c r="P1142" s="17"/>
      <c r="Q1142" s="17"/>
      <c r="R1142" s="17"/>
      <c r="S1142" s="17"/>
      <c r="T1142" s="17"/>
      <c r="U1142" s="17"/>
      <c r="V1142" s="17"/>
      <c r="W1142" s="17"/>
      <c r="X1142" s="17"/>
      <c r="Y1142" s="17"/>
      <c r="Z1142" s="17"/>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c r="BF1142" s="17"/>
      <c r="BG1142" s="17"/>
      <c r="BH1142" s="17"/>
      <c r="BI1142" s="17"/>
      <c r="BJ1142" s="17"/>
      <c r="BK1142" s="17"/>
      <c r="BL1142" s="17"/>
    </row>
    <row r="1143">
      <c r="A1143" s="17"/>
      <c r="B1143" s="17"/>
      <c r="C1143" s="17"/>
      <c r="D1143" s="17"/>
      <c r="E1143" s="17"/>
      <c r="F1143" s="17"/>
      <c r="G1143" s="17"/>
      <c r="H1143" s="356"/>
      <c r="I1143" s="17"/>
      <c r="J1143" s="17"/>
      <c r="K1143" s="17"/>
      <c r="L1143" s="17"/>
      <c r="M1143" s="17"/>
      <c r="N1143" s="17"/>
      <c r="O1143" s="17"/>
      <c r="P1143" s="17"/>
      <c r="Q1143" s="17"/>
      <c r="R1143" s="17"/>
      <c r="S1143" s="17"/>
      <c r="T1143" s="17"/>
      <c r="U1143" s="17"/>
      <c r="V1143" s="17"/>
      <c r="W1143" s="17"/>
      <c r="X1143" s="17"/>
      <c r="Y1143" s="17"/>
      <c r="Z1143" s="17"/>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c r="BF1143" s="17"/>
      <c r="BG1143" s="17"/>
      <c r="BH1143" s="17"/>
      <c r="BI1143" s="17"/>
      <c r="BJ1143" s="17"/>
      <c r="BK1143" s="17"/>
      <c r="BL1143" s="17"/>
    </row>
    <row r="1144">
      <c r="A1144" s="17"/>
      <c r="B1144" s="17"/>
      <c r="C1144" s="17"/>
      <c r="D1144" s="17"/>
      <c r="E1144" s="17"/>
      <c r="F1144" s="17"/>
      <c r="G1144" s="17"/>
      <c r="H1144" s="356"/>
      <c r="I1144" s="17"/>
      <c r="J1144" s="17"/>
      <c r="K1144" s="17"/>
      <c r="L1144" s="17"/>
      <c r="M1144" s="17"/>
      <c r="N1144" s="17"/>
      <c r="O1144" s="17"/>
      <c r="P1144" s="17"/>
      <c r="Q1144" s="17"/>
      <c r="R1144" s="17"/>
      <c r="S1144" s="17"/>
      <c r="T1144" s="17"/>
      <c r="U1144" s="17"/>
      <c r="V1144" s="17"/>
      <c r="W1144" s="17"/>
      <c r="X1144" s="17"/>
      <c r="Y1144" s="17"/>
      <c r="Z1144" s="17"/>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c r="BF1144" s="17"/>
      <c r="BG1144" s="17"/>
      <c r="BH1144" s="17"/>
      <c r="BI1144" s="17"/>
      <c r="BJ1144" s="17"/>
      <c r="BK1144" s="17"/>
      <c r="BL1144" s="17"/>
    </row>
    <row r="1145">
      <c r="A1145" s="17"/>
      <c r="B1145" s="17"/>
      <c r="C1145" s="17"/>
      <c r="D1145" s="17"/>
      <c r="E1145" s="17"/>
      <c r="F1145" s="17"/>
      <c r="G1145" s="17"/>
      <c r="H1145" s="356"/>
      <c r="I1145" s="17"/>
      <c r="J1145" s="17"/>
      <c r="K1145" s="17"/>
      <c r="L1145" s="17"/>
      <c r="M1145" s="17"/>
      <c r="N1145" s="17"/>
      <c r="O1145" s="17"/>
      <c r="P1145" s="17"/>
      <c r="Q1145" s="17"/>
      <c r="R1145" s="17"/>
      <c r="S1145" s="17"/>
      <c r="T1145" s="17"/>
      <c r="U1145" s="17"/>
      <c r="V1145" s="17"/>
      <c r="W1145" s="17"/>
      <c r="X1145" s="17"/>
      <c r="Y1145" s="17"/>
      <c r="Z1145" s="17"/>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c r="BF1145" s="17"/>
      <c r="BG1145" s="17"/>
      <c r="BH1145" s="17"/>
      <c r="BI1145" s="17"/>
      <c r="BJ1145" s="17"/>
      <c r="BK1145" s="17"/>
      <c r="BL1145" s="17"/>
    </row>
    <row r="1146">
      <c r="A1146" s="17"/>
      <c r="B1146" s="17"/>
      <c r="C1146" s="17"/>
      <c r="D1146" s="17"/>
      <c r="E1146" s="17"/>
      <c r="F1146" s="17"/>
      <c r="G1146" s="17"/>
      <c r="H1146" s="356"/>
      <c r="I1146" s="17"/>
      <c r="J1146" s="17"/>
      <c r="K1146" s="17"/>
      <c r="L1146" s="17"/>
      <c r="M1146" s="17"/>
      <c r="N1146" s="17"/>
      <c r="O1146" s="17"/>
      <c r="P1146" s="17"/>
      <c r="Q1146" s="17"/>
      <c r="R1146" s="17"/>
      <c r="S1146" s="17"/>
      <c r="T1146" s="17"/>
      <c r="U1146" s="17"/>
      <c r="V1146" s="17"/>
      <c r="W1146" s="17"/>
      <c r="X1146" s="17"/>
      <c r="Y1146" s="17"/>
      <c r="Z1146" s="17"/>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c r="BF1146" s="17"/>
      <c r="BG1146" s="17"/>
      <c r="BH1146" s="17"/>
      <c r="BI1146" s="17"/>
      <c r="BJ1146" s="17"/>
      <c r="BK1146" s="17"/>
      <c r="BL1146" s="17"/>
    </row>
    <row r="1147">
      <c r="A1147" s="17"/>
      <c r="B1147" s="17"/>
      <c r="C1147" s="17"/>
      <c r="D1147" s="17"/>
      <c r="E1147" s="17"/>
      <c r="F1147" s="17"/>
      <c r="G1147" s="17"/>
      <c r="H1147" s="356"/>
      <c r="I1147" s="17"/>
      <c r="J1147" s="17"/>
      <c r="K1147" s="17"/>
      <c r="L1147" s="17"/>
      <c r="M1147" s="17"/>
      <c r="N1147" s="17"/>
      <c r="O1147" s="17"/>
      <c r="P1147" s="17"/>
      <c r="Q1147" s="17"/>
      <c r="R1147" s="17"/>
      <c r="S1147" s="17"/>
      <c r="T1147" s="17"/>
      <c r="U1147" s="17"/>
      <c r="V1147" s="17"/>
      <c r="W1147" s="17"/>
      <c r="X1147" s="17"/>
      <c r="Y1147" s="17"/>
      <c r="Z1147" s="17"/>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c r="BF1147" s="17"/>
      <c r="BG1147" s="17"/>
      <c r="BH1147" s="17"/>
      <c r="BI1147" s="17"/>
      <c r="BJ1147" s="17"/>
      <c r="BK1147" s="17"/>
      <c r="BL1147" s="17"/>
    </row>
    <row r="1148">
      <c r="A1148" s="17"/>
      <c r="B1148" s="17"/>
      <c r="C1148" s="17"/>
      <c r="D1148" s="17"/>
      <c r="E1148" s="17"/>
      <c r="F1148" s="17"/>
      <c r="G1148" s="17"/>
      <c r="H1148" s="356"/>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c r="BF1148" s="17"/>
      <c r="BG1148" s="17"/>
      <c r="BH1148" s="17"/>
      <c r="BI1148" s="17"/>
      <c r="BJ1148" s="17"/>
      <c r="BK1148" s="17"/>
      <c r="BL1148" s="17"/>
    </row>
    <row r="1149">
      <c r="A1149" s="17"/>
      <c r="B1149" s="17"/>
      <c r="C1149" s="17"/>
      <c r="D1149" s="17"/>
      <c r="E1149" s="17"/>
      <c r="F1149" s="17"/>
      <c r="G1149" s="17"/>
      <c r="H1149" s="356"/>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c r="BF1149" s="17"/>
      <c r="BG1149" s="17"/>
      <c r="BH1149" s="17"/>
      <c r="BI1149" s="17"/>
      <c r="BJ1149" s="17"/>
      <c r="BK1149" s="17"/>
      <c r="BL1149" s="17"/>
    </row>
    <row r="1150">
      <c r="A1150" s="17"/>
      <c r="B1150" s="17"/>
      <c r="C1150" s="17"/>
      <c r="D1150" s="17"/>
      <c r="E1150" s="17"/>
      <c r="F1150" s="17"/>
      <c r="G1150" s="17"/>
      <c r="H1150" s="356"/>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c r="BF1150" s="17"/>
      <c r="BG1150" s="17"/>
      <c r="BH1150" s="17"/>
      <c r="BI1150" s="17"/>
      <c r="BJ1150" s="17"/>
      <c r="BK1150" s="17"/>
      <c r="BL1150" s="17"/>
    </row>
    <row r="1151">
      <c r="A1151" s="17"/>
      <c r="B1151" s="17"/>
      <c r="C1151" s="17"/>
      <c r="D1151" s="17"/>
      <c r="E1151" s="17"/>
      <c r="F1151" s="17"/>
      <c r="G1151" s="17"/>
      <c r="H1151" s="356"/>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c r="BF1151" s="17"/>
      <c r="BG1151" s="17"/>
      <c r="BH1151" s="17"/>
      <c r="BI1151" s="17"/>
      <c r="BJ1151" s="17"/>
      <c r="BK1151" s="17"/>
      <c r="BL1151" s="17"/>
    </row>
    <row r="1152">
      <c r="A1152" s="17"/>
      <c r="B1152" s="17"/>
      <c r="C1152" s="17"/>
      <c r="D1152" s="17"/>
      <c r="E1152" s="17"/>
      <c r="F1152" s="17"/>
      <c r="G1152" s="17"/>
      <c r="H1152" s="356"/>
      <c r="I1152" s="17"/>
      <c r="J1152" s="17"/>
      <c r="K1152" s="17"/>
      <c r="L1152" s="17"/>
      <c r="M1152" s="17"/>
      <c r="N1152" s="17"/>
      <c r="O1152" s="17"/>
      <c r="P1152" s="17"/>
      <c r="Q1152" s="17"/>
      <c r="R1152" s="17"/>
      <c r="S1152" s="17"/>
      <c r="T1152" s="17"/>
      <c r="U1152" s="17"/>
      <c r="V1152" s="17"/>
      <c r="W1152" s="17"/>
      <c r="X1152" s="17"/>
      <c r="Y1152" s="17"/>
      <c r="Z1152" s="17"/>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c r="BA1152" s="17"/>
      <c r="BB1152" s="17"/>
      <c r="BC1152" s="17"/>
      <c r="BD1152" s="17"/>
      <c r="BE1152" s="17"/>
      <c r="BF1152" s="17"/>
      <c r="BG1152" s="17"/>
      <c r="BH1152" s="17"/>
      <c r="BI1152" s="17"/>
      <c r="BJ1152" s="17"/>
      <c r="BK1152" s="17"/>
      <c r="BL1152" s="17"/>
    </row>
    <row r="1153">
      <c r="A1153" s="17"/>
      <c r="B1153" s="17"/>
      <c r="C1153" s="17"/>
      <c r="D1153" s="17"/>
      <c r="E1153" s="17"/>
      <c r="F1153" s="17"/>
      <c r="G1153" s="17"/>
      <c r="H1153" s="356"/>
      <c r="I1153" s="17"/>
      <c r="J1153" s="17"/>
      <c r="K1153" s="17"/>
      <c r="L1153" s="17"/>
      <c r="M1153" s="17"/>
      <c r="N1153" s="17"/>
      <c r="O1153" s="17"/>
      <c r="P1153" s="17"/>
      <c r="Q1153" s="17"/>
      <c r="R1153" s="17"/>
      <c r="S1153" s="17"/>
      <c r="T1153" s="17"/>
      <c r="U1153" s="17"/>
      <c r="V1153" s="17"/>
      <c r="W1153" s="17"/>
      <c r="X1153" s="17"/>
      <c r="Y1153" s="17"/>
      <c r="Z1153" s="17"/>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c r="BF1153" s="17"/>
      <c r="BG1153" s="17"/>
      <c r="BH1153" s="17"/>
      <c r="BI1153" s="17"/>
      <c r="BJ1153" s="17"/>
      <c r="BK1153" s="17"/>
      <c r="BL1153" s="17"/>
    </row>
    <row r="1154">
      <c r="A1154" s="17"/>
      <c r="B1154" s="17"/>
      <c r="C1154" s="17"/>
      <c r="D1154" s="17"/>
      <c r="E1154" s="17"/>
      <c r="F1154" s="17"/>
      <c r="G1154" s="17"/>
      <c r="H1154" s="356"/>
      <c r="I1154" s="17"/>
      <c r="J1154" s="17"/>
      <c r="K1154" s="17"/>
      <c r="L1154" s="17"/>
      <c r="M1154" s="17"/>
      <c r="N1154" s="17"/>
      <c r="O1154" s="17"/>
      <c r="P1154" s="17"/>
      <c r="Q1154" s="17"/>
      <c r="R1154" s="17"/>
      <c r="S1154" s="17"/>
      <c r="T1154" s="17"/>
      <c r="U1154" s="17"/>
      <c r="V1154" s="17"/>
      <c r="W1154" s="17"/>
      <c r="X1154" s="17"/>
      <c r="Y1154" s="17"/>
      <c r="Z1154" s="17"/>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c r="BF1154" s="17"/>
      <c r="BG1154" s="17"/>
      <c r="BH1154" s="17"/>
      <c r="BI1154" s="17"/>
      <c r="BJ1154" s="17"/>
      <c r="BK1154" s="17"/>
      <c r="BL1154" s="17"/>
    </row>
    <row r="1155">
      <c r="A1155" s="17"/>
      <c r="B1155" s="17"/>
      <c r="C1155" s="17"/>
      <c r="D1155" s="17"/>
      <c r="E1155" s="17"/>
      <c r="F1155" s="17"/>
      <c r="G1155" s="17"/>
      <c r="H1155" s="356"/>
      <c r="I1155" s="17"/>
      <c r="J1155" s="17"/>
      <c r="K1155" s="17"/>
      <c r="L1155" s="17"/>
      <c r="M1155" s="17"/>
      <c r="N1155" s="17"/>
      <c r="O1155" s="17"/>
      <c r="P1155" s="17"/>
      <c r="Q1155" s="17"/>
      <c r="R1155" s="17"/>
      <c r="S1155" s="17"/>
      <c r="T1155" s="17"/>
      <c r="U1155" s="17"/>
      <c r="V1155" s="17"/>
      <c r="W1155" s="17"/>
      <c r="X1155" s="17"/>
      <c r="Y1155" s="17"/>
      <c r="Z1155" s="17"/>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c r="BF1155" s="17"/>
      <c r="BG1155" s="17"/>
      <c r="BH1155" s="17"/>
      <c r="BI1155" s="17"/>
      <c r="BJ1155" s="17"/>
      <c r="BK1155" s="17"/>
      <c r="BL1155" s="17"/>
    </row>
    <row r="1156">
      <c r="A1156" s="17"/>
      <c r="B1156" s="17"/>
      <c r="C1156" s="17"/>
      <c r="D1156" s="17"/>
      <c r="E1156" s="17"/>
      <c r="F1156" s="17"/>
      <c r="G1156" s="17"/>
      <c r="H1156" s="356"/>
      <c r="I1156" s="17"/>
      <c r="J1156" s="17"/>
      <c r="K1156" s="17"/>
      <c r="L1156" s="17"/>
      <c r="M1156" s="17"/>
      <c r="N1156" s="17"/>
      <c r="O1156" s="17"/>
      <c r="P1156" s="17"/>
      <c r="Q1156" s="17"/>
      <c r="R1156" s="17"/>
      <c r="S1156" s="17"/>
      <c r="T1156" s="17"/>
      <c r="U1156" s="17"/>
      <c r="V1156" s="17"/>
      <c r="W1156" s="17"/>
      <c r="X1156" s="17"/>
      <c r="Y1156" s="17"/>
      <c r="Z1156" s="17"/>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c r="BF1156" s="17"/>
      <c r="BG1156" s="17"/>
      <c r="BH1156" s="17"/>
      <c r="BI1156" s="17"/>
      <c r="BJ1156" s="17"/>
      <c r="BK1156" s="17"/>
      <c r="BL1156" s="17"/>
    </row>
    <row r="1157">
      <c r="A1157" s="17"/>
      <c r="B1157" s="17"/>
      <c r="C1157" s="17"/>
      <c r="D1157" s="17"/>
      <c r="E1157" s="17"/>
      <c r="F1157" s="17"/>
      <c r="G1157" s="17"/>
      <c r="H1157" s="356"/>
      <c r="I1157" s="17"/>
      <c r="J1157" s="17"/>
      <c r="K1157" s="17"/>
      <c r="L1157" s="17"/>
      <c r="M1157" s="17"/>
      <c r="N1157" s="17"/>
      <c r="O1157" s="17"/>
      <c r="P1157" s="17"/>
      <c r="Q1157" s="17"/>
      <c r="R1157" s="17"/>
      <c r="S1157" s="17"/>
      <c r="T1157" s="17"/>
      <c r="U1157" s="17"/>
      <c r="V1157" s="17"/>
      <c r="W1157" s="17"/>
      <c r="X1157" s="17"/>
      <c r="Y1157" s="17"/>
      <c r="Z1157" s="17"/>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c r="BF1157" s="17"/>
      <c r="BG1157" s="17"/>
      <c r="BH1157" s="17"/>
      <c r="BI1157" s="17"/>
      <c r="BJ1157" s="17"/>
      <c r="BK1157" s="17"/>
      <c r="BL1157" s="17"/>
    </row>
    <row r="1158">
      <c r="A1158" s="17"/>
      <c r="B1158" s="17"/>
      <c r="C1158" s="17"/>
      <c r="D1158" s="17"/>
      <c r="E1158" s="17"/>
      <c r="F1158" s="17"/>
      <c r="G1158" s="17"/>
      <c r="H1158" s="356"/>
      <c r="I1158" s="17"/>
      <c r="J1158" s="17"/>
      <c r="K1158" s="17"/>
      <c r="L1158" s="17"/>
      <c r="M1158" s="17"/>
      <c r="N1158" s="17"/>
      <c r="O1158" s="17"/>
      <c r="P1158" s="17"/>
      <c r="Q1158" s="17"/>
      <c r="R1158" s="17"/>
      <c r="S1158" s="17"/>
      <c r="T1158" s="17"/>
      <c r="U1158" s="17"/>
      <c r="V1158" s="17"/>
      <c r="W1158" s="17"/>
      <c r="X1158" s="17"/>
      <c r="Y1158" s="17"/>
      <c r="Z1158" s="17"/>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c r="BA1158" s="17"/>
      <c r="BB1158" s="17"/>
      <c r="BC1158" s="17"/>
      <c r="BD1158" s="17"/>
      <c r="BE1158" s="17"/>
      <c r="BF1158" s="17"/>
      <c r="BG1158" s="17"/>
      <c r="BH1158" s="17"/>
      <c r="BI1158" s="17"/>
      <c r="BJ1158" s="17"/>
      <c r="BK1158" s="17"/>
      <c r="BL1158" s="17"/>
    </row>
    <row r="1159">
      <c r="A1159" s="17"/>
      <c r="B1159" s="17"/>
      <c r="C1159" s="17"/>
      <c r="D1159" s="17"/>
      <c r="E1159" s="17"/>
      <c r="F1159" s="17"/>
      <c r="G1159" s="17"/>
      <c r="H1159" s="356"/>
      <c r="I1159" s="17"/>
      <c r="J1159" s="17"/>
      <c r="K1159" s="17"/>
      <c r="L1159" s="17"/>
      <c r="M1159" s="17"/>
      <c r="N1159" s="17"/>
      <c r="O1159" s="17"/>
      <c r="P1159" s="17"/>
      <c r="Q1159" s="17"/>
      <c r="R1159" s="17"/>
      <c r="S1159" s="17"/>
      <c r="T1159" s="17"/>
      <c r="U1159" s="17"/>
      <c r="V1159" s="17"/>
      <c r="W1159" s="17"/>
      <c r="X1159" s="17"/>
      <c r="Y1159" s="17"/>
      <c r="Z1159" s="17"/>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c r="BF1159" s="17"/>
      <c r="BG1159" s="17"/>
      <c r="BH1159" s="17"/>
      <c r="BI1159" s="17"/>
      <c r="BJ1159" s="17"/>
      <c r="BK1159" s="17"/>
      <c r="BL1159" s="17"/>
    </row>
    <row r="1160">
      <c r="A1160" s="17"/>
      <c r="B1160" s="17"/>
      <c r="C1160" s="17"/>
      <c r="D1160" s="17"/>
      <c r="E1160" s="17"/>
      <c r="F1160" s="17"/>
      <c r="G1160" s="17"/>
      <c r="H1160" s="356"/>
      <c r="I1160" s="17"/>
      <c r="J1160" s="17"/>
      <c r="K1160" s="17"/>
      <c r="L1160" s="17"/>
      <c r="M1160" s="17"/>
      <c r="N1160" s="17"/>
      <c r="O1160" s="17"/>
      <c r="P1160" s="17"/>
      <c r="Q1160" s="17"/>
      <c r="R1160" s="17"/>
      <c r="S1160" s="17"/>
      <c r="T1160" s="17"/>
      <c r="U1160" s="17"/>
      <c r="V1160" s="17"/>
      <c r="W1160" s="17"/>
      <c r="X1160" s="17"/>
      <c r="Y1160" s="17"/>
      <c r="Z1160" s="17"/>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c r="BF1160" s="17"/>
      <c r="BG1160" s="17"/>
      <c r="BH1160" s="17"/>
      <c r="BI1160" s="17"/>
      <c r="BJ1160" s="17"/>
      <c r="BK1160" s="17"/>
      <c r="BL1160" s="17"/>
    </row>
    <row r="1161">
      <c r="A1161" s="17"/>
      <c r="B1161" s="17"/>
      <c r="C1161" s="17"/>
      <c r="D1161" s="17"/>
      <c r="E1161" s="17"/>
      <c r="F1161" s="17"/>
      <c r="G1161" s="17"/>
      <c r="H1161" s="356"/>
      <c r="I1161" s="17"/>
      <c r="J1161" s="17"/>
      <c r="K1161" s="17"/>
      <c r="L1161" s="17"/>
      <c r="M1161" s="17"/>
      <c r="N1161" s="17"/>
      <c r="O1161" s="17"/>
      <c r="P1161" s="17"/>
      <c r="Q1161" s="17"/>
      <c r="R1161" s="17"/>
      <c r="S1161" s="17"/>
      <c r="T1161" s="17"/>
      <c r="U1161" s="17"/>
      <c r="V1161" s="17"/>
      <c r="W1161" s="17"/>
      <c r="X1161" s="17"/>
      <c r="Y1161" s="17"/>
      <c r="Z1161" s="17"/>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c r="BF1161" s="17"/>
      <c r="BG1161" s="17"/>
      <c r="BH1161" s="17"/>
      <c r="BI1161" s="17"/>
      <c r="BJ1161" s="17"/>
      <c r="BK1161" s="17"/>
      <c r="BL1161" s="17"/>
    </row>
    <row r="1162">
      <c r="A1162" s="17"/>
      <c r="B1162" s="17"/>
      <c r="C1162" s="17"/>
      <c r="D1162" s="17"/>
      <c r="E1162" s="17"/>
      <c r="F1162" s="17"/>
      <c r="G1162" s="17"/>
      <c r="H1162" s="356"/>
      <c r="I1162" s="17"/>
      <c r="J1162" s="17"/>
      <c r="K1162" s="17"/>
      <c r="L1162" s="17"/>
      <c r="M1162" s="17"/>
      <c r="N1162" s="17"/>
      <c r="O1162" s="17"/>
      <c r="P1162" s="17"/>
      <c r="Q1162" s="17"/>
      <c r="R1162" s="17"/>
      <c r="S1162" s="17"/>
      <c r="T1162" s="17"/>
      <c r="U1162" s="17"/>
      <c r="V1162" s="17"/>
      <c r="W1162" s="17"/>
      <c r="X1162" s="17"/>
      <c r="Y1162" s="17"/>
      <c r="Z1162" s="17"/>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c r="BF1162" s="17"/>
      <c r="BG1162" s="17"/>
      <c r="BH1162" s="17"/>
      <c r="BI1162" s="17"/>
      <c r="BJ1162" s="17"/>
      <c r="BK1162" s="17"/>
      <c r="BL1162" s="17"/>
    </row>
    <row r="1163">
      <c r="A1163" s="17"/>
      <c r="B1163" s="17"/>
      <c r="C1163" s="17"/>
      <c r="D1163" s="17"/>
      <c r="E1163" s="17"/>
      <c r="F1163" s="17"/>
      <c r="G1163" s="17"/>
      <c r="H1163" s="356"/>
      <c r="I1163" s="17"/>
      <c r="J1163" s="17"/>
      <c r="K1163" s="17"/>
      <c r="L1163" s="17"/>
      <c r="M1163" s="17"/>
      <c r="N1163" s="17"/>
      <c r="O1163" s="17"/>
      <c r="P1163" s="17"/>
      <c r="Q1163" s="17"/>
      <c r="R1163" s="17"/>
      <c r="S1163" s="17"/>
      <c r="T1163" s="17"/>
      <c r="U1163" s="17"/>
      <c r="V1163" s="17"/>
      <c r="W1163" s="17"/>
      <c r="X1163" s="17"/>
      <c r="Y1163" s="17"/>
      <c r="Z1163" s="17"/>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c r="BF1163" s="17"/>
      <c r="BG1163" s="17"/>
      <c r="BH1163" s="17"/>
      <c r="BI1163" s="17"/>
      <c r="BJ1163" s="17"/>
      <c r="BK1163" s="17"/>
      <c r="BL1163" s="17"/>
    </row>
    <row r="1164">
      <c r="A1164" s="17"/>
      <c r="B1164" s="17"/>
      <c r="C1164" s="17"/>
      <c r="D1164" s="17"/>
      <c r="E1164" s="17"/>
      <c r="F1164" s="17"/>
      <c r="G1164" s="17"/>
      <c r="H1164" s="356"/>
      <c r="I1164" s="17"/>
      <c r="J1164" s="17"/>
      <c r="K1164" s="17"/>
      <c r="L1164" s="17"/>
      <c r="M1164" s="17"/>
      <c r="N1164" s="17"/>
      <c r="O1164" s="17"/>
      <c r="P1164" s="17"/>
      <c r="Q1164" s="17"/>
      <c r="R1164" s="17"/>
      <c r="S1164" s="17"/>
      <c r="T1164" s="17"/>
      <c r="U1164" s="17"/>
      <c r="V1164" s="17"/>
      <c r="W1164" s="17"/>
      <c r="X1164" s="17"/>
      <c r="Y1164" s="17"/>
      <c r="Z1164" s="17"/>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c r="BF1164" s="17"/>
      <c r="BG1164" s="17"/>
      <c r="BH1164" s="17"/>
      <c r="BI1164" s="17"/>
      <c r="BJ1164" s="17"/>
      <c r="BK1164" s="17"/>
      <c r="BL1164" s="17"/>
    </row>
    <row r="1165">
      <c r="A1165" s="17"/>
      <c r="B1165" s="17"/>
      <c r="C1165" s="17"/>
      <c r="D1165" s="17"/>
      <c r="E1165" s="17"/>
      <c r="F1165" s="17"/>
      <c r="G1165" s="17"/>
      <c r="H1165" s="356"/>
      <c r="I1165" s="17"/>
      <c r="J1165" s="17"/>
      <c r="K1165" s="17"/>
      <c r="L1165" s="17"/>
      <c r="M1165" s="17"/>
      <c r="N1165" s="17"/>
      <c r="O1165" s="17"/>
      <c r="P1165" s="17"/>
      <c r="Q1165" s="17"/>
      <c r="R1165" s="17"/>
      <c r="S1165" s="17"/>
      <c r="T1165" s="17"/>
      <c r="U1165" s="17"/>
      <c r="V1165" s="17"/>
      <c r="W1165" s="17"/>
      <c r="X1165" s="17"/>
      <c r="Y1165" s="17"/>
      <c r="Z1165" s="17"/>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c r="BF1165" s="17"/>
      <c r="BG1165" s="17"/>
      <c r="BH1165" s="17"/>
      <c r="BI1165" s="17"/>
      <c r="BJ1165" s="17"/>
      <c r="BK1165" s="17"/>
      <c r="BL1165" s="17"/>
    </row>
    <row r="1166">
      <c r="A1166" s="17"/>
      <c r="B1166" s="17"/>
      <c r="C1166" s="17"/>
      <c r="D1166" s="17"/>
      <c r="E1166" s="17"/>
      <c r="F1166" s="17"/>
      <c r="G1166" s="17"/>
      <c r="H1166" s="356"/>
      <c r="I1166" s="17"/>
      <c r="J1166" s="17"/>
      <c r="K1166" s="17"/>
      <c r="L1166" s="17"/>
      <c r="M1166" s="17"/>
      <c r="N1166" s="17"/>
      <c r="O1166" s="17"/>
      <c r="P1166" s="17"/>
      <c r="Q1166" s="17"/>
      <c r="R1166" s="17"/>
      <c r="S1166" s="17"/>
      <c r="T1166" s="17"/>
      <c r="U1166" s="17"/>
      <c r="V1166" s="17"/>
      <c r="W1166" s="17"/>
      <c r="X1166" s="17"/>
      <c r="Y1166" s="17"/>
      <c r="Z1166" s="17"/>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c r="BF1166" s="17"/>
      <c r="BG1166" s="17"/>
      <c r="BH1166" s="17"/>
      <c r="BI1166" s="17"/>
      <c r="BJ1166" s="17"/>
      <c r="BK1166" s="17"/>
      <c r="BL1166" s="17"/>
    </row>
    <row r="1167">
      <c r="A1167" s="17"/>
      <c r="B1167" s="17"/>
      <c r="C1167" s="17"/>
      <c r="D1167" s="17"/>
      <c r="E1167" s="17"/>
      <c r="F1167" s="17"/>
      <c r="G1167" s="17"/>
      <c r="H1167" s="356"/>
      <c r="I1167" s="17"/>
      <c r="J1167" s="17"/>
      <c r="K1167" s="17"/>
      <c r="L1167" s="17"/>
      <c r="M1167" s="17"/>
      <c r="N1167" s="17"/>
      <c r="O1167" s="17"/>
      <c r="P1167" s="17"/>
      <c r="Q1167" s="17"/>
      <c r="R1167" s="17"/>
      <c r="S1167" s="17"/>
      <c r="T1167" s="17"/>
      <c r="U1167" s="17"/>
      <c r="V1167" s="17"/>
      <c r="W1167" s="17"/>
      <c r="X1167" s="17"/>
      <c r="Y1167" s="17"/>
      <c r="Z1167" s="17"/>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c r="BF1167" s="17"/>
      <c r="BG1167" s="17"/>
      <c r="BH1167" s="17"/>
      <c r="BI1167" s="17"/>
      <c r="BJ1167" s="17"/>
      <c r="BK1167" s="17"/>
      <c r="BL1167" s="17"/>
    </row>
    <row r="1168">
      <c r="A1168" s="17"/>
      <c r="B1168" s="17"/>
      <c r="C1168" s="17"/>
      <c r="D1168" s="17"/>
      <c r="E1168" s="17"/>
      <c r="F1168" s="17"/>
      <c r="G1168" s="17"/>
      <c r="H1168" s="356"/>
      <c r="I1168" s="17"/>
      <c r="J1168" s="17"/>
      <c r="K1168" s="17"/>
      <c r="L1168" s="17"/>
      <c r="M1168" s="17"/>
      <c r="N1168" s="17"/>
      <c r="O1168" s="17"/>
      <c r="P1168" s="17"/>
      <c r="Q1168" s="17"/>
      <c r="R1168" s="17"/>
      <c r="S1168" s="17"/>
      <c r="T1168" s="17"/>
      <c r="U1168" s="17"/>
      <c r="V1168" s="17"/>
      <c r="W1168" s="17"/>
      <c r="X1168" s="17"/>
      <c r="Y1168" s="17"/>
      <c r="Z1168" s="17"/>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c r="BF1168" s="17"/>
      <c r="BG1168" s="17"/>
      <c r="BH1168" s="17"/>
      <c r="BI1168" s="17"/>
      <c r="BJ1168" s="17"/>
      <c r="BK1168" s="17"/>
      <c r="BL1168" s="17"/>
    </row>
    <row r="1169">
      <c r="A1169" s="17"/>
      <c r="B1169" s="17"/>
      <c r="C1169" s="17"/>
      <c r="D1169" s="17"/>
      <c r="E1169" s="17"/>
      <c r="F1169" s="17"/>
      <c r="G1169" s="17"/>
      <c r="H1169" s="356"/>
      <c r="I1169" s="17"/>
      <c r="J1169" s="17"/>
      <c r="K1169" s="17"/>
      <c r="L1169" s="17"/>
      <c r="M1169" s="17"/>
      <c r="N1169" s="17"/>
      <c r="O1169" s="17"/>
      <c r="P1169" s="17"/>
      <c r="Q1169" s="17"/>
      <c r="R1169" s="17"/>
      <c r="S1169" s="17"/>
      <c r="T1169" s="17"/>
      <c r="U1169" s="17"/>
      <c r="V1169" s="17"/>
      <c r="W1169" s="17"/>
      <c r="X1169" s="17"/>
      <c r="Y1169" s="17"/>
      <c r="Z1169" s="17"/>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c r="BF1169" s="17"/>
      <c r="BG1169" s="17"/>
      <c r="BH1169" s="17"/>
      <c r="BI1169" s="17"/>
      <c r="BJ1169" s="17"/>
      <c r="BK1169" s="17"/>
      <c r="BL1169" s="17"/>
    </row>
    <row r="1170">
      <c r="A1170" s="17"/>
      <c r="B1170" s="17"/>
      <c r="C1170" s="17"/>
      <c r="D1170" s="17"/>
      <c r="E1170" s="17"/>
      <c r="F1170" s="17"/>
      <c r="G1170" s="17"/>
      <c r="H1170" s="356"/>
      <c r="I1170" s="17"/>
      <c r="J1170" s="17"/>
      <c r="K1170" s="17"/>
      <c r="L1170" s="17"/>
      <c r="M1170" s="17"/>
      <c r="N1170" s="17"/>
      <c r="O1170" s="17"/>
      <c r="P1170" s="17"/>
      <c r="Q1170" s="17"/>
      <c r="R1170" s="17"/>
      <c r="S1170" s="17"/>
      <c r="T1170" s="17"/>
      <c r="U1170" s="17"/>
      <c r="V1170" s="17"/>
      <c r="W1170" s="17"/>
      <c r="X1170" s="17"/>
      <c r="Y1170" s="17"/>
      <c r="Z1170" s="17"/>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c r="BF1170" s="17"/>
      <c r="BG1170" s="17"/>
      <c r="BH1170" s="17"/>
      <c r="BI1170" s="17"/>
      <c r="BJ1170" s="17"/>
      <c r="BK1170" s="17"/>
      <c r="BL1170" s="17"/>
    </row>
    <row r="1171">
      <c r="A1171" s="17"/>
      <c r="B1171" s="17"/>
      <c r="C1171" s="17"/>
      <c r="D1171" s="17"/>
      <c r="E1171" s="17"/>
      <c r="F1171" s="17"/>
      <c r="G1171" s="17"/>
      <c r="H1171" s="356"/>
      <c r="I1171" s="17"/>
      <c r="J1171" s="17"/>
      <c r="K1171" s="17"/>
      <c r="L1171" s="17"/>
      <c r="M1171" s="17"/>
      <c r="N1171" s="17"/>
      <c r="O1171" s="17"/>
      <c r="P1171" s="17"/>
      <c r="Q1171" s="17"/>
      <c r="R1171" s="17"/>
      <c r="S1171" s="17"/>
      <c r="T1171" s="17"/>
      <c r="U1171" s="17"/>
      <c r="V1171" s="17"/>
      <c r="W1171" s="17"/>
      <c r="X1171" s="17"/>
      <c r="Y1171" s="17"/>
      <c r="Z1171" s="17"/>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c r="BF1171" s="17"/>
      <c r="BG1171" s="17"/>
      <c r="BH1171" s="17"/>
      <c r="BI1171" s="17"/>
      <c r="BJ1171" s="17"/>
      <c r="BK1171" s="17"/>
      <c r="BL1171" s="17"/>
    </row>
    <row r="1172">
      <c r="A1172" s="17"/>
      <c r="B1172" s="17"/>
      <c r="C1172" s="17"/>
      <c r="D1172" s="17"/>
      <c r="E1172" s="17"/>
      <c r="F1172" s="17"/>
      <c r="G1172" s="17"/>
      <c r="H1172" s="356"/>
      <c r="I1172" s="17"/>
      <c r="J1172" s="17"/>
      <c r="K1172" s="17"/>
      <c r="L1172" s="17"/>
      <c r="M1172" s="17"/>
      <c r="N1172" s="17"/>
      <c r="O1172" s="17"/>
      <c r="P1172" s="17"/>
      <c r="Q1172" s="17"/>
      <c r="R1172" s="17"/>
      <c r="S1172" s="17"/>
      <c r="T1172" s="17"/>
      <c r="U1172" s="17"/>
      <c r="V1172" s="17"/>
      <c r="W1172" s="17"/>
      <c r="X1172" s="17"/>
      <c r="Y1172" s="17"/>
      <c r="Z1172" s="17"/>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c r="BF1172" s="17"/>
      <c r="BG1172" s="17"/>
      <c r="BH1172" s="17"/>
      <c r="BI1172" s="17"/>
      <c r="BJ1172" s="17"/>
      <c r="BK1172" s="17"/>
      <c r="BL1172" s="17"/>
    </row>
    <row r="1173">
      <c r="A1173" s="17"/>
      <c r="B1173" s="17"/>
      <c r="C1173" s="17"/>
      <c r="D1173" s="17"/>
      <c r="E1173" s="17"/>
      <c r="F1173" s="17"/>
      <c r="G1173" s="17"/>
      <c r="H1173" s="356"/>
      <c r="I1173" s="17"/>
      <c r="J1173" s="17"/>
      <c r="K1173" s="17"/>
      <c r="L1173" s="17"/>
      <c r="M1173" s="17"/>
      <c r="N1173" s="17"/>
      <c r="O1173" s="17"/>
      <c r="P1173" s="17"/>
      <c r="Q1173" s="17"/>
      <c r="R1173" s="17"/>
      <c r="S1173" s="17"/>
      <c r="T1173" s="17"/>
      <c r="U1173" s="17"/>
      <c r="V1173" s="17"/>
      <c r="W1173" s="17"/>
      <c r="X1173" s="17"/>
      <c r="Y1173" s="17"/>
      <c r="Z1173" s="17"/>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c r="BF1173" s="17"/>
      <c r="BG1173" s="17"/>
      <c r="BH1173" s="17"/>
      <c r="BI1173" s="17"/>
      <c r="BJ1173" s="17"/>
      <c r="BK1173" s="17"/>
      <c r="BL1173" s="17"/>
    </row>
    <row r="1174">
      <c r="A1174" s="17"/>
      <c r="B1174" s="17"/>
      <c r="C1174" s="17"/>
      <c r="D1174" s="17"/>
      <c r="E1174" s="17"/>
      <c r="F1174" s="17"/>
      <c r="G1174" s="17"/>
      <c r="H1174" s="356"/>
      <c r="I1174" s="17"/>
      <c r="J1174" s="17"/>
      <c r="K1174" s="17"/>
      <c r="L1174" s="17"/>
      <c r="M1174" s="17"/>
      <c r="N1174" s="17"/>
      <c r="O1174" s="17"/>
      <c r="P1174" s="17"/>
      <c r="Q1174" s="17"/>
      <c r="R1174" s="17"/>
      <c r="S1174" s="17"/>
      <c r="T1174" s="17"/>
      <c r="U1174" s="17"/>
      <c r="V1174" s="17"/>
      <c r="W1174" s="17"/>
      <c r="X1174" s="17"/>
      <c r="Y1174" s="17"/>
      <c r="Z1174" s="17"/>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c r="BF1174" s="17"/>
      <c r="BG1174" s="17"/>
      <c r="BH1174" s="17"/>
      <c r="BI1174" s="17"/>
      <c r="BJ1174" s="17"/>
      <c r="BK1174" s="17"/>
      <c r="BL1174" s="17"/>
    </row>
    <row r="1175">
      <c r="A1175" s="17"/>
      <c r="B1175" s="17"/>
      <c r="C1175" s="17"/>
      <c r="D1175" s="17"/>
      <c r="E1175" s="17"/>
      <c r="F1175" s="17"/>
      <c r="G1175" s="17"/>
      <c r="H1175" s="356"/>
      <c r="I1175" s="17"/>
      <c r="J1175" s="17"/>
      <c r="K1175" s="17"/>
      <c r="L1175" s="17"/>
      <c r="M1175" s="17"/>
      <c r="N1175" s="17"/>
      <c r="O1175" s="17"/>
      <c r="P1175" s="17"/>
      <c r="Q1175" s="17"/>
      <c r="R1175" s="17"/>
      <c r="S1175" s="17"/>
      <c r="T1175" s="17"/>
      <c r="U1175" s="17"/>
      <c r="V1175" s="17"/>
      <c r="W1175" s="17"/>
      <c r="X1175" s="17"/>
      <c r="Y1175" s="17"/>
      <c r="Z1175" s="17"/>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c r="BF1175" s="17"/>
      <c r="BG1175" s="17"/>
      <c r="BH1175" s="17"/>
      <c r="BI1175" s="17"/>
      <c r="BJ1175" s="17"/>
      <c r="BK1175" s="17"/>
      <c r="BL1175" s="17"/>
    </row>
    <row r="1176">
      <c r="A1176" s="17"/>
      <c r="B1176" s="17"/>
      <c r="C1176" s="17"/>
      <c r="D1176" s="17"/>
      <c r="E1176" s="17"/>
      <c r="F1176" s="17"/>
      <c r="G1176" s="17"/>
      <c r="H1176" s="356"/>
      <c r="I1176" s="17"/>
      <c r="J1176" s="17"/>
      <c r="K1176" s="17"/>
      <c r="L1176" s="17"/>
      <c r="M1176" s="17"/>
      <c r="N1176" s="17"/>
      <c r="O1176" s="17"/>
      <c r="P1176" s="17"/>
      <c r="Q1176" s="17"/>
      <c r="R1176" s="17"/>
      <c r="S1176" s="17"/>
      <c r="T1176" s="17"/>
      <c r="U1176" s="17"/>
      <c r="V1176" s="17"/>
      <c r="W1176" s="17"/>
      <c r="X1176" s="17"/>
      <c r="Y1176" s="17"/>
      <c r="Z1176" s="17"/>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c r="BF1176" s="17"/>
      <c r="BG1176" s="17"/>
      <c r="BH1176" s="17"/>
      <c r="BI1176" s="17"/>
      <c r="BJ1176" s="17"/>
      <c r="BK1176" s="17"/>
      <c r="BL1176" s="17"/>
    </row>
    <row r="1177">
      <c r="A1177" s="17"/>
      <c r="B1177" s="17"/>
      <c r="C1177" s="17"/>
      <c r="D1177" s="17"/>
      <c r="E1177" s="17"/>
      <c r="F1177" s="17"/>
      <c r="G1177" s="17"/>
      <c r="H1177" s="356"/>
      <c r="I1177" s="17"/>
      <c r="J1177" s="17"/>
      <c r="K1177" s="17"/>
      <c r="L1177" s="17"/>
      <c r="M1177" s="17"/>
      <c r="N1177" s="17"/>
      <c r="O1177" s="17"/>
      <c r="P1177" s="17"/>
      <c r="Q1177" s="17"/>
      <c r="R1177" s="17"/>
      <c r="S1177" s="17"/>
      <c r="T1177" s="17"/>
      <c r="U1177" s="17"/>
      <c r="V1177" s="17"/>
      <c r="W1177" s="17"/>
      <c r="X1177" s="17"/>
      <c r="Y1177" s="17"/>
      <c r="Z1177" s="17"/>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c r="BA1177" s="17"/>
      <c r="BB1177" s="17"/>
      <c r="BC1177" s="17"/>
      <c r="BD1177" s="17"/>
      <c r="BE1177" s="17"/>
      <c r="BF1177" s="17"/>
      <c r="BG1177" s="17"/>
      <c r="BH1177" s="17"/>
      <c r="BI1177" s="17"/>
      <c r="BJ1177" s="17"/>
      <c r="BK1177" s="17"/>
      <c r="BL1177" s="17"/>
    </row>
    <row r="1178">
      <c r="A1178" s="17"/>
      <c r="B1178" s="17"/>
      <c r="C1178" s="17"/>
      <c r="D1178" s="17"/>
      <c r="E1178" s="17"/>
      <c r="F1178" s="17"/>
      <c r="G1178" s="17"/>
      <c r="H1178" s="356"/>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c r="BF1178" s="17"/>
      <c r="BG1178" s="17"/>
      <c r="BH1178" s="17"/>
      <c r="BI1178" s="17"/>
      <c r="BJ1178" s="17"/>
      <c r="BK1178" s="17"/>
      <c r="BL1178" s="17"/>
    </row>
    <row r="1179">
      <c r="A1179" s="17"/>
      <c r="B1179" s="17"/>
      <c r="C1179" s="17"/>
      <c r="D1179" s="17"/>
      <c r="E1179" s="17"/>
      <c r="F1179" s="17"/>
      <c r="G1179" s="17"/>
      <c r="H1179" s="356"/>
      <c r="I1179" s="17"/>
      <c r="J1179" s="17"/>
      <c r="K1179" s="17"/>
      <c r="L1179" s="17"/>
      <c r="M1179" s="17"/>
      <c r="N1179" s="17"/>
      <c r="O1179" s="17"/>
      <c r="P1179" s="17"/>
      <c r="Q1179" s="17"/>
      <c r="R1179" s="17"/>
      <c r="S1179" s="17"/>
      <c r="T1179" s="17"/>
      <c r="U1179" s="17"/>
      <c r="V1179" s="17"/>
      <c r="W1179" s="17"/>
      <c r="X1179" s="17"/>
      <c r="Y1179" s="17"/>
      <c r="Z1179" s="17"/>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c r="BA1179" s="17"/>
      <c r="BB1179" s="17"/>
      <c r="BC1179" s="17"/>
      <c r="BD1179" s="17"/>
      <c r="BE1179" s="17"/>
      <c r="BF1179" s="17"/>
      <c r="BG1179" s="17"/>
      <c r="BH1179" s="17"/>
      <c r="BI1179" s="17"/>
      <c r="BJ1179" s="17"/>
      <c r="BK1179" s="17"/>
      <c r="BL1179" s="17"/>
    </row>
    <row r="1180">
      <c r="A1180" s="17"/>
      <c r="B1180" s="17"/>
      <c r="C1180" s="17"/>
      <c r="D1180" s="17"/>
      <c r="E1180" s="17"/>
      <c r="F1180" s="17"/>
      <c r="G1180" s="17"/>
      <c r="H1180" s="356"/>
      <c r="I1180" s="17"/>
      <c r="J1180" s="17"/>
      <c r="K1180" s="17"/>
      <c r="L1180" s="17"/>
      <c r="M1180" s="17"/>
      <c r="N1180" s="17"/>
      <c r="O1180" s="17"/>
      <c r="P1180" s="17"/>
      <c r="Q1180" s="17"/>
      <c r="R1180" s="17"/>
      <c r="S1180" s="17"/>
      <c r="T1180" s="17"/>
      <c r="U1180" s="17"/>
      <c r="V1180" s="17"/>
      <c r="W1180" s="17"/>
      <c r="X1180" s="17"/>
      <c r="Y1180" s="17"/>
      <c r="Z1180" s="17"/>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c r="BF1180" s="17"/>
      <c r="BG1180" s="17"/>
      <c r="BH1180" s="17"/>
      <c r="BI1180" s="17"/>
      <c r="BJ1180" s="17"/>
      <c r="BK1180" s="17"/>
      <c r="BL1180" s="17"/>
    </row>
    <row r="1181">
      <c r="A1181" s="17"/>
      <c r="B1181" s="17"/>
      <c r="C1181" s="17"/>
      <c r="D1181" s="17"/>
      <c r="E1181" s="17"/>
      <c r="F1181" s="17"/>
      <c r="G1181" s="17"/>
      <c r="H1181" s="356"/>
      <c r="I1181" s="17"/>
      <c r="J1181" s="17"/>
      <c r="K1181" s="17"/>
      <c r="L1181" s="17"/>
      <c r="M1181" s="17"/>
      <c r="N1181" s="17"/>
      <c r="O1181" s="17"/>
      <c r="P1181" s="17"/>
      <c r="Q1181" s="17"/>
      <c r="R1181" s="17"/>
      <c r="S1181" s="17"/>
      <c r="T1181" s="17"/>
      <c r="U1181" s="17"/>
      <c r="V1181" s="17"/>
      <c r="W1181" s="17"/>
      <c r="X1181" s="17"/>
      <c r="Y1181" s="17"/>
      <c r="Z1181" s="17"/>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c r="BF1181" s="17"/>
      <c r="BG1181" s="17"/>
      <c r="BH1181" s="17"/>
      <c r="BI1181" s="17"/>
      <c r="BJ1181" s="17"/>
      <c r="BK1181" s="17"/>
      <c r="BL1181" s="17"/>
    </row>
    <row r="1182">
      <c r="A1182" s="17"/>
      <c r="B1182" s="17"/>
      <c r="C1182" s="17"/>
      <c r="D1182" s="17"/>
      <c r="E1182" s="17"/>
      <c r="F1182" s="17"/>
      <c r="G1182" s="17"/>
      <c r="H1182" s="356"/>
      <c r="I1182" s="17"/>
      <c r="J1182" s="17"/>
      <c r="K1182" s="17"/>
      <c r="L1182" s="17"/>
      <c r="M1182" s="17"/>
      <c r="N1182" s="17"/>
      <c r="O1182" s="17"/>
      <c r="P1182" s="17"/>
      <c r="Q1182" s="17"/>
      <c r="R1182" s="17"/>
      <c r="S1182" s="17"/>
      <c r="T1182" s="17"/>
      <c r="U1182" s="17"/>
      <c r="V1182" s="17"/>
      <c r="W1182" s="17"/>
      <c r="X1182" s="17"/>
      <c r="Y1182" s="17"/>
      <c r="Z1182" s="17"/>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c r="BF1182" s="17"/>
      <c r="BG1182" s="17"/>
      <c r="BH1182" s="17"/>
      <c r="BI1182" s="17"/>
      <c r="BJ1182" s="17"/>
      <c r="BK1182" s="17"/>
      <c r="BL1182" s="17"/>
    </row>
    <row r="1183">
      <c r="A1183" s="17"/>
      <c r="B1183" s="17"/>
      <c r="C1183" s="17"/>
      <c r="D1183" s="17"/>
      <c r="E1183" s="17"/>
      <c r="F1183" s="17"/>
      <c r="G1183" s="17"/>
      <c r="H1183" s="356"/>
      <c r="I1183" s="17"/>
      <c r="J1183" s="17"/>
      <c r="K1183" s="17"/>
      <c r="L1183" s="17"/>
      <c r="M1183" s="17"/>
      <c r="N1183" s="17"/>
      <c r="O1183" s="17"/>
      <c r="P1183" s="17"/>
      <c r="Q1183" s="17"/>
      <c r="R1183" s="17"/>
      <c r="S1183" s="17"/>
      <c r="T1183" s="17"/>
      <c r="U1183" s="17"/>
      <c r="V1183" s="17"/>
      <c r="W1183" s="17"/>
      <c r="X1183" s="17"/>
      <c r="Y1183" s="17"/>
      <c r="Z1183" s="17"/>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c r="BF1183" s="17"/>
      <c r="BG1183" s="17"/>
      <c r="BH1183" s="17"/>
      <c r="BI1183" s="17"/>
      <c r="BJ1183" s="17"/>
      <c r="BK1183" s="17"/>
      <c r="BL1183" s="17"/>
    </row>
    <row r="1184">
      <c r="A1184" s="17"/>
      <c r="B1184" s="17"/>
      <c r="C1184" s="17"/>
      <c r="D1184" s="17"/>
      <c r="E1184" s="17"/>
      <c r="F1184" s="17"/>
      <c r="G1184" s="17"/>
      <c r="H1184" s="356"/>
      <c r="I1184" s="17"/>
      <c r="J1184" s="17"/>
      <c r="K1184" s="17"/>
      <c r="L1184" s="17"/>
      <c r="M1184" s="17"/>
      <c r="N1184" s="17"/>
      <c r="O1184" s="17"/>
      <c r="P1184" s="17"/>
      <c r="Q1184" s="17"/>
      <c r="R1184" s="17"/>
      <c r="S1184" s="17"/>
      <c r="T1184" s="17"/>
      <c r="U1184" s="17"/>
      <c r="V1184" s="17"/>
      <c r="W1184" s="17"/>
      <c r="X1184" s="17"/>
      <c r="Y1184" s="17"/>
      <c r="Z1184" s="17"/>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c r="BF1184" s="17"/>
      <c r="BG1184" s="17"/>
      <c r="BH1184" s="17"/>
      <c r="BI1184" s="17"/>
      <c r="BJ1184" s="17"/>
      <c r="BK1184" s="17"/>
      <c r="BL1184" s="17"/>
    </row>
    <row r="1185">
      <c r="A1185" s="17"/>
      <c r="B1185" s="17"/>
      <c r="C1185" s="17"/>
      <c r="D1185" s="17"/>
      <c r="E1185" s="17"/>
      <c r="F1185" s="17"/>
      <c r="G1185" s="17"/>
      <c r="H1185" s="356"/>
      <c r="I1185" s="17"/>
      <c r="J1185" s="17"/>
      <c r="K1185" s="17"/>
      <c r="L1185" s="17"/>
      <c r="M1185" s="17"/>
      <c r="N1185" s="17"/>
      <c r="O1185" s="17"/>
      <c r="P1185" s="17"/>
      <c r="Q1185" s="17"/>
      <c r="R1185" s="17"/>
      <c r="S1185" s="17"/>
      <c r="T1185" s="17"/>
      <c r="U1185" s="17"/>
      <c r="V1185" s="17"/>
      <c r="W1185" s="17"/>
      <c r="X1185" s="17"/>
      <c r="Y1185" s="17"/>
      <c r="Z1185" s="17"/>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c r="BF1185" s="17"/>
      <c r="BG1185" s="17"/>
      <c r="BH1185" s="17"/>
      <c r="BI1185" s="17"/>
      <c r="BJ1185" s="17"/>
      <c r="BK1185" s="17"/>
      <c r="BL1185" s="17"/>
    </row>
    <row r="1186">
      <c r="A1186" s="17"/>
      <c r="B1186" s="17"/>
      <c r="C1186" s="17"/>
      <c r="D1186" s="17"/>
      <c r="E1186" s="17"/>
      <c r="F1186" s="17"/>
      <c r="G1186" s="17"/>
      <c r="H1186" s="356"/>
      <c r="I1186" s="17"/>
      <c r="J1186" s="17"/>
      <c r="K1186" s="17"/>
      <c r="L1186" s="17"/>
      <c r="M1186" s="17"/>
      <c r="N1186" s="17"/>
      <c r="O1186" s="17"/>
      <c r="P1186" s="17"/>
      <c r="Q1186" s="17"/>
      <c r="R1186" s="17"/>
      <c r="S1186" s="17"/>
      <c r="T1186" s="17"/>
      <c r="U1186" s="17"/>
      <c r="V1186" s="17"/>
      <c r="W1186" s="17"/>
      <c r="X1186" s="17"/>
      <c r="Y1186" s="17"/>
      <c r="Z1186" s="17"/>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c r="BF1186" s="17"/>
      <c r="BG1186" s="17"/>
      <c r="BH1186" s="17"/>
      <c r="BI1186" s="17"/>
      <c r="BJ1186" s="17"/>
      <c r="BK1186" s="17"/>
      <c r="BL1186" s="17"/>
    </row>
    <row r="1187">
      <c r="A1187" s="17"/>
      <c r="B1187" s="17"/>
      <c r="C1187" s="17"/>
      <c r="D1187" s="17"/>
      <c r="E1187" s="17"/>
      <c r="F1187" s="17"/>
      <c r="G1187" s="17"/>
      <c r="H1187" s="356"/>
      <c r="I1187" s="17"/>
      <c r="J1187" s="17"/>
      <c r="K1187" s="17"/>
      <c r="L1187" s="17"/>
      <c r="M1187" s="17"/>
      <c r="N1187" s="17"/>
      <c r="O1187" s="17"/>
      <c r="P1187" s="17"/>
      <c r="Q1187" s="17"/>
      <c r="R1187" s="17"/>
      <c r="S1187" s="17"/>
      <c r="T1187" s="17"/>
      <c r="U1187" s="17"/>
      <c r="V1187" s="17"/>
      <c r="W1187" s="17"/>
      <c r="X1187" s="17"/>
      <c r="Y1187" s="17"/>
      <c r="Z1187" s="17"/>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c r="BF1187" s="17"/>
      <c r="BG1187" s="17"/>
      <c r="BH1187" s="17"/>
      <c r="BI1187" s="17"/>
      <c r="BJ1187" s="17"/>
      <c r="BK1187" s="17"/>
      <c r="BL1187" s="17"/>
    </row>
    <row r="1188">
      <c r="A1188" s="17"/>
      <c r="B1188" s="17"/>
      <c r="C1188" s="17"/>
      <c r="D1188" s="17"/>
      <c r="E1188" s="17"/>
      <c r="F1188" s="17"/>
      <c r="G1188" s="17"/>
      <c r="H1188" s="356"/>
      <c r="I1188" s="17"/>
      <c r="J1188" s="17"/>
      <c r="K1188" s="17"/>
      <c r="L1188" s="17"/>
      <c r="M1188" s="17"/>
      <c r="N1188" s="17"/>
      <c r="O1188" s="17"/>
      <c r="P1188" s="17"/>
      <c r="Q1188" s="17"/>
      <c r="R1188" s="17"/>
      <c r="S1188" s="17"/>
      <c r="T1188" s="17"/>
      <c r="U1188" s="17"/>
      <c r="V1188" s="17"/>
      <c r="W1188" s="17"/>
      <c r="X1188" s="17"/>
      <c r="Y1188" s="17"/>
      <c r="Z1188" s="17"/>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c r="BF1188" s="17"/>
      <c r="BG1188" s="17"/>
      <c r="BH1188" s="17"/>
      <c r="BI1188" s="17"/>
      <c r="BJ1188" s="17"/>
      <c r="BK1188" s="17"/>
      <c r="BL1188" s="17"/>
    </row>
    <row r="1189">
      <c r="A1189" s="17"/>
      <c r="B1189" s="17"/>
      <c r="C1189" s="17"/>
      <c r="D1189" s="17"/>
      <c r="E1189" s="17"/>
      <c r="F1189" s="17"/>
      <c r="G1189" s="17"/>
      <c r="H1189" s="356"/>
      <c r="I1189" s="17"/>
      <c r="J1189" s="17"/>
      <c r="K1189" s="17"/>
      <c r="L1189" s="17"/>
      <c r="M1189" s="17"/>
      <c r="N1189" s="17"/>
      <c r="O1189" s="17"/>
      <c r="P1189" s="17"/>
      <c r="Q1189" s="17"/>
      <c r="R1189" s="17"/>
      <c r="S1189" s="17"/>
      <c r="T1189" s="17"/>
      <c r="U1189" s="17"/>
      <c r="V1189" s="17"/>
      <c r="W1189" s="17"/>
      <c r="X1189" s="17"/>
      <c r="Y1189" s="17"/>
      <c r="Z1189" s="17"/>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c r="BF1189" s="17"/>
      <c r="BG1189" s="17"/>
      <c r="BH1189" s="17"/>
      <c r="BI1189" s="17"/>
      <c r="BJ1189" s="17"/>
      <c r="BK1189" s="17"/>
      <c r="BL1189" s="17"/>
    </row>
    <row r="1190">
      <c r="A1190" s="17"/>
      <c r="B1190" s="17"/>
      <c r="C1190" s="17"/>
      <c r="D1190" s="17"/>
      <c r="E1190" s="17"/>
      <c r="F1190" s="17"/>
      <c r="G1190" s="17"/>
      <c r="H1190" s="356"/>
      <c r="I1190" s="17"/>
      <c r="J1190" s="17"/>
      <c r="K1190" s="17"/>
      <c r="L1190" s="17"/>
      <c r="M1190" s="17"/>
      <c r="N1190" s="17"/>
      <c r="O1190" s="17"/>
      <c r="P1190" s="17"/>
      <c r="Q1190" s="17"/>
      <c r="R1190" s="17"/>
      <c r="S1190" s="17"/>
      <c r="T1190" s="17"/>
      <c r="U1190" s="17"/>
      <c r="V1190" s="17"/>
      <c r="W1190" s="17"/>
      <c r="X1190" s="17"/>
      <c r="Y1190" s="17"/>
      <c r="Z1190" s="17"/>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c r="BF1190" s="17"/>
      <c r="BG1190" s="17"/>
      <c r="BH1190" s="17"/>
      <c r="BI1190" s="17"/>
      <c r="BJ1190" s="17"/>
      <c r="BK1190" s="17"/>
      <c r="BL1190" s="17"/>
    </row>
    <row r="1191">
      <c r="A1191" s="17"/>
      <c r="B1191" s="17"/>
      <c r="C1191" s="17"/>
      <c r="D1191" s="17"/>
      <c r="E1191" s="17"/>
      <c r="F1191" s="17"/>
      <c r="G1191" s="17"/>
      <c r="H1191" s="356"/>
      <c r="I1191" s="17"/>
      <c r="J1191" s="17"/>
      <c r="K1191" s="17"/>
      <c r="L1191" s="17"/>
      <c r="M1191" s="17"/>
      <c r="N1191" s="17"/>
      <c r="O1191" s="17"/>
      <c r="P1191" s="17"/>
      <c r="Q1191" s="17"/>
      <c r="R1191" s="17"/>
      <c r="S1191" s="17"/>
      <c r="T1191" s="17"/>
      <c r="U1191" s="17"/>
      <c r="V1191" s="17"/>
      <c r="W1191" s="17"/>
      <c r="X1191" s="17"/>
      <c r="Y1191" s="17"/>
      <c r="Z1191" s="17"/>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c r="BA1191" s="17"/>
      <c r="BB1191" s="17"/>
      <c r="BC1191" s="17"/>
      <c r="BD1191" s="17"/>
      <c r="BE1191" s="17"/>
      <c r="BF1191" s="17"/>
      <c r="BG1191" s="17"/>
      <c r="BH1191" s="17"/>
      <c r="BI1191" s="17"/>
      <c r="BJ1191" s="17"/>
      <c r="BK1191" s="17"/>
      <c r="BL1191" s="17"/>
    </row>
    <row r="1192">
      <c r="A1192" s="17"/>
      <c r="B1192" s="17"/>
      <c r="C1192" s="17"/>
      <c r="D1192" s="17"/>
      <c r="E1192" s="17"/>
      <c r="F1192" s="17"/>
      <c r="G1192" s="17"/>
      <c r="H1192" s="356"/>
      <c r="I1192" s="17"/>
      <c r="J1192" s="17"/>
      <c r="K1192" s="17"/>
      <c r="L1192" s="17"/>
      <c r="M1192" s="17"/>
      <c r="N1192" s="17"/>
      <c r="O1192" s="17"/>
      <c r="P1192" s="17"/>
      <c r="Q1192" s="17"/>
      <c r="R1192" s="17"/>
      <c r="S1192" s="17"/>
      <c r="T1192" s="17"/>
      <c r="U1192" s="17"/>
      <c r="V1192" s="17"/>
      <c r="W1192" s="17"/>
      <c r="X1192" s="17"/>
      <c r="Y1192" s="17"/>
      <c r="Z1192" s="17"/>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c r="BF1192" s="17"/>
      <c r="BG1192" s="17"/>
      <c r="BH1192" s="17"/>
      <c r="BI1192" s="17"/>
      <c r="BJ1192" s="17"/>
      <c r="BK1192" s="17"/>
      <c r="BL1192" s="17"/>
    </row>
    <row r="1193">
      <c r="A1193" s="17"/>
      <c r="B1193" s="17"/>
      <c r="C1193" s="17"/>
      <c r="D1193" s="17"/>
      <c r="E1193" s="17"/>
      <c r="F1193" s="17"/>
      <c r="G1193" s="17"/>
      <c r="H1193" s="356"/>
      <c r="I1193" s="17"/>
      <c r="J1193" s="17"/>
      <c r="K1193" s="17"/>
      <c r="L1193" s="17"/>
      <c r="M1193" s="17"/>
      <c r="N1193" s="17"/>
      <c r="O1193" s="17"/>
      <c r="P1193" s="17"/>
      <c r="Q1193" s="17"/>
      <c r="R1193" s="17"/>
      <c r="S1193" s="17"/>
      <c r="T1193" s="17"/>
      <c r="U1193" s="17"/>
      <c r="V1193" s="17"/>
      <c r="W1193" s="17"/>
      <c r="X1193" s="17"/>
      <c r="Y1193" s="17"/>
      <c r="Z1193" s="17"/>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c r="BF1193" s="17"/>
      <c r="BG1193" s="17"/>
      <c r="BH1193" s="17"/>
      <c r="BI1193" s="17"/>
      <c r="BJ1193" s="17"/>
      <c r="BK1193" s="17"/>
      <c r="BL1193" s="17"/>
    </row>
    <row r="1194">
      <c r="A1194" s="17"/>
      <c r="B1194" s="17"/>
      <c r="C1194" s="17"/>
      <c r="D1194" s="17"/>
      <c r="E1194" s="17"/>
      <c r="F1194" s="17"/>
      <c r="G1194" s="17"/>
      <c r="H1194" s="356"/>
      <c r="I1194" s="17"/>
      <c r="J1194" s="17"/>
      <c r="K1194" s="17"/>
      <c r="L1194" s="17"/>
      <c r="M1194" s="17"/>
      <c r="N1194" s="17"/>
      <c r="O1194" s="17"/>
      <c r="P1194" s="17"/>
      <c r="Q1194" s="17"/>
      <c r="R1194" s="17"/>
      <c r="S1194" s="17"/>
      <c r="T1194" s="17"/>
      <c r="U1194" s="17"/>
      <c r="V1194" s="17"/>
      <c r="W1194" s="17"/>
      <c r="X1194" s="17"/>
      <c r="Y1194" s="17"/>
      <c r="Z1194" s="17"/>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c r="BF1194" s="17"/>
      <c r="BG1194" s="17"/>
      <c r="BH1194" s="17"/>
      <c r="BI1194" s="17"/>
      <c r="BJ1194" s="17"/>
      <c r="BK1194" s="17"/>
      <c r="BL1194" s="17"/>
    </row>
    <row r="1195">
      <c r="A1195" s="17"/>
      <c r="B1195" s="17"/>
      <c r="C1195" s="17"/>
      <c r="D1195" s="17"/>
      <c r="E1195" s="17"/>
      <c r="F1195" s="17"/>
      <c r="G1195" s="17"/>
      <c r="H1195" s="356"/>
      <c r="I1195" s="17"/>
      <c r="J1195" s="17"/>
      <c r="K1195" s="17"/>
      <c r="L1195" s="17"/>
      <c r="M1195" s="17"/>
      <c r="N1195" s="17"/>
      <c r="O1195" s="17"/>
      <c r="P1195" s="17"/>
      <c r="Q1195" s="17"/>
      <c r="R1195" s="17"/>
      <c r="S1195" s="17"/>
      <c r="T1195" s="17"/>
      <c r="U1195" s="17"/>
      <c r="V1195" s="17"/>
      <c r="W1195" s="17"/>
      <c r="X1195" s="17"/>
      <c r="Y1195" s="17"/>
      <c r="Z1195" s="17"/>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c r="BF1195" s="17"/>
      <c r="BG1195" s="17"/>
      <c r="BH1195" s="17"/>
      <c r="BI1195" s="17"/>
      <c r="BJ1195" s="17"/>
      <c r="BK1195" s="17"/>
      <c r="BL1195" s="17"/>
    </row>
    <row r="1196">
      <c r="A1196" s="17"/>
      <c r="B1196" s="17"/>
      <c r="C1196" s="17"/>
      <c r="D1196" s="17"/>
      <c r="E1196" s="17"/>
      <c r="F1196" s="17"/>
      <c r="G1196" s="17"/>
      <c r="H1196" s="356"/>
      <c r="I1196" s="17"/>
      <c r="J1196" s="17"/>
      <c r="K1196" s="17"/>
      <c r="L1196" s="17"/>
      <c r="M1196" s="17"/>
      <c r="N1196" s="17"/>
      <c r="O1196" s="17"/>
      <c r="P1196" s="17"/>
      <c r="Q1196" s="17"/>
      <c r="R1196" s="17"/>
      <c r="S1196" s="17"/>
      <c r="T1196" s="17"/>
      <c r="U1196" s="17"/>
      <c r="V1196" s="17"/>
      <c r="W1196" s="17"/>
      <c r="X1196" s="17"/>
      <c r="Y1196" s="17"/>
      <c r="Z1196" s="17"/>
      <c r="AA1196" s="17"/>
      <c r="AB1196" s="17"/>
      <c r="AC1196" s="17"/>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c r="BF1196" s="17"/>
      <c r="BG1196" s="17"/>
      <c r="BH1196" s="17"/>
      <c r="BI1196" s="17"/>
      <c r="BJ1196" s="17"/>
      <c r="BK1196" s="17"/>
      <c r="BL1196" s="17"/>
    </row>
    <row r="1197">
      <c r="A1197" s="17"/>
      <c r="B1197" s="17"/>
      <c r="C1197" s="17"/>
      <c r="D1197" s="17"/>
      <c r="E1197" s="17"/>
      <c r="F1197" s="17"/>
      <c r="G1197" s="17"/>
      <c r="H1197" s="356"/>
      <c r="I1197" s="17"/>
      <c r="J1197" s="17"/>
      <c r="K1197" s="17"/>
      <c r="L1197" s="17"/>
      <c r="M1197" s="17"/>
      <c r="N1197" s="17"/>
      <c r="O1197" s="17"/>
      <c r="P1197" s="17"/>
      <c r="Q1197" s="17"/>
      <c r="R1197" s="17"/>
      <c r="S1197" s="17"/>
      <c r="T1197" s="17"/>
      <c r="U1197" s="17"/>
      <c r="V1197" s="17"/>
      <c r="W1197" s="17"/>
      <c r="X1197" s="17"/>
      <c r="Y1197" s="17"/>
      <c r="Z1197" s="17"/>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c r="BF1197" s="17"/>
      <c r="BG1197" s="17"/>
      <c r="BH1197" s="17"/>
      <c r="BI1197" s="17"/>
      <c r="BJ1197" s="17"/>
      <c r="BK1197" s="17"/>
      <c r="BL1197" s="17"/>
    </row>
    <row r="1198">
      <c r="A1198" s="17"/>
      <c r="B1198" s="17"/>
      <c r="C1198" s="17"/>
      <c r="D1198" s="17"/>
      <c r="E1198" s="17"/>
      <c r="F1198" s="17"/>
      <c r="G1198" s="17"/>
      <c r="H1198" s="356"/>
      <c r="I1198" s="17"/>
      <c r="J1198" s="17"/>
      <c r="K1198" s="17"/>
      <c r="L1198" s="17"/>
      <c r="M1198" s="17"/>
      <c r="N1198" s="17"/>
      <c r="O1198" s="17"/>
      <c r="P1198" s="17"/>
      <c r="Q1198" s="17"/>
      <c r="R1198" s="17"/>
      <c r="S1198" s="17"/>
      <c r="T1198" s="17"/>
      <c r="U1198" s="17"/>
      <c r="V1198" s="17"/>
      <c r="W1198" s="17"/>
      <c r="X1198" s="17"/>
      <c r="Y1198" s="17"/>
      <c r="Z1198" s="17"/>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c r="BF1198" s="17"/>
      <c r="BG1198" s="17"/>
      <c r="BH1198" s="17"/>
      <c r="BI1198" s="17"/>
      <c r="BJ1198" s="17"/>
      <c r="BK1198" s="17"/>
      <c r="BL1198" s="17"/>
    </row>
    <row r="1199">
      <c r="A1199" s="17"/>
      <c r="B1199" s="17"/>
      <c r="C1199" s="17"/>
      <c r="D1199" s="17"/>
      <c r="E1199" s="17"/>
      <c r="F1199" s="17"/>
      <c r="G1199" s="17"/>
      <c r="H1199" s="356"/>
      <c r="I1199" s="17"/>
      <c r="J1199" s="17"/>
      <c r="K1199" s="17"/>
      <c r="L1199" s="17"/>
      <c r="M1199" s="17"/>
      <c r="N1199" s="17"/>
      <c r="O1199" s="17"/>
      <c r="P1199" s="17"/>
      <c r="Q1199" s="17"/>
      <c r="R1199" s="17"/>
      <c r="S1199" s="17"/>
      <c r="T1199" s="17"/>
      <c r="U1199" s="17"/>
      <c r="V1199" s="17"/>
      <c r="W1199" s="17"/>
      <c r="X1199" s="17"/>
      <c r="Y1199" s="17"/>
      <c r="Z1199" s="17"/>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c r="BF1199" s="17"/>
      <c r="BG1199" s="17"/>
      <c r="BH1199" s="17"/>
      <c r="BI1199" s="17"/>
      <c r="BJ1199" s="17"/>
      <c r="BK1199" s="17"/>
      <c r="BL1199" s="17"/>
    </row>
    <row r="1200">
      <c r="A1200" s="17"/>
      <c r="B1200" s="17"/>
      <c r="C1200" s="17"/>
      <c r="D1200" s="17"/>
      <c r="E1200" s="17"/>
      <c r="F1200" s="17"/>
      <c r="G1200" s="17"/>
      <c r="H1200" s="356"/>
      <c r="I1200" s="17"/>
      <c r="J1200" s="17"/>
      <c r="K1200" s="17"/>
      <c r="L1200" s="17"/>
      <c r="M1200" s="17"/>
      <c r="N1200" s="17"/>
      <c r="O1200" s="17"/>
      <c r="P1200" s="17"/>
      <c r="Q1200" s="17"/>
      <c r="R1200" s="17"/>
      <c r="S1200" s="17"/>
      <c r="T1200" s="17"/>
      <c r="U1200" s="17"/>
      <c r="V1200" s="17"/>
      <c r="W1200" s="17"/>
      <c r="X1200" s="17"/>
      <c r="Y1200" s="17"/>
      <c r="Z1200" s="17"/>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c r="BF1200" s="17"/>
      <c r="BG1200" s="17"/>
      <c r="BH1200" s="17"/>
      <c r="BI1200" s="17"/>
      <c r="BJ1200" s="17"/>
      <c r="BK1200" s="17"/>
      <c r="BL1200" s="17"/>
    </row>
    <row r="1201">
      <c r="A1201" s="17"/>
      <c r="B1201" s="17"/>
      <c r="C1201" s="17"/>
      <c r="D1201" s="17"/>
      <c r="E1201" s="17"/>
      <c r="F1201" s="17"/>
      <c r="G1201" s="17"/>
      <c r="H1201" s="356"/>
      <c r="I1201" s="17"/>
      <c r="J1201" s="17"/>
      <c r="K1201" s="17"/>
      <c r="L1201" s="17"/>
      <c r="M1201" s="17"/>
      <c r="N1201" s="17"/>
      <c r="O1201" s="17"/>
      <c r="P1201" s="17"/>
      <c r="Q1201" s="17"/>
      <c r="R1201" s="17"/>
      <c r="S1201" s="17"/>
      <c r="T1201" s="17"/>
      <c r="U1201" s="17"/>
      <c r="V1201" s="17"/>
      <c r="W1201" s="17"/>
      <c r="X1201" s="17"/>
      <c r="Y1201" s="17"/>
      <c r="Z1201" s="17"/>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c r="BF1201" s="17"/>
      <c r="BG1201" s="17"/>
      <c r="BH1201" s="17"/>
      <c r="BI1201" s="17"/>
      <c r="BJ1201" s="17"/>
      <c r="BK1201" s="17"/>
      <c r="BL1201" s="17"/>
    </row>
    <row r="1202">
      <c r="A1202" s="17"/>
      <c r="B1202" s="17"/>
      <c r="C1202" s="17"/>
      <c r="D1202" s="17"/>
      <c r="E1202" s="17"/>
      <c r="F1202" s="17"/>
      <c r="G1202" s="17"/>
      <c r="H1202" s="356"/>
      <c r="I1202" s="17"/>
      <c r="J1202" s="17"/>
      <c r="K1202" s="17"/>
      <c r="L1202" s="17"/>
      <c r="M1202" s="17"/>
      <c r="N1202" s="17"/>
      <c r="O1202" s="17"/>
      <c r="P1202" s="17"/>
      <c r="Q1202" s="17"/>
      <c r="R1202" s="17"/>
      <c r="S1202" s="17"/>
      <c r="T1202" s="17"/>
      <c r="U1202" s="17"/>
      <c r="V1202" s="17"/>
      <c r="W1202" s="17"/>
      <c r="X1202" s="17"/>
      <c r="Y1202" s="17"/>
      <c r="Z1202" s="17"/>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c r="BF1202" s="17"/>
      <c r="BG1202" s="17"/>
      <c r="BH1202" s="17"/>
      <c r="BI1202" s="17"/>
      <c r="BJ1202" s="17"/>
      <c r="BK1202" s="17"/>
      <c r="BL1202" s="17"/>
    </row>
    <row r="1203">
      <c r="A1203" s="17"/>
      <c r="B1203" s="17"/>
      <c r="C1203" s="17"/>
      <c r="D1203" s="17"/>
      <c r="E1203" s="17"/>
      <c r="F1203" s="17"/>
      <c r="G1203" s="17"/>
      <c r="H1203" s="356"/>
      <c r="I1203" s="17"/>
      <c r="J1203" s="17"/>
      <c r="K1203" s="17"/>
      <c r="L1203" s="17"/>
      <c r="M1203" s="17"/>
      <c r="N1203" s="17"/>
      <c r="O1203" s="17"/>
      <c r="P1203" s="17"/>
      <c r="Q1203" s="17"/>
      <c r="R1203" s="17"/>
      <c r="S1203" s="17"/>
      <c r="T1203" s="17"/>
      <c r="U1203" s="17"/>
      <c r="V1203" s="17"/>
      <c r="W1203" s="17"/>
      <c r="X1203" s="17"/>
      <c r="Y1203" s="17"/>
      <c r="Z1203" s="17"/>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7"/>
      <c r="AW1203" s="17"/>
      <c r="AX1203" s="17"/>
      <c r="AY1203" s="17"/>
      <c r="AZ1203" s="17"/>
      <c r="BA1203" s="17"/>
      <c r="BB1203" s="17"/>
      <c r="BC1203" s="17"/>
      <c r="BD1203" s="17"/>
      <c r="BE1203" s="17"/>
      <c r="BF1203" s="17"/>
      <c r="BG1203" s="17"/>
      <c r="BH1203" s="17"/>
      <c r="BI1203" s="17"/>
      <c r="BJ1203" s="17"/>
      <c r="BK1203" s="17"/>
      <c r="BL1203" s="17"/>
    </row>
    <row r="1204">
      <c r="A1204" s="17"/>
      <c r="B1204" s="17"/>
      <c r="C1204" s="17"/>
      <c r="D1204" s="17"/>
      <c r="E1204" s="17"/>
      <c r="F1204" s="17"/>
      <c r="G1204" s="17"/>
      <c r="H1204" s="356"/>
      <c r="I1204" s="17"/>
      <c r="J1204" s="17"/>
      <c r="K1204" s="17"/>
      <c r="L1204" s="17"/>
      <c r="M1204" s="17"/>
      <c r="N1204" s="17"/>
      <c r="O1204" s="17"/>
      <c r="P1204" s="17"/>
      <c r="Q1204" s="17"/>
      <c r="R1204" s="17"/>
      <c r="S1204" s="17"/>
      <c r="T1204" s="17"/>
      <c r="U1204" s="17"/>
      <c r="V1204" s="17"/>
      <c r="W1204" s="17"/>
      <c r="X1204" s="17"/>
      <c r="Y1204" s="17"/>
      <c r="Z1204" s="17"/>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c r="AV1204" s="17"/>
      <c r="AW1204" s="17"/>
      <c r="AX1204" s="17"/>
      <c r="AY1204" s="17"/>
      <c r="AZ1204" s="17"/>
      <c r="BA1204" s="17"/>
      <c r="BB1204" s="17"/>
      <c r="BC1204" s="17"/>
      <c r="BD1204" s="17"/>
      <c r="BE1204" s="17"/>
      <c r="BF1204" s="17"/>
      <c r="BG1204" s="17"/>
      <c r="BH1204" s="17"/>
      <c r="BI1204" s="17"/>
      <c r="BJ1204" s="17"/>
      <c r="BK1204" s="17"/>
      <c r="BL1204" s="17"/>
    </row>
    <row r="1205">
      <c r="A1205" s="17"/>
      <c r="B1205" s="17"/>
      <c r="C1205" s="17"/>
      <c r="D1205" s="17"/>
      <c r="E1205" s="17"/>
      <c r="F1205" s="17"/>
      <c r="G1205" s="17"/>
      <c r="H1205" s="356"/>
      <c r="I1205" s="17"/>
      <c r="J1205" s="17"/>
      <c r="K1205" s="17"/>
      <c r="L1205" s="17"/>
      <c r="M1205" s="17"/>
      <c r="N1205" s="17"/>
      <c r="O1205" s="17"/>
      <c r="P1205" s="17"/>
      <c r="Q1205" s="17"/>
      <c r="R1205" s="17"/>
      <c r="S1205" s="17"/>
      <c r="T1205" s="17"/>
      <c r="U1205" s="17"/>
      <c r="V1205" s="17"/>
      <c r="W1205" s="17"/>
      <c r="X1205" s="17"/>
      <c r="Y1205" s="17"/>
      <c r="Z1205" s="17"/>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c r="BA1205" s="17"/>
      <c r="BB1205" s="17"/>
      <c r="BC1205" s="17"/>
      <c r="BD1205" s="17"/>
      <c r="BE1205" s="17"/>
      <c r="BF1205" s="17"/>
      <c r="BG1205" s="17"/>
      <c r="BH1205" s="17"/>
      <c r="BI1205" s="17"/>
      <c r="BJ1205" s="17"/>
      <c r="BK1205" s="17"/>
      <c r="BL1205" s="17"/>
    </row>
    <row r="1206">
      <c r="A1206" s="17"/>
      <c r="B1206" s="17"/>
      <c r="C1206" s="17"/>
      <c r="D1206" s="17"/>
      <c r="E1206" s="17"/>
      <c r="F1206" s="17"/>
      <c r="G1206" s="17"/>
      <c r="H1206" s="356"/>
      <c r="I1206" s="17"/>
      <c r="J1206" s="17"/>
      <c r="K1206" s="17"/>
      <c r="L1206" s="17"/>
      <c r="M1206" s="17"/>
      <c r="N1206" s="17"/>
      <c r="O1206" s="17"/>
      <c r="P1206" s="17"/>
      <c r="Q1206" s="17"/>
      <c r="R1206" s="17"/>
      <c r="S1206" s="17"/>
      <c r="T1206" s="17"/>
      <c r="U1206" s="17"/>
      <c r="V1206" s="17"/>
      <c r="W1206" s="17"/>
      <c r="X1206" s="17"/>
      <c r="Y1206" s="17"/>
      <c r="Z1206" s="17"/>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c r="BA1206" s="17"/>
      <c r="BB1206" s="17"/>
      <c r="BC1206" s="17"/>
      <c r="BD1206" s="17"/>
      <c r="BE1206" s="17"/>
      <c r="BF1206" s="17"/>
      <c r="BG1206" s="17"/>
      <c r="BH1206" s="17"/>
      <c r="BI1206" s="17"/>
      <c r="BJ1206" s="17"/>
      <c r="BK1206" s="17"/>
      <c r="BL1206" s="17"/>
    </row>
    <row r="1207">
      <c r="A1207" s="17"/>
      <c r="B1207" s="17"/>
      <c r="C1207" s="17"/>
      <c r="D1207" s="17"/>
      <c r="E1207" s="17"/>
      <c r="F1207" s="17"/>
      <c r="G1207" s="17"/>
      <c r="H1207" s="356"/>
      <c r="I1207" s="17"/>
      <c r="J1207" s="17"/>
      <c r="K1207" s="17"/>
      <c r="L1207" s="17"/>
      <c r="M1207" s="17"/>
      <c r="N1207" s="17"/>
      <c r="O1207" s="17"/>
      <c r="P1207" s="17"/>
      <c r="Q1207" s="17"/>
      <c r="R1207" s="17"/>
      <c r="S1207" s="17"/>
      <c r="T1207" s="17"/>
      <c r="U1207" s="17"/>
      <c r="V1207" s="17"/>
      <c r="W1207" s="17"/>
      <c r="X1207" s="17"/>
      <c r="Y1207" s="17"/>
      <c r="Z1207" s="17"/>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c r="BA1207" s="17"/>
      <c r="BB1207" s="17"/>
      <c r="BC1207" s="17"/>
      <c r="BD1207" s="17"/>
      <c r="BE1207" s="17"/>
      <c r="BF1207" s="17"/>
      <c r="BG1207" s="17"/>
      <c r="BH1207" s="17"/>
      <c r="BI1207" s="17"/>
      <c r="BJ1207" s="17"/>
      <c r="BK1207" s="17"/>
      <c r="BL1207" s="17"/>
    </row>
    <row r="1208">
      <c r="A1208" s="17"/>
      <c r="B1208" s="17"/>
      <c r="C1208" s="17"/>
      <c r="D1208" s="17"/>
      <c r="E1208" s="17"/>
      <c r="F1208" s="17"/>
      <c r="G1208" s="17"/>
      <c r="H1208" s="356"/>
      <c r="I1208" s="17"/>
      <c r="J1208" s="17"/>
      <c r="K1208" s="17"/>
      <c r="L1208" s="17"/>
      <c r="M1208" s="17"/>
      <c r="N1208" s="17"/>
      <c r="O1208" s="17"/>
      <c r="P1208" s="17"/>
      <c r="Q1208" s="17"/>
      <c r="R1208" s="17"/>
      <c r="S1208" s="17"/>
      <c r="T1208" s="17"/>
      <c r="U1208" s="17"/>
      <c r="V1208" s="17"/>
      <c r="W1208" s="17"/>
      <c r="X1208" s="17"/>
      <c r="Y1208" s="17"/>
      <c r="Z1208" s="17"/>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c r="BA1208" s="17"/>
      <c r="BB1208" s="17"/>
      <c r="BC1208" s="17"/>
      <c r="BD1208" s="17"/>
      <c r="BE1208" s="17"/>
      <c r="BF1208" s="17"/>
      <c r="BG1208" s="17"/>
      <c r="BH1208" s="17"/>
      <c r="BI1208" s="17"/>
      <c r="BJ1208" s="17"/>
      <c r="BK1208" s="17"/>
      <c r="BL1208" s="17"/>
    </row>
    <row r="1209">
      <c r="A1209" s="17"/>
      <c r="B1209" s="17"/>
      <c r="C1209" s="17"/>
      <c r="D1209" s="17"/>
      <c r="E1209" s="17"/>
      <c r="F1209" s="17"/>
      <c r="G1209" s="17"/>
      <c r="H1209" s="356"/>
      <c r="I1209" s="17"/>
      <c r="J1209" s="17"/>
      <c r="K1209" s="17"/>
      <c r="L1209" s="17"/>
      <c r="M1209" s="17"/>
      <c r="N1209" s="17"/>
      <c r="O1209" s="17"/>
      <c r="P1209" s="17"/>
      <c r="Q1209" s="17"/>
      <c r="R1209" s="17"/>
      <c r="S1209" s="17"/>
      <c r="T1209" s="17"/>
      <c r="U1209" s="17"/>
      <c r="V1209" s="17"/>
      <c r="W1209" s="17"/>
      <c r="X1209" s="17"/>
      <c r="Y1209" s="17"/>
      <c r="Z1209" s="17"/>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c r="BA1209" s="17"/>
      <c r="BB1209" s="17"/>
      <c r="BC1209" s="17"/>
      <c r="BD1209" s="17"/>
      <c r="BE1209" s="17"/>
      <c r="BF1209" s="17"/>
      <c r="BG1209" s="17"/>
      <c r="BH1209" s="17"/>
      <c r="BI1209" s="17"/>
      <c r="BJ1209" s="17"/>
      <c r="BK1209" s="17"/>
      <c r="BL1209" s="17"/>
    </row>
    <row r="1210">
      <c r="A1210" s="17"/>
      <c r="B1210" s="17"/>
      <c r="C1210" s="17"/>
      <c r="D1210" s="17"/>
      <c r="E1210" s="17"/>
      <c r="F1210" s="17"/>
      <c r="G1210" s="17"/>
      <c r="H1210" s="356"/>
      <c r="I1210" s="17"/>
      <c r="J1210" s="17"/>
      <c r="K1210" s="17"/>
      <c r="L1210" s="17"/>
      <c r="M1210" s="17"/>
      <c r="N1210" s="17"/>
      <c r="O1210" s="17"/>
      <c r="P1210" s="17"/>
      <c r="Q1210" s="17"/>
      <c r="R1210" s="17"/>
      <c r="S1210" s="17"/>
      <c r="T1210" s="17"/>
      <c r="U1210" s="17"/>
      <c r="V1210" s="17"/>
      <c r="W1210" s="17"/>
      <c r="X1210" s="17"/>
      <c r="Y1210" s="17"/>
      <c r="Z1210" s="17"/>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c r="BA1210" s="17"/>
      <c r="BB1210" s="17"/>
      <c r="BC1210" s="17"/>
      <c r="BD1210" s="17"/>
      <c r="BE1210" s="17"/>
      <c r="BF1210" s="17"/>
      <c r="BG1210" s="17"/>
      <c r="BH1210" s="17"/>
      <c r="BI1210" s="17"/>
      <c r="BJ1210" s="17"/>
      <c r="BK1210" s="17"/>
      <c r="BL1210" s="17"/>
    </row>
    <row r="1211">
      <c r="A1211" s="17"/>
      <c r="B1211" s="17"/>
      <c r="C1211" s="17"/>
      <c r="D1211" s="17"/>
      <c r="E1211" s="17"/>
      <c r="F1211" s="17"/>
      <c r="G1211" s="17"/>
      <c r="H1211" s="356"/>
      <c r="I1211" s="17"/>
      <c r="J1211" s="17"/>
      <c r="K1211" s="17"/>
      <c r="L1211" s="17"/>
      <c r="M1211" s="17"/>
      <c r="N1211" s="17"/>
      <c r="O1211" s="17"/>
      <c r="P1211" s="17"/>
      <c r="Q1211" s="17"/>
      <c r="R1211" s="17"/>
      <c r="S1211" s="17"/>
      <c r="T1211" s="17"/>
      <c r="U1211" s="17"/>
      <c r="V1211" s="17"/>
      <c r="W1211" s="17"/>
      <c r="X1211" s="17"/>
      <c r="Y1211" s="17"/>
      <c r="Z1211" s="17"/>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c r="BA1211" s="17"/>
      <c r="BB1211" s="17"/>
      <c r="BC1211" s="17"/>
      <c r="BD1211" s="17"/>
      <c r="BE1211" s="17"/>
      <c r="BF1211" s="17"/>
      <c r="BG1211" s="17"/>
      <c r="BH1211" s="17"/>
      <c r="BI1211" s="17"/>
      <c r="BJ1211" s="17"/>
      <c r="BK1211" s="17"/>
      <c r="BL1211" s="17"/>
    </row>
    <row r="1212">
      <c r="A1212" s="17"/>
      <c r="B1212" s="17"/>
      <c r="C1212" s="17"/>
      <c r="D1212" s="17"/>
      <c r="E1212" s="17"/>
      <c r="F1212" s="17"/>
      <c r="G1212" s="17"/>
      <c r="H1212" s="356"/>
      <c r="I1212" s="17"/>
      <c r="J1212" s="17"/>
      <c r="K1212" s="17"/>
      <c r="L1212" s="17"/>
      <c r="M1212" s="17"/>
      <c r="N1212" s="17"/>
      <c r="O1212" s="17"/>
      <c r="P1212" s="17"/>
      <c r="Q1212" s="17"/>
      <c r="R1212" s="17"/>
      <c r="S1212" s="17"/>
      <c r="T1212" s="17"/>
      <c r="U1212" s="17"/>
      <c r="V1212" s="17"/>
      <c r="W1212" s="17"/>
      <c r="X1212" s="17"/>
      <c r="Y1212" s="17"/>
      <c r="Z1212" s="17"/>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7"/>
      <c r="AW1212" s="17"/>
      <c r="AX1212" s="17"/>
      <c r="AY1212" s="17"/>
      <c r="AZ1212" s="17"/>
      <c r="BA1212" s="17"/>
      <c r="BB1212" s="17"/>
      <c r="BC1212" s="17"/>
      <c r="BD1212" s="17"/>
      <c r="BE1212" s="17"/>
      <c r="BF1212" s="17"/>
      <c r="BG1212" s="17"/>
      <c r="BH1212" s="17"/>
      <c r="BI1212" s="17"/>
      <c r="BJ1212" s="17"/>
      <c r="BK1212" s="17"/>
      <c r="BL1212" s="17"/>
    </row>
    <row r="1213">
      <c r="A1213" s="17"/>
      <c r="B1213" s="17"/>
      <c r="C1213" s="17"/>
      <c r="D1213" s="17"/>
      <c r="E1213" s="17"/>
      <c r="F1213" s="17"/>
      <c r="G1213" s="17"/>
      <c r="H1213" s="356"/>
      <c r="I1213" s="17"/>
      <c r="J1213" s="17"/>
      <c r="K1213" s="17"/>
      <c r="L1213" s="17"/>
      <c r="M1213" s="17"/>
      <c r="N1213" s="17"/>
      <c r="O1213" s="17"/>
      <c r="P1213" s="17"/>
      <c r="Q1213" s="17"/>
      <c r="R1213" s="17"/>
      <c r="S1213" s="17"/>
      <c r="T1213" s="17"/>
      <c r="U1213" s="17"/>
      <c r="V1213" s="17"/>
      <c r="W1213" s="17"/>
      <c r="X1213" s="17"/>
      <c r="Y1213" s="17"/>
      <c r="Z1213" s="17"/>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c r="BA1213" s="17"/>
      <c r="BB1213" s="17"/>
      <c r="BC1213" s="17"/>
      <c r="BD1213" s="17"/>
      <c r="BE1213" s="17"/>
      <c r="BF1213" s="17"/>
      <c r="BG1213" s="17"/>
      <c r="BH1213" s="17"/>
      <c r="BI1213" s="17"/>
      <c r="BJ1213" s="17"/>
      <c r="BK1213" s="17"/>
      <c r="BL1213" s="17"/>
    </row>
    <row r="1214">
      <c r="A1214" s="17"/>
      <c r="B1214" s="17"/>
      <c r="C1214" s="17"/>
      <c r="D1214" s="17"/>
      <c r="E1214" s="17"/>
      <c r="F1214" s="17"/>
      <c r="G1214" s="17"/>
      <c r="H1214" s="356"/>
      <c r="I1214" s="17"/>
      <c r="J1214" s="17"/>
      <c r="K1214" s="17"/>
      <c r="L1214" s="17"/>
      <c r="M1214" s="17"/>
      <c r="N1214" s="17"/>
      <c r="O1214" s="17"/>
      <c r="P1214" s="17"/>
      <c r="Q1214" s="17"/>
      <c r="R1214" s="17"/>
      <c r="S1214" s="17"/>
      <c r="T1214" s="17"/>
      <c r="U1214" s="17"/>
      <c r="V1214" s="17"/>
      <c r="W1214" s="17"/>
      <c r="X1214" s="17"/>
      <c r="Y1214" s="17"/>
      <c r="Z1214" s="17"/>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c r="BA1214" s="17"/>
      <c r="BB1214" s="17"/>
      <c r="BC1214" s="17"/>
      <c r="BD1214" s="17"/>
      <c r="BE1214" s="17"/>
      <c r="BF1214" s="17"/>
      <c r="BG1214" s="17"/>
      <c r="BH1214" s="17"/>
      <c r="BI1214" s="17"/>
      <c r="BJ1214" s="17"/>
      <c r="BK1214" s="17"/>
      <c r="BL1214" s="17"/>
    </row>
    <row r="1215">
      <c r="A1215" s="17"/>
      <c r="B1215" s="17"/>
      <c r="C1215" s="17"/>
      <c r="D1215" s="17"/>
      <c r="E1215" s="17"/>
      <c r="F1215" s="17"/>
      <c r="G1215" s="17"/>
      <c r="H1215" s="356"/>
      <c r="I1215" s="17"/>
      <c r="J1215" s="17"/>
      <c r="K1215" s="17"/>
      <c r="L1215" s="17"/>
      <c r="M1215" s="17"/>
      <c r="N1215" s="17"/>
      <c r="O1215" s="17"/>
      <c r="P1215" s="17"/>
      <c r="Q1215" s="17"/>
      <c r="R1215" s="17"/>
      <c r="S1215" s="17"/>
      <c r="T1215" s="17"/>
      <c r="U1215" s="17"/>
      <c r="V1215" s="17"/>
      <c r="W1215" s="17"/>
      <c r="X1215" s="17"/>
      <c r="Y1215" s="17"/>
      <c r="Z1215" s="17"/>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c r="BA1215" s="17"/>
      <c r="BB1215" s="17"/>
      <c r="BC1215" s="17"/>
      <c r="BD1215" s="17"/>
      <c r="BE1215" s="17"/>
      <c r="BF1215" s="17"/>
      <c r="BG1215" s="17"/>
      <c r="BH1215" s="17"/>
      <c r="BI1215" s="17"/>
      <c r="BJ1215" s="17"/>
      <c r="BK1215" s="17"/>
      <c r="BL1215" s="17"/>
    </row>
    <row r="1216">
      <c r="A1216" s="17"/>
      <c r="B1216" s="17"/>
      <c r="C1216" s="17"/>
      <c r="D1216" s="17"/>
      <c r="E1216" s="17"/>
      <c r="F1216" s="17"/>
      <c r="G1216" s="17"/>
      <c r="H1216" s="356"/>
      <c r="I1216" s="17"/>
      <c r="J1216" s="17"/>
      <c r="K1216" s="17"/>
      <c r="L1216" s="17"/>
      <c r="M1216" s="17"/>
      <c r="N1216" s="17"/>
      <c r="O1216" s="17"/>
      <c r="P1216" s="17"/>
      <c r="Q1216" s="17"/>
      <c r="R1216" s="17"/>
      <c r="S1216" s="17"/>
      <c r="T1216" s="17"/>
      <c r="U1216" s="17"/>
      <c r="V1216" s="17"/>
      <c r="W1216" s="17"/>
      <c r="X1216" s="17"/>
      <c r="Y1216" s="17"/>
      <c r="Z1216" s="17"/>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c r="BA1216" s="17"/>
      <c r="BB1216" s="17"/>
      <c r="BC1216" s="17"/>
      <c r="BD1216" s="17"/>
      <c r="BE1216" s="17"/>
      <c r="BF1216" s="17"/>
      <c r="BG1216" s="17"/>
      <c r="BH1216" s="17"/>
      <c r="BI1216" s="17"/>
      <c r="BJ1216" s="17"/>
      <c r="BK1216" s="17"/>
      <c r="BL1216" s="17"/>
    </row>
    <row r="1217">
      <c r="A1217" s="17"/>
      <c r="B1217" s="17"/>
      <c r="C1217" s="17"/>
      <c r="D1217" s="17"/>
      <c r="E1217" s="17"/>
      <c r="F1217" s="17"/>
      <c r="G1217" s="17"/>
      <c r="H1217" s="356"/>
      <c r="I1217" s="17"/>
      <c r="J1217" s="17"/>
      <c r="K1217" s="17"/>
      <c r="L1217" s="17"/>
      <c r="M1217" s="17"/>
      <c r="N1217" s="17"/>
      <c r="O1217" s="17"/>
      <c r="P1217" s="17"/>
      <c r="Q1217" s="17"/>
      <c r="R1217" s="17"/>
      <c r="S1217" s="17"/>
      <c r="T1217" s="17"/>
      <c r="U1217" s="17"/>
      <c r="V1217" s="17"/>
      <c r="W1217" s="17"/>
      <c r="X1217" s="17"/>
      <c r="Y1217" s="17"/>
      <c r="Z1217" s="17"/>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c r="AV1217" s="17"/>
      <c r="AW1217" s="17"/>
      <c r="AX1217" s="17"/>
      <c r="AY1217" s="17"/>
      <c r="AZ1217" s="17"/>
      <c r="BA1217" s="17"/>
      <c r="BB1217" s="17"/>
      <c r="BC1217" s="17"/>
      <c r="BD1217" s="17"/>
      <c r="BE1217" s="17"/>
      <c r="BF1217" s="17"/>
      <c r="BG1217" s="17"/>
      <c r="BH1217" s="17"/>
      <c r="BI1217" s="17"/>
      <c r="BJ1217" s="17"/>
      <c r="BK1217" s="17"/>
      <c r="BL1217" s="17"/>
    </row>
    <row r="1218">
      <c r="A1218" s="17"/>
      <c r="B1218" s="17"/>
      <c r="C1218" s="17"/>
      <c r="D1218" s="17"/>
      <c r="E1218" s="17"/>
      <c r="F1218" s="17"/>
      <c r="G1218" s="17"/>
      <c r="H1218" s="356"/>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c r="BA1218" s="17"/>
      <c r="BB1218" s="17"/>
      <c r="BC1218" s="17"/>
      <c r="BD1218" s="17"/>
      <c r="BE1218" s="17"/>
      <c r="BF1218" s="17"/>
      <c r="BG1218" s="17"/>
      <c r="BH1218" s="17"/>
      <c r="BI1218" s="17"/>
      <c r="BJ1218" s="17"/>
      <c r="BK1218" s="17"/>
      <c r="BL1218" s="17"/>
    </row>
    <row r="1219">
      <c r="A1219" s="17"/>
      <c r="B1219" s="17"/>
      <c r="C1219" s="17"/>
      <c r="D1219" s="17"/>
      <c r="E1219" s="17"/>
      <c r="F1219" s="17"/>
      <c r="G1219" s="17"/>
      <c r="H1219" s="356"/>
      <c r="I1219" s="17"/>
      <c r="J1219" s="17"/>
      <c r="K1219" s="17"/>
      <c r="L1219" s="17"/>
      <c r="M1219" s="17"/>
      <c r="N1219" s="17"/>
      <c r="O1219" s="17"/>
      <c r="P1219" s="17"/>
      <c r="Q1219" s="17"/>
      <c r="R1219" s="17"/>
      <c r="S1219" s="17"/>
      <c r="T1219" s="17"/>
      <c r="U1219" s="17"/>
      <c r="V1219" s="17"/>
      <c r="W1219" s="17"/>
      <c r="X1219" s="17"/>
      <c r="Y1219" s="17"/>
      <c r="Z1219" s="17"/>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c r="BA1219" s="17"/>
      <c r="BB1219" s="17"/>
      <c r="BC1219" s="17"/>
      <c r="BD1219" s="17"/>
      <c r="BE1219" s="17"/>
      <c r="BF1219" s="17"/>
      <c r="BG1219" s="17"/>
      <c r="BH1219" s="17"/>
      <c r="BI1219" s="17"/>
      <c r="BJ1219" s="17"/>
      <c r="BK1219" s="17"/>
      <c r="BL1219" s="17"/>
    </row>
    <row r="1220">
      <c r="A1220" s="17"/>
      <c r="B1220" s="17"/>
      <c r="C1220" s="17"/>
      <c r="D1220" s="17"/>
      <c r="E1220" s="17"/>
      <c r="F1220" s="17"/>
      <c r="G1220" s="17"/>
      <c r="H1220" s="356"/>
      <c r="I1220" s="17"/>
      <c r="J1220" s="17"/>
      <c r="K1220" s="17"/>
      <c r="L1220" s="17"/>
      <c r="M1220" s="17"/>
      <c r="N1220" s="17"/>
      <c r="O1220" s="17"/>
      <c r="P1220" s="17"/>
      <c r="Q1220" s="17"/>
      <c r="R1220" s="17"/>
      <c r="S1220" s="17"/>
      <c r="T1220" s="17"/>
      <c r="U1220" s="17"/>
      <c r="V1220" s="17"/>
      <c r="W1220" s="17"/>
      <c r="X1220" s="17"/>
      <c r="Y1220" s="17"/>
      <c r="Z1220" s="17"/>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c r="BF1220" s="17"/>
      <c r="BG1220" s="17"/>
      <c r="BH1220" s="17"/>
      <c r="BI1220" s="17"/>
      <c r="BJ1220" s="17"/>
      <c r="BK1220" s="17"/>
      <c r="BL1220" s="17"/>
    </row>
    <row r="1221">
      <c r="A1221" s="17"/>
      <c r="B1221" s="17"/>
      <c r="C1221" s="17"/>
      <c r="D1221" s="17"/>
      <c r="E1221" s="17"/>
      <c r="F1221" s="17"/>
      <c r="G1221" s="17"/>
      <c r="H1221" s="356"/>
      <c r="I1221" s="17"/>
      <c r="J1221" s="17"/>
      <c r="K1221" s="17"/>
      <c r="L1221" s="17"/>
      <c r="M1221" s="17"/>
      <c r="N1221" s="17"/>
      <c r="O1221" s="17"/>
      <c r="P1221" s="17"/>
      <c r="Q1221" s="17"/>
      <c r="R1221" s="17"/>
      <c r="S1221" s="17"/>
      <c r="T1221" s="17"/>
      <c r="U1221" s="17"/>
      <c r="V1221" s="17"/>
      <c r="W1221" s="17"/>
      <c r="X1221" s="17"/>
      <c r="Y1221" s="17"/>
      <c r="Z1221" s="17"/>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c r="BF1221" s="17"/>
      <c r="BG1221" s="17"/>
      <c r="BH1221" s="17"/>
      <c r="BI1221" s="17"/>
      <c r="BJ1221" s="17"/>
      <c r="BK1221" s="17"/>
      <c r="BL1221" s="17"/>
    </row>
    <row r="1222">
      <c r="A1222" s="17"/>
      <c r="B1222" s="17"/>
      <c r="C1222" s="17"/>
      <c r="D1222" s="17"/>
      <c r="E1222" s="17"/>
      <c r="F1222" s="17"/>
      <c r="G1222" s="17"/>
      <c r="H1222" s="356"/>
      <c r="I1222" s="17"/>
      <c r="J1222" s="17"/>
      <c r="K1222" s="17"/>
      <c r="L1222" s="17"/>
      <c r="M1222" s="17"/>
      <c r="N1222" s="17"/>
      <c r="O1222" s="17"/>
      <c r="P1222" s="17"/>
      <c r="Q1222" s="17"/>
      <c r="R1222" s="17"/>
      <c r="S1222" s="17"/>
      <c r="T1222" s="17"/>
      <c r="U1222" s="17"/>
      <c r="V1222" s="17"/>
      <c r="W1222" s="17"/>
      <c r="X1222" s="17"/>
      <c r="Y1222" s="17"/>
      <c r="Z1222" s="17"/>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c r="BF1222" s="17"/>
      <c r="BG1222" s="17"/>
      <c r="BH1222" s="17"/>
      <c r="BI1222" s="17"/>
      <c r="BJ1222" s="17"/>
      <c r="BK1222" s="17"/>
      <c r="BL1222" s="17"/>
    </row>
    <row r="1223">
      <c r="A1223" s="17"/>
      <c r="B1223" s="17"/>
      <c r="C1223" s="17"/>
      <c r="D1223" s="17"/>
      <c r="E1223" s="17"/>
      <c r="F1223" s="17"/>
      <c r="G1223" s="17"/>
      <c r="H1223" s="356"/>
      <c r="I1223" s="17"/>
      <c r="J1223" s="17"/>
      <c r="K1223" s="17"/>
      <c r="L1223" s="17"/>
      <c r="M1223" s="17"/>
      <c r="N1223" s="17"/>
      <c r="O1223" s="17"/>
      <c r="P1223" s="17"/>
      <c r="Q1223" s="17"/>
      <c r="R1223" s="17"/>
      <c r="S1223" s="17"/>
      <c r="T1223" s="17"/>
      <c r="U1223" s="17"/>
      <c r="V1223" s="17"/>
      <c r="W1223" s="17"/>
      <c r="X1223" s="17"/>
      <c r="Y1223" s="17"/>
      <c r="Z1223" s="17"/>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c r="BF1223" s="17"/>
      <c r="BG1223" s="17"/>
      <c r="BH1223" s="17"/>
      <c r="BI1223" s="17"/>
      <c r="BJ1223" s="17"/>
      <c r="BK1223" s="17"/>
      <c r="BL1223" s="17"/>
    </row>
    <row r="1224">
      <c r="A1224" s="17"/>
      <c r="B1224" s="17"/>
      <c r="C1224" s="17"/>
      <c r="D1224" s="17"/>
      <c r="E1224" s="17"/>
      <c r="F1224" s="17"/>
      <c r="G1224" s="17"/>
      <c r="H1224" s="356"/>
      <c r="I1224" s="17"/>
      <c r="J1224" s="17"/>
      <c r="K1224" s="17"/>
      <c r="L1224" s="17"/>
      <c r="M1224" s="17"/>
      <c r="N1224" s="17"/>
      <c r="O1224" s="17"/>
      <c r="P1224" s="17"/>
      <c r="Q1224" s="17"/>
      <c r="R1224" s="17"/>
      <c r="S1224" s="17"/>
      <c r="T1224" s="17"/>
      <c r="U1224" s="17"/>
      <c r="V1224" s="17"/>
      <c r="W1224" s="17"/>
      <c r="X1224" s="17"/>
      <c r="Y1224" s="17"/>
      <c r="Z1224" s="17"/>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c r="BF1224" s="17"/>
      <c r="BG1224" s="17"/>
      <c r="BH1224" s="17"/>
      <c r="BI1224" s="17"/>
      <c r="BJ1224" s="17"/>
      <c r="BK1224" s="17"/>
      <c r="BL1224" s="17"/>
    </row>
    <row r="1225">
      <c r="A1225" s="17"/>
      <c r="B1225" s="17"/>
      <c r="C1225" s="17"/>
      <c r="D1225" s="17"/>
      <c r="E1225" s="17"/>
      <c r="F1225" s="17"/>
      <c r="G1225" s="17"/>
      <c r="H1225" s="356"/>
      <c r="I1225" s="17"/>
      <c r="J1225" s="17"/>
      <c r="K1225" s="17"/>
      <c r="L1225" s="17"/>
      <c r="M1225" s="17"/>
      <c r="N1225" s="17"/>
      <c r="O1225" s="17"/>
      <c r="P1225" s="17"/>
      <c r="Q1225" s="17"/>
      <c r="R1225" s="17"/>
      <c r="S1225" s="17"/>
      <c r="T1225" s="17"/>
      <c r="U1225" s="17"/>
      <c r="V1225" s="17"/>
      <c r="W1225" s="17"/>
      <c r="X1225" s="17"/>
      <c r="Y1225" s="17"/>
      <c r="Z1225" s="17"/>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c r="BF1225" s="17"/>
      <c r="BG1225" s="17"/>
      <c r="BH1225" s="17"/>
      <c r="BI1225" s="17"/>
      <c r="BJ1225" s="17"/>
      <c r="BK1225" s="17"/>
      <c r="BL1225" s="17"/>
    </row>
    <row r="1226">
      <c r="A1226" s="17"/>
      <c r="B1226" s="17"/>
      <c r="C1226" s="17"/>
      <c r="D1226" s="17"/>
      <c r="E1226" s="17"/>
      <c r="F1226" s="17"/>
      <c r="G1226" s="17"/>
      <c r="H1226" s="356"/>
      <c r="I1226" s="17"/>
      <c r="J1226" s="17"/>
      <c r="K1226" s="17"/>
      <c r="L1226" s="17"/>
      <c r="M1226" s="17"/>
      <c r="N1226" s="17"/>
      <c r="O1226" s="17"/>
      <c r="P1226" s="17"/>
      <c r="Q1226" s="17"/>
      <c r="R1226" s="17"/>
      <c r="S1226" s="17"/>
      <c r="T1226" s="17"/>
      <c r="U1226" s="17"/>
      <c r="V1226" s="17"/>
      <c r="W1226" s="17"/>
      <c r="X1226" s="17"/>
      <c r="Y1226" s="17"/>
      <c r="Z1226" s="17"/>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c r="BF1226" s="17"/>
      <c r="BG1226" s="17"/>
      <c r="BH1226" s="17"/>
      <c r="BI1226" s="17"/>
      <c r="BJ1226" s="17"/>
      <c r="BK1226" s="17"/>
      <c r="BL1226" s="17"/>
    </row>
    <row r="1227">
      <c r="A1227" s="17"/>
      <c r="B1227" s="17"/>
      <c r="C1227" s="17"/>
      <c r="D1227" s="17"/>
      <c r="E1227" s="17"/>
      <c r="F1227" s="17"/>
      <c r="G1227" s="17"/>
      <c r="H1227" s="356"/>
      <c r="I1227" s="17"/>
      <c r="J1227" s="17"/>
      <c r="K1227" s="17"/>
      <c r="L1227" s="17"/>
      <c r="M1227" s="17"/>
      <c r="N1227" s="17"/>
      <c r="O1227" s="17"/>
      <c r="P1227" s="17"/>
      <c r="Q1227" s="17"/>
      <c r="R1227" s="17"/>
      <c r="S1227" s="17"/>
      <c r="T1227" s="17"/>
      <c r="U1227" s="17"/>
      <c r="V1227" s="17"/>
      <c r="W1227" s="17"/>
      <c r="X1227" s="17"/>
      <c r="Y1227" s="17"/>
      <c r="Z1227" s="17"/>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c r="BF1227" s="17"/>
      <c r="BG1227" s="17"/>
      <c r="BH1227" s="17"/>
      <c r="BI1227" s="17"/>
      <c r="BJ1227" s="17"/>
      <c r="BK1227" s="17"/>
      <c r="BL1227" s="17"/>
    </row>
    <row r="1228">
      <c r="A1228" s="17"/>
      <c r="B1228" s="17"/>
      <c r="C1228" s="17"/>
      <c r="D1228" s="17"/>
      <c r="E1228" s="17"/>
      <c r="F1228" s="17"/>
      <c r="G1228" s="17"/>
      <c r="H1228" s="356"/>
      <c r="I1228" s="17"/>
      <c r="J1228" s="17"/>
      <c r="K1228" s="17"/>
      <c r="L1228" s="17"/>
      <c r="M1228" s="17"/>
      <c r="N1228" s="17"/>
      <c r="O1228" s="17"/>
      <c r="P1228" s="17"/>
      <c r="Q1228" s="17"/>
      <c r="R1228" s="17"/>
      <c r="S1228" s="17"/>
      <c r="T1228" s="17"/>
      <c r="U1228" s="17"/>
      <c r="V1228" s="17"/>
      <c r="W1228" s="17"/>
      <c r="X1228" s="17"/>
      <c r="Y1228" s="17"/>
      <c r="Z1228" s="17"/>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c r="BF1228" s="17"/>
      <c r="BG1228" s="17"/>
      <c r="BH1228" s="17"/>
      <c r="BI1228" s="17"/>
      <c r="BJ1228" s="17"/>
      <c r="BK1228" s="17"/>
      <c r="BL1228" s="17"/>
    </row>
    <row r="1229">
      <c r="A1229" s="17"/>
      <c r="B1229" s="17"/>
      <c r="C1229" s="17"/>
      <c r="D1229" s="17"/>
      <c r="E1229" s="17"/>
      <c r="F1229" s="17"/>
      <c r="G1229" s="17"/>
      <c r="H1229" s="356"/>
      <c r="I1229" s="17"/>
      <c r="J1229" s="17"/>
      <c r="K1229" s="17"/>
      <c r="L1229" s="17"/>
      <c r="M1229" s="17"/>
      <c r="N1229" s="17"/>
      <c r="O1229" s="17"/>
      <c r="P1229" s="17"/>
      <c r="Q1229" s="17"/>
      <c r="R1229" s="17"/>
      <c r="S1229" s="17"/>
      <c r="T1229" s="17"/>
      <c r="U1229" s="17"/>
      <c r="V1229" s="17"/>
      <c r="W1229" s="17"/>
      <c r="X1229" s="17"/>
      <c r="Y1229" s="17"/>
      <c r="Z1229" s="17"/>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c r="BF1229" s="17"/>
      <c r="BG1229" s="17"/>
      <c r="BH1229" s="17"/>
      <c r="BI1229" s="17"/>
      <c r="BJ1229" s="17"/>
      <c r="BK1229" s="17"/>
      <c r="BL1229" s="17"/>
    </row>
    <row r="1230">
      <c r="A1230" s="17"/>
      <c r="B1230" s="17"/>
      <c r="C1230" s="17"/>
      <c r="D1230" s="17"/>
      <c r="E1230" s="17"/>
      <c r="F1230" s="17"/>
      <c r="G1230" s="17"/>
      <c r="H1230" s="356"/>
      <c r="I1230" s="17"/>
      <c r="J1230" s="17"/>
      <c r="K1230" s="17"/>
      <c r="L1230" s="17"/>
      <c r="M1230" s="17"/>
      <c r="N1230" s="17"/>
      <c r="O1230" s="17"/>
      <c r="P1230" s="17"/>
      <c r="Q1230" s="17"/>
      <c r="R1230" s="17"/>
      <c r="S1230" s="17"/>
      <c r="T1230" s="17"/>
      <c r="U1230" s="17"/>
      <c r="V1230" s="17"/>
      <c r="W1230" s="17"/>
      <c r="X1230" s="17"/>
      <c r="Y1230" s="17"/>
      <c r="Z1230" s="17"/>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c r="BF1230" s="17"/>
      <c r="BG1230" s="17"/>
      <c r="BH1230" s="17"/>
      <c r="BI1230" s="17"/>
      <c r="BJ1230" s="17"/>
      <c r="BK1230" s="17"/>
      <c r="BL1230" s="17"/>
    </row>
    <row r="1231">
      <c r="A1231" s="17"/>
      <c r="B1231" s="17"/>
      <c r="C1231" s="17"/>
      <c r="D1231" s="17"/>
      <c r="E1231" s="17"/>
      <c r="F1231" s="17"/>
      <c r="G1231" s="17"/>
      <c r="H1231" s="356"/>
      <c r="I1231" s="17"/>
      <c r="J1231" s="17"/>
      <c r="K1231" s="17"/>
      <c r="L1231" s="17"/>
      <c r="M1231" s="17"/>
      <c r="N1231" s="17"/>
      <c r="O1231" s="17"/>
      <c r="P1231" s="17"/>
      <c r="Q1231" s="17"/>
      <c r="R1231" s="17"/>
      <c r="S1231" s="17"/>
      <c r="T1231" s="17"/>
      <c r="U1231" s="17"/>
      <c r="V1231" s="17"/>
      <c r="W1231" s="17"/>
      <c r="X1231" s="17"/>
      <c r="Y1231" s="17"/>
      <c r="Z1231" s="17"/>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c r="BF1231" s="17"/>
      <c r="BG1231" s="17"/>
      <c r="BH1231" s="17"/>
      <c r="BI1231" s="17"/>
      <c r="BJ1231" s="17"/>
      <c r="BK1231" s="17"/>
      <c r="BL1231" s="17"/>
    </row>
    <row r="1232">
      <c r="A1232" s="17"/>
      <c r="B1232" s="17"/>
      <c r="C1232" s="17"/>
      <c r="D1232" s="17"/>
      <c r="E1232" s="17"/>
      <c r="F1232" s="17"/>
      <c r="G1232" s="17"/>
      <c r="H1232" s="356"/>
      <c r="I1232" s="17"/>
      <c r="J1232" s="17"/>
      <c r="K1232" s="17"/>
      <c r="L1232" s="17"/>
      <c r="M1232" s="17"/>
      <c r="N1232" s="17"/>
      <c r="O1232" s="17"/>
      <c r="P1232" s="17"/>
      <c r="Q1232" s="17"/>
      <c r="R1232" s="17"/>
      <c r="S1232" s="17"/>
      <c r="T1232" s="17"/>
      <c r="U1232" s="17"/>
      <c r="V1232" s="17"/>
      <c r="W1232" s="17"/>
      <c r="X1232" s="17"/>
      <c r="Y1232" s="17"/>
      <c r="Z1232" s="17"/>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c r="BF1232" s="17"/>
      <c r="BG1232" s="17"/>
      <c r="BH1232" s="17"/>
      <c r="BI1232" s="17"/>
      <c r="BJ1232" s="17"/>
      <c r="BK1232" s="17"/>
      <c r="BL1232" s="17"/>
    </row>
    <row r="1233">
      <c r="A1233" s="17"/>
      <c r="B1233" s="17"/>
      <c r="C1233" s="17"/>
      <c r="D1233" s="17"/>
      <c r="E1233" s="17"/>
      <c r="F1233" s="17"/>
      <c r="G1233" s="17"/>
      <c r="H1233" s="356"/>
      <c r="I1233" s="17"/>
      <c r="J1233" s="17"/>
      <c r="K1233" s="17"/>
      <c r="L1233" s="17"/>
      <c r="M1233" s="17"/>
      <c r="N1233" s="17"/>
      <c r="O1233" s="17"/>
      <c r="P1233" s="17"/>
      <c r="Q1233" s="17"/>
      <c r="R1233" s="17"/>
      <c r="S1233" s="17"/>
      <c r="T1233" s="17"/>
      <c r="U1233" s="17"/>
      <c r="V1233" s="17"/>
      <c r="W1233" s="17"/>
      <c r="X1233" s="17"/>
      <c r="Y1233" s="17"/>
      <c r="Z1233" s="17"/>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c r="BF1233" s="17"/>
      <c r="BG1233" s="17"/>
      <c r="BH1233" s="17"/>
      <c r="BI1233" s="17"/>
      <c r="BJ1233" s="17"/>
      <c r="BK1233" s="17"/>
      <c r="BL1233" s="17"/>
    </row>
    <row r="1234">
      <c r="A1234" s="17"/>
      <c r="B1234" s="17"/>
      <c r="C1234" s="17"/>
      <c r="D1234" s="17"/>
      <c r="E1234" s="17"/>
      <c r="F1234" s="17"/>
      <c r="G1234" s="17"/>
      <c r="H1234" s="356"/>
      <c r="I1234" s="17"/>
      <c r="J1234" s="17"/>
      <c r="K1234" s="17"/>
      <c r="L1234" s="17"/>
      <c r="M1234" s="17"/>
      <c r="N1234" s="17"/>
      <c r="O1234" s="17"/>
      <c r="P1234" s="17"/>
      <c r="Q1234" s="17"/>
      <c r="R1234" s="17"/>
      <c r="S1234" s="17"/>
      <c r="T1234" s="17"/>
      <c r="U1234" s="17"/>
      <c r="V1234" s="17"/>
      <c r="W1234" s="17"/>
      <c r="X1234" s="17"/>
      <c r="Y1234" s="17"/>
      <c r="Z1234" s="17"/>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c r="BF1234" s="17"/>
      <c r="BG1234" s="17"/>
      <c r="BH1234" s="17"/>
      <c r="BI1234" s="17"/>
      <c r="BJ1234" s="17"/>
      <c r="BK1234" s="17"/>
      <c r="BL1234" s="17"/>
    </row>
    <row r="1235">
      <c r="A1235" s="17"/>
      <c r="B1235" s="17"/>
      <c r="C1235" s="17"/>
      <c r="D1235" s="17"/>
      <c r="E1235" s="17"/>
      <c r="F1235" s="17"/>
      <c r="G1235" s="17"/>
      <c r="H1235" s="356"/>
      <c r="I1235" s="17"/>
      <c r="J1235" s="17"/>
      <c r="K1235" s="17"/>
      <c r="L1235" s="17"/>
      <c r="M1235" s="17"/>
      <c r="N1235" s="17"/>
      <c r="O1235" s="17"/>
      <c r="P1235" s="17"/>
      <c r="Q1235" s="17"/>
      <c r="R1235" s="17"/>
      <c r="S1235" s="17"/>
      <c r="T1235" s="17"/>
      <c r="U1235" s="17"/>
      <c r="V1235" s="17"/>
      <c r="W1235" s="17"/>
      <c r="X1235" s="17"/>
      <c r="Y1235" s="17"/>
      <c r="Z1235" s="17"/>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c r="BF1235" s="17"/>
      <c r="BG1235" s="17"/>
      <c r="BH1235" s="17"/>
      <c r="BI1235" s="17"/>
      <c r="BJ1235" s="17"/>
      <c r="BK1235" s="17"/>
      <c r="BL1235" s="17"/>
    </row>
    <row r="1236">
      <c r="A1236" s="17"/>
      <c r="B1236" s="17"/>
      <c r="C1236" s="17"/>
      <c r="D1236" s="17"/>
      <c r="E1236" s="17"/>
      <c r="F1236" s="17"/>
      <c r="G1236" s="17"/>
      <c r="H1236" s="356"/>
      <c r="I1236" s="17"/>
      <c r="J1236" s="17"/>
      <c r="K1236" s="17"/>
      <c r="L1236" s="17"/>
      <c r="M1236" s="17"/>
      <c r="N1236" s="17"/>
      <c r="O1236" s="17"/>
      <c r="P1236" s="17"/>
      <c r="Q1236" s="17"/>
      <c r="R1236" s="17"/>
      <c r="S1236" s="17"/>
      <c r="T1236" s="17"/>
      <c r="U1236" s="17"/>
      <c r="V1236" s="17"/>
      <c r="W1236" s="17"/>
      <c r="X1236" s="17"/>
      <c r="Y1236" s="17"/>
      <c r="Z1236" s="17"/>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c r="BF1236" s="17"/>
      <c r="BG1236" s="17"/>
      <c r="BH1236" s="17"/>
      <c r="BI1236" s="17"/>
      <c r="BJ1236" s="17"/>
      <c r="BK1236" s="17"/>
      <c r="BL1236" s="17"/>
    </row>
    <row r="1237">
      <c r="A1237" s="17"/>
      <c r="B1237" s="17"/>
      <c r="C1237" s="17"/>
      <c r="D1237" s="17"/>
      <c r="E1237" s="17"/>
      <c r="F1237" s="17"/>
      <c r="G1237" s="17"/>
      <c r="H1237" s="356"/>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c r="BF1237" s="17"/>
      <c r="BG1237" s="17"/>
      <c r="BH1237" s="17"/>
      <c r="BI1237" s="17"/>
      <c r="BJ1237" s="17"/>
      <c r="BK1237" s="17"/>
      <c r="BL1237" s="17"/>
    </row>
    <row r="1238">
      <c r="A1238" s="17"/>
      <c r="B1238" s="17"/>
      <c r="C1238" s="17"/>
      <c r="D1238" s="17"/>
      <c r="E1238" s="17"/>
      <c r="F1238" s="17"/>
      <c r="G1238" s="17"/>
      <c r="H1238" s="356"/>
      <c r="I1238" s="17"/>
      <c r="J1238" s="17"/>
      <c r="K1238" s="17"/>
      <c r="L1238" s="17"/>
      <c r="M1238" s="17"/>
      <c r="N1238" s="17"/>
      <c r="O1238" s="17"/>
      <c r="P1238" s="17"/>
      <c r="Q1238" s="17"/>
      <c r="R1238" s="17"/>
      <c r="S1238" s="17"/>
      <c r="T1238" s="17"/>
      <c r="U1238" s="17"/>
      <c r="V1238" s="17"/>
      <c r="W1238" s="17"/>
      <c r="X1238" s="17"/>
      <c r="Y1238" s="17"/>
      <c r="Z1238" s="17"/>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c r="BF1238" s="17"/>
      <c r="BG1238" s="17"/>
      <c r="BH1238" s="17"/>
      <c r="BI1238" s="17"/>
      <c r="BJ1238" s="17"/>
      <c r="BK1238" s="17"/>
      <c r="BL1238" s="17"/>
    </row>
    <row r="1239">
      <c r="A1239" s="17"/>
      <c r="B1239" s="17"/>
      <c r="C1239" s="17"/>
      <c r="D1239" s="17"/>
      <c r="E1239" s="17"/>
      <c r="F1239" s="17"/>
      <c r="G1239" s="17"/>
      <c r="H1239" s="356"/>
      <c r="I1239" s="17"/>
      <c r="J1239" s="17"/>
      <c r="K1239" s="17"/>
      <c r="L1239" s="17"/>
      <c r="M1239" s="17"/>
      <c r="N1239" s="17"/>
      <c r="O1239" s="17"/>
      <c r="P1239" s="17"/>
      <c r="Q1239" s="17"/>
      <c r="R1239" s="17"/>
      <c r="S1239" s="17"/>
      <c r="T1239" s="17"/>
      <c r="U1239" s="17"/>
      <c r="V1239" s="17"/>
      <c r="W1239" s="17"/>
      <c r="X1239" s="17"/>
      <c r="Y1239" s="17"/>
      <c r="Z1239" s="17"/>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c r="BA1239" s="17"/>
      <c r="BB1239" s="17"/>
      <c r="BC1239" s="17"/>
      <c r="BD1239" s="17"/>
      <c r="BE1239" s="17"/>
      <c r="BF1239" s="17"/>
      <c r="BG1239" s="17"/>
      <c r="BH1239" s="17"/>
      <c r="BI1239" s="17"/>
      <c r="BJ1239" s="17"/>
      <c r="BK1239" s="17"/>
      <c r="BL1239" s="17"/>
    </row>
    <row r="1240">
      <c r="A1240" s="17"/>
      <c r="B1240" s="17"/>
      <c r="C1240" s="17"/>
      <c r="D1240" s="17"/>
      <c r="E1240" s="17"/>
      <c r="F1240" s="17"/>
      <c r="G1240" s="17"/>
      <c r="H1240" s="356"/>
      <c r="I1240" s="17"/>
      <c r="J1240" s="17"/>
      <c r="K1240" s="17"/>
      <c r="L1240" s="17"/>
      <c r="M1240" s="17"/>
      <c r="N1240" s="17"/>
      <c r="O1240" s="17"/>
      <c r="P1240" s="17"/>
      <c r="Q1240" s="17"/>
      <c r="R1240" s="17"/>
      <c r="S1240" s="17"/>
      <c r="T1240" s="17"/>
      <c r="U1240" s="17"/>
      <c r="V1240" s="17"/>
      <c r="W1240" s="17"/>
      <c r="X1240" s="17"/>
      <c r="Y1240" s="17"/>
      <c r="Z1240" s="17"/>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c r="BF1240" s="17"/>
      <c r="BG1240" s="17"/>
      <c r="BH1240" s="17"/>
      <c r="BI1240" s="17"/>
      <c r="BJ1240" s="17"/>
      <c r="BK1240" s="17"/>
      <c r="BL1240" s="17"/>
    </row>
    <row r="1241">
      <c r="A1241" s="17"/>
      <c r="B1241" s="17"/>
      <c r="C1241" s="17"/>
      <c r="D1241" s="17"/>
      <c r="E1241" s="17"/>
      <c r="F1241" s="17"/>
      <c r="G1241" s="17"/>
      <c r="H1241" s="356"/>
      <c r="I1241" s="17"/>
      <c r="J1241" s="17"/>
      <c r="K1241" s="17"/>
      <c r="L1241" s="17"/>
      <c r="M1241" s="17"/>
      <c r="N1241" s="17"/>
      <c r="O1241" s="17"/>
      <c r="P1241" s="17"/>
      <c r="Q1241" s="17"/>
      <c r="R1241" s="17"/>
      <c r="S1241" s="17"/>
      <c r="T1241" s="17"/>
      <c r="U1241" s="17"/>
      <c r="V1241" s="17"/>
      <c r="W1241" s="17"/>
      <c r="X1241" s="17"/>
      <c r="Y1241" s="17"/>
      <c r="Z1241" s="17"/>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c r="BF1241" s="17"/>
      <c r="BG1241" s="17"/>
      <c r="BH1241" s="17"/>
      <c r="BI1241" s="17"/>
      <c r="BJ1241" s="17"/>
      <c r="BK1241" s="17"/>
      <c r="BL1241" s="17"/>
    </row>
    <row r="1242">
      <c r="A1242" s="17"/>
      <c r="B1242" s="17"/>
      <c r="C1242" s="17"/>
      <c r="D1242" s="17"/>
      <c r="E1242" s="17"/>
      <c r="F1242" s="17"/>
      <c r="G1242" s="17"/>
      <c r="H1242" s="356"/>
      <c r="I1242" s="17"/>
      <c r="J1242" s="17"/>
      <c r="K1242" s="17"/>
      <c r="L1242" s="17"/>
      <c r="M1242" s="17"/>
      <c r="N1242" s="17"/>
      <c r="O1242" s="17"/>
      <c r="P1242" s="17"/>
      <c r="Q1242" s="17"/>
      <c r="R1242" s="17"/>
      <c r="S1242" s="17"/>
      <c r="T1242" s="17"/>
      <c r="U1242" s="17"/>
      <c r="V1242" s="17"/>
      <c r="W1242" s="17"/>
      <c r="X1242" s="17"/>
      <c r="Y1242" s="17"/>
      <c r="Z1242" s="17"/>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c r="BF1242" s="17"/>
      <c r="BG1242" s="17"/>
      <c r="BH1242" s="17"/>
      <c r="BI1242" s="17"/>
      <c r="BJ1242" s="17"/>
      <c r="BK1242" s="17"/>
      <c r="BL1242" s="17"/>
    </row>
    <row r="1243">
      <c r="A1243" s="17"/>
      <c r="B1243" s="17"/>
      <c r="C1243" s="17"/>
      <c r="D1243" s="17"/>
      <c r="E1243" s="17"/>
      <c r="F1243" s="17"/>
      <c r="G1243" s="17"/>
      <c r="H1243" s="356"/>
      <c r="I1243" s="17"/>
      <c r="J1243" s="17"/>
      <c r="K1243" s="17"/>
      <c r="L1243" s="17"/>
      <c r="M1243" s="17"/>
      <c r="N1243" s="17"/>
      <c r="O1243" s="17"/>
      <c r="P1243" s="17"/>
      <c r="Q1243" s="17"/>
      <c r="R1243" s="17"/>
      <c r="S1243" s="17"/>
      <c r="T1243" s="17"/>
      <c r="U1243" s="17"/>
      <c r="V1243" s="17"/>
      <c r="W1243" s="17"/>
      <c r="X1243" s="17"/>
      <c r="Y1243" s="17"/>
      <c r="Z1243" s="17"/>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c r="BF1243" s="17"/>
      <c r="BG1243" s="17"/>
      <c r="BH1243" s="17"/>
      <c r="BI1243" s="17"/>
      <c r="BJ1243" s="17"/>
      <c r="BK1243" s="17"/>
      <c r="BL1243" s="17"/>
    </row>
    <row r="1244">
      <c r="A1244" s="17"/>
      <c r="B1244" s="17"/>
      <c r="C1244" s="17"/>
      <c r="D1244" s="17"/>
      <c r="E1244" s="17"/>
      <c r="F1244" s="17"/>
      <c r="G1244" s="17"/>
      <c r="H1244" s="356"/>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c r="BF1244" s="17"/>
      <c r="BG1244" s="17"/>
      <c r="BH1244" s="17"/>
      <c r="BI1244" s="17"/>
      <c r="BJ1244" s="17"/>
      <c r="BK1244" s="17"/>
      <c r="BL1244" s="17"/>
    </row>
    <row r="1245">
      <c r="A1245" s="17"/>
      <c r="B1245" s="17"/>
      <c r="C1245" s="17"/>
      <c r="D1245" s="17"/>
      <c r="E1245" s="17"/>
      <c r="F1245" s="17"/>
      <c r="G1245" s="17"/>
      <c r="H1245" s="356"/>
      <c r="I1245" s="17"/>
      <c r="J1245" s="17"/>
      <c r="K1245" s="17"/>
      <c r="L1245" s="17"/>
      <c r="M1245" s="17"/>
      <c r="N1245" s="17"/>
      <c r="O1245" s="17"/>
      <c r="P1245" s="17"/>
      <c r="Q1245" s="17"/>
      <c r="R1245" s="17"/>
      <c r="S1245" s="17"/>
      <c r="T1245" s="17"/>
      <c r="U1245" s="17"/>
      <c r="V1245" s="17"/>
      <c r="W1245" s="17"/>
      <c r="X1245" s="17"/>
      <c r="Y1245" s="17"/>
      <c r="Z1245" s="17"/>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c r="BF1245" s="17"/>
      <c r="BG1245" s="17"/>
      <c r="BH1245" s="17"/>
      <c r="BI1245" s="17"/>
      <c r="BJ1245" s="17"/>
      <c r="BK1245" s="17"/>
      <c r="BL1245" s="17"/>
    </row>
    <row r="1246">
      <c r="A1246" s="17"/>
      <c r="B1246" s="17"/>
      <c r="C1246" s="17"/>
      <c r="D1246" s="17"/>
      <c r="E1246" s="17"/>
      <c r="F1246" s="17"/>
      <c r="G1246" s="17"/>
      <c r="H1246" s="356"/>
      <c r="I1246" s="17"/>
      <c r="J1246" s="17"/>
      <c r="K1246" s="17"/>
      <c r="L1246" s="17"/>
      <c r="M1246" s="17"/>
      <c r="N1246" s="17"/>
      <c r="O1246" s="17"/>
      <c r="P1246" s="17"/>
      <c r="Q1246" s="17"/>
      <c r="R1246" s="17"/>
      <c r="S1246" s="17"/>
      <c r="T1246" s="17"/>
      <c r="U1246" s="17"/>
      <c r="V1246" s="17"/>
      <c r="W1246" s="17"/>
      <c r="X1246" s="17"/>
      <c r="Y1246" s="17"/>
      <c r="Z1246" s="17"/>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c r="BF1246" s="17"/>
      <c r="BG1246" s="17"/>
      <c r="BH1246" s="17"/>
      <c r="BI1246" s="17"/>
      <c r="BJ1246" s="17"/>
      <c r="BK1246" s="17"/>
      <c r="BL1246" s="17"/>
    </row>
    <row r="1247">
      <c r="A1247" s="17"/>
      <c r="B1247" s="17"/>
      <c r="C1247" s="17"/>
      <c r="D1247" s="17"/>
      <c r="E1247" s="17"/>
      <c r="F1247" s="17"/>
      <c r="G1247" s="17"/>
      <c r="H1247" s="356"/>
      <c r="I1247" s="17"/>
      <c r="J1247" s="17"/>
      <c r="K1247" s="17"/>
      <c r="L1247" s="17"/>
      <c r="M1247" s="17"/>
      <c r="N1247" s="17"/>
      <c r="O1247" s="17"/>
      <c r="P1247" s="17"/>
      <c r="Q1247" s="17"/>
      <c r="R1247" s="17"/>
      <c r="S1247" s="17"/>
      <c r="T1247" s="17"/>
      <c r="U1247" s="17"/>
      <c r="V1247" s="17"/>
      <c r="W1247" s="17"/>
      <c r="X1247" s="17"/>
      <c r="Y1247" s="17"/>
      <c r="Z1247" s="17"/>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c r="BF1247" s="17"/>
      <c r="BG1247" s="17"/>
      <c r="BH1247" s="17"/>
      <c r="BI1247" s="17"/>
      <c r="BJ1247" s="17"/>
      <c r="BK1247" s="17"/>
      <c r="BL1247" s="17"/>
    </row>
    <row r="1248">
      <c r="A1248" s="17"/>
      <c r="B1248" s="17"/>
      <c r="C1248" s="17"/>
      <c r="D1248" s="17"/>
      <c r="E1248" s="17"/>
      <c r="F1248" s="17"/>
      <c r="G1248" s="17"/>
      <c r="H1248" s="356"/>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c r="BF1248" s="17"/>
      <c r="BG1248" s="17"/>
      <c r="BH1248" s="17"/>
      <c r="BI1248" s="17"/>
      <c r="BJ1248" s="17"/>
      <c r="BK1248" s="17"/>
      <c r="BL1248" s="17"/>
    </row>
    <row r="1249">
      <c r="A1249" s="17"/>
      <c r="B1249" s="17"/>
      <c r="C1249" s="17"/>
      <c r="D1249" s="17"/>
      <c r="E1249" s="17"/>
      <c r="F1249" s="17"/>
      <c r="G1249" s="17"/>
      <c r="H1249" s="356"/>
      <c r="I1249" s="17"/>
      <c r="J1249" s="17"/>
      <c r="K1249" s="17"/>
      <c r="L1249" s="17"/>
      <c r="M1249" s="17"/>
      <c r="N1249" s="17"/>
      <c r="O1249" s="17"/>
      <c r="P1249" s="17"/>
      <c r="Q1249" s="17"/>
      <c r="R1249" s="17"/>
      <c r="S1249" s="17"/>
      <c r="T1249" s="17"/>
      <c r="U1249" s="17"/>
      <c r="V1249" s="17"/>
      <c r="W1249" s="17"/>
      <c r="X1249" s="17"/>
      <c r="Y1249" s="17"/>
      <c r="Z1249" s="17"/>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c r="BF1249" s="17"/>
      <c r="BG1249" s="17"/>
      <c r="BH1249" s="17"/>
      <c r="BI1249" s="17"/>
      <c r="BJ1249" s="17"/>
      <c r="BK1249" s="17"/>
      <c r="BL1249" s="17"/>
    </row>
    <row r="1250">
      <c r="A1250" s="17"/>
      <c r="B1250" s="17"/>
      <c r="C1250" s="17"/>
      <c r="D1250" s="17"/>
      <c r="E1250" s="17"/>
      <c r="F1250" s="17"/>
      <c r="G1250" s="17"/>
      <c r="H1250" s="356"/>
      <c r="I1250" s="17"/>
      <c r="J1250" s="17"/>
      <c r="K1250" s="17"/>
      <c r="L1250" s="17"/>
      <c r="M1250" s="17"/>
      <c r="N1250" s="17"/>
      <c r="O1250" s="17"/>
      <c r="P1250" s="17"/>
      <c r="Q1250" s="17"/>
      <c r="R1250" s="17"/>
      <c r="S1250" s="17"/>
      <c r="T1250" s="17"/>
      <c r="U1250" s="17"/>
      <c r="V1250" s="17"/>
      <c r="W1250" s="17"/>
      <c r="X1250" s="17"/>
      <c r="Y1250" s="17"/>
      <c r="Z1250" s="17"/>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c r="BF1250" s="17"/>
      <c r="BG1250" s="17"/>
      <c r="BH1250" s="17"/>
      <c r="BI1250" s="17"/>
      <c r="BJ1250" s="17"/>
      <c r="BK1250" s="17"/>
      <c r="BL1250" s="17"/>
    </row>
    <row r="1251">
      <c r="A1251" s="17"/>
      <c r="B1251" s="17"/>
      <c r="C1251" s="17"/>
      <c r="D1251" s="17"/>
      <c r="E1251" s="17"/>
      <c r="F1251" s="17"/>
      <c r="G1251" s="17"/>
      <c r="H1251" s="356"/>
      <c r="I1251" s="17"/>
      <c r="J1251" s="17"/>
      <c r="K1251" s="17"/>
      <c r="L1251" s="17"/>
      <c r="M1251" s="17"/>
      <c r="N1251" s="17"/>
      <c r="O1251" s="17"/>
      <c r="P1251" s="17"/>
      <c r="Q1251" s="17"/>
      <c r="R1251" s="17"/>
      <c r="S1251" s="17"/>
      <c r="T1251" s="17"/>
      <c r="U1251" s="17"/>
      <c r="V1251" s="17"/>
      <c r="W1251" s="17"/>
      <c r="X1251" s="17"/>
      <c r="Y1251" s="17"/>
      <c r="Z1251" s="17"/>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c r="BF1251" s="17"/>
      <c r="BG1251" s="17"/>
      <c r="BH1251" s="17"/>
      <c r="BI1251" s="17"/>
      <c r="BJ1251" s="17"/>
      <c r="BK1251" s="17"/>
      <c r="BL1251" s="17"/>
    </row>
    <row r="1252">
      <c r="A1252" s="17"/>
      <c r="B1252" s="17"/>
      <c r="C1252" s="17"/>
      <c r="D1252" s="17"/>
      <c r="E1252" s="17"/>
      <c r="F1252" s="17"/>
      <c r="G1252" s="17"/>
      <c r="H1252" s="356"/>
      <c r="I1252" s="17"/>
      <c r="J1252" s="17"/>
      <c r="K1252" s="17"/>
      <c r="L1252" s="17"/>
      <c r="M1252" s="17"/>
      <c r="N1252" s="17"/>
      <c r="O1252" s="17"/>
      <c r="P1252" s="17"/>
      <c r="Q1252" s="17"/>
      <c r="R1252" s="17"/>
      <c r="S1252" s="17"/>
      <c r="T1252" s="17"/>
      <c r="U1252" s="17"/>
      <c r="V1252" s="17"/>
      <c r="W1252" s="17"/>
      <c r="X1252" s="17"/>
      <c r="Y1252" s="17"/>
      <c r="Z1252" s="17"/>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c r="BF1252" s="17"/>
      <c r="BG1252" s="17"/>
      <c r="BH1252" s="17"/>
      <c r="BI1252" s="17"/>
      <c r="BJ1252" s="17"/>
      <c r="BK1252" s="17"/>
      <c r="BL1252" s="17"/>
    </row>
    <row r="1253">
      <c r="A1253" s="17"/>
      <c r="B1253" s="17"/>
      <c r="C1253" s="17"/>
      <c r="D1253" s="17"/>
      <c r="E1253" s="17"/>
      <c r="F1253" s="17"/>
      <c r="G1253" s="17"/>
      <c r="H1253" s="356"/>
      <c r="I1253" s="17"/>
      <c r="J1253" s="17"/>
      <c r="K1253" s="17"/>
      <c r="L1253" s="17"/>
      <c r="M1253" s="17"/>
      <c r="N1253" s="17"/>
      <c r="O1253" s="17"/>
      <c r="P1253" s="17"/>
      <c r="Q1253" s="17"/>
      <c r="R1253" s="17"/>
      <c r="S1253" s="17"/>
      <c r="T1253" s="17"/>
      <c r="U1253" s="17"/>
      <c r="V1253" s="17"/>
      <c r="W1253" s="17"/>
      <c r="X1253" s="17"/>
      <c r="Y1253" s="17"/>
      <c r="Z1253" s="17"/>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c r="BF1253" s="17"/>
      <c r="BG1253" s="17"/>
      <c r="BH1253" s="17"/>
      <c r="BI1253" s="17"/>
      <c r="BJ1253" s="17"/>
      <c r="BK1253" s="17"/>
      <c r="BL1253" s="17"/>
    </row>
    <row r="1254">
      <c r="A1254" s="17"/>
      <c r="B1254" s="17"/>
      <c r="C1254" s="17"/>
      <c r="D1254" s="17"/>
      <c r="E1254" s="17"/>
      <c r="F1254" s="17"/>
      <c r="G1254" s="17"/>
      <c r="H1254" s="356"/>
      <c r="I1254" s="17"/>
      <c r="J1254" s="17"/>
      <c r="K1254" s="17"/>
      <c r="L1254" s="17"/>
      <c r="M1254" s="17"/>
      <c r="N1254" s="17"/>
      <c r="O1254" s="17"/>
      <c r="P1254" s="17"/>
      <c r="Q1254" s="17"/>
      <c r="R1254" s="17"/>
      <c r="S1254" s="17"/>
      <c r="T1254" s="17"/>
      <c r="U1254" s="17"/>
      <c r="V1254" s="17"/>
      <c r="W1254" s="17"/>
      <c r="X1254" s="17"/>
      <c r="Y1254" s="17"/>
      <c r="Z1254" s="17"/>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c r="BF1254" s="17"/>
      <c r="BG1254" s="17"/>
      <c r="BH1254" s="17"/>
      <c r="BI1254" s="17"/>
      <c r="BJ1254" s="17"/>
      <c r="BK1254" s="17"/>
      <c r="BL1254" s="17"/>
    </row>
    <row r="1255">
      <c r="A1255" s="17"/>
      <c r="B1255" s="17"/>
      <c r="C1255" s="17"/>
      <c r="D1255" s="17"/>
      <c r="E1255" s="17"/>
      <c r="F1255" s="17"/>
      <c r="G1255" s="17"/>
      <c r="H1255" s="356"/>
      <c r="I1255" s="17"/>
      <c r="J1255" s="17"/>
      <c r="K1255" s="17"/>
      <c r="L1255" s="17"/>
      <c r="M1255" s="17"/>
      <c r="N1255" s="17"/>
      <c r="O1255" s="17"/>
      <c r="P1255" s="17"/>
      <c r="Q1255" s="17"/>
      <c r="R1255" s="17"/>
      <c r="S1255" s="17"/>
      <c r="T1255" s="17"/>
      <c r="U1255" s="17"/>
      <c r="V1255" s="17"/>
      <c r="W1255" s="17"/>
      <c r="X1255" s="17"/>
      <c r="Y1255" s="17"/>
      <c r="Z1255" s="17"/>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c r="BF1255" s="17"/>
      <c r="BG1255" s="17"/>
      <c r="BH1255" s="17"/>
      <c r="BI1255" s="17"/>
      <c r="BJ1255" s="17"/>
      <c r="BK1255" s="17"/>
      <c r="BL1255" s="17"/>
    </row>
    <row r="1256">
      <c r="A1256" s="17"/>
      <c r="B1256" s="17"/>
      <c r="C1256" s="17"/>
      <c r="D1256" s="17"/>
      <c r="E1256" s="17"/>
      <c r="F1256" s="17"/>
      <c r="G1256" s="17"/>
      <c r="H1256" s="356"/>
      <c r="I1256" s="17"/>
      <c r="J1256" s="17"/>
      <c r="K1256" s="17"/>
      <c r="L1256" s="17"/>
      <c r="M1256" s="17"/>
      <c r="N1256" s="17"/>
      <c r="O1256" s="17"/>
      <c r="P1256" s="17"/>
      <c r="Q1256" s="17"/>
      <c r="R1256" s="17"/>
      <c r="S1256" s="17"/>
      <c r="T1256" s="17"/>
      <c r="U1256" s="17"/>
      <c r="V1256" s="17"/>
      <c r="W1256" s="17"/>
      <c r="X1256" s="17"/>
      <c r="Y1256" s="17"/>
      <c r="Z1256" s="17"/>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c r="BF1256" s="17"/>
      <c r="BG1256" s="17"/>
      <c r="BH1256" s="17"/>
      <c r="BI1256" s="17"/>
      <c r="BJ1256" s="17"/>
      <c r="BK1256" s="17"/>
      <c r="BL1256" s="17"/>
    </row>
    <row r="1257">
      <c r="A1257" s="17"/>
      <c r="B1257" s="17"/>
      <c r="C1257" s="17"/>
      <c r="D1257" s="17"/>
      <c r="E1257" s="17"/>
      <c r="F1257" s="17"/>
      <c r="G1257" s="17"/>
      <c r="H1257" s="356"/>
      <c r="I1257" s="17"/>
      <c r="J1257" s="17"/>
      <c r="K1257" s="17"/>
      <c r="L1257" s="17"/>
      <c r="M1257" s="17"/>
      <c r="N1257" s="17"/>
      <c r="O1257" s="17"/>
      <c r="P1257" s="17"/>
      <c r="Q1257" s="17"/>
      <c r="R1257" s="17"/>
      <c r="S1257" s="17"/>
      <c r="T1257" s="17"/>
      <c r="U1257" s="17"/>
      <c r="V1257" s="17"/>
      <c r="W1257" s="17"/>
      <c r="X1257" s="17"/>
      <c r="Y1257" s="17"/>
      <c r="Z1257" s="17"/>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c r="BF1257" s="17"/>
      <c r="BG1257" s="17"/>
      <c r="BH1257" s="17"/>
      <c r="BI1257" s="17"/>
      <c r="BJ1257" s="17"/>
      <c r="BK1257" s="17"/>
      <c r="BL1257" s="17"/>
    </row>
    <row r="1258">
      <c r="A1258" s="17"/>
      <c r="B1258" s="17"/>
      <c r="C1258" s="17"/>
      <c r="D1258" s="17"/>
      <c r="E1258" s="17"/>
      <c r="F1258" s="17"/>
      <c r="G1258" s="17"/>
      <c r="H1258" s="356"/>
      <c r="I1258" s="17"/>
      <c r="J1258" s="17"/>
      <c r="K1258" s="17"/>
      <c r="L1258" s="17"/>
      <c r="M1258" s="17"/>
      <c r="N1258" s="17"/>
      <c r="O1258" s="17"/>
      <c r="P1258" s="17"/>
      <c r="Q1258" s="17"/>
      <c r="R1258" s="17"/>
      <c r="S1258" s="17"/>
      <c r="T1258" s="17"/>
      <c r="U1258" s="17"/>
      <c r="V1258" s="17"/>
      <c r="W1258" s="17"/>
      <c r="X1258" s="17"/>
      <c r="Y1258" s="17"/>
      <c r="Z1258" s="17"/>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c r="BF1258" s="17"/>
      <c r="BG1258" s="17"/>
      <c r="BH1258" s="17"/>
      <c r="BI1258" s="17"/>
      <c r="BJ1258" s="17"/>
      <c r="BK1258" s="17"/>
      <c r="BL1258" s="17"/>
    </row>
    <row r="1259">
      <c r="A1259" s="17"/>
      <c r="B1259" s="17"/>
      <c r="C1259" s="17"/>
      <c r="D1259" s="17"/>
      <c r="E1259" s="17"/>
      <c r="F1259" s="17"/>
      <c r="G1259" s="17"/>
      <c r="H1259" s="356"/>
      <c r="I1259" s="17"/>
      <c r="J1259" s="17"/>
      <c r="K1259" s="17"/>
      <c r="L1259" s="17"/>
      <c r="M1259" s="17"/>
      <c r="N1259" s="17"/>
      <c r="O1259" s="17"/>
      <c r="P1259" s="17"/>
      <c r="Q1259" s="17"/>
      <c r="R1259" s="17"/>
      <c r="S1259" s="17"/>
      <c r="T1259" s="17"/>
      <c r="U1259" s="17"/>
      <c r="V1259" s="17"/>
      <c r="W1259" s="17"/>
      <c r="X1259" s="17"/>
      <c r="Y1259" s="17"/>
      <c r="Z1259" s="17"/>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c r="BF1259" s="17"/>
      <c r="BG1259" s="17"/>
      <c r="BH1259" s="17"/>
      <c r="BI1259" s="17"/>
      <c r="BJ1259" s="17"/>
      <c r="BK1259" s="17"/>
      <c r="BL1259" s="17"/>
    </row>
    <row r="1260">
      <c r="A1260" s="17"/>
      <c r="B1260" s="17"/>
      <c r="C1260" s="17"/>
      <c r="D1260" s="17"/>
      <c r="E1260" s="17"/>
      <c r="F1260" s="17"/>
      <c r="G1260" s="17"/>
      <c r="H1260" s="356"/>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c r="BF1260" s="17"/>
      <c r="BG1260" s="17"/>
      <c r="BH1260" s="17"/>
      <c r="BI1260" s="17"/>
      <c r="BJ1260" s="17"/>
      <c r="BK1260" s="17"/>
      <c r="BL1260" s="17"/>
    </row>
    <row r="1261">
      <c r="A1261" s="17"/>
      <c r="B1261" s="17"/>
      <c r="C1261" s="17"/>
      <c r="D1261" s="17"/>
      <c r="E1261" s="17"/>
      <c r="F1261" s="17"/>
      <c r="G1261" s="17"/>
      <c r="H1261" s="356"/>
      <c r="I1261" s="17"/>
      <c r="J1261" s="17"/>
      <c r="K1261" s="17"/>
      <c r="L1261" s="17"/>
      <c r="M1261" s="17"/>
      <c r="N1261" s="17"/>
      <c r="O1261" s="17"/>
      <c r="P1261" s="17"/>
      <c r="Q1261" s="17"/>
      <c r="R1261" s="17"/>
      <c r="S1261" s="17"/>
      <c r="T1261" s="17"/>
      <c r="U1261" s="17"/>
      <c r="V1261" s="17"/>
      <c r="W1261" s="17"/>
      <c r="X1261" s="17"/>
      <c r="Y1261" s="17"/>
      <c r="Z1261" s="17"/>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c r="BF1261" s="17"/>
      <c r="BG1261" s="17"/>
      <c r="BH1261" s="17"/>
      <c r="BI1261" s="17"/>
      <c r="BJ1261" s="17"/>
      <c r="BK1261" s="17"/>
      <c r="BL1261" s="17"/>
    </row>
    <row r="1262">
      <c r="A1262" s="17"/>
      <c r="B1262" s="17"/>
      <c r="C1262" s="17"/>
      <c r="D1262" s="17"/>
      <c r="E1262" s="17"/>
      <c r="F1262" s="17"/>
      <c r="G1262" s="17"/>
      <c r="H1262" s="356"/>
      <c r="I1262" s="17"/>
      <c r="J1262" s="17"/>
      <c r="K1262" s="17"/>
      <c r="L1262" s="17"/>
      <c r="M1262" s="17"/>
      <c r="N1262" s="17"/>
      <c r="O1262" s="17"/>
      <c r="P1262" s="17"/>
      <c r="Q1262" s="17"/>
      <c r="R1262" s="17"/>
      <c r="S1262" s="17"/>
      <c r="T1262" s="17"/>
      <c r="U1262" s="17"/>
      <c r="V1262" s="17"/>
      <c r="W1262" s="17"/>
      <c r="X1262" s="17"/>
      <c r="Y1262" s="17"/>
      <c r="Z1262" s="17"/>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c r="BF1262" s="17"/>
      <c r="BG1262" s="17"/>
      <c r="BH1262" s="17"/>
      <c r="BI1262" s="17"/>
      <c r="BJ1262" s="17"/>
      <c r="BK1262" s="17"/>
      <c r="BL1262" s="17"/>
    </row>
    <row r="1263">
      <c r="A1263" s="17"/>
      <c r="B1263" s="17"/>
      <c r="C1263" s="17"/>
      <c r="D1263" s="17"/>
      <c r="E1263" s="17"/>
      <c r="F1263" s="17"/>
      <c r="G1263" s="17"/>
      <c r="H1263" s="356"/>
      <c r="I1263" s="17"/>
      <c r="J1263" s="17"/>
      <c r="K1263" s="17"/>
      <c r="L1263" s="17"/>
      <c r="M1263" s="17"/>
      <c r="N1263" s="17"/>
      <c r="O1263" s="17"/>
      <c r="P1263" s="17"/>
      <c r="Q1263" s="17"/>
      <c r="R1263" s="17"/>
      <c r="S1263" s="17"/>
      <c r="T1263" s="17"/>
      <c r="U1263" s="17"/>
      <c r="V1263" s="17"/>
      <c r="W1263" s="17"/>
      <c r="X1263" s="17"/>
      <c r="Y1263" s="17"/>
      <c r="Z1263" s="17"/>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c r="BF1263" s="17"/>
      <c r="BG1263" s="17"/>
      <c r="BH1263" s="17"/>
      <c r="BI1263" s="17"/>
      <c r="BJ1263" s="17"/>
      <c r="BK1263" s="17"/>
      <c r="BL1263" s="17"/>
    </row>
    <row r="1264">
      <c r="A1264" s="17"/>
      <c r="B1264" s="17"/>
      <c r="C1264" s="17"/>
      <c r="D1264" s="17"/>
      <c r="E1264" s="17"/>
      <c r="F1264" s="17"/>
      <c r="G1264" s="17"/>
      <c r="H1264" s="356"/>
      <c r="I1264" s="17"/>
      <c r="J1264" s="17"/>
      <c r="K1264" s="17"/>
      <c r="L1264" s="17"/>
      <c r="M1264" s="17"/>
      <c r="N1264" s="17"/>
      <c r="O1264" s="17"/>
      <c r="P1264" s="17"/>
      <c r="Q1264" s="17"/>
      <c r="R1264" s="17"/>
      <c r="S1264" s="17"/>
      <c r="T1264" s="17"/>
      <c r="U1264" s="17"/>
      <c r="V1264" s="17"/>
      <c r="W1264" s="17"/>
      <c r="X1264" s="17"/>
      <c r="Y1264" s="17"/>
      <c r="Z1264" s="17"/>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c r="BF1264" s="17"/>
      <c r="BG1264" s="17"/>
      <c r="BH1264" s="17"/>
      <c r="BI1264" s="17"/>
      <c r="BJ1264" s="17"/>
      <c r="BK1264" s="17"/>
      <c r="BL1264" s="17"/>
    </row>
    <row r="1265">
      <c r="A1265" s="17"/>
      <c r="B1265" s="17"/>
      <c r="C1265" s="17"/>
      <c r="D1265" s="17"/>
      <c r="E1265" s="17"/>
      <c r="F1265" s="17"/>
      <c r="G1265" s="17"/>
      <c r="H1265" s="356"/>
      <c r="I1265" s="17"/>
      <c r="J1265" s="17"/>
      <c r="K1265" s="17"/>
      <c r="L1265" s="17"/>
      <c r="M1265" s="17"/>
      <c r="N1265" s="17"/>
      <c r="O1265" s="17"/>
      <c r="P1265" s="17"/>
      <c r="Q1265" s="17"/>
      <c r="R1265" s="17"/>
      <c r="S1265" s="17"/>
      <c r="T1265" s="17"/>
      <c r="U1265" s="17"/>
      <c r="V1265" s="17"/>
      <c r="W1265" s="17"/>
      <c r="X1265" s="17"/>
      <c r="Y1265" s="17"/>
      <c r="Z1265" s="17"/>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c r="BF1265" s="17"/>
      <c r="BG1265" s="17"/>
      <c r="BH1265" s="17"/>
      <c r="BI1265" s="17"/>
      <c r="BJ1265" s="17"/>
      <c r="BK1265" s="17"/>
      <c r="BL1265" s="17"/>
    </row>
    <row r="1266">
      <c r="A1266" s="17"/>
      <c r="B1266" s="17"/>
      <c r="C1266" s="17"/>
      <c r="D1266" s="17"/>
      <c r="E1266" s="17"/>
      <c r="F1266" s="17"/>
      <c r="G1266" s="17"/>
      <c r="H1266" s="356"/>
      <c r="I1266" s="17"/>
      <c r="J1266" s="17"/>
      <c r="K1266" s="17"/>
      <c r="L1266" s="17"/>
      <c r="M1266" s="17"/>
      <c r="N1266" s="17"/>
      <c r="O1266" s="17"/>
      <c r="P1266" s="17"/>
      <c r="Q1266" s="17"/>
      <c r="R1266" s="17"/>
      <c r="S1266" s="17"/>
      <c r="T1266" s="17"/>
      <c r="U1266" s="17"/>
      <c r="V1266" s="17"/>
      <c r="W1266" s="17"/>
      <c r="X1266" s="17"/>
      <c r="Y1266" s="17"/>
      <c r="Z1266" s="17"/>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c r="BF1266" s="17"/>
      <c r="BG1266" s="17"/>
      <c r="BH1266" s="17"/>
      <c r="BI1266" s="17"/>
      <c r="BJ1266" s="17"/>
      <c r="BK1266" s="17"/>
      <c r="BL1266" s="17"/>
    </row>
    <row r="1267">
      <c r="A1267" s="17"/>
      <c r="B1267" s="17"/>
      <c r="C1267" s="17"/>
      <c r="D1267" s="17"/>
      <c r="E1267" s="17"/>
      <c r="F1267" s="17"/>
      <c r="G1267" s="17"/>
      <c r="H1267" s="356"/>
      <c r="I1267" s="17"/>
      <c r="J1267" s="17"/>
      <c r="K1267" s="17"/>
      <c r="L1267" s="17"/>
      <c r="M1267" s="17"/>
      <c r="N1267" s="17"/>
      <c r="O1267" s="17"/>
      <c r="P1267" s="17"/>
      <c r="Q1267" s="17"/>
      <c r="R1267" s="17"/>
      <c r="S1267" s="17"/>
      <c r="T1267" s="17"/>
      <c r="U1267" s="17"/>
      <c r="V1267" s="17"/>
      <c r="W1267" s="17"/>
      <c r="X1267" s="17"/>
      <c r="Y1267" s="17"/>
      <c r="Z1267" s="17"/>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c r="BF1267" s="17"/>
      <c r="BG1267" s="17"/>
      <c r="BH1267" s="17"/>
      <c r="BI1267" s="17"/>
      <c r="BJ1267" s="17"/>
      <c r="BK1267" s="17"/>
      <c r="BL1267" s="17"/>
    </row>
    <row r="1268">
      <c r="A1268" s="17"/>
      <c r="B1268" s="17"/>
      <c r="C1268" s="17"/>
      <c r="D1268" s="17"/>
      <c r="E1268" s="17"/>
      <c r="F1268" s="17"/>
      <c r="G1268" s="17"/>
      <c r="H1268" s="356"/>
      <c r="I1268" s="17"/>
      <c r="J1268" s="17"/>
      <c r="K1268" s="17"/>
      <c r="L1268" s="17"/>
      <c r="M1268" s="17"/>
      <c r="N1268" s="17"/>
      <c r="O1268" s="17"/>
      <c r="P1268" s="17"/>
      <c r="Q1268" s="17"/>
      <c r="R1268" s="17"/>
      <c r="S1268" s="17"/>
      <c r="T1268" s="17"/>
      <c r="U1268" s="17"/>
      <c r="V1268" s="17"/>
      <c r="W1268" s="17"/>
      <c r="X1268" s="17"/>
      <c r="Y1268" s="17"/>
      <c r="Z1268" s="17"/>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c r="BF1268" s="17"/>
      <c r="BG1268" s="17"/>
      <c r="BH1268" s="17"/>
      <c r="BI1268" s="17"/>
      <c r="BJ1268" s="17"/>
      <c r="BK1268" s="17"/>
      <c r="BL1268" s="17"/>
    </row>
    <row r="1269">
      <c r="A1269" s="17"/>
      <c r="B1269" s="17"/>
      <c r="C1269" s="17"/>
      <c r="D1269" s="17"/>
      <c r="E1269" s="17"/>
      <c r="F1269" s="17"/>
      <c r="G1269" s="17"/>
      <c r="H1269" s="356"/>
      <c r="I1269" s="17"/>
      <c r="J1269" s="17"/>
      <c r="K1269" s="17"/>
      <c r="L1269" s="17"/>
      <c r="M1269" s="17"/>
      <c r="N1269" s="17"/>
      <c r="O1269" s="17"/>
      <c r="P1269" s="17"/>
      <c r="Q1269" s="17"/>
      <c r="R1269" s="17"/>
      <c r="S1269" s="17"/>
      <c r="T1269" s="17"/>
      <c r="U1269" s="17"/>
      <c r="V1269" s="17"/>
      <c r="W1269" s="17"/>
      <c r="X1269" s="17"/>
      <c r="Y1269" s="17"/>
      <c r="Z1269" s="17"/>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c r="BA1269" s="17"/>
      <c r="BB1269" s="17"/>
      <c r="BC1269" s="17"/>
      <c r="BD1269" s="17"/>
      <c r="BE1269" s="17"/>
      <c r="BF1269" s="17"/>
      <c r="BG1269" s="17"/>
      <c r="BH1269" s="17"/>
      <c r="BI1269" s="17"/>
      <c r="BJ1269" s="17"/>
      <c r="BK1269" s="17"/>
      <c r="BL1269" s="17"/>
    </row>
    <row r="1270">
      <c r="A1270" s="17"/>
      <c r="B1270" s="17"/>
      <c r="C1270" s="17"/>
      <c r="D1270" s="17"/>
      <c r="E1270" s="17"/>
      <c r="F1270" s="17"/>
      <c r="G1270" s="17"/>
      <c r="H1270" s="356"/>
      <c r="I1270" s="17"/>
      <c r="J1270" s="17"/>
      <c r="K1270" s="17"/>
      <c r="L1270" s="17"/>
      <c r="M1270" s="17"/>
      <c r="N1270" s="17"/>
      <c r="O1270" s="17"/>
      <c r="P1270" s="17"/>
      <c r="Q1270" s="17"/>
      <c r="R1270" s="17"/>
      <c r="S1270" s="17"/>
      <c r="T1270" s="17"/>
      <c r="U1270" s="17"/>
      <c r="V1270" s="17"/>
      <c r="W1270" s="17"/>
      <c r="X1270" s="17"/>
      <c r="Y1270" s="17"/>
      <c r="Z1270" s="17"/>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c r="BA1270" s="17"/>
      <c r="BB1270" s="17"/>
      <c r="BC1270" s="17"/>
      <c r="BD1270" s="17"/>
      <c r="BE1270" s="17"/>
      <c r="BF1270" s="17"/>
      <c r="BG1270" s="17"/>
      <c r="BH1270" s="17"/>
      <c r="BI1270" s="17"/>
      <c r="BJ1270" s="17"/>
      <c r="BK1270" s="17"/>
      <c r="BL1270" s="17"/>
    </row>
    <row r="1271">
      <c r="A1271" s="17"/>
      <c r="B1271" s="17"/>
      <c r="C1271" s="17"/>
      <c r="D1271" s="17"/>
      <c r="E1271" s="17"/>
      <c r="F1271" s="17"/>
      <c r="G1271" s="17"/>
      <c r="H1271" s="356"/>
      <c r="I1271" s="17"/>
      <c r="J1271" s="17"/>
      <c r="K1271" s="17"/>
      <c r="L1271" s="17"/>
      <c r="M1271" s="17"/>
      <c r="N1271" s="17"/>
      <c r="O1271" s="17"/>
      <c r="P1271" s="17"/>
      <c r="Q1271" s="17"/>
      <c r="R1271" s="17"/>
      <c r="S1271" s="17"/>
      <c r="T1271" s="17"/>
      <c r="U1271" s="17"/>
      <c r="V1271" s="17"/>
      <c r="W1271" s="17"/>
      <c r="X1271" s="17"/>
      <c r="Y1271" s="17"/>
      <c r="Z1271" s="17"/>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c r="BA1271" s="17"/>
      <c r="BB1271" s="17"/>
      <c r="BC1271" s="17"/>
      <c r="BD1271" s="17"/>
      <c r="BE1271" s="17"/>
      <c r="BF1271" s="17"/>
      <c r="BG1271" s="17"/>
      <c r="BH1271" s="17"/>
      <c r="BI1271" s="17"/>
      <c r="BJ1271" s="17"/>
      <c r="BK1271" s="17"/>
      <c r="BL1271" s="17"/>
    </row>
    <row r="1272">
      <c r="A1272" s="17"/>
      <c r="B1272" s="17"/>
      <c r="C1272" s="17"/>
      <c r="D1272" s="17"/>
      <c r="E1272" s="17"/>
      <c r="F1272" s="17"/>
      <c r="G1272" s="17"/>
      <c r="H1272" s="356"/>
      <c r="I1272" s="17"/>
      <c r="J1272" s="17"/>
      <c r="K1272" s="17"/>
      <c r="L1272" s="17"/>
      <c r="M1272" s="17"/>
      <c r="N1272" s="17"/>
      <c r="O1272" s="17"/>
      <c r="P1272" s="17"/>
      <c r="Q1272" s="17"/>
      <c r="R1272" s="17"/>
      <c r="S1272" s="17"/>
      <c r="T1272" s="17"/>
      <c r="U1272" s="17"/>
      <c r="V1272" s="17"/>
      <c r="W1272" s="17"/>
      <c r="X1272" s="17"/>
      <c r="Y1272" s="17"/>
      <c r="Z1272" s="17"/>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c r="BF1272" s="17"/>
      <c r="BG1272" s="17"/>
      <c r="BH1272" s="17"/>
      <c r="BI1272" s="17"/>
      <c r="BJ1272" s="17"/>
      <c r="BK1272" s="17"/>
      <c r="BL1272" s="17"/>
    </row>
    <row r="1273">
      <c r="A1273" s="17"/>
      <c r="B1273" s="17"/>
      <c r="C1273" s="17"/>
      <c r="D1273" s="17"/>
      <c r="E1273" s="17"/>
      <c r="F1273" s="17"/>
      <c r="G1273" s="17"/>
      <c r="H1273" s="356"/>
      <c r="I1273" s="17"/>
      <c r="J1273" s="17"/>
      <c r="K1273" s="17"/>
      <c r="L1273" s="17"/>
      <c r="M1273" s="17"/>
      <c r="N1273" s="17"/>
      <c r="O1273" s="17"/>
      <c r="P1273" s="17"/>
      <c r="Q1273" s="17"/>
      <c r="R1273" s="17"/>
      <c r="S1273" s="17"/>
      <c r="T1273" s="17"/>
      <c r="U1273" s="17"/>
      <c r="V1273" s="17"/>
      <c r="W1273" s="17"/>
      <c r="X1273" s="17"/>
      <c r="Y1273" s="17"/>
      <c r="Z1273" s="17"/>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c r="BF1273" s="17"/>
      <c r="BG1273" s="17"/>
      <c r="BH1273" s="17"/>
      <c r="BI1273" s="17"/>
      <c r="BJ1273" s="17"/>
      <c r="BK1273" s="17"/>
      <c r="BL1273" s="17"/>
    </row>
    <row r="1274">
      <c r="A1274" s="17"/>
      <c r="B1274" s="17"/>
      <c r="C1274" s="17"/>
      <c r="D1274" s="17"/>
      <c r="E1274" s="17"/>
      <c r="F1274" s="17"/>
      <c r="G1274" s="17"/>
      <c r="H1274" s="356"/>
      <c r="I1274" s="17"/>
      <c r="J1274" s="17"/>
      <c r="K1274" s="17"/>
      <c r="L1274" s="17"/>
      <c r="M1274" s="17"/>
      <c r="N1274" s="17"/>
      <c r="O1274" s="17"/>
      <c r="P1274" s="17"/>
      <c r="Q1274" s="17"/>
      <c r="R1274" s="17"/>
      <c r="S1274" s="17"/>
      <c r="T1274" s="17"/>
      <c r="U1274" s="17"/>
      <c r="V1274" s="17"/>
      <c r="W1274" s="17"/>
      <c r="X1274" s="17"/>
      <c r="Y1274" s="17"/>
      <c r="Z1274" s="17"/>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c r="BA1274" s="17"/>
      <c r="BB1274" s="17"/>
      <c r="BC1274" s="17"/>
      <c r="BD1274" s="17"/>
      <c r="BE1274" s="17"/>
      <c r="BF1274" s="17"/>
      <c r="BG1274" s="17"/>
      <c r="BH1274" s="17"/>
      <c r="BI1274" s="17"/>
      <c r="BJ1274" s="17"/>
      <c r="BK1274" s="17"/>
      <c r="BL1274" s="17"/>
    </row>
    <row r="1275">
      <c r="A1275" s="17"/>
      <c r="B1275" s="17"/>
      <c r="C1275" s="17"/>
      <c r="D1275" s="17"/>
      <c r="E1275" s="17"/>
      <c r="F1275" s="17"/>
      <c r="G1275" s="17"/>
      <c r="H1275" s="356"/>
      <c r="I1275" s="17"/>
      <c r="J1275" s="17"/>
      <c r="K1275" s="17"/>
      <c r="L1275" s="17"/>
      <c r="M1275" s="17"/>
      <c r="N1275" s="17"/>
      <c r="O1275" s="17"/>
      <c r="P1275" s="17"/>
      <c r="Q1275" s="17"/>
      <c r="R1275" s="17"/>
      <c r="S1275" s="17"/>
      <c r="T1275" s="17"/>
      <c r="U1275" s="17"/>
      <c r="V1275" s="17"/>
      <c r="W1275" s="17"/>
      <c r="X1275" s="17"/>
      <c r="Y1275" s="17"/>
      <c r="Z1275" s="17"/>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7"/>
      <c r="AW1275" s="17"/>
      <c r="AX1275" s="17"/>
      <c r="AY1275" s="17"/>
      <c r="AZ1275" s="17"/>
      <c r="BA1275" s="17"/>
      <c r="BB1275" s="17"/>
      <c r="BC1275" s="17"/>
      <c r="BD1275" s="17"/>
      <c r="BE1275" s="17"/>
      <c r="BF1275" s="17"/>
      <c r="BG1275" s="17"/>
      <c r="BH1275" s="17"/>
      <c r="BI1275" s="17"/>
      <c r="BJ1275" s="17"/>
      <c r="BK1275" s="17"/>
      <c r="BL1275" s="17"/>
    </row>
    <row r="1276">
      <c r="A1276" s="17"/>
      <c r="B1276" s="17"/>
      <c r="C1276" s="17"/>
      <c r="D1276" s="17"/>
      <c r="E1276" s="17"/>
      <c r="F1276" s="17"/>
      <c r="G1276" s="17"/>
      <c r="H1276" s="356"/>
      <c r="I1276" s="17"/>
      <c r="J1276" s="17"/>
      <c r="K1276" s="17"/>
      <c r="L1276" s="17"/>
      <c r="M1276" s="17"/>
      <c r="N1276" s="17"/>
      <c r="O1276" s="17"/>
      <c r="P1276" s="17"/>
      <c r="Q1276" s="17"/>
      <c r="R1276" s="17"/>
      <c r="S1276" s="17"/>
      <c r="T1276" s="17"/>
      <c r="U1276" s="17"/>
      <c r="V1276" s="17"/>
      <c r="W1276" s="17"/>
      <c r="X1276" s="17"/>
      <c r="Y1276" s="17"/>
      <c r="Z1276" s="17"/>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c r="BA1276" s="17"/>
      <c r="BB1276" s="17"/>
      <c r="BC1276" s="17"/>
      <c r="BD1276" s="17"/>
      <c r="BE1276" s="17"/>
      <c r="BF1276" s="17"/>
      <c r="BG1276" s="17"/>
      <c r="BH1276" s="17"/>
      <c r="BI1276" s="17"/>
      <c r="BJ1276" s="17"/>
      <c r="BK1276" s="17"/>
      <c r="BL1276" s="17"/>
    </row>
    <row r="1277">
      <c r="A1277" s="17"/>
      <c r="B1277" s="17"/>
      <c r="C1277" s="17"/>
      <c r="D1277" s="17"/>
      <c r="E1277" s="17"/>
      <c r="F1277" s="17"/>
      <c r="G1277" s="17"/>
      <c r="H1277" s="356"/>
      <c r="I1277" s="17"/>
      <c r="J1277" s="17"/>
      <c r="K1277" s="17"/>
      <c r="L1277" s="17"/>
      <c r="M1277" s="17"/>
      <c r="N1277" s="17"/>
      <c r="O1277" s="17"/>
      <c r="P1277" s="17"/>
      <c r="Q1277" s="17"/>
      <c r="R1277" s="17"/>
      <c r="S1277" s="17"/>
      <c r="T1277" s="17"/>
      <c r="U1277" s="17"/>
      <c r="V1277" s="17"/>
      <c r="W1277" s="17"/>
      <c r="X1277" s="17"/>
      <c r="Y1277" s="17"/>
      <c r="Z1277" s="17"/>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c r="BA1277" s="17"/>
      <c r="BB1277" s="17"/>
      <c r="BC1277" s="17"/>
      <c r="BD1277" s="17"/>
      <c r="BE1277" s="17"/>
      <c r="BF1277" s="17"/>
      <c r="BG1277" s="17"/>
      <c r="BH1277" s="17"/>
      <c r="BI1277" s="17"/>
      <c r="BJ1277" s="17"/>
      <c r="BK1277" s="17"/>
      <c r="BL1277" s="17"/>
    </row>
    <row r="1278">
      <c r="A1278" s="17"/>
      <c r="B1278" s="17"/>
      <c r="C1278" s="17"/>
      <c r="D1278" s="17"/>
      <c r="E1278" s="17"/>
      <c r="F1278" s="17"/>
      <c r="G1278" s="17"/>
      <c r="H1278" s="356"/>
      <c r="I1278" s="17"/>
      <c r="J1278" s="17"/>
      <c r="K1278" s="17"/>
      <c r="L1278" s="17"/>
      <c r="M1278" s="17"/>
      <c r="N1278" s="17"/>
      <c r="O1278" s="17"/>
      <c r="P1278" s="17"/>
      <c r="Q1278" s="17"/>
      <c r="R1278" s="17"/>
      <c r="S1278" s="17"/>
      <c r="T1278" s="17"/>
      <c r="U1278" s="17"/>
      <c r="V1278" s="17"/>
      <c r="W1278" s="17"/>
      <c r="X1278" s="17"/>
      <c r="Y1278" s="17"/>
      <c r="Z1278" s="17"/>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c r="BF1278" s="17"/>
      <c r="BG1278" s="17"/>
      <c r="BH1278" s="17"/>
      <c r="BI1278" s="17"/>
      <c r="BJ1278" s="17"/>
      <c r="BK1278" s="17"/>
      <c r="BL1278" s="17"/>
    </row>
    <row r="1279">
      <c r="A1279" s="17"/>
      <c r="B1279" s="17"/>
      <c r="C1279" s="17"/>
      <c r="D1279" s="17"/>
      <c r="E1279" s="17"/>
      <c r="F1279" s="17"/>
      <c r="G1279" s="17"/>
      <c r="H1279" s="356"/>
      <c r="I1279" s="17"/>
      <c r="J1279" s="17"/>
      <c r="K1279" s="17"/>
      <c r="L1279" s="17"/>
      <c r="M1279" s="17"/>
      <c r="N1279" s="17"/>
      <c r="O1279" s="17"/>
      <c r="P1279" s="17"/>
      <c r="Q1279" s="17"/>
      <c r="R1279" s="17"/>
      <c r="S1279" s="17"/>
      <c r="T1279" s="17"/>
      <c r="U1279" s="17"/>
      <c r="V1279" s="17"/>
      <c r="W1279" s="17"/>
      <c r="X1279" s="17"/>
      <c r="Y1279" s="17"/>
      <c r="Z1279" s="17"/>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c r="BF1279" s="17"/>
      <c r="BG1279" s="17"/>
      <c r="BH1279" s="17"/>
      <c r="BI1279" s="17"/>
      <c r="BJ1279" s="17"/>
      <c r="BK1279" s="17"/>
      <c r="BL1279" s="17"/>
    </row>
    <row r="1280">
      <c r="A1280" s="17"/>
      <c r="B1280" s="17"/>
      <c r="C1280" s="17"/>
      <c r="D1280" s="17"/>
      <c r="E1280" s="17"/>
      <c r="F1280" s="17"/>
      <c r="G1280" s="17"/>
      <c r="H1280" s="356"/>
      <c r="I1280" s="17"/>
      <c r="J1280" s="17"/>
      <c r="K1280" s="17"/>
      <c r="L1280" s="17"/>
      <c r="M1280" s="17"/>
      <c r="N1280" s="17"/>
      <c r="O1280" s="17"/>
      <c r="P1280" s="17"/>
      <c r="Q1280" s="17"/>
      <c r="R1280" s="17"/>
      <c r="S1280" s="17"/>
      <c r="T1280" s="17"/>
      <c r="U1280" s="17"/>
      <c r="V1280" s="17"/>
      <c r="W1280" s="17"/>
      <c r="X1280" s="17"/>
      <c r="Y1280" s="17"/>
      <c r="Z1280" s="17"/>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c r="BF1280" s="17"/>
      <c r="BG1280" s="17"/>
      <c r="BH1280" s="17"/>
      <c r="BI1280" s="17"/>
      <c r="BJ1280" s="17"/>
      <c r="BK1280" s="17"/>
      <c r="BL1280" s="17"/>
    </row>
    <row r="1281">
      <c r="A1281" s="17"/>
      <c r="B1281" s="17"/>
      <c r="C1281" s="17"/>
      <c r="D1281" s="17"/>
      <c r="E1281" s="17"/>
      <c r="F1281" s="17"/>
      <c r="G1281" s="17"/>
      <c r="H1281" s="356"/>
      <c r="I1281" s="17"/>
      <c r="J1281" s="17"/>
      <c r="K1281" s="17"/>
      <c r="L1281" s="17"/>
      <c r="M1281" s="17"/>
      <c r="N1281" s="17"/>
      <c r="O1281" s="17"/>
      <c r="P1281" s="17"/>
      <c r="Q1281" s="17"/>
      <c r="R1281" s="17"/>
      <c r="S1281" s="17"/>
      <c r="T1281" s="17"/>
      <c r="U1281" s="17"/>
      <c r="V1281" s="17"/>
      <c r="W1281" s="17"/>
      <c r="X1281" s="17"/>
      <c r="Y1281" s="17"/>
      <c r="Z1281" s="17"/>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c r="BA1281" s="17"/>
      <c r="BB1281" s="17"/>
      <c r="BC1281" s="17"/>
      <c r="BD1281" s="17"/>
      <c r="BE1281" s="17"/>
      <c r="BF1281" s="17"/>
      <c r="BG1281" s="17"/>
      <c r="BH1281" s="17"/>
      <c r="BI1281" s="17"/>
      <c r="BJ1281" s="17"/>
      <c r="BK1281" s="17"/>
      <c r="BL1281" s="17"/>
    </row>
    <row r="1282">
      <c r="A1282" s="17"/>
      <c r="B1282" s="17"/>
      <c r="C1282" s="17"/>
      <c r="D1282" s="17"/>
      <c r="E1282" s="17"/>
      <c r="F1282" s="17"/>
      <c r="G1282" s="17"/>
      <c r="H1282" s="356"/>
      <c r="I1282" s="17"/>
      <c r="J1282" s="17"/>
      <c r="K1282" s="17"/>
      <c r="L1282" s="17"/>
      <c r="M1282" s="17"/>
      <c r="N1282" s="17"/>
      <c r="O1282" s="17"/>
      <c r="P1282" s="17"/>
      <c r="Q1282" s="17"/>
      <c r="R1282" s="17"/>
      <c r="S1282" s="17"/>
      <c r="T1282" s="17"/>
      <c r="U1282" s="17"/>
      <c r="V1282" s="17"/>
      <c r="W1282" s="17"/>
      <c r="X1282" s="17"/>
      <c r="Y1282" s="17"/>
      <c r="Z1282" s="17"/>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c r="BA1282" s="17"/>
      <c r="BB1282" s="17"/>
      <c r="BC1282" s="17"/>
      <c r="BD1282" s="17"/>
      <c r="BE1282" s="17"/>
      <c r="BF1282" s="17"/>
      <c r="BG1282" s="17"/>
      <c r="BH1282" s="17"/>
      <c r="BI1282" s="17"/>
      <c r="BJ1282" s="17"/>
      <c r="BK1282" s="17"/>
      <c r="BL1282" s="17"/>
    </row>
    <row r="1283">
      <c r="A1283" s="17"/>
      <c r="B1283" s="17"/>
      <c r="C1283" s="17"/>
      <c r="D1283" s="17"/>
      <c r="E1283" s="17"/>
      <c r="F1283" s="17"/>
      <c r="G1283" s="17"/>
      <c r="H1283" s="356"/>
      <c r="I1283" s="17"/>
      <c r="J1283" s="17"/>
      <c r="K1283" s="17"/>
      <c r="L1283" s="17"/>
      <c r="M1283" s="17"/>
      <c r="N1283" s="17"/>
      <c r="O1283" s="17"/>
      <c r="P1283" s="17"/>
      <c r="Q1283" s="17"/>
      <c r="R1283" s="17"/>
      <c r="S1283" s="17"/>
      <c r="T1283" s="17"/>
      <c r="U1283" s="17"/>
      <c r="V1283" s="17"/>
      <c r="W1283" s="17"/>
      <c r="X1283" s="17"/>
      <c r="Y1283" s="17"/>
      <c r="Z1283" s="17"/>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c r="BA1283" s="17"/>
      <c r="BB1283" s="17"/>
      <c r="BC1283" s="17"/>
      <c r="BD1283" s="17"/>
      <c r="BE1283" s="17"/>
      <c r="BF1283" s="17"/>
      <c r="BG1283" s="17"/>
      <c r="BH1283" s="17"/>
      <c r="BI1283" s="17"/>
      <c r="BJ1283" s="17"/>
      <c r="BK1283" s="17"/>
      <c r="BL1283" s="17"/>
    </row>
    <row r="1284">
      <c r="A1284" s="17"/>
      <c r="B1284" s="17"/>
      <c r="C1284" s="17"/>
      <c r="D1284" s="17"/>
      <c r="E1284" s="17"/>
      <c r="F1284" s="17"/>
      <c r="G1284" s="17"/>
      <c r="H1284" s="356"/>
      <c r="I1284" s="17"/>
      <c r="J1284" s="17"/>
      <c r="K1284" s="17"/>
      <c r="L1284" s="17"/>
      <c r="M1284" s="17"/>
      <c r="N1284" s="17"/>
      <c r="O1284" s="17"/>
      <c r="P1284" s="17"/>
      <c r="Q1284" s="17"/>
      <c r="R1284" s="17"/>
      <c r="S1284" s="17"/>
      <c r="T1284" s="17"/>
      <c r="U1284" s="17"/>
      <c r="V1284" s="17"/>
      <c r="W1284" s="17"/>
      <c r="X1284" s="17"/>
      <c r="Y1284" s="17"/>
      <c r="Z1284" s="17"/>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c r="BA1284" s="17"/>
      <c r="BB1284" s="17"/>
      <c r="BC1284" s="17"/>
      <c r="BD1284" s="17"/>
      <c r="BE1284" s="17"/>
      <c r="BF1284" s="17"/>
      <c r="BG1284" s="17"/>
      <c r="BH1284" s="17"/>
      <c r="BI1284" s="17"/>
      <c r="BJ1284" s="17"/>
      <c r="BK1284" s="17"/>
      <c r="BL1284" s="17"/>
    </row>
    <row r="1285">
      <c r="A1285" s="17"/>
      <c r="B1285" s="17"/>
      <c r="C1285" s="17"/>
      <c r="D1285" s="17"/>
      <c r="E1285" s="17"/>
      <c r="F1285" s="17"/>
      <c r="G1285" s="17"/>
      <c r="H1285" s="356"/>
      <c r="I1285" s="17"/>
      <c r="J1285" s="17"/>
      <c r="K1285" s="17"/>
      <c r="L1285" s="17"/>
      <c r="M1285" s="17"/>
      <c r="N1285" s="17"/>
      <c r="O1285" s="17"/>
      <c r="P1285" s="17"/>
      <c r="Q1285" s="17"/>
      <c r="R1285" s="17"/>
      <c r="S1285" s="17"/>
      <c r="T1285" s="17"/>
      <c r="U1285" s="17"/>
      <c r="V1285" s="17"/>
      <c r="W1285" s="17"/>
      <c r="X1285" s="17"/>
      <c r="Y1285" s="17"/>
      <c r="Z1285" s="17"/>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c r="BA1285" s="17"/>
      <c r="BB1285" s="17"/>
      <c r="BC1285" s="17"/>
      <c r="BD1285" s="17"/>
      <c r="BE1285" s="17"/>
      <c r="BF1285" s="17"/>
      <c r="BG1285" s="17"/>
      <c r="BH1285" s="17"/>
      <c r="BI1285" s="17"/>
      <c r="BJ1285" s="17"/>
      <c r="BK1285" s="17"/>
      <c r="BL1285" s="17"/>
    </row>
    <row r="1286">
      <c r="A1286" s="17"/>
      <c r="B1286" s="17"/>
      <c r="C1286" s="17"/>
      <c r="D1286" s="17"/>
      <c r="E1286" s="17"/>
      <c r="F1286" s="17"/>
      <c r="G1286" s="17"/>
      <c r="H1286" s="356"/>
      <c r="I1286" s="17"/>
      <c r="J1286" s="17"/>
      <c r="K1286" s="17"/>
      <c r="L1286" s="17"/>
      <c r="M1286" s="17"/>
      <c r="N1286" s="17"/>
      <c r="O1286" s="17"/>
      <c r="P1286" s="17"/>
      <c r="Q1286" s="17"/>
      <c r="R1286" s="17"/>
      <c r="S1286" s="17"/>
      <c r="T1286" s="17"/>
      <c r="U1286" s="17"/>
      <c r="V1286" s="17"/>
      <c r="W1286" s="17"/>
      <c r="X1286" s="17"/>
      <c r="Y1286" s="17"/>
      <c r="Z1286" s="17"/>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c r="BA1286" s="17"/>
      <c r="BB1286" s="17"/>
      <c r="BC1286" s="17"/>
      <c r="BD1286" s="17"/>
      <c r="BE1286" s="17"/>
      <c r="BF1286" s="17"/>
      <c r="BG1286" s="17"/>
      <c r="BH1286" s="17"/>
      <c r="BI1286" s="17"/>
      <c r="BJ1286" s="17"/>
      <c r="BK1286" s="17"/>
      <c r="BL1286" s="17"/>
    </row>
    <row r="1287">
      <c r="A1287" s="17"/>
      <c r="B1287" s="17"/>
      <c r="C1287" s="17"/>
      <c r="D1287" s="17"/>
      <c r="E1287" s="17"/>
      <c r="F1287" s="17"/>
      <c r="G1287" s="17"/>
      <c r="H1287" s="356"/>
      <c r="I1287" s="17"/>
      <c r="J1287" s="17"/>
      <c r="K1287" s="17"/>
      <c r="L1287" s="17"/>
      <c r="M1287" s="17"/>
      <c r="N1287" s="17"/>
      <c r="O1287" s="17"/>
      <c r="P1287" s="17"/>
      <c r="Q1287" s="17"/>
      <c r="R1287" s="17"/>
      <c r="S1287" s="17"/>
      <c r="T1287" s="17"/>
      <c r="U1287" s="17"/>
      <c r="V1287" s="17"/>
      <c r="W1287" s="17"/>
      <c r="X1287" s="17"/>
      <c r="Y1287" s="17"/>
      <c r="Z1287" s="17"/>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c r="BA1287" s="17"/>
      <c r="BB1287" s="17"/>
      <c r="BC1287" s="17"/>
      <c r="BD1287" s="17"/>
      <c r="BE1287" s="17"/>
      <c r="BF1287" s="17"/>
      <c r="BG1287" s="17"/>
      <c r="BH1287" s="17"/>
      <c r="BI1287" s="17"/>
      <c r="BJ1287" s="17"/>
      <c r="BK1287" s="17"/>
      <c r="BL1287" s="17"/>
    </row>
    <row r="1288">
      <c r="A1288" s="17"/>
      <c r="B1288" s="17"/>
      <c r="C1288" s="17"/>
      <c r="D1288" s="17"/>
      <c r="E1288" s="17"/>
      <c r="F1288" s="17"/>
      <c r="G1288" s="17"/>
      <c r="H1288" s="356"/>
      <c r="I1288" s="17"/>
      <c r="J1288" s="17"/>
      <c r="K1288" s="17"/>
      <c r="L1288" s="17"/>
      <c r="M1288" s="17"/>
      <c r="N1288" s="17"/>
      <c r="O1288" s="17"/>
      <c r="P1288" s="17"/>
      <c r="Q1288" s="17"/>
      <c r="R1288" s="17"/>
      <c r="S1288" s="17"/>
      <c r="T1288" s="17"/>
      <c r="U1288" s="17"/>
      <c r="V1288" s="17"/>
      <c r="W1288" s="17"/>
      <c r="X1288" s="17"/>
      <c r="Y1288" s="17"/>
      <c r="Z1288" s="17"/>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c r="BA1288" s="17"/>
      <c r="BB1288" s="17"/>
      <c r="BC1288" s="17"/>
      <c r="BD1288" s="17"/>
      <c r="BE1288" s="17"/>
      <c r="BF1288" s="17"/>
      <c r="BG1288" s="17"/>
      <c r="BH1288" s="17"/>
      <c r="BI1288" s="17"/>
      <c r="BJ1288" s="17"/>
      <c r="BK1288" s="17"/>
      <c r="BL1288" s="17"/>
    </row>
    <row r="1289">
      <c r="A1289" s="17"/>
      <c r="B1289" s="17"/>
      <c r="C1289" s="17"/>
      <c r="D1289" s="17"/>
      <c r="E1289" s="17"/>
      <c r="F1289" s="17"/>
      <c r="G1289" s="17"/>
      <c r="H1289" s="356"/>
      <c r="I1289" s="17"/>
      <c r="J1289" s="17"/>
      <c r="K1289" s="17"/>
      <c r="L1289" s="17"/>
      <c r="M1289" s="17"/>
      <c r="N1289" s="17"/>
      <c r="O1289" s="17"/>
      <c r="P1289" s="17"/>
      <c r="Q1289" s="17"/>
      <c r="R1289" s="17"/>
      <c r="S1289" s="17"/>
      <c r="T1289" s="17"/>
      <c r="U1289" s="17"/>
      <c r="V1289" s="17"/>
      <c r="W1289" s="17"/>
      <c r="X1289" s="17"/>
      <c r="Y1289" s="17"/>
      <c r="Z1289" s="17"/>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7"/>
      <c r="AW1289" s="17"/>
      <c r="AX1289" s="17"/>
      <c r="AY1289" s="17"/>
      <c r="AZ1289" s="17"/>
      <c r="BA1289" s="17"/>
      <c r="BB1289" s="17"/>
      <c r="BC1289" s="17"/>
      <c r="BD1289" s="17"/>
      <c r="BE1289" s="17"/>
      <c r="BF1289" s="17"/>
      <c r="BG1289" s="17"/>
      <c r="BH1289" s="17"/>
      <c r="BI1289" s="17"/>
      <c r="BJ1289" s="17"/>
      <c r="BK1289" s="17"/>
      <c r="BL1289" s="17"/>
    </row>
    <row r="1290">
      <c r="A1290" s="17"/>
      <c r="B1290" s="17"/>
      <c r="C1290" s="17"/>
      <c r="D1290" s="17"/>
      <c r="E1290" s="17"/>
      <c r="F1290" s="17"/>
      <c r="G1290" s="17"/>
      <c r="H1290" s="356"/>
      <c r="I1290" s="17"/>
      <c r="J1290" s="17"/>
      <c r="K1290" s="17"/>
      <c r="L1290" s="17"/>
      <c r="M1290" s="17"/>
      <c r="N1290" s="17"/>
      <c r="O1290" s="17"/>
      <c r="P1290" s="17"/>
      <c r="Q1290" s="17"/>
      <c r="R1290" s="17"/>
      <c r="S1290" s="17"/>
      <c r="T1290" s="17"/>
      <c r="U1290" s="17"/>
      <c r="V1290" s="17"/>
      <c r="W1290" s="17"/>
      <c r="X1290" s="17"/>
      <c r="Y1290" s="17"/>
      <c r="Z1290" s="17"/>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c r="BA1290" s="17"/>
      <c r="BB1290" s="17"/>
      <c r="BC1290" s="17"/>
      <c r="BD1290" s="17"/>
      <c r="BE1290" s="17"/>
      <c r="BF1290" s="17"/>
      <c r="BG1290" s="17"/>
      <c r="BH1290" s="17"/>
      <c r="BI1290" s="17"/>
      <c r="BJ1290" s="17"/>
      <c r="BK1290" s="17"/>
      <c r="BL1290" s="17"/>
    </row>
    <row r="1291">
      <c r="A1291" s="17"/>
      <c r="B1291" s="17"/>
      <c r="C1291" s="17"/>
      <c r="D1291" s="17"/>
      <c r="E1291" s="17"/>
      <c r="F1291" s="17"/>
      <c r="G1291" s="17"/>
      <c r="H1291" s="356"/>
      <c r="I1291" s="17"/>
      <c r="J1291" s="17"/>
      <c r="K1291" s="17"/>
      <c r="L1291" s="17"/>
      <c r="M1291" s="17"/>
      <c r="N1291" s="17"/>
      <c r="O1291" s="17"/>
      <c r="P1291" s="17"/>
      <c r="Q1291" s="17"/>
      <c r="R1291" s="17"/>
      <c r="S1291" s="17"/>
      <c r="T1291" s="17"/>
      <c r="U1291" s="17"/>
      <c r="V1291" s="17"/>
      <c r="W1291" s="17"/>
      <c r="X1291" s="17"/>
      <c r="Y1291" s="17"/>
      <c r="Z1291" s="17"/>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c r="BA1291" s="17"/>
      <c r="BB1291" s="17"/>
      <c r="BC1291" s="17"/>
      <c r="BD1291" s="17"/>
      <c r="BE1291" s="17"/>
      <c r="BF1291" s="17"/>
      <c r="BG1291" s="17"/>
      <c r="BH1291" s="17"/>
      <c r="BI1291" s="17"/>
      <c r="BJ1291" s="17"/>
      <c r="BK1291" s="17"/>
      <c r="BL1291" s="17"/>
    </row>
    <row r="1292">
      <c r="A1292" s="17"/>
      <c r="B1292" s="17"/>
      <c r="C1292" s="17"/>
      <c r="D1292" s="17"/>
      <c r="E1292" s="17"/>
      <c r="F1292" s="17"/>
      <c r="G1292" s="17"/>
      <c r="H1292" s="356"/>
      <c r="I1292" s="17"/>
      <c r="J1292" s="17"/>
      <c r="K1292" s="17"/>
      <c r="L1292" s="17"/>
      <c r="M1292" s="17"/>
      <c r="N1292" s="17"/>
      <c r="O1292" s="17"/>
      <c r="P1292" s="17"/>
      <c r="Q1292" s="17"/>
      <c r="R1292" s="17"/>
      <c r="S1292" s="17"/>
      <c r="T1292" s="17"/>
      <c r="U1292" s="17"/>
      <c r="V1292" s="17"/>
      <c r="W1292" s="17"/>
      <c r="X1292" s="17"/>
      <c r="Y1292" s="17"/>
      <c r="Z1292" s="17"/>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c r="BA1292" s="17"/>
      <c r="BB1292" s="17"/>
      <c r="BC1292" s="17"/>
      <c r="BD1292" s="17"/>
      <c r="BE1292" s="17"/>
      <c r="BF1292" s="17"/>
      <c r="BG1292" s="17"/>
      <c r="BH1292" s="17"/>
      <c r="BI1292" s="17"/>
      <c r="BJ1292" s="17"/>
      <c r="BK1292" s="17"/>
      <c r="BL1292" s="17"/>
    </row>
    <row r="1293">
      <c r="A1293" s="17"/>
      <c r="B1293" s="17"/>
      <c r="C1293" s="17"/>
      <c r="D1293" s="17"/>
      <c r="E1293" s="17"/>
      <c r="F1293" s="17"/>
      <c r="G1293" s="17"/>
      <c r="H1293" s="356"/>
      <c r="I1293" s="17"/>
      <c r="J1293" s="17"/>
      <c r="K1293" s="17"/>
      <c r="L1293" s="17"/>
      <c r="M1293" s="17"/>
      <c r="N1293" s="17"/>
      <c r="O1293" s="17"/>
      <c r="P1293" s="17"/>
      <c r="Q1293" s="17"/>
      <c r="R1293" s="17"/>
      <c r="S1293" s="17"/>
      <c r="T1293" s="17"/>
      <c r="U1293" s="17"/>
      <c r="V1293" s="17"/>
      <c r="W1293" s="17"/>
      <c r="X1293" s="17"/>
      <c r="Y1293" s="17"/>
      <c r="Z1293" s="17"/>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c r="AV1293" s="17"/>
      <c r="AW1293" s="17"/>
      <c r="AX1293" s="17"/>
      <c r="AY1293" s="17"/>
      <c r="AZ1293" s="17"/>
      <c r="BA1293" s="17"/>
      <c r="BB1293" s="17"/>
      <c r="BC1293" s="17"/>
      <c r="BD1293" s="17"/>
      <c r="BE1293" s="17"/>
      <c r="BF1293" s="17"/>
      <c r="BG1293" s="17"/>
      <c r="BH1293" s="17"/>
      <c r="BI1293" s="17"/>
      <c r="BJ1293" s="17"/>
      <c r="BK1293" s="17"/>
      <c r="BL1293" s="17"/>
    </row>
    <row r="1294">
      <c r="A1294" s="17"/>
      <c r="B1294" s="17"/>
      <c r="C1294" s="17"/>
      <c r="D1294" s="17"/>
      <c r="E1294" s="17"/>
      <c r="F1294" s="17"/>
      <c r="G1294" s="17"/>
      <c r="H1294" s="356"/>
      <c r="I1294" s="17"/>
      <c r="J1294" s="17"/>
      <c r="K1294" s="17"/>
      <c r="L1294" s="17"/>
      <c r="M1294" s="17"/>
      <c r="N1294" s="17"/>
      <c r="O1294" s="17"/>
      <c r="P1294" s="17"/>
      <c r="Q1294" s="17"/>
      <c r="R1294" s="17"/>
      <c r="S1294" s="17"/>
      <c r="T1294" s="17"/>
      <c r="U1294" s="17"/>
      <c r="V1294" s="17"/>
      <c r="W1294" s="17"/>
      <c r="X1294" s="17"/>
      <c r="Y1294" s="17"/>
      <c r="Z1294" s="17"/>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c r="AV1294" s="17"/>
      <c r="AW1294" s="17"/>
      <c r="AX1294" s="17"/>
      <c r="AY1294" s="17"/>
      <c r="AZ1294" s="17"/>
      <c r="BA1294" s="17"/>
      <c r="BB1294" s="17"/>
      <c r="BC1294" s="17"/>
      <c r="BD1294" s="17"/>
      <c r="BE1294" s="17"/>
      <c r="BF1294" s="17"/>
      <c r="BG1294" s="17"/>
      <c r="BH1294" s="17"/>
      <c r="BI1294" s="17"/>
      <c r="BJ1294" s="17"/>
      <c r="BK1294" s="17"/>
      <c r="BL1294" s="17"/>
    </row>
    <row r="1295">
      <c r="A1295" s="17"/>
      <c r="B1295" s="17"/>
      <c r="C1295" s="17"/>
      <c r="D1295" s="17"/>
      <c r="E1295" s="17"/>
      <c r="F1295" s="17"/>
      <c r="G1295" s="17"/>
      <c r="H1295" s="356"/>
      <c r="I1295" s="17"/>
      <c r="J1295" s="17"/>
      <c r="K1295" s="17"/>
      <c r="L1295" s="17"/>
      <c r="M1295" s="17"/>
      <c r="N1295" s="17"/>
      <c r="O1295" s="17"/>
      <c r="P1295" s="17"/>
      <c r="Q1295" s="17"/>
      <c r="R1295" s="17"/>
      <c r="S1295" s="17"/>
      <c r="T1295" s="17"/>
      <c r="U1295" s="17"/>
      <c r="V1295" s="17"/>
      <c r="W1295" s="17"/>
      <c r="X1295" s="17"/>
      <c r="Y1295" s="17"/>
      <c r="Z1295" s="17"/>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c r="BA1295" s="17"/>
      <c r="BB1295" s="17"/>
      <c r="BC1295" s="17"/>
      <c r="BD1295" s="17"/>
      <c r="BE1295" s="17"/>
      <c r="BF1295" s="17"/>
      <c r="BG1295" s="17"/>
      <c r="BH1295" s="17"/>
      <c r="BI1295" s="17"/>
      <c r="BJ1295" s="17"/>
      <c r="BK1295" s="17"/>
      <c r="BL1295" s="17"/>
    </row>
    <row r="1296">
      <c r="A1296" s="17"/>
      <c r="B1296" s="17"/>
      <c r="C1296" s="17"/>
      <c r="D1296" s="17"/>
      <c r="E1296" s="17"/>
      <c r="F1296" s="17"/>
      <c r="G1296" s="17"/>
      <c r="H1296" s="356"/>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c r="AV1296" s="17"/>
      <c r="AW1296" s="17"/>
      <c r="AX1296" s="17"/>
      <c r="AY1296" s="17"/>
      <c r="AZ1296" s="17"/>
      <c r="BA1296" s="17"/>
      <c r="BB1296" s="17"/>
      <c r="BC1296" s="17"/>
      <c r="BD1296" s="17"/>
      <c r="BE1296" s="17"/>
      <c r="BF1296" s="17"/>
      <c r="BG1296" s="17"/>
      <c r="BH1296" s="17"/>
      <c r="BI1296" s="17"/>
      <c r="BJ1296" s="17"/>
      <c r="BK1296" s="17"/>
      <c r="BL1296" s="17"/>
    </row>
    <row r="1297">
      <c r="A1297" s="17"/>
      <c r="B1297" s="17"/>
      <c r="C1297" s="17"/>
      <c r="D1297" s="17"/>
      <c r="E1297" s="17"/>
      <c r="F1297" s="17"/>
      <c r="G1297" s="17"/>
      <c r="H1297" s="356"/>
      <c r="I1297" s="17"/>
      <c r="J1297" s="17"/>
      <c r="K1297" s="17"/>
      <c r="L1297" s="17"/>
      <c r="M1297" s="17"/>
      <c r="N1297" s="17"/>
      <c r="O1297" s="17"/>
      <c r="P1297" s="17"/>
      <c r="Q1297" s="17"/>
      <c r="R1297" s="17"/>
      <c r="S1297" s="17"/>
      <c r="T1297" s="17"/>
      <c r="U1297" s="17"/>
      <c r="V1297" s="17"/>
      <c r="W1297" s="17"/>
      <c r="X1297" s="17"/>
      <c r="Y1297" s="17"/>
      <c r="Z1297" s="17"/>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c r="AV1297" s="17"/>
      <c r="AW1297" s="17"/>
      <c r="AX1297" s="17"/>
      <c r="AY1297" s="17"/>
      <c r="AZ1297" s="17"/>
      <c r="BA1297" s="17"/>
      <c r="BB1297" s="17"/>
      <c r="BC1297" s="17"/>
      <c r="BD1297" s="17"/>
      <c r="BE1297" s="17"/>
      <c r="BF1297" s="17"/>
      <c r="BG1297" s="17"/>
      <c r="BH1297" s="17"/>
      <c r="BI1297" s="17"/>
      <c r="BJ1297" s="17"/>
      <c r="BK1297" s="17"/>
      <c r="BL1297" s="17"/>
    </row>
    <row r="1298">
      <c r="A1298" s="17"/>
      <c r="B1298" s="17"/>
      <c r="C1298" s="17"/>
      <c r="D1298" s="17"/>
      <c r="E1298" s="17"/>
      <c r="F1298" s="17"/>
      <c r="G1298" s="17"/>
      <c r="H1298" s="356"/>
      <c r="I1298" s="17"/>
      <c r="J1298" s="17"/>
      <c r="K1298" s="17"/>
      <c r="L1298" s="17"/>
      <c r="M1298" s="17"/>
      <c r="N1298" s="17"/>
      <c r="O1298" s="17"/>
      <c r="P1298" s="17"/>
      <c r="Q1298" s="17"/>
      <c r="R1298" s="17"/>
      <c r="S1298" s="17"/>
      <c r="T1298" s="17"/>
      <c r="U1298" s="17"/>
      <c r="V1298" s="17"/>
      <c r="W1298" s="17"/>
      <c r="X1298" s="17"/>
      <c r="Y1298" s="17"/>
      <c r="Z1298" s="17"/>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c r="AV1298" s="17"/>
      <c r="AW1298" s="17"/>
      <c r="AX1298" s="17"/>
      <c r="AY1298" s="17"/>
      <c r="AZ1298" s="17"/>
      <c r="BA1298" s="17"/>
      <c r="BB1298" s="17"/>
      <c r="BC1298" s="17"/>
      <c r="BD1298" s="17"/>
      <c r="BE1298" s="17"/>
      <c r="BF1298" s="17"/>
      <c r="BG1298" s="17"/>
      <c r="BH1298" s="17"/>
      <c r="BI1298" s="17"/>
      <c r="BJ1298" s="17"/>
      <c r="BK1298" s="17"/>
      <c r="BL1298" s="17"/>
    </row>
    <row r="1299">
      <c r="A1299" s="17"/>
      <c r="B1299" s="17"/>
      <c r="C1299" s="17"/>
      <c r="D1299" s="17"/>
      <c r="E1299" s="17"/>
      <c r="F1299" s="17"/>
      <c r="G1299" s="17"/>
      <c r="H1299" s="356"/>
      <c r="I1299" s="17"/>
      <c r="J1299" s="17"/>
      <c r="K1299" s="17"/>
      <c r="L1299" s="17"/>
      <c r="M1299" s="17"/>
      <c r="N1299" s="17"/>
      <c r="O1299" s="17"/>
      <c r="P1299" s="17"/>
      <c r="Q1299" s="17"/>
      <c r="R1299" s="17"/>
      <c r="S1299" s="17"/>
      <c r="T1299" s="17"/>
      <c r="U1299" s="17"/>
      <c r="V1299" s="17"/>
      <c r="W1299" s="17"/>
      <c r="X1299" s="17"/>
      <c r="Y1299" s="17"/>
      <c r="Z1299" s="17"/>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c r="AW1299" s="17"/>
      <c r="AX1299" s="17"/>
      <c r="AY1299" s="17"/>
      <c r="AZ1299" s="17"/>
      <c r="BA1299" s="17"/>
      <c r="BB1299" s="17"/>
      <c r="BC1299" s="17"/>
      <c r="BD1299" s="17"/>
      <c r="BE1299" s="17"/>
      <c r="BF1299" s="17"/>
      <c r="BG1299" s="17"/>
      <c r="BH1299" s="17"/>
      <c r="BI1299" s="17"/>
      <c r="BJ1299" s="17"/>
      <c r="BK1299" s="17"/>
      <c r="BL1299" s="17"/>
    </row>
    <row r="1300">
      <c r="A1300" s="17"/>
      <c r="B1300" s="17"/>
      <c r="C1300" s="17"/>
      <c r="D1300" s="17"/>
      <c r="E1300" s="17"/>
      <c r="F1300" s="17"/>
      <c r="G1300" s="17"/>
      <c r="H1300" s="356"/>
      <c r="I1300" s="17"/>
      <c r="J1300" s="17"/>
      <c r="K1300" s="17"/>
      <c r="L1300" s="17"/>
      <c r="M1300" s="17"/>
      <c r="N1300" s="17"/>
      <c r="O1300" s="17"/>
      <c r="P1300" s="17"/>
      <c r="Q1300" s="17"/>
      <c r="R1300" s="17"/>
      <c r="S1300" s="17"/>
      <c r="T1300" s="17"/>
      <c r="U1300" s="17"/>
      <c r="V1300" s="17"/>
      <c r="W1300" s="17"/>
      <c r="X1300" s="17"/>
      <c r="Y1300" s="17"/>
      <c r="Z1300" s="17"/>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7"/>
      <c r="AW1300" s="17"/>
      <c r="AX1300" s="17"/>
      <c r="AY1300" s="17"/>
      <c r="AZ1300" s="17"/>
      <c r="BA1300" s="17"/>
      <c r="BB1300" s="17"/>
      <c r="BC1300" s="17"/>
      <c r="BD1300" s="17"/>
      <c r="BE1300" s="17"/>
      <c r="BF1300" s="17"/>
      <c r="BG1300" s="17"/>
      <c r="BH1300" s="17"/>
      <c r="BI1300" s="17"/>
      <c r="BJ1300" s="17"/>
      <c r="BK1300" s="17"/>
      <c r="BL1300" s="17"/>
    </row>
    <row r="1301">
      <c r="A1301" s="17"/>
      <c r="B1301" s="17"/>
      <c r="C1301" s="17"/>
      <c r="D1301" s="17"/>
      <c r="E1301" s="17"/>
      <c r="F1301" s="17"/>
      <c r="G1301" s="17"/>
      <c r="H1301" s="356"/>
      <c r="I1301" s="17"/>
      <c r="J1301" s="17"/>
      <c r="K1301" s="17"/>
      <c r="L1301" s="17"/>
      <c r="M1301" s="17"/>
      <c r="N1301" s="17"/>
      <c r="O1301" s="17"/>
      <c r="P1301" s="17"/>
      <c r="Q1301" s="17"/>
      <c r="R1301" s="17"/>
      <c r="S1301" s="17"/>
      <c r="T1301" s="17"/>
      <c r="U1301" s="17"/>
      <c r="V1301" s="17"/>
      <c r="W1301" s="17"/>
      <c r="X1301" s="17"/>
      <c r="Y1301" s="17"/>
      <c r="Z1301" s="17"/>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c r="AV1301" s="17"/>
      <c r="AW1301" s="17"/>
      <c r="AX1301" s="17"/>
      <c r="AY1301" s="17"/>
      <c r="AZ1301" s="17"/>
      <c r="BA1301" s="17"/>
      <c r="BB1301" s="17"/>
      <c r="BC1301" s="17"/>
      <c r="BD1301" s="17"/>
      <c r="BE1301" s="17"/>
      <c r="BF1301" s="17"/>
      <c r="BG1301" s="17"/>
      <c r="BH1301" s="17"/>
      <c r="BI1301" s="17"/>
      <c r="BJ1301" s="17"/>
      <c r="BK1301" s="17"/>
      <c r="BL1301" s="17"/>
    </row>
    <row r="1302">
      <c r="A1302" s="17"/>
      <c r="B1302" s="17"/>
      <c r="C1302" s="17"/>
      <c r="D1302" s="17"/>
      <c r="E1302" s="17"/>
      <c r="F1302" s="17"/>
      <c r="G1302" s="17"/>
      <c r="H1302" s="356"/>
      <c r="I1302" s="17"/>
      <c r="J1302" s="17"/>
      <c r="K1302" s="17"/>
      <c r="L1302" s="17"/>
      <c r="M1302" s="17"/>
      <c r="N1302" s="17"/>
      <c r="O1302" s="17"/>
      <c r="P1302" s="17"/>
      <c r="Q1302" s="17"/>
      <c r="R1302" s="17"/>
      <c r="S1302" s="17"/>
      <c r="T1302" s="17"/>
      <c r="U1302" s="17"/>
      <c r="V1302" s="17"/>
      <c r="W1302" s="17"/>
      <c r="X1302" s="17"/>
      <c r="Y1302" s="17"/>
      <c r="Z1302" s="17"/>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c r="AW1302" s="17"/>
      <c r="AX1302" s="17"/>
      <c r="AY1302" s="17"/>
      <c r="AZ1302" s="17"/>
      <c r="BA1302" s="17"/>
      <c r="BB1302" s="17"/>
      <c r="BC1302" s="17"/>
      <c r="BD1302" s="17"/>
      <c r="BE1302" s="17"/>
      <c r="BF1302" s="17"/>
      <c r="BG1302" s="17"/>
      <c r="BH1302" s="17"/>
      <c r="BI1302" s="17"/>
      <c r="BJ1302" s="17"/>
      <c r="BK1302" s="17"/>
      <c r="BL1302" s="17"/>
    </row>
    <row r="1303">
      <c r="A1303" s="17"/>
      <c r="B1303" s="17"/>
      <c r="C1303" s="17"/>
      <c r="D1303" s="17"/>
      <c r="E1303" s="17"/>
      <c r="F1303" s="17"/>
      <c r="G1303" s="17"/>
      <c r="H1303" s="356"/>
      <c r="I1303" s="17"/>
      <c r="J1303" s="17"/>
      <c r="K1303" s="17"/>
      <c r="L1303" s="17"/>
      <c r="M1303" s="17"/>
      <c r="N1303" s="17"/>
      <c r="O1303" s="17"/>
      <c r="P1303" s="17"/>
      <c r="Q1303" s="17"/>
      <c r="R1303" s="17"/>
      <c r="S1303" s="17"/>
      <c r="T1303" s="17"/>
      <c r="U1303" s="17"/>
      <c r="V1303" s="17"/>
      <c r="W1303" s="17"/>
      <c r="X1303" s="17"/>
      <c r="Y1303" s="17"/>
      <c r="Z1303" s="17"/>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7"/>
      <c r="AW1303" s="17"/>
      <c r="AX1303" s="17"/>
      <c r="AY1303" s="17"/>
      <c r="AZ1303" s="17"/>
      <c r="BA1303" s="17"/>
      <c r="BB1303" s="17"/>
      <c r="BC1303" s="17"/>
      <c r="BD1303" s="17"/>
      <c r="BE1303" s="17"/>
      <c r="BF1303" s="17"/>
      <c r="BG1303" s="17"/>
      <c r="BH1303" s="17"/>
      <c r="BI1303" s="17"/>
      <c r="BJ1303" s="17"/>
      <c r="BK1303" s="17"/>
      <c r="BL1303" s="17"/>
    </row>
    <row r="1304">
      <c r="A1304" s="17"/>
      <c r="B1304" s="17"/>
      <c r="C1304" s="17"/>
      <c r="D1304" s="17"/>
      <c r="E1304" s="17"/>
      <c r="F1304" s="17"/>
      <c r="G1304" s="17"/>
      <c r="H1304" s="356"/>
      <c r="I1304" s="17"/>
      <c r="J1304" s="17"/>
      <c r="K1304" s="17"/>
      <c r="L1304" s="17"/>
      <c r="M1304" s="17"/>
      <c r="N1304" s="17"/>
      <c r="O1304" s="17"/>
      <c r="P1304" s="17"/>
      <c r="Q1304" s="17"/>
      <c r="R1304" s="17"/>
      <c r="S1304" s="17"/>
      <c r="T1304" s="17"/>
      <c r="U1304" s="17"/>
      <c r="V1304" s="17"/>
      <c r="W1304" s="17"/>
      <c r="X1304" s="17"/>
      <c r="Y1304" s="17"/>
      <c r="Z1304" s="17"/>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7"/>
      <c r="AW1304" s="17"/>
      <c r="AX1304" s="17"/>
      <c r="AY1304" s="17"/>
      <c r="AZ1304" s="17"/>
      <c r="BA1304" s="17"/>
      <c r="BB1304" s="17"/>
      <c r="BC1304" s="17"/>
      <c r="BD1304" s="17"/>
      <c r="BE1304" s="17"/>
      <c r="BF1304" s="17"/>
      <c r="BG1304" s="17"/>
      <c r="BH1304" s="17"/>
      <c r="BI1304" s="17"/>
      <c r="BJ1304" s="17"/>
      <c r="BK1304" s="17"/>
      <c r="BL1304" s="17"/>
    </row>
    <row r="1305">
      <c r="A1305" s="17"/>
      <c r="B1305" s="17"/>
      <c r="C1305" s="17"/>
      <c r="D1305" s="17"/>
      <c r="E1305" s="17"/>
      <c r="F1305" s="17"/>
      <c r="G1305" s="17"/>
      <c r="H1305" s="356"/>
      <c r="I1305" s="17"/>
      <c r="J1305" s="17"/>
      <c r="K1305" s="17"/>
      <c r="L1305" s="17"/>
      <c r="M1305" s="17"/>
      <c r="N1305" s="17"/>
      <c r="O1305" s="17"/>
      <c r="P1305" s="17"/>
      <c r="Q1305" s="17"/>
      <c r="R1305" s="17"/>
      <c r="S1305" s="17"/>
      <c r="T1305" s="17"/>
      <c r="U1305" s="17"/>
      <c r="V1305" s="17"/>
      <c r="W1305" s="17"/>
      <c r="X1305" s="17"/>
      <c r="Y1305" s="17"/>
      <c r="Z1305" s="17"/>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7"/>
      <c r="AW1305" s="17"/>
      <c r="AX1305" s="17"/>
      <c r="AY1305" s="17"/>
      <c r="AZ1305" s="17"/>
      <c r="BA1305" s="17"/>
      <c r="BB1305" s="17"/>
      <c r="BC1305" s="17"/>
      <c r="BD1305" s="17"/>
      <c r="BE1305" s="17"/>
      <c r="BF1305" s="17"/>
      <c r="BG1305" s="17"/>
      <c r="BH1305" s="17"/>
      <c r="BI1305" s="17"/>
      <c r="BJ1305" s="17"/>
      <c r="BK1305" s="17"/>
      <c r="BL1305" s="17"/>
    </row>
    <row r="1306">
      <c r="A1306" s="17"/>
      <c r="B1306" s="17"/>
      <c r="C1306" s="17"/>
      <c r="D1306" s="17"/>
      <c r="E1306" s="17"/>
      <c r="F1306" s="17"/>
      <c r="G1306" s="17"/>
      <c r="H1306" s="356"/>
      <c r="I1306" s="17"/>
      <c r="J1306" s="17"/>
      <c r="K1306" s="17"/>
      <c r="L1306" s="17"/>
      <c r="M1306" s="17"/>
      <c r="N1306" s="17"/>
      <c r="O1306" s="17"/>
      <c r="P1306" s="17"/>
      <c r="Q1306" s="17"/>
      <c r="R1306" s="17"/>
      <c r="S1306" s="17"/>
      <c r="T1306" s="17"/>
      <c r="U1306" s="17"/>
      <c r="V1306" s="17"/>
      <c r="W1306" s="17"/>
      <c r="X1306" s="17"/>
      <c r="Y1306" s="17"/>
      <c r="Z1306" s="17"/>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c r="AW1306" s="17"/>
      <c r="AX1306" s="17"/>
      <c r="AY1306" s="17"/>
      <c r="AZ1306" s="17"/>
      <c r="BA1306" s="17"/>
      <c r="BB1306" s="17"/>
      <c r="BC1306" s="17"/>
      <c r="BD1306" s="17"/>
      <c r="BE1306" s="17"/>
      <c r="BF1306" s="17"/>
      <c r="BG1306" s="17"/>
      <c r="BH1306" s="17"/>
      <c r="BI1306" s="17"/>
      <c r="BJ1306" s="17"/>
      <c r="BK1306" s="17"/>
      <c r="BL1306" s="17"/>
    </row>
    <row r="1307">
      <c r="A1307" s="17"/>
      <c r="B1307" s="17"/>
      <c r="C1307" s="17"/>
      <c r="D1307" s="17"/>
      <c r="E1307" s="17"/>
      <c r="F1307" s="17"/>
      <c r="G1307" s="17"/>
      <c r="H1307" s="356"/>
      <c r="I1307" s="17"/>
      <c r="J1307" s="17"/>
      <c r="K1307" s="17"/>
      <c r="L1307" s="17"/>
      <c r="M1307" s="17"/>
      <c r="N1307" s="17"/>
      <c r="O1307" s="17"/>
      <c r="P1307" s="17"/>
      <c r="Q1307" s="17"/>
      <c r="R1307" s="17"/>
      <c r="S1307" s="17"/>
      <c r="T1307" s="17"/>
      <c r="U1307" s="17"/>
      <c r="V1307" s="17"/>
      <c r="W1307" s="17"/>
      <c r="X1307" s="17"/>
      <c r="Y1307" s="17"/>
      <c r="Z1307" s="17"/>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c r="AW1307" s="17"/>
      <c r="AX1307" s="17"/>
      <c r="AY1307" s="17"/>
      <c r="AZ1307" s="17"/>
      <c r="BA1307" s="17"/>
      <c r="BB1307" s="17"/>
      <c r="BC1307" s="17"/>
      <c r="BD1307" s="17"/>
      <c r="BE1307" s="17"/>
      <c r="BF1307" s="17"/>
      <c r="BG1307" s="17"/>
      <c r="BH1307" s="17"/>
      <c r="BI1307" s="17"/>
      <c r="BJ1307" s="17"/>
      <c r="BK1307" s="17"/>
      <c r="BL1307" s="17"/>
    </row>
    <row r="1308">
      <c r="A1308" s="17"/>
      <c r="B1308" s="17"/>
      <c r="C1308" s="17"/>
      <c r="D1308" s="17"/>
      <c r="E1308" s="17"/>
      <c r="F1308" s="17"/>
      <c r="G1308" s="17"/>
      <c r="H1308" s="356"/>
      <c r="I1308" s="17"/>
      <c r="J1308" s="17"/>
      <c r="K1308" s="17"/>
      <c r="L1308" s="17"/>
      <c r="M1308" s="17"/>
      <c r="N1308" s="17"/>
      <c r="O1308" s="17"/>
      <c r="P1308" s="17"/>
      <c r="Q1308" s="17"/>
      <c r="R1308" s="17"/>
      <c r="S1308" s="17"/>
      <c r="T1308" s="17"/>
      <c r="U1308" s="17"/>
      <c r="V1308" s="17"/>
      <c r="W1308" s="17"/>
      <c r="X1308" s="17"/>
      <c r="Y1308" s="17"/>
      <c r="Z1308" s="17"/>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c r="AW1308" s="17"/>
      <c r="AX1308" s="17"/>
      <c r="AY1308" s="17"/>
      <c r="AZ1308" s="17"/>
      <c r="BA1308" s="17"/>
      <c r="BB1308" s="17"/>
      <c r="BC1308" s="17"/>
      <c r="BD1308" s="17"/>
      <c r="BE1308" s="17"/>
      <c r="BF1308" s="17"/>
      <c r="BG1308" s="17"/>
      <c r="BH1308" s="17"/>
      <c r="BI1308" s="17"/>
      <c r="BJ1308" s="17"/>
      <c r="BK1308" s="17"/>
      <c r="BL1308" s="17"/>
    </row>
    <row r="1309">
      <c r="A1309" s="17"/>
      <c r="B1309" s="17"/>
      <c r="C1309" s="17"/>
      <c r="D1309" s="17"/>
      <c r="E1309" s="17"/>
      <c r="F1309" s="17"/>
      <c r="G1309" s="17"/>
      <c r="H1309" s="356"/>
      <c r="I1309" s="17"/>
      <c r="J1309" s="17"/>
      <c r="K1309" s="17"/>
      <c r="L1309" s="17"/>
      <c r="M1309" s="17"/>
      <c r="N1309" s="17"/>
      <c r="O1309" s="17"/>
      <c r="P1309" s="17"/>
      <c r="Q1309" s="17"/>
      <c r="R1309" s="17"/>
      <c r="S1309" s="17"/>
      <c r="T1309" s="17"/>
      <c r="U1309" s="17"/>
      <c r="V1309" s="17"/>
      <c r="W1309" s="17"/>
      <c r="X1309" s="17"/>
      <c r="Y1309" s="17"/>
      <c r="Z1309" s="17"/>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7"/>
      <c r="AW1309" s="17"/>
      <c r="AX1309" s="17"/>
      <c r="AY1309" s="17"/>
      <c r="AZ1309" s="17"/>
      <c r="BA1309" s="17"/>
      <c r="BB1309" s="17"/>
      <c r="BC1309" s="17"/>
      <c r="BD1309" s="17"/>
      <c r="BE1309" s="17"/>
      <c r="BF1309" s="17"/>
      <c r="BG1309" s="17"/>
      <c r="BH1309" s="17"/>
      <c r="BI1309" s="17"/>
      <c r="BJ1309" s="17"/>
      <c r="BK1309" s="17"/>
      <c r="BL1309" s="17"/>
    </row>
    <row r="1310">
      <c r="A1310" s="17"/>
      <c r="B1310" s="17"/>
      <c r="C1310" s="17"/>
      <c r="D1310" s="17"/>
      <c r="E1310" s="17"/>
      <c r="F1310" s="17"/>
      <c r="G1310" s="17"/>
      <c r="H1310" s="356"/>
      <c r="I1310" s="17"/>
      <c r="J1310" s="17"/>
      <c r="K1310" s="17"/>
      <c r="L1310" s="17"/>
      <c r="M1310" s="17"/>
      <c r="N1310" s="17"/>
      <c r="O1310" s="17"/>
      <c r="P1310" s="17"/>
      <c r="Q1310" s="17"/>
      <c r="R1310" s="17"/>
      <c r="S1310" s="17"/>
      <c r="T1310" s="17"/>
      <c r="U1310" s="17"/>
      <c r="V1310" s="17"/>
      <c r="W1310" s="17"/>
      <c r="X1310" s="17"/>
      <c r="Y1310" s="17"/>
      <c r="Z1310" s="17"/>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c r="AV1310" s="17"/>
      <c r="AW1310" s="17"/>
      <c r="AX1310" s="17"/>
      <c r="AY1310" s="17"/>
      <c r="AZ1310" s="17"/>
      <c r="BA1310" s="17"/>
      <c r="BB1310" s="17"/>
      <c r="BC1310" s="17"/>
      <c r="BD1310" s="17"/>
      <c r="BE1310" s="17"/>
      <c r="BF1310" s="17"/>
      <c r="BG1310" s="17"/>
      <c r="BH1310" s="17"/>
      <c r="BI1310" s="17"/>
      <c r="BJ1310" s="17"/>
      <c r="BK1310" s="17"/>
      <c r="BL1310" s="17"/>
    </row>
    <row r="1311">
      <c r="A1311" s="17"/>
      <c r="B1311" s="17"/>
      <c r="C1311" s="17"/>
      <c r="D1311" s="17"/>
      <c r="E1311" s="17"/>
      <c r="F1311" s="17"/>
      <c r="G1311" s="17"/>
      <c r="H1311" s="356"/>
      <c r="I1311" s="17"/>
      <c r="J1311" s="17"/>
      <c r="K1311" s="17"/>
      <c r="L1311" s="17"/>
      <c r="M1311" s="17"/>
      <c r="N1311" s="17"/>
      <c r="O1311" s="17"/>
      <c r="P1311" s="17"/>
      <c r="Q1311" s="17"/>
      <c r="R1311" s="17"/>
      <c r="S1311" s="17"/>
      <c r="T1311" s="17"/>
      <c r="U1311" s="17"/>
      <c r="V1311" s="17"/>
      <c r="W1311" s="17"/>
      <c r="X1311" s="17"/>
      <c r="Y1311" s="17"/>
      <c r="Z1311" s="17"/>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c r="AV1311" s="17"/>
      <c r="AW1311" s="17"/>
      <c r="AX1311" s="17"/>
      <c r="AY1311" s="17"/>
      <c r="AZ1311" s="17"/>
      <c r="BA1311" s="17"/>
      <c r="BB1311" s="17"/>
      <c r="BC1311" s="17"/>
      <c r="BD1311" s="17"/>
      <c r="BE1311" s="17"/>
      <c r="BF1311" s="17"/>
      <c r="BG1311" s="17"/>
      <c r="BH1311" s="17"/>
      <c r="BI1311" s="17"/>
      <c r="BJ1311" s="17"/>
      <c r="BK1311" s="17"/>
      <c r="BL1311" s="17"/>
    </row>
    <row r="1312">
      <c r="A1312" s="17"/>
      <c r="B1312" s="17"/>
      <c r="C1312" s="17"/>
      <c r="D1312" s="17"/>
      <c r="E1312" s="17"/>
      <c r="F1312" s="17"/>
      <c r="G1312" s="17"/>
      <c r="H1312" s="356"/>
      <c r="I1312" s="17"/>
      <c r="J1312" s="17"/>
      <c r="K1312" s="17"/>
      <c r="L1312" s="17"/>
      <c r="M1312" s="17"/>
      <c r="N1312" s="17"/>
      <c r="O1312" s="17"/>
      <c r="P1312" s="17"/>
      <c r="Q1312" s="17"/>
      <c r="R1312" s="17"/>
      <c r="S1312" s="17"/>
      <c r="T1312" s="17"/>
      <c r="U1312" s="17"/>
      <c r="V1312" s="17"/>
      <c r="W1312" s="17"/>
      <c r="X1312" s="17"/>
      <c r="Y1312" s="17"/>
      <c r="Z1312" s="17"/>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7"/>
      <c r="AW1312" s="17"/>
      <c r="AX1312" s="17"/>
      <c r="AY1312" s="17"/>
      <c r="AZ1312" s="17"/>
      <c r="BA1312" s="17"/>
      <c r="BB1312" s="17"/>
      <c r="BC1312" s="17"/>
      <c r="BD1312" s="17"/>
      <c r="BE1312" s="17"/>
      <c r="BF1312" s="17"/>
      <c r="BG1312" s="17"/>
      <c r="BH1312" s="17"/>
      <c r="BI1312" s="17"/>
      <c r="BJ1312" s="17"/>
      <c r="BK1312" s="17"/>
      <c r="BL1312" s="17"/>
    </row>
    <row r="1313">
      <c r="A1313" s="17"/>
      <c r="B1313" s="17"/>
      <c r="C1313" s="17"/>
      <c r="D1313" s="17"/>
      <c r="E1313" s="17"/>
      <c r="F1313" s="17"/>
      <c r="G1313" s="17"/>
      <c r="H1313" s="356"/>
      <c r="I1313" s="17"/>
      <c r="J1313" s="17"/>
      <c r="K1313" s="17"/>
      <c r="L1313" s="17"/>
      <c r="M1313" s="17"/>
      <c r="N1313" s="17"/>
      <c r="O1313" s="17"/>
      <c r="P1313" s="17"/>
      <c r="Q1313" s="17"/>
      <c r="R1313" s="17"/>
      <c r="S1313" s="17"/>
      <c r="T1313" s="17"/>
      <c r="U1313" s="17"/>
      <c r="V1313" s="17"/>
      <c r="W1313" s="17"/>
      <c r="X1313" s="17"/>
      <c r="Y1313" s="17"/>
      <c r="Z1313" s="17"/>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c r="AW1313" s="17"/>
      <c r="AX1313" s="17"/>
      <c r="AY1313" s="17"/>
      <c r="AZ1313" s="17"/>
      <c r="BA1313" s="17"/>
      <c r="BB1313" s="17"/>
      <c r="BC1313" s="17"/>
      <c r="BD1313" s="17"/>
      <c r="BE1313" s="17"/>
      <c r="BF1313" s="17"/>
      <c r="BG1313" s="17"/>
      <c r="BH1313" s="17"/>
      <c r="BI1313" s="17"/>
      <c r="BJ1313" s="17"/>
      <c r="BK1313" s="17"/>
      <c r="BL1313" s="17"/>
    </row>
    <row r="1314">
      <c r="A1314" s="17"/>
      <c r="B1314" s="17"/>
      <c r="C1314" s="17"/>
      <c r="D1314" s="17"/>
      <c r="E1314" s="17"/>
      <c r="F1314" s="17"/>
      <c r="G1314" s="17"/>
      <c r="H1314" s="356"/>
      <c r="I1314" s="17"/>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c r="AW1314" s="17"/>
      <c r="AX1314" s="17"/>
      <c r="AY1314" s="17"/>
      <c r="AZ1314" s="17"/>
      <c r="BA1314" s="17"/>
      <c r="BB1314" s="17"/>
      <c r="BC1314" s="17"/>
      <c r="BD1314" s="17"/>
      <c r="BE1314" s="17"/>
      <c r="BF1314" s="17"/>
      <c r="BG1314" s="17"/>
      <c r="BH1314" s="17"/>
      <c r="BI1314" s="17"/>
      <c r="BJ1314" s="17"/>
      <c r="BK1314" s="17"/>
      <c r="BL1314" s="17"/>
    </row>
    <row r="1315">
      <c r="A1315" s="17"/>
      <c r="B1315" s="17"/>
      <c r="C1315" s="17"/>
      <c r="D1315" s="17"/>
      <c r="E1315" s="17"/>
      <c r="F1315" s="17"/>
      <c r="G1315" s="17"/>
      <c r="H1315" s="356"/>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c r="AW1315" s="17"/>
      <c r="AX1315" s="17"/>
      <c r="AY1315" s="17"/>
      <c r="AZ1315" s="17"/>
      <c r="BA1315" s="17"/>
      <c r="BB1315" s="17"/>
      <c r="BC1315" s="17"/>
      <c r="BD1315" s="17"/>
      <c r="BE1315" s="17"/>
      <c r="BF1315" s="17"/>
      <c r="BG1315" s="17"/>
      <c r="BH1315" s="17"/>
      <c r="BI1315" s="17"/>
      <c r="BJ1315" s="17"/>
      <c r="BK1315" s="17"/>
      <c r="BL1315" s="17"/>
    </row>
    <row r="1316">
      <c r="A1316" s="17"/>
      <c r="B1316" s="17"/>
      <c r="C1316" s="17"/>
      <c r="D1316" s="17"/>
      <c r="E1316" s="17"/>
      <c r="F1316" s="17"/>
      <c r="G1316" s="17"/>
      <c r="H1316" s="356"/>
      <c r="I1316" s="17"/>
      <c r="J1316" s="17"/>
      <c r="K1316" s="17"/>
      <c r="L1316" s="17"/>
      <c r="M1316" s="17"/>
      <c r="N1316" s="17"/>
      <c r="O1316" s="17"/>
      <c r="P1316" s="17"/>
      <c r="Q1316" s="17"/>
      <c r="R1316" s="17"/>
      <c r="S1316" s="17"/>
      <c r="T1316" s="17"/>
      <c r="U1316" s="17"/>
      <c r="V1316" s="17"/>
      <c r="W1316" s="17"/>
      <c r="X1316" s="17"/>
      <c r="Y1316" s="17"/>
      <c r="Z1316" s="17"/>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7"/>
      <c r="AW1316" s="17"/>
      <c r="AX1316" s="17"/>
      <c r="AY1316" s="17"/>
      <c r="AZ1316" s="17"/>
      <c r="BA1316" s="17"/>
      <c r="BB1316" s="17"/>
      <c r="BC1316" s="17"/>
      <c r="BD1316" s="17"/>
      <c r="BE1316" s="17"/>
      <c r="BF1316" s="17"/>
      <c r="BG1316" s="17"/>
      <c r="BH1316" s="17"/>
      <c r="BI1316" s="17"/>
      <c r="BJ1316" s="17"/>
      <c r="BK1316" s="17"/>
      <c r="BL1316" s="17"/>
    </row>
    <row r="1317">
      <c r="A1317" s="17"/>
      <c r="B1317" s="17"/>
      <c r="C1317" s="17"/>
      <c r="D1317" s="17"/>
      <c r="E1317" s="17"/>
      <c r="F1317" s="17"/>
      <c r="G1317" s="17"/>
      <c r="H1317" s="356"/>
      <c r="I1317" s="17"/>
      <c r="J1317" s="17"/>
      <c r="K1317" s="17"/>
      <c r="L1317" s="17"/>
      <c r="M1317" s="17"/>
      <c r="N1317" s="17"/>
      <c r="O1317" s="17"/>
      <c r="P1317" s="17"/>
      <c r="Q1317" s="17"/>
      <c r="R1317" s="17"/>
      <c r="S1317" s="17"/>
      <c r="T1317" s="17"/>
      <c r="U1317" s="17"/>
      <c r="V1317" s="17"/>
      <c r="W1317" s="17"/>
      <c r="X1317" s="17"/>
      <c r="Y1317" s="17"/>
      <c r="Z1317" s="17"/>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c r="AV1317" s="17"/>
      <c r="AW1317" s="17"/>
      <c r="AX1317" s="17"/>
      <c r="AY1317" s="17"/>
      <c r="AZ1317" s="17"/>
      <c r="BA1317" s="17"/>
      <c r="BB1317" s="17"/>
      <c r="BC1317" s="17"/>
      <c r="BD1317" s="17"/>
      <c r="BE1317" s="17"/>
      <c r="BF1317" s="17"/>
      <c r="BG1317" s="17"/>
      <c r="BH1317" s="17"/>
      <c r="BI1317" s="17"/>
      <c r="BJ1317" s="17"/>
      <c r="BK1317" s="17"/>
      <c r="BL1317" s="17"/>
    </row>
    <row r="1318">
      <c r="A1318" s="17"/>
      <c r="B1318" s="17"/>
      <c r="C1318" s="17"/>
      <c r="D1318" s="17"/>
      <c r="E1318" s="17"/>
      <c r="F1318" s="17"/>
      <c r="G1318" s="17"/>
      <c r="H1318" s="356"/>
      <c r="I1318" s="17"/>
      <c r="J1318" s="17"/>
      <c r="K1318" s="17"/>
      <c r="L1318" s="17"/>
      <c r="M1318" s="17"/>
      <c r="N1318" s="17"/>
      <c r="O1318" s="17"/>
      <c r="P1318" s="17"/>
      <c r="Q1318" s="17"/>
      <c r="R1318" s="17"/>
      <c r="S1318" s="17"/>
      <c r="T1318" s="17"/>
      <c r="U1318" s="17"/>
      <c r="V1318" s="17"/>
      <c r="W1318" s="17"/>
      <c r="X1318" s="17"/>
      <c r="Y1318" s="17"/>
      <c r="Z1318" s="17"/>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7"/>
      <c r="AW1318" s="17"/>
      <c r="AX1318" s="17"/>
      <c r="AY1318" s="17"/>
      <c r="AZ1318" s="17"/>
      <c r="BA1318" s="17"/>
      <c r="BB1318" s="17"/>
      <c r="BC1318" s="17"/>
      <c r="BD1318" s="17"/>
      <c r="BE1318" s="17"/>
      <c r="BF1318" s="17"/>
      <c r="BG1318" s="17"/>
      <c r="BH1318" s="17"/>
      <c r="BI1318" s="17"/>
      <c r="BJ1318" s="17"/>
      <c r="BK1318" s="17"/>
      <c r="BL1318" s="17"/>
    </row>
    <row r="1319">
      <c r="A1319" s="17"/>
      <c r="B1319" s="17"/>
      <c r="C1319" s="17"/>
      <c r="D1319" s="17"/>
      <c r="E1319" s="17"/>
      <c r="F1319" s="17"/>
      <c r="G1319" s="17"/>
      <c r="H1319" s="356"/>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7"/>
      <c r="AW1319" s="17"/>
      <c r="AX1319" s="17"/>
      <c r="AY1319" s="17"/>
      <c r="AZ1319" s="17"/>
      <c r="BA1319" s="17"/>
      <c r="BB1319" s="17"/>
      <c r="BC1319" s="17"/>
      <c r="BD1319" s="17"/>
      <c r="BE1319" s="17"/>
      <c r="BF1319" s="17"/>
      <c r="BG1319" s="17"/>
      <c r="BH1319" s="17"/>
      <c r="BI1319" s="17"/>
      <c r="BJ1319" s="17"/>
      <c r="BK1319" s="17"/>
      <c r="BL1319" s="17"/>
    </row>
    <row r="1320">
      <c r="A1320" s="17"/>
      <c r="B1320" s="17"/>
      <c r="C1320" s="17"/>
      <c r="D1320" s="17"/>
      <c r="E1320" s="17"/>
      <c r="F1320" s="17"/>
      <c r="G1320" s="17"/>
      <c r="H1320" s="356"/>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7"/>
      <c r="AW1320" s="17"/>
      <c r="AX1320" s="17"/>
      <c r="AY1320" s="17"/>
      <c r="AZ1320" s="17"/>
      <c r="BA1320" s="17"/>
      <c r="BB1320" s="17"/>
      <c r="BC1320" s="17"/>
      <c r="BD1320" s="17"/>
      <c r="BE1320" s="17"/>
      <c r="BF1320" s="17"/>
      <c r="BG1320" s="17"/>
      <c r="BH1320" s="17"/>
      <c r="BI1320" s="17"/>
      <c r="BJ1320" s="17"/>
      <c r="BK1320" s="17"/>
      <c r="BL1320" s="17"/>
    </row>
    <row r="1321">
      <c r="A1321" s="17"/>
      <c r="B1321" s="17"/>
      <c r="C1321" s="17"/>
      <c r="D1321" s="17"/>
      <c r="E1321" s="17"/>
      <c r="F1321" s="17"/>
      <c r="G1321" s="17"/>
      <c r="H1321" s="356"/>
      <c r="I1321" s="17"/>
      <c r="J1321" s="17"/>
      <c r="K1321" s="17"/>
      <c r="L1321" s="17"/>
      <c r="M1321" s="17"/>
      <c r="N1321" s="17"/>
      <c r="O1321" s="17"/>
      <c r="P1321" s="17"/>
      <c r="Q1321" s="17"/>
      <c r="R1321" s="17"/>
      <c r="S1321" s="17"/>
      <c r="T1321" s="17"/>
      <c r="U1321" s="17"/>
      <c r="V1321" s="17"/>
      <c r="W1321" s="17"/>
      <c r="X1321" s="17"/>
      <c r="Y1321" s="17"/>
      <c r="Z1321" s="17"/>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c r="AV1321" s="17"/>
      <c r="AW1321" s="17"/>
      <c r="AX1321" s="17"/>
      <c r="AY1321" s="17"/>
      <c r="AZ1321" s="17"/>
      <c r="BA1321" s="17"/>
      <c r="BB1321" s="17"/>
      <c r="BC1321" s="17"/>
      <c r="BD1321" s="17"/>
      <c r="BE1321" s="17"/>
      <c r="BF1321" s="17"/>
      <c r="BG1321" s="17"/>
      <c r="BH1321" s="17"/>
      <c r="BI1321" s="17"/>
      <c r="BJ1321" s="17"/>
      <c r="BK1321" s="17"/>
      <c r="BL1321" s="17"/>
    </row>
    <row r="1322">
      <c r="A1322" s="17"/>
      <c r="B1322" s="17"/>
      <c r="C1322" s="17"/>
      <c r="D1322" s="17"/>
      <c r="E1322" s="17"/>
      <c r="F1322" s="17"/>
      <c r="G1322" s="17"/>
      <c r="H1322" s="356"/>
      <c r="I1322" s="17"/>
      <c r="J1322" s="17"/>
      <c r="K1322" s="17"/>
      <c r="L1322" s="17"/>
      <c r="M1322" s="17"/>
      <c r="N1322" s="17"/>
      <c r="O1322" s="17"/>
      <c r="P1322" s="17"/>
      <c r="Q1322" s="17"/>
      <c r="R1322" s="17"/>
      <c r="S1322" s="17"/>
      <c r="T1322" s="17"/>
      <c r="U1322" s="17"/>
      <c r="V1322" s="17"/>
      <c r="W1322" s="17"/>
      <c r="X1322" s="17"/>
      <c r="Y1322" s="17"/>
      <c r="Z1322" s="17"/>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7"/>
      <c r="AW1322" s="17"/>
      <c r="AX1322" s="17"/>
      <c r="AY1322" s="17"/>
      <c r="AZ1322" s="17"/>
      <c r="BA1322" s="17"/>
      <c r="BB1322" s="17"/>
      <c r="BC1322" s="17"/>
      <c r="BD1322" s="17"/>
      <c r="BE1322" s="17"/>
      <c r="BF1322" s="17"/>
      <c r="BG1322" s="17"/>
      <c r="BH1322" s="17"/>
      <c r="BI1322" s="17"/>
      <c r="BJ1322" s="17"/>
      <c r="BK1322" s="17"/>
      <c r="BL1322" s="17"/>
    </row>
    <row r="1323">
      <c r="A1323" s="17"/>
      <c r="B1323" s="17"/>
      <c r="C1323" s="17"/>
      <c r="D1323" s="17"/>
      <c r="E1323" s="17"/>
      <c r="F1323" s="17"/>
      <c r="G1323" s="17"/>
      <c r="H1323" s="356"/>
      <c r="I1323" s="17"/>
      <c r="J1323" s="17"/>
      <c r="K1323" s="17"/>
      <c r="L1323" s="17"/>
      <c r="M1323" s="17"/>
      <c r="N1323" s="17"/>
      <c r="O1323" s="17"/>
      <c r="P1323" s="17"/>
      <c r="Q1323" s="17"/>
      <c r="R1323" s="17"/>
      <c r="S1323" s="17"/>
      <c r="T1323" s="17"/>
      <c r="U1323" s="17"/>
      <c r="V1323" s="17"/>
      <c r="W1323" s="17"/>
      <c r="X1323" s="17"/>
      <c r="Y1323" s="17"/>
      <c r="Z1323" s="17"/>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c r="AV1323" s="17"/>
      <c r="AW1323" s="17"/>
      <c r="AX1323" s="17"/>
      <c r="AY1323" s="17"/>
      <c r="AZ1323" s="17"/>
      <c r="BA1323" s="17"/>
      <c r="BB1323" s="17"/>
      <c r="BC1323" s="17"/>
      <c r="BD1323" s="17"/>
      <c r="BE1323" s="17"/>
      <c r="BF1323" s="17"/>
      <c r="BG1323" s="17"/>
      <c r="BH1323" s="17"/>
      <c r="BI1323" s="17"/>
      <c r="BJ1323" s="17"/>
      <c r="BK1323" s="17"/>
      <c r="BL1323" s="17"/>
    </row>
    <row r="1324">
      <c r="A1324" s="17"/>
      <c r="B1324" s="17"/>
      <c r="C1324" s="17"/>
      <c r="D1324" s="17"/>
      <c r="E1324" s="17"/>
      <c r="F1324" s="17"/>
      <c r="G1324" s="17"/>
      <c r="H1324" s="356"/>
      <c r="I1324" s="17"/>
      <c r="J1324" s="17"/>
      <c r="K1324" s="17"/>
      <c r="L1324" s="17"/>
      <c r="M1324" s="17"/>
      <c r="N1324" s="17"/>
      <c r="O1324" s="17"/>
      <c r="P1324" s="17"/>
      <c r="Q1324" s="17"/>
      <c r="R1324" s="17"/>
      <c r="S1324" s="17"/>
      <c r="T1324" s="17"/>
      <c r="U1324" s="17"/>
      <c r="V1324" s="17"/>
      <c r="W1324" s="17"/>
      <c r="X1324" s="17"/>
      <c r="Y1324" s="17"/>
      <c r="Z1324" s="17"/>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c r="AV1324" s="17"/>
      <c r="AW1324" s="17"/>
      <c r="AX1324" s="17"/>
      <c r="AY1324" s="17"/>
      <c r="AZ1324" s="17"/>
      <c r="BA1324" s="17"/>
      <c r="BB1324" s="17"/>
      <c r="BC1324" s="17"/>
      <c r="BD1324" s="17"/>
      <c r="BE1324" s="17"/>
      <c r="BF1324" s="17"/>
      <c r="BG1324" s="17"/>
      <c r="BH1324" s="17"/>
      <c r="BI1324" s="17"/>
      <c r="BJ1324" s="17"/>
      <c r="BK1324" s="17"/>
      <c r="BL1324" s="17"/>
    </row>
    <row r="1325">
      <c r="A1325" s="17"/>
      <c r="B1325" s="17"/>
      <c r="C1325" s="17"/>
      <c r="D1325" s="17"/>
      <c r="E1325" s="17"/>
      <c r="F1325" s="17"/>
      <c r="G1325" s="17"/>
      <c r="H1325" s="356"/>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c r="AV1325" s="17"/>
      <c r="AW1325" s="17"/>
      <c r="AX1325" s="17"/>
      <c r="AY1325" s="17"/>
      <c r="AZ1325" s="17"/>
      <c r="BA1325" s="17"/>
      <c r="BB1325" s="17"/>
      <c r="BC1325" s="17"/>
      <c r="BD1325" s="17"/>
      <c r="BE1325" s="17"/>
      <c r="BF1325" s="17"/>
      <c r="BG1325" s="17"/>
      <c r="BH1325" s="17"/>
      <c r="BI1325" s="17"/>
      <c r="BJ1325" s="17"/>
      <c r="BK1325" s="17"/>
      <c r="BL1325" s="17"/>
    </row>
    <row r="1326">
      <c r="A1326" s="17"/>
      <c r="B1326" s="17"/>
      <c r="C1326" s="17"/>
      <c r="D1326" s="17"/>
      <c r="E1326" s="17"/>
      <c r="F1326" s="17"/>
      <c r="G1326" s="17"/>
      <c r="H1326" s="356"/>
      <c r="I1326" s="17"/>
      <c r="J1326" s="17"/>
      <c r="K1326" s="17"/>
      <c r="L1326" s="17"/>
      <c r="M1326" s="17"/>
      <c r="N1326" s="17"/>
      <c r="O1326" s="17"/>
      <c r="P1326" s="17"/>
      <c r="Q1326" s="17"/>
      <c r="R1326" s="17"/>
      <c r="S1326" s="17"/>
      <c r="T1326" s="17"/>
      <c r="U1326" s="17"/>
      <c r="V1326" s="17"/>
      <c r="W1326" s="17"/>
      <c r="X1326" s="17"/>
      <c r="Y1326" s="17"/>
      <c r="Z1326" s="17"/>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c r="AV1326" s="17"/>
      <c r="AW1326" s="17"/>
      <c r="AX1326" s="17"/>
      <c r="AY1326" s="17"/>
      <c r="AZ1326" s="17"/>
      <c r="BA1326" s="17"/>
      <c r="BB1326" s="17"/>
      <c r="BC1326" s="17"/>
      <c r="BD1326" s="17"/>
      <c r="BE1326" s="17"/>
      <c r="BF1326" s="17"/>
      <c r="BG1326" s="17"/>
      <c r="BH1326" s="17"/>
      <c r="BI1326" s="17"/>
      <c r="BJ1326" s="17"/>
      <c r="BK1326" s="17"/>
      <c r="BL1326" s="17"/>
    </row>
    <row r="1327">
      <c r="A1327" s="17"/>
      <c r="B1327" s="17"/>
      <c r="C1327" s="17"/>
      <c r="D1327" s="17"/>
      <c r="E1327" s="17"/>
      <c r="F1327" s="17"/>
      <c r="G1327" s="17"/>
      <c r="H1327" s="356"/>
      <c r="I1327" s="17"/>
      <c r="J1327" s="17"/>
      <c r="K1327" s="17"/>
      <c r="L1327" s="17"/>
      <c r="M1327" s="17"/>
      <c r="N1327" s="17"/>
      <c r="O1327" s="17"/>
      <c r="P1327" s="17"/>
      <c r="Q1327" s="17"/>
      <c r="R1327" s="17"/>
      <c r="S1327" s="17"/>
      <c r="T1327" s="17"/>
      <c r="U1327" s="17"/>
      <c r="V1327" s="17"/>
      <c r="W1327" s="17"/>
      <c r="X1327" s="17"/>
      <c r="Y1327" s="17"/>
      <c r="Z1327" s="17"/>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c r="BA1327" s="17"/>
      <c r="BB1327" s="17"/>
      <c r="BC1327" s="17"/>
      <c r="BD1327" s="17"/>
      <c r="BE1327" s="17"/>
      <c r="BF1327" s="17"/>
      <c r="BG1327" s="17"/>
      <c r="BH1327" s="17"/>
      <c r="BI1327" s="17"/>
      <c r="BJ1327" s="17"/>
      <c r="BK1327" s="17"/>
      <c r="BL1327" s="17"/>
    </row>
    <row r="1328">
      <c r="A1328" s="17"/>
      <c r="B1328" s="17"/>
      <c r="C1328" s="17"/>
      <c r="D1328" s="17"/>
      <c r="E1328" s="17"/>
      <c r="F1328" s="17"/>
      <c r="G1328" s="17"/>
      <c r="H1328" s="356"/>
      <c r="I1328" s="17"/>
      <c r="J1328" s="17"/>
      <c r="K1328" s="17"/>
      <c r="L1328" s="17"/>
      <c r="M1328" s="17"/>
      <c r="N1328" s="17"/>
      <c r="O1328" s="17"/>
      <c r="P1328" s="17"/>
      <c r="Q1328" s="17"/>
      <c r="R1328" s="17"/>
      <c r="S1328" s="17"/>
      <c r="T1328" s="17"/>
      <c r="U1328" s="17"/>
      <c r="V1328" s="17"/>
      <c r="W1328" s="17"/>
      <c r="X1328" s="17"/>
      <c r="Y1328" s="17"/>
      <c r="Z1328" s="17"/>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c r="BA1328" s="17"/>
      <c r="BB1328" s="17"/>
      <c r="BC1328" s="17"/>
      <c r="BD1328" s="17"/>
      <c r="BE1328" s="17"/>
      <c r="BF1328" s="17"/>
      <c r="BG1328" s="17"/>
      <c r="BH1328" s="17"/>
      <c r="BI1328" s="17"/>
      <c r="BJ1328" s="17"/>
      <c r="BK1328" s="17"/>
      <c r="BL1328" s="17"/>
    </row>
    <row r="1329">
      <c r="A1329" s="17"/>
      <c r="B1329" s="17"/>
      <c r="C1329" s="17"/>
      <c r="D1329" s="17"/>
      <c r="E1329" s="17"/>
      <c r="F1329" s="17"/>
      <c r="G1329" s="17"/>
      <c r="H1329" s="356"/>
      <c r="I1329" s="17"/>
      <c r="J1329" s="17"/>
      <c r="K1329" s="17"/>
      <c r="L1329" s="17"/>
      <c r="M1329" s="17"/>
      <c r="N1329" s="17"/>
      <c r="O1329" s="17"/>
      <c r="P1329" s="17"/>
      <c r="Q1329" s="17"/>
      <c r="R1329" s="17"/>
      <c r="S1329" s="17"/>
      <c r="T1329" s="17"/>
      <c r="U1329" s="17"/>
      <c r="V1329" s="17"/>
      <c r="W1329" s="17"/>
      <c r="X1329" s="17"/>
      <c r="Y1329" s="17"/>
      <c r="Z1329" s="17"/>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c r="BA1329" s="17"/>
      <c r="BB1329" s="17"/>
      <c r="BC1329" s="17"/>
      <c r="BD1329" s="17"/>
      <c r="BE1329" s="17"/>
      <c r="BF1329" s="17"/>
      <c r="BG1329" s="17"/>
      <c r="BH1329" s="17"/>
      <c r="BI1329" s="17"/>
      <c r="BJ1329" s="17"/>
      <c r="BK1329" s="17"/>
      <c r="BL1329" s="17"/>
    </row>
    <row r="1330">
      <c r="A1330" s="17"/>
      <c r="B1330" s="17"/>
      <c r="C1330" s="17"/>
      <c r="D1330" s="17"/>
      <c r="E1330" s="17"/>
      <c r="F1330" s="17"/>
      <c r="G1330" s="17"/>
      <c r="H1330" s="356"/>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c r="BA1330" s="17"/>
      <c r="BB1330" s="17"/>
      <c r="BC1330" s="17"/>
      <c r="BD1330" s="17"/>
      <c r="BE1330" s="17"/>
      <c r="BF1330" s="17"/>
      <c r="BG1330" s="17"/>
      <c r="BH1330" s="17"/>
      <c r="BI1330" s="17"/>
      <c r="BJ1330" s="17"/>
      <c r="BK1330" s="17"/>
      <c r="BL1330" s="17"/>
    </row>
    <row r="1331">
      <c r="A1331" s="17"/>
      <c r="B1331" s="17"/>
      <c r="C1331" s="17"/>
      <c r="D1331" s="17"/>
      <c r="E1331" s="17"/>
      <c r="F1331" s="17"/>
      <c r="G1331" s="17"/>
      <c r="H1331" s="356"/>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c r="BA1331" s="17"/>
      <c r="BB1331" s="17"/>
      <c r="BC1331" s="17"/>
      <c r="BD1331" s="17"/>
      <c r="BE1331" s="17"/>
      <c r="BF1331" s="17"/>
      <c r="BG1331" s="17"/>
      <c r="BH1331" s="17"/>
      <c r="BI1331" s="17"/>
      <c r="BJ1331" s="17"/>
      <c r="BK1331" s="17"/>
      <c r="BL1331" s="17"/>
    </row>
    <row r="1332">
      <c r="A1332" s="17"/>
      <c r="B1332" s="17"/>
      <c r="C1332" s="17"/>
      <c r="D1332" s="17"/>
      <c r="E1332" s="17"/>
      <c r="F1332" s="17"/>
      <c r="G1332" s="17"/>
      <c r="H1332" s="356"/>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c r="BA1332" s="17"/>
      <c r="BB1332" s="17"/>
      <c r="BC1332" s="17"/>
      <c r="BD1332" s="17"/>
      <c r="BE1332" s="17"/>
      <c r="BF1332" s="17"/>
      <c r="BG1332" s="17"/>
      <c r="BH1332" s="17"/>
      <c r="BI1332" s="17"/>
      <c r="BJ1332" s="17"/>
      <c r="BK1332" s="17"/>
      <c r="BL1332" s="17"/>
    </row>
    <row r="1333">
      <c r="A1333" s="17"/>
      <c r="B1333" s="17"/>
      <c r="C1333" s="17"/>
      <c r="D1333" s="17"/>
      <c r="E1333" s="17"/>
      <c r="F1333" s="17"/>
      <c r="G1333" s="17"/>
      <c r="H1333" s="356"/>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c r="BA1333" s="17"/>
      <c r="BB1333" s="17"/>
      <c r="BC1333" s="17"/>
      <c r="BD1333" s="17"/>
      <c r="BE1333" s="17"/>
      <c r="BF1333" s="17"/>
      <c r="BG1333" s="17"/>
      <c r="BH1333" s="17"/>
      <c r="BI1333" s="17"/>
      <c r="BJ1333" s="17"/>
      <c r="BK1333" s="17"/>
      <c r="BL1333" s="17"/>
    </row>
    <row r="1334">
      <c r="A1334" s="17"/>
      <c r="B1334" s="17"/>
      <c r="C1334" s="17"/>
      <c r="D1334" s="17"/>
      <c r="E1334" s="17"/>
      <c r="F1334" s="17"/>
      <c r="G1334" s="17"/>
      <c r="H1334" s="356"/>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c r="BA1334" s="17"/>
      <c r="BB1334" s="17"/>
      <c r="BC1334" s="17"/>
      <c r="BD1334" s="17"/>
      <c r="BE1334" s="17"/>
      <c r="BF1334" s="17"/>
      <c r="BG1334" s="17"/>
      <c r="BH1334" s="17"/>
      <c r="BI1334" s="17"/>
      <c r="BJ1334" s="17"/>
      <c r="BK1334" s="17"/>
      <c r="BL1334" s="17"/>
    </row>
    <row r="1335">
      <c r="A1335" s="17"/>
      <c r="B1335" s="17"/>
      <c r="C1335" s="17"/>
      <c r="D1335" s="17"/>
      <c r="E1335" s="17"/>
      <c r="F1335" s="17"/>
      <c r="G1335" s="17"/>
      <c r="H1335" s="356"/>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c r="BA1335" s="17"/>
      <c r="BB1335" s="17"/>
      <c r="BC1335" s="17"/>
      <c r="BD1335" s="17"/>
      <c r="BE1335" s="17"/>
      <c r="BF1335" s="17"/>
      <c r="BG1335" s="17"/>
      <c r="BH1335" s="17"/>
      <c r="BI1335" s="17"/>
      <c r="BJ1335" s="17"/>
      <c r="BK1335" s="17"/>
      <c r="BL1335" s="17"/>
    </row>
    <row r="1336">
      <c r="A1336" s="17"/>
      <c r="B1336" s="17"/>
      <c r="C1336" s="17"/>
      <c r="D1336" s="17"/>
      <c r="E1336" s="17"/>
      <c r="F1336" s="17"/>
      <c r="G1336" s="17"/>
      <c r="H1336" s="356"/>
      <c r="I1336" s="17"/>
      <c r="J1336" s="17"/>
      <c r="K1336" s="17"/>
      <c r="L1336" s="17"/>
      <c r="M1336" s="17"/>
      <c r="N1336" s="17"/>
      <c r="O1336" s="17"/>
      <c r="P1336" s="17"/>
      <c r="Q1336" s="17"/>
      <c r="R1336" s="17"/>
      <c r="S1336" s="17"/>
      <c r="T1336" s="17"/>
      <c r="U1336" s="17"/>
      <c r="V1336" s="17"/>
      <c r="W1336" s="17"/>
      <c r="X1336" s="17"/>
      <c r="Y1336" s="17"/>
      <c r="Z1336" s="17"/>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c r="BA1336" s="17"/>
      <c r="BB1336" s="17"/>
      <c r="BC1336" s="17"/>
      <c r="BD1336" s="17"/>
      <c r="BE1336" s="17"/>
      <c r="BF1336" s="17"/>
      <c r="BG1336" s="17"/>
      <c r="BH1336" s="17"/>
      <c r="BI1336" s="17"/>
      <c r="BJ1336" s="17"/>
      <c r="BK1336" s="17"/>
      <c r="BL1336" s="17"/>
    </row>
    <row r="1337">
      <c r="A1337" s="17"/>
      <c r="B1337" s="17"/>
      <c r="C1337" s="17"/>
      <c r="D1337" s="17"/>
      <c r="E1337" s="17"/>
      <c r="F1337" s="17"/>
      <c r="G1337" s="17"/>
      <c r="H1337" s="356"/>
      <c r="I1337" s="17"/>
      <c r="J1337" s="17"/>
      <c r="K1337" s="17"/>
      <c r="L1337" s="17"/>
      <c r="M1337" s="17"/>
      <c r="N1337" s="17"/>
      <c r="O1337" s="17"/>
      <c r="P1337" s="17"/>
      <c r="Q1337" s="17"/>
      <c r="R1337" s="17"/>
      <c r="S1337" s="17"/>
      <c r="T1337" s="17"/>
      <c r="U1337" s="17"/>
      <c r="V1337" s="17"/>
      <c r="W1337" s="17"/>
      <c r="X1337" s="17"/>
      <c r="Y1337" s="17"/>
      <c r="Z1337" s="17"/>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c r="BA1337" s="17"/>
      <c r="BB1337" s="17"/>
      <c r="BC1337" s="17"/>
      <c r="BD1337" s="17"/>
      <c r="BE1337" s="17"/>
      <c r="BF1337" s="17"/>
      <c r="BG1337" s="17"/>
      <c r="BH1337" s="17"/>
      <c r="BI1337" s="17"/>
      <c r="BJ1337" s="17"/>
      <c r="BK1337" s="17"/>
      <c r="BL1337" s="17"/>
    </row>
    <row r="1338">
      <c r="A1338" s="17"/>
      <c r="B1338" s="17"/>
      <c r="C1338" s="17"/>
      <c r="D1338" s="17"/>
      <c r="E1338" s="17"/>
      <c r="F1338" s="17"/>
      <c r="G1338" s="17"/>
      <c r="H1338" s="356"/>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c r="BA1338" s="17"/>
      <c r="BB1338" s="17"/>
      <c r="BC1338" s="17"/>
      <c r="BD1338" s="17"/>
      <c r="BE1338" s="17"/>
      <c r="BF1338" s="17"/>
      <c r="BG1338" s="17"/>
      <c r="BH1338" s="17"/>
      <c r="BI1338" s="17"/>
      <c r="BJ1338" s="17"/>
      <c r="BK1338" s="17"/>
      <c r="BL1338" s="17"/>
    </row>
    <row r="1339">
      <c r="A1339" s="17"/>
      <c r="B1339" s="17"/>
      <c r="C1339" s="17"/>
      <c r="D1339" s="17"/>
      <c r="E1339" s="17"/>
      <c r="F1339" s="17"/>
      <c r="G1339" s="17"/>
      <c r="H1339" s="356"/>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c r="BA1339" s="17"/>
      <c r="BB1339" s="17"/>
      <c r="BC1339" s="17"/>
      <c r="BD1339" s="17"/>
      <c r="BE1339" s="17"/>
      <c r="BF1339" s="17"/>
      <c r="BG1339" s="17"/>
      <c r="BH1339" s="17"/>
      <c r="BI1339" s="17"/>
      <c r="BJ1339" s="17"/>
      <c r="BK1339" s="17"/>
      <c r="BL1339" s="17"/>
    </row>
    <row r="1340">
      <c r="A1340" s="17"/>
      <c r="B1340" s="17"/>
      <c r="C1340" s="17"/>
      <c r="D1340" s="17"/>
      <c r="E1340" s="17"/>
      <c r="F1340" s="17"/>
      <c r="G1340" s="17"/>
      <c r="H1340" s="356"/>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c r="BA1340" s="17"/>
      <c r="BB1340" s="17"/>
      <c r="BC1340" s="17"/>
      <c r="BD1340" s="17"/>
      <c r="BE1340" s="17"/>
      <c r="BF1340" s="17"/>
      <c r="BG1340" s="17"/>
      <c r="BH1340" s="17"/>
      <c r="BI1340" s="17"/>
      <c r="BJ1340" s="17"/>
      <c r="BK1340" s="17"/>
      <c r="BL1340" s="17"/>
    </row>
    <row r="1341">
      <c r="A1341" s="17"/>
      <c r="B1341" s="17"/>
      <c r="C1341" s="17"/>
      <c r="D1341" s="17"/>
      <c r="E1341" s="17"/>
      <c r="F1341" s="17"/>
      <c r="G1341" s="17"/>
      <c r="H1341" s="356"/>
      <c r="I1341" s="17"/>
      <c r="J1341" s="17"/>
      <c r="K1341" s="17"/>
      <c r="L1341" s="17"/>
      <c r="M1341" s="17"/>
      <c r="N1341" s="17"/>
      <c r="O1341" s="17"/>
      <c r="P1341" s="17"/>
      <c r="Q1341" s="17"/>
      <c r="R1341" s="17"/>
      <c r="S1341" s="17"/>
      <c r="T1341" s="17"/>
      <c r="U1341" s="17"/>
      <c r="V1341" s="17"/>
      <c r="W1341" s="17"/>
      <c r="X1341" s="17"/>
      <c r="Y1341" s="17"/>
      <c r="Z1341" s="17"/>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c r="BA1341" s="17"/>
      <c r="BB1341" s="17"/>
      <c r="BC1341" s="17"/>
      <c r="BD1341" s="17"/>
      <c r="BE1341" s="17"/>
      <c r="BF1341" s="17"/>
      <c r="BG1341" s="17"/>
      <c r="BH1341" s="17"/>
      <c r="BI1341" s="17"/>
      <c r="BJ1341" s="17"/>
      <c r="BK1341" s="17"/>
      <c r="BL1341" s="17"/>
    </row>
    <row r="1342">
      <c r="A1342" s="17"/>
      <c r="B1342" s="17"/>
      <c r="C1342" s="17"/>
      <c r="D1342" s="17"/>
      <c r="E1342" s="17"/>
      <c r="F1342" s="17"/>
      <c r="G1342" s="17"/>
      <c r="H1342" s="356"/>
      <c r="I1342" s="17"/>
      <c r="J1342" s="17"/>
      <c r="K1342" s="17"/>
      <c r="L1342" s="17"/>
      <c r="M1342" s="17"/>
      <c r="N1342" s="17"/>
      <c r="O1342" s="17"/>
      <c r="P1342" s="17"/>
      <c r="Q1342" s="17"/>
      <c r="R1342" s="17"/>
      <c r="S1342" s="17"/>
      <c r="T1342" s="17"/>
      <c r="U1342" s="17"/>
      <c r="V1342" s="17"/>
      <c r="W1342" s="17"/>
      <c r="X1342" s="17"/>
      <c r="Y1342" s="17"/>
      <c r="Z1342" s="17"/>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c r="BA1342" s="17"/>
      <c r="BB1342" s="17"/>
      <c r="BC1342" s="17"/>
      <c r="BD1342" s="17"/>
      <c r="BE1342" s="17"/>
      <c r="BF1342" s="17"/>
      <c r="BG1342" s="17"/>
      <c r="BH1342" s="17"/>
      <c r="BI1342" s="17"/>
      <c r="BJ1342" s="17"/>
      <c r="BK1342" s="17"/>
      <c r="BL1342" s="17"/>
    </row>
    <row r="1343">
      <c r="A1343" s="17"/>
      <c r="B1343" s="17"/>
      <c r="C1343" s="17"/>
      <c r="D1343" s="17"/>
      <c r="E1343" s="17"/>
      <c r="F1343" s="17"/>
      <c r="G1343" s="17"/>
      <c r="H1343" s="356"/>
      <c r="I1343" s="17"/>
      <c r="J1343" s="17"/>
      <c r="K1343" s="17"/>
      <c r="L1343" s="17"/>
      <c r="M1343" s="17"/>
      <c r="N1343" s="17"/>
      <c r="O1343" s="17"/>
      <c r="P1343" s="17"/>
      <c r="Q1343" s="17"/>
      <c r="R1343" s="17"/>
      <c r="S1343" s="17"/>
      <c r="T1343" s="17"/>
      <c r="U1343" s="17"/>
      <c r="V1343" s="17"/>
      <c r="W1343" s="17"/>
      <c r="X1343" s="17"/>
      <c r="Y1343" s="17"/>
      <c r="Z1343" s="17"/>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c r="BA1343" s="17"/>
      <c r="BB1343" s="17"/>
      <c r="BC1343" s="17"/>
      <c r="BD1343" s="17"/>
      <c r="BE1343" s="17"/>
      <c r="BF1343" s="17"/>
      <c r="BG1343" s="17"/>
      <c r="BH1343" s="17"/>
      <c r="BI1343" s="17"/>
      <c r="BJ1343" s="17"/>
      <c r="BK1343" s="17"/>
      <c r="BL1343" s="17"/>
    </row>
    <row r="1344">
      <c r="A1344" s="17"/>
      <c r="B1344" s="17"/>
      <c r="C1344" s="17"/>
      <c r="D1344" s="17"/>
      <c r="E1344" s="17"/>
      <c r="F1344" s="17"/>
      <c r="G1344" s="17"/>
      <c r="H1344" s="356"/>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c r="BA1344" s="17"/>
      <c r="BB1344" s="17"/>
      <c r="BC1344" s="17"/>
      <c r="BD1344" s="17"/>
      <c r="BE1344" s="17"/>
      <c r="BF1344" s="17"/>
      <c r="BG1344" s="17"/>
      <c r="BH1344" s="17"/>
      <c r="BI1344" s="17"/>
      <c r="BJ1344" s="17"/>
      <c r="BK1344" s="17"/>
      <c r="BL1344" s="17"/>
    </row>
    <row r="1345">
      <c r="A1345" s="17"/>
      <c r="B1345" s="17"/>
      <c r="C1345" s="17"/>
      <c r="D1345" s="17"/>
      <c r="E1345" s="17"/>
      <c r="F1345" s="17"/>
      <c r="G1345" s="17"/>
      <c r="H1345" s="356"/>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c r="BA1345" s="17"/>
      <c r="BB1345" s="17"/>
      <c r="BC1345" s="17"/>
      <c r="BD1345" s="17"/>
      <c r="BE1345" s="17"/>
      <c r="BF1345" s="17"/>
      <c r="BG1345" s="17"/>
      <c r="BH1345" s="17"/>
      <c r="BI1345" s="17"/>
      <c r="BJ1345" s="17"/>
      <c r="BK1345" s="17"/>
      <c r="BL1345" s="17"/>
    </row>
    <row r="1346">
      <c r="A1346" s="17"/>
      <c r="B1346" s="17"/>
      <c r="C1346" s="17"/>
      <c r="D1346" s="17"/>
      <c r="E1346" s="17"/>
      <c r="F1346" s="17"/>
      <c r="G1346" s="17"/>
      <c r="H1346" s="356"/>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7"/>
      <c r="AJ1346" s="17"/>
      <c r="AK1346" s="17"/>
      <c r="AL1346" s="17"/>
      <c r="AM1346" s="17"/>
      <c r="AN1346" s="17"/>
      <c r="AO1346" s="17"/>
      <c r="AP1346" s="17"/>
      <c r="AQ1346" s="17"/>
      <c r="AR1346" s="17"/>
      <c r="AS1346" s="17"/>
      <c r="AT1346" s="17"/>
      <c r="AU1346" s="17"/>
      <c r="AV1346" s="17"/>
      <c r="AW1346" s="17"/>
      <c r="AX1346" s="17"/>
      <c r="AY1346" s="17"/>
      <c r="AZ1346" s="17"/>
      <c r="BA1346" s="17"/>
      <c r="BB1346" s="17"/>
      <c r="BC1346" s="17"/>
      <c r="BD1346" s="17"/>
      <c r="BE1346" s="17"/>
      <c r="BF1346" s="17"/>
      <c r="BG1346" s="17"/>
      <c r="BH1346" s="17"/>
      <c r="BI1346" s="17"/>
      <c r="BJ1346" s="17"/>
      <c r="BK1346" s="17"/>
      <c r="BL1346" s="17"/>
    </row>
    <row r="1347">
      <c r="A1347" s="17"/>
      <c r="B1347" s="17"/>
      <c r="C1347" s="17"/>
      <c r="D1347" s="17"/>
      <c r="E1347" s="17"/>
      <c r="F1347" s="17"/>
      <c r="G1347" s="17"/>
      <c r="H1347" s="356"/>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c r="BA1347" s="17"/>
      <c r="BB1347" s="17"/>
      <c r="BC1347" s="17"/>
      <c r="BD1347" s="17"/>
      <c r="BE1347" s="17"/>
      <c r="BF1347" s="17"/>
      <c r="BG1347" s="17"/>
      <c r="BH1347" s="17"/>
      <c r="BI1347" s="17"/>
      <c r="BJ1347" s="17"/>
      <c r="BK1347" s="17"/>
      <c r="BL1347" s="17"/>
    </row>
    <row r="1348">
      <c r="A1348" s="17"/>
      <c r="B1348" s="17"/>
      <c r="C1348" s="17"/>
      <c r="D1348" s="17"/>
      <c r="E1348" s="17"/>
      <c r="F1348" s="17"/>
      <c r="G1348" s="17"/>
      <c r="H1348" s="356"/>
      <c r="I1348" s="17"/>
      <c r="J1348" s="17"/>
      <c r="K1348" s="17"/>
      <c r="L1348" s="17"/>
      <c r="M1348" s="17"/>
      <c r="N1348" s="17"/>
      <c r="O1348" s="17"/>
      <c r="P1348" s="17"/>
      <c r="Q1348" s="17"/>
      <c r="R1348" s="17"/>
      <c r="S1348" s="17"/>
      <c r="T1348" s="17"/>
      <c r="U1348" s="17"/>
      <c r="V1348" s="17"/>
      <c r="W1348" s="17"/>
      <c r="X1348" s="17"/>
      <c r="Y1348" s="17"/>
      <c r="Z1348" s="17"/>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c r="BA1348" s="17"/>
      <c r="BB1348" s="17"/>
      <c r="BC1348" s="17"/>
      <c r="BD1348" s="17"/>
      <c r="BE1348" s="17"/>
      <c r="BF1348" s="17"/>
      <c r="BG1348" s="17"/>
      <c r="BH1348" s="17"/>
      <c r="BI1348" s="17"/>
      <c r="BJ1348" s="17"/>
      <c r="BK1348" s="17"/>
      <c r="BL1348" s="17"/>
    </row>
    <row r="1349">
      <c r="A1349" s="17"/>
      <c r="B1349" s="17"/>
      <c r="C1349" s="17"/>
      <c r="D1349" s="17"/>
      <c r="E1349" s="17"/>
      <c r="F1349" s="17"/>
      <c r="G1349" s="17"/>
      <c r="H1349" s="356"/>
      <c r="I1349" s="17"/>
      <c r="J1349" s="17"/>
      <c r="K1349" s="17"/>
      <c r="L1349" s="17"/>
      <c r="M1349" s="17"/>
      <c r="N1349" s="17"/>
      <c r="O1349" s="17"/>
      <c r="P1349" s="17"/>
      <c r="Q1349" s="17"/>
      <c r="R1349" s="17"/>
      <c r="S1349" s="17"/>
      <c r="T1349" s="17"/>
      <c r="U1349" s="17"/>
      <c r="V1349" s="17"/>
      <c r="W1349" s="17"/>
      <c r="X1349" s="17"/>
      <c r="Y1349" s="17"/>
      <c r="Z1349" s="17"/>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c r="BA1349" s="17"/>
      <c r="BB1349" s="17"/>
      <c r="BC1349" s="17"/>
      <c r="BD1349" s="17"/>
      <c r="BE1349" s="17"/>
      <c r="BF1349" s="17"/>
      <c r="BG1349" s="17"/>
      <c r="BH1349" s="17"/>
      <c r="BI1349" s="17"/>
      <c r="BJ1349" s="17"/>
      <c r="BK1349" s="17"/>
      <c r="BL1349" s="17"/>
    </row>
    <row r="1350">
      <c r="A1350" s="17"/>
      <c r="B1350" s="17"/>
      <c r="C1350" s="17"/>
      <c r="D1350" s="17"/>
      <c r="E1350" s="17"/>
      <c r="F1350" s="17"/>
      <c r="G1350" s="17"/>
      <c r="H1350" s="356"/>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c r="BA1350" s="17"/>
      <c r="BB1350" s="17"/>
      <c r="BC1350" s="17"/>
      <c r="BD1350" s="17"/>
      <c r="BE1350" s="17"/>
      <c r="BF1350" s="17"/>
      <c r="BG1350" s="17"/>
      <c r="BH1350" s="17"/>
      <c r="BI1350" s="17"/>
      <c r="BJ1350" s="17"/>
      <c r="BK1350" s="17"/>
      <c r="BL1350" s="17"/>
    </row>
    <row r="1351">
      <c r="A1351" s="17"/>
      <c r="B1351" s="17"/>
      <c r="C1351" s="17"/>
      <c r="D1351" s="17"/>
      <c r="E1351" s="17"/>
      <c r="F1351" s="17"/>
      <c r="G1351" s="17"/>
      <c r="H1351" s="356"/>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c r="BA1351" s="17"/>
      <c r="BB1351" s="17"/>
      <c r="BC1351" s="17"/>
      <c r="BD1351" s="17"/>
      <c r="BE1351" s="17"/>
      <c r="BF1351" s="17"/>
      <c r="BG1351" s="17"/>
      <c r="BH1351" s="17"/>
      <c r="BI1351" s="17"/>
      <c r="BJ1351" s="17"/>
      <c r="BK1351" s="17"/>
      <c r="BL1351" s="17"/>
    </row>
    <row r="1352">
      <c r="A1352" s="17"/>
      <c r="B1352" s="17"/>
      <c r="C1352" s="17"/>
      <c r="D1352" s="17"/>
      <c r="E1352" s="17"/>
      <c r="F1352" s="17"/>
      <c r="G1352" s="17"/>
      <c r="H1352" s="356"/>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c r="BA1352" s="17"/>
      <c r="BB1352" s="17"/>
      <c r="BC1352" s="17"/>
      <c r="BD1352" s="17"/>
      <c r="BE1352" s="17"/>
      <c r="BF1352" s="17"/>
      <c r="BG1352" s="17"/>
      <c r="BH1352" s="17"/>
      <c r="BI1352" s="17"/>
      <c r="BJ1352" s="17"/>
      <c r="BK1352" s="17"/>
      <c r="BL1352" s="17"/>
    </row>
    <row r="1353">
      <c r="A1353" s="17"/>
      <c r="B1353" s="17"/>
      <c r="C1353" s="17"/>
      <c r="D1353" s="17"/>
      <c r="E1353" s="17"/>
      <c r="F1353" s="17"/>
      <c r="G1353" s="17"/>
      <c r="H1353" s="356"/>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c r="BA1353" s="17"/>
      <c r="BB1353" s="17"/>
      <c r="BC1353" s="17"/>
      <c r="BD1353" s="17"/>
      <c r="BE1353" s="17"/>
      <c r="BF1353" s="17"/>
      <c r="BG1353" s="17"/>
      <c r="BH1353" s="17"/>
      <c r="BI1353" s="17"/>
      <c r="BJ1353" s="17"/>
      <c r="BK1353" s="17"/>
      <c r="BL1353" s="17"/>
    </row>
    <row r="1354">
      <c r="A1354" s="17"/>
      <c r="B1354" s="17"/>
      <c r="C1354" s="17"/>
      <c r="D1354" s="17"/>
      <c r="E1354" s="17"/>
      <c r="F1354" s="17"/>
      <c r="G1354" s="17"/>
      <c r="H1354" s="356"/>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c r="BA1354" s="17"/>
      <c r="BB1354" s="17"/>
      <c r="BC1354" s="17"/>
      <c r="BD1354" s="17"/>
      <c r="BE1354" s="17"/>
      <c r="BF1354" s="17"/>
      <c r="BG1354" s="17"/>
      <c r="BH1354" s="17"/>
      <c r="BI1354" s="17"/>
      <c r="BJ1354" s="17"/>
      <c r="BK1354" s="17"/>
      <c r="BL1354" s="17"/>
    </row>
    <row r="1355">
      <c r="A1355" s="17"/>
      <c r="B1355" s="17"/>
      <c r="C1355" s="17"/>
      <c r="D1355" s="17"/>
      <c r="E1355" s="17"/>
      <c r="F1355" s="17"/>
      <c r="G1355" s="17"/>
      <c r="H1355" s="356"/>
      <c r="I1355" s="17"/>
      <c r="J1355" s="17"/>
      <c r="K1355" s="17"/>
      <c r="L1355" s="17"/>
      <c r="M1355" s="17"/>
      <c r="N1355" s="17"/>
      <c r="O1355" s="17"/>
      <c r="P1355" s="17"/>
      <c r="Q1355" s="17"/>
      <c r="R1355" s="17"/>
      <c r="S1355" s="17"/>
      <c r="T1355" s="17"/>
      <c r="U1355" s="17"/>
      <c r="V1355" s="17"/>
      <c r="W1355" s="17"/>
      <c r="X1355" s="17"/>
      <c r="Y1355" s="17"/>
      <c r="Z1355" s="17"/>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c r="BA1355" s="17"/>
      <c r="BB1355" s="17"/>
      <c r="BC1355" s="17"/>
      <c r="BD1355" s="17"/>
      <c r="BE1355" s="17"/>
      <c r="BF1355" s="17"/>
      <c r="BG1355" s="17"/>
      <c r="BH1355" s="17"/>
      <c r="BI1355" s="17"/>
      <c r="BJ1355" s="17"/>
      <c r="BK1355" s="17"/>
      <c r="BL1355" s="17"/>
    </row>
    <row r="1356">
      <c r="A1356" s="17"/>
      <c r="B1356" s="17"/>
      <c r="C1356" s="17"/>
      <c r="D1356" s="17"/>
      <c r="E1356" s="17"/>
      <c r="F1356" s="17"/>
      <c r="G1356" s="17"/>
      <c r="H1356" s="356"/>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c r="BA1356" s="17"/>
      <c r="BB1356" s="17"/>
      <c r="BC1356" s="17"/>
      <c r="BD1356" s="17"/>
      <c r="BE1356" s="17"/>
      <c r="BF1356" s="17"/>
      <c r="BG1356" s="17"/>
      <c r="BH1356" s="17"/>
      <c r="BI1356" s="17"/>
      <c r="BJ1356" s="17"/>
      <c r="BK1356" s="17"/>
      <c r="BL1356" s="17"/>
    </row>
    <row r="1357">
      <c r="A1357" s="17"/>
      <c r="B1357" s="17"/>
      <c r="C1357" s="17"/>
      <c r="D1357" s="17"/>
      <c r="E1357" s="17"/>
      <c r="F1357" s="17"/>
      <c r="G1357" s="17"/>
      <c r="H1357" s="356"/>
      <c r="I1357" s="17"/>
      <c r="J1357" s="17"/>
      <c r="K1357" s="17"/>
      <c r="L1357" s="17"/>
      <c r="M1357" s="17"/>
      <c r="N1357" s="17"/>
      <c r="O1357" s="17"/>
      <c r="P1357" s="17"/>
      <c r="Q1357" s="17"/>
      <c r="R1357" s="17"/>
      <c r="S1357" s="17"/>
      <c r="T1357" s="17"/>
      <c r="U1357" s="17"/>
      <c r="V1357" s="17"/>
      <c r="W1357" s="17"/>
      <c r="X1357" s="17"/>
      <c r="Y1357" s="17"/>
      <c r="Z1357" s="17"/>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c r="BA1357" s="17"/>
      <c r="BB1357" s="17"/>
      <c r="BC1357" s="17"/>
      <c r="BD1357" s="17"/>
      <c r="BE1357" s="17"/>
      <c r="BF1357" s="17"/>
      <c r="BG1357" s="17"/>
      <c r="BH1357" s="17"/>
      <c r="BI1357" s="17"/>
      <c r="BJ1357" s="17"/>
      <c r="BK1357" s="17"/>
      <c r="BL1357" s="17"/>
    </row>
    <row r="1358">
      <c r="A1358" s="17"/>
      <c r="B1358" s="17"/>
      <c r="C1358" s="17"/>
      <c r="D1358" s="17"/>
      <c r="E1358" s="17"/>
      <c r="F1358" s="17"/>
      <c r="G1358" s="17"/>
      <c r="H1358" s="356"/>
      <c r="I1358" s="17"/>
      <c r="J1358" s="17"/>
      <c r="K1358" s="17"/>
      <c r="L1358" s="17"/>
      <c r="M1358" s="17"/>
      <c r="N1358" s="17"/>
      <c r="O1358" s="17"/>
      <c r="P1358" s="17"/>
      <c r="Q1358" s="17"/>
      <c r="R1358" s="17"/>
      <c r="S1358" s="17"/>
      <c r="T1358" s="17"/>
      <c r="U1358" s="17"/>
      <c r="V1358" s="17"/>
      <c r="W1358" s="17"/>
      <c r="X1358" s="17"/>
      <c r="Y1358" s="17"/>
      <c r="Z1358" s="17"/>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c r="BA1358" s="17"/>
      <c r="BB1358" s="17"/>
      <c r="BC1358" s="17"/>
      <c r="BD1358" s="17"/>
      <c r="BE1358" s="17"/>
      <c r="BF1358" s="17"/>
      <c r="BG1358" s="17"/>
      <c r="BH1358" s="17"/>
      <c r="BI1358" s="17"/>
      <c r="BJ1358" s="17"/>
      <c r="BK1358" s="17"/>
      <c r="BL1358" s="17"/>
    </row>
    <row r="1359">
      <c r="A1359" s="17"/>
      <c r="B1359" s="17"/>
      <c r="C1359" s="17"/>
      <c r="D1359" s="17"/>
      <c r="E1359" s="17"/>
      <c r="F1359" s="17"/>
      <c r="G1359" s="17"/>
      <c r="H1359" s="356"/>
      <c r="I1359" s="17"/>
      <c r="J1359" s="17"/>
      <c r="K1359" s="17"/>
      <c r="L1359" s="17"/>
      <c r="M1359" s="17"/>
      <c r="N1359" s="17"/>
      <c r="O1359" s="17"/>
      <c r="P1359" s="17"/>
      <c r="Q1359" s="17"/>
      <c r="R1359" s="17"/>
      <c r="S1359" s="17"/>
      <c r="T1359" s="17"/>
      <c r="U1359" s="17"/>
      <c r="V1359" s="17"/>
      <c r="W1359" s="17"/>
      <c r="X1359" s="17"/>
      <c r="Y1359" s="17"/>
      <c r="Z1359" s="17"/>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c r="BA1359" s="17"/>
      <c r="BB1359" s="17"/>
      <c r="BC1359" s="17"/>
      <c r="BD1359" s="17"/>
      <c r="BE1359" s="17"/>
      <c r="BF1359" s="17"/>
      <c r="BG1359" s="17"/>
      <c r="BH1359" s="17"/>
      <c r="BI1359" s="17"/>
      <c r="BJ1359" s="17"/>
      <c r="BK1359" s="17"/>
      <c r="BL1359" s="17"/>
    </row>
    <row r="1360">
      <c r="A1360" s="17"/>
      <c r="B1360" s="17"/>
      <c r="C1360" s="17"/>
      <c r="D1360" s="17"/>
      <c r="E1360" s="17"/>
      <c r="F1360" s="17"/>
      <c r="G1360" s="17"/>
      <c r="H1360" s="356"/>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7"/>
      <c r="AW1360" s="17"/>
      <c r="AX1360" s="17"/>
      <c r="AY1360" s="17"/>
      <c r="AZ1360" s="17"/>
      <c r="BA1360" s="17"/>
      <c r="BB1360" s="17"/>
      <c r="BC1360" s="17"/>
      <c r="BD1360" s="17"/>
      <c r="BE1360" s="17"/>
      <c r="BF1360" s="17"/>
      <c r="BG1360" s="17"/>
      <c r="BH1360" s="17"/>
      <c r="BI1360" s="17"/>
      <c r="BJ1360" s="17"/>
      <c r="BK1360" s="17"/>
      <c r="BL1360" s="17"/>
    </row>
    <row r="1361">
      <c r="A1361" s="17"/>
      <c r="B1361" s="17"/>
      <c r="C1361" s="17"/>
      <c r="D1361" s="17"/>
      <c r="E1361" s="17"/>
      <c r="F1361" s="17"/>
      <c r="G1361" s="17"/>
      <c r="H1361" s="356"/>
      <c r="I1361" s="17"/>
      <c r="J1361" s="17"/>
      <c r="K1361" s="17"/>
      <c r="L1361" s="17"/>
      <c r="M1361" s="17"/>
      <c r="N1361" s="17"/>
      <c r="O1361" s="17"/>
      <c r="P1361" s="17"/>
      <c r="Q1361" s="17"/>
      <c r="R1361" s="17"/>
      <c r="S1361" s="17"/>
      <c r="T1361" s="17"/>
      <c r="U1361" s="17"/>
      <c r="V1361" s="17"/>
      <c r="W1361" s="17"/>
      <c r="X1361" s="17"/>
      <c r="Y1361" s="17"/>
      <c r="Z1361" s="17"/>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c r="BA1361" s="17"/>
      <c r="BB1361" s="17"/>
      <c r="BC1361" s="17"/>
      <c r="BD1361" s="17"/>
      <c r="BE1361" s="17"/>
      <c r="BF1361" s="17"/>
      <c r="BG1361" s="17"/>
      <c r="BH1361" s="17"/>
      <c r="BI1361" s="17"/>
      <c r="BJ1361" s="17"/>
      <c r="BK1361" s="17"/>
      <c r="BL1361" s="17"/>
    </row>
    <row r="1362">
      <c r="A1362" s="17"/>
      <c r="B1362" s="17"/>
      <c r="C1362" s="17"/>
      <c r="D1362" s="17"/>
      <c r="E1362" s="17"/>
      <c r="F1362" s="17"/>
      <c r="G1362" s="17"/>
      <c r="H1362" s="356"/>
      <c r="I1362" s="17"/>
      <c r="J1362" s="17"/>
      <c r="K1362" s="17"/>
      <c r="L1362" s="17"/>
      <c r="M1362" s="17"/>
      <c r="N1362" s="17"/>
      <c r="O1362" s="17"/>
      <c r="P1362" s="17"/>
      <c r="Q1362" s="17"/>
      <c r="R1362" s="17"/>
      <c r="S1362" s="17"/>
      <c r="T1362" s="17"/>
      <c r="U1362" s="17"/>
      <c r="V1362" s="17"/>
      <c r="W1362" s="17"/>
      <c r="X1362" s="17"/>
      <c r="Y1362" s="17"/>
      <c r="Z1362" s="17"/>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c r="AV1362" s="17"/>
      <c r="AW1362" s="17"/>
      <c r="AX1362" s="17"/>
      <c r="AY1362" s="17"/>
      <c r="AZ1362" s="17"/>
      <c r="BA1362" s="17"/>
      <c r="BB1362" s="17"/>
      <c r="BC1362" s="17"/>
      <c r="BD1362" s="17"/>
      <c r="BE1362" s="17"/>
      <c r="BF1362" s="17"/>
      <c r="BG1362" s="17"/>
      <c r="BH1362" s="17"/>
      <c r="BI1362" s="17"/>
      <c r="BJ1362" s="17"/>
      <c r="BK1362" s="17"/>
      <c r="BL1362" s="17"/>
    </row>
    <row r="1363">
      <c r="A1363" s="17"/>
      <c r="B1363" s="17"/>
      <c r="C1363" s="17"/>
      <c r="D1363" s="17"/>
      <c r="E1363" s="17"/>
      <c r="F1363" s="17"/>
      <c r="G1363" s="17"/>
      <c r="H1363" s="356"/>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c r="BA1363" s="17"/>
      <c r="BB1363" s="17"/>
      <c r="BC1363" s="17"/>
      <c r="BD1363" s="17"/>
      <c r="BE1363" s="17"/>
      <c r="BF1363" s="17"/>
      <c r="BG1363" s="17"/>
      <c r="BH1363" s="17"/>
      <c r="BI1363" s="17"/>
      <c r="BJ1363" s="17"/>
      <c r="BK1363" s="17"/>
      <c r="BL1363" s="17"/>
    </row>
    <row r="1364">
      <c r="A1364" s="17"/>
      <c r="B1364" s="17"/>
      <c r="C1364" s="17"/>
      <c r="D1364" s="17"/>
      <c r="E1364" s="17"/>
      <c r="F1364" s="17"/>
      <c r="G1364" s="17"/>
      <c r="H1364" s="356"/>
      <c r="I1364" s="17"/>
      <c r="J1364" s="17"/>
      <c r="K1364" s="17"/>
      <c r="L1364" s="17"/>
      <c r="M1364" s="17"/>
      <c r="N1364" s="17"/>
      <c r="O1364" s="17"/>
      <c r="P1364" s="17"/>
      <c r="Q1364" s="17"/>
      <c r="R1364" s="17"/>
      <c r="S1364" s="17"/>
      <c r="T1364" s="17"/>
      <c r="U1364" s="17"/>
      <c r="V1364" s="17"/>
      <c r="W1364" s="17"/>
      <c r="X1364" s="17"/>
      <c r="Y1364" s="17"/>
      <c r="Z1364" s="17"/>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c r="BA1364" s="17"/>
      <c r="BB1364" s="17"/>
      <c r="BC1364" s="17"/>
      <c r="BD1364" s="17"/>
      <c r="BE1364" s="17"/>
      <c r="BF1364" s="17"/>
      <c r="BG1364" s="17"/>
      <c r="BH1364" s="17"/>
      <c r="BI1364" s="17"/>
      <c r="BJ1364" s="17"/>
      <c r="BK1364" s="17"/>
      <c r="BL1364" s="17"/>
    </row>
    <row r="1365">
      <c r="A1365" s="17"/>
      <c r="B1365" s="17"/>
      <c r="C1365" s="17"/>
      <c r="D1365" s="17"/>
      <c r="E1365" s="17"/>
      <c r="F1365" s="17"/>
      <c r="G1365" s="17"/>
      <c r="H1365" s="356"/>
      <c r="I1365" s="17"/>
      <c r="J1365" s="17"/>
      <c r="K1365" s="17"/>
      <c r="L1365" s="17"/>
      <c r="M1365" s="17"/>
      <c r="N1365" s="17"/>
      <c r="O1365" s="17"/>
      <c r="P1365" s="17"/>
      <c r="Q1365" s="17"/>
      <c r="R1365" s="17"/>
      <c r="S1365" s="17"/>
      <c r="T1365" s="17"/>
      <c r="U1365" s="17"/>
      <c r="V1365" s="17"/>
      <c r="W1365" s="17"/>
      <c r="X1365" s="17"/>
      <c r="Y1365" s="17"/>
      <c r="Z1365" s="17"/>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c r="BA1365" s="17"/>
      <c r="BB1365" s="17"/>
      <c r="BC1365" s="17"/>
      <c r="BD1365" s="17"/>
      <c r="BE1365" s="17"/>
      <c r="BF1365" s="17"/>
      <c r="BG1365" s="17"/>
      <c r="BH1365" s="17"/>
      <c r="BI1365" s="17"/>
      <c r="BJ1365" s="17"/>
      <c r="BK1365" s="17"/>
      <c r="BL1365" s="17"/>
    </row>
    <row r="1366">
      <c r="A1366" s="17"/>
      <c r="B1366" s="17"/>
      <c r="C1366" s="17"/>
      <c r="D1366" s="17"/>
      <c r="E1366" s="17"/>
      <c r="F1366" s="17"/>
      <c r="G1366" s="17"/>
      <c r="H1366" s="356"/>
      <c r="I1366" s="17"/>
      <c r="J1366" s="17"/>
      <c r="K1366" s="17"/>
      <c r="L1366" s="17"/>
      <c r="M1366" s="17"/>
      <c r="N1366" s="17"/>
      <c r="O1366" s="17"/>
      <c r="P1366" s="17"/>
      <c r="Q1366" s="17"/>
      <c r="R1366" s="17"/>
      <c r="S1366" s="17"/>
      <c r="T1366" s="17"/>
      <c r="U1366" s="17"/>
      <c r="V1366" s="17"/>
      <c r="W1366" s="17"/>
      <c r="X1366" s="17"/>
      <c r="Y1366" s="17"/>
      <c r="Z1366" s="17"/>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c r="BA1366" s="17"/>
      <c r="BB1366" s="17"/>
      <c r="BC1366" s="17"/>
      <c r="BD1366" s="17"/>
      <c r="BE1366" s="17"/>
      <c r="BF1366" s="17"/>
      <c r="BG1366" s="17"/>
      <c r="BH1366" s="17"/>
      <c r="BI1366" s="17"/>
      <c r="BJ1366" s="17"/>
      <c r="BK1366" s="17"/>
      <c r="BL1366" s="17"/>
    </row>
    <row r="1367">
      <c r="A1367" s="17"/>
      <c r="B1367" s="17"/>
      <c r="C1367" s="17"/>
      <c r="D1367" s="17"/>
      <c r="E1367" s="17"/>
      <c r="F1367" s="17"/>
      <c r="G1367" s="17"/>
      <c r="H1367" s="356"/>
      <c r="I1367" s="17"/>
      <c r="J1367" s="17"/>
      <c r="K1367" s="17"/>
      <c r="L1367" s="17"/>
      <c r="M1367" s="17"/>
      <c r="N1367" s="17"/>
      <c r="O1367" s="17"/>
      <c r="P1367" s="17"/>
      <c r="Q1367" s="17"/>
      <c r="R1367" s="17"/>
      <c r="S1367" s="17"/>
      <c r="T1367" s="17"/>
      <c r="U1367" s="17"/>
      <c r="V1367" s="17"/>
      <c r="W1367" s="17"/>
      <c r="X1367" s="17"/>
      <c r="Y1367" s="17"/>
      <c r="Z1367" s="17"/>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c r="BA1367" s="17"/>
      <c r="BB1367" s="17"/>
      <c r="BC1367" s="17"/>
      <c r="BD1367" s="17"/>
      <c r="BE1367" s="17"/>
      <c r="BF1367" s="17"/>
      <c r="BG1367" s="17"/>
      <c r="BH1367" s="17"/>
      <c r="BI1367" s="17"/>
      <c r="BJ1367" s="17"/>
      <c r="BK1367" s="17"/>
      <c r="BL1367" s="17"/>
    </row>
    <row r="1368">
      <c r="A1368" s="17"/>
      <c r="B1368" s="17"/>
      <c r="C1368" s="17"/>
      <c r="D1368" s="17"/>
      <c r="E1368" s="17"/>
      <c r="F1368" s="17"/>
      <c r="G1368" s="17"/>
      <c r="H1368" s="356"/>
      <c r="I1368" s="17"/>
      <c r="J1368" s="17"/>
      <c r="K1368" s="17"/>
      <c r="L1368" s="17"/>
      <c r="M1368" s="17"/>
      <c r="N1368" s="17"/>
      <c r="O1368" s="17"/>
      <c r="P1368" s="17"/>
      <c r="Q1368" s="17"/>
      <c r="R1368" s="17"/>
      <c r="S1368" s="17"/>
      <c r="T1368" s="17"/>
      <c r="U1368" s="17"/>
      <c r="V1368" s="17"/>
      <c r="W1368" s="17"/>
      <c r="X1368" s="17"/>
      <c r="Y1368" s="17"/>
      <c r="Z1368" s="17"/>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c r="BA1368" s="17"/>
      <c r="BB1368" s="17"/>
      <c r="BC1368" s="17"/>
      <c r="BD1368" s="17"/>
      <c r="BE1368" s="17"/>
      <c r="BF1368" s="17"/>
      <c r="BG1368" s="17"/>
      <c r="BH1368" s="17"/>
      <c r="BI1368" s="17"/>
      <c r="BJ1368" s="17"/>
      <c r="BK1368" s="17"/>
      <c r="BL1368" s="17"/>
    </row>
    <row r="1369">
      <c r="A1369" s="17"/>
      <c r="B1369" s="17"/>
      <c r="C1369" s="17"/>
      <c r="D1369" s="17"/>
      <c r="E1369" s="17"/>
      <c r="F1369" s="17"/>
      <c r="G1369" s="17"/>
      <c r="H1369" s="356"/>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c r="BA1369" s="17"/>
      <c r="BB1369" s="17"/>
      <c r="BC1369" s="17"/>
      <c r="BD1369" s="17"/>
      <c r="BE1369" s="17"/>
      <c r="BF1369" s="17"/>
      <c r="BG1369" s="17"/>
      <c r="BH1369" s="17"/>
      <c r="BI1369" s="17"/>
      <c r="BJ1369" s="17"/>
      <c r="BK1369" s="17"/>
      <c r="BL1369" s="17"/>
    </row>
    <row r="1370">
      <c r="A1370" s="17"/>
      <c r="B1370" s="17"/>
      <c r="C1370" s="17"/>
      <c r="D1370" s="17"/>
      <c r="E1370" s="17"/>
      <c r="F1370" s="17"/>
      <c r="G1370" s="17"/>
      <c r="H1370" s="356"/>
      <c r="I1370" s="17"/>
      <c r="J1370" s="17"/>
      <c r="K1370" s="17"/>
      <c r="L1370" s="17"/>
      <c r="M1370" s="17"/>
      <c r="N1370" s="17"/>
      <c r="O1370" s="17"/>
      <c r="P1370" s="17"/>
      <c r="Q1370" s="17"/>
      <c r="R1370" s="17"/>
      <c r="S1370" s="17"/>
      <c r="T1370" s="17"/>
      <c r="U1370" s="17"/>
      <c r="V1370" s="17"/>
      <c r="W1370" s="17"/>
      <c r="X1370" s="17"/>
      <c r="Y1370" s="17"/>
      <c r="Z1370" s="17"/>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c r="BA1370" s="17"/>
      <c r="BB1370" s="17"/>
      <c r="BC1370" s="17"/>
      <c r="BD1370" s="17"/>
      <c r="BE1370" s="17"/>
      <c r="BF1370" s="17"/>
      <c r="BG1370" s="17"/>
      <c r="BH1370" s="17"/>
      <c r="BI1370" s="17"/>
      <c r="BJ1370" s="17"/>
      <c r="BK1370" s="17"/>
      <c r="BL1370" s="17"/>
    </row>
    <row r="1371">
      <c r="A1371" s="17"/>
      <c r="B1371" s="17"/>
      <c r="C1371" s="17"/>
      <c r="D1371" s="17"/>
      <c r="E1371" s="17"/>
      <c r="F1371" s="17"/>
      <c r="G1371" s="17"/>
      <c r="H1371" s="356"/>
      <c r="I1371" s="17"/>
      <c r="J1371" s="17"/>
      <c r="K1371" s="17"/>
      <c r="L1371" s="17"/>
      <c r="M1371" s="17"/>
      <c r="N1371" s="17"/>
      <c r="O1371" s="17"/>
      <c r="P1371" s="17"/>
      <c r="Q1371" s="17"/>
      <c r="R1371" s="17"/>
      <c r="S1371" s="17"/>
      <c r="T1371" s="17"/>
      <c r="U1371" s="17"/>
      <c r="V1371" s="17"/>
      <c r="W1371" s="17"/>
      <c r="X1371" s="17"/>
      <c r="Y1371" s="17"/>
      <c r="Z1371" s="17"/>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c r="BA1371" s="17"/>
      <c r="BB1371" s="17"/>
      <c r="BC1371" s="17"/>
      <c r="BD1371" s="17"/>
      <c r="BE1371" s="17"/>
      <c r="BF1371" s="17"/>
      <c r="BG1371" s="17"/>
      <c r="BH1371" s="17"/>
      <c r="BI1371" s="17"/>
      <c r="BJ1371" s="17"/>
      <c r="BK1371" s="17"/>
      <c r="BL1371" s="17"/>
    </row>
    <row r="1372">
      <c r="A1372" s="17"/>
      <c r="B1372" s="17"/>
      <c r="C1372" s="17"/>
      <c r="D1372" s="17"/>
      <c r="E1372" s="17"/>
      <c r="F1372" s="17"/>
      <c r="G1372" s="17"/>
      <c r="H1372" s="356"/>
      <c r="I1372" s="17"/>
      <c r="J1372" s="17"/>
      <c r="K1372" s="17"/>
      <c r="L1372" s="17"/>
      <c r="M1372" s="17"/>
      <c r="N1372" s="17"/>
      <c r="O1372" s="17"/>
      <c r="P1372" s="17"/>
      <c r="Q1372" s="17"/>
      <c r="R1372" s="17"/>
      <c r="S1372" s="17"/>
      <c r="T1372" s="17"/>
      <c r="U1372" s="17"/>
      <c r="V1372" s="17"/>
      <c r="W1372" s="17"/>
      <c r="X1372" s="17"/>
      <c r="Y1372" s="17"/>
      <c r="Z1372" s="17"/>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c r="BA1372" s="17"/>
      <c r="BB1372" s="17"/>
      <c r="BC1372" s="17"/>
      <c r="BD1372" s="17"/>
      <c r="BE1372" s="17"/>
      <c r="BF1372" s="17"/>
      <c r="BG1372" s="17"/>
      <c r="BH1372" s="17"/>
      <c r="BI1372" s="17"/>
      <c r="BJ1372" s="17"/>
      <c r="BK1372" s="17"/>
      <c r="BL1372" s="17"/>
    </row>
    <row r="1373">
      <c r="A1373" s="17"/>
      <c r="B1373" s="17"/>
      <c r="C1373" s="17"/>
      <c r="D1373" s="17"/>
      <c r="E1373" s="17"/>
      <c r="F1373" s="17"/>
      <c r="G1373" s="17"/>
      <c r="H1373" s="356"/>
      <c r="I1373" s="17"/>
      <c r="J1373" s="17"/>
      <c r="K1373" s="17"/>
      <c r="L1373" s="17"/>
      <c r="M1373" s="17"/>
      <c r="N1373" s="17"/>
      <c r="O1373" s="17"/>
      <c r="P1373" s="17"/>
      <c r="Q1373" s="17"/>
      <c r="R1373" s="17"/>
      <c r="S1373" s="17"/>
      <c r="T1373" s="17"/>
      <c r="U1373" s="17"/>
      <c r="V1373" s="17"/>
      <c r="W1373" s="17"/>
      <c r="X1373" s="17"/>
      <c r="Y1373" s="17"/>
      <c r="Z1373" s="17"/>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c r="BA1373" s="17"/>
      <c r="BB1373" s="17"/>
      <c r="BC1373" s="17"/>
      <c r="BD1373" s="17"/>
      <c r="BE1373" s="17"/>
      <c r="BF1373" s="17"/>
      <c r="BG1373" s="17"/>
      <c r="BH1373" s="17"/>
      <c r="BI1373" s="17"/>
      <c r="BJ1373" s="17"/>
      <c r="BK1373" s="17"/>
      <c r="BL1373" s="17"/>
    </row>
    <row r="1374">
      <c r="A1374" s="17"/>
      <c r="B1374" s="17"/>
      <c r="C1374" s="17"/>
      <c r="D1374" s="17"/>
      <c r="E1374" s="17"/>
      <c r="F1374" s="17"/>
      <c r="G1374" s="17"/>
      <c r="H1374" s="356"/>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c r="BA1374" s="17"/>
      <c r="BB1374" s="17"/>
      <c r="BC1374" s="17"/>
      <c r="BD1374" s="17"/>
      <c r="BE1374" s="17"/>
      <c r="BF1374" s="17"/>
      <c r="BG1374" s="17"/>
      <c r="BH1374" s="17"/>
      <c r="BI1374" s="17"/>
      <c r="BJ1374" s="17"/>
      <c r="BK1374" s="17"/>
      <c r="BL1374" s="17"/>
    </row>
    <row r="1375">
      <c r="A1375" s="17"/>
      <c r="B1375" s="17"/>
      <c r="C1375" s="17"/>
      <c r="D1375" s="17"/>
      <c r="E1375" s="17"/>
      <c r="F1375" s="17"/>
      <c r="G1375" s="17"/>
      <c r="H1375" s="356"/>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c r="BA1375" s="17"/>
      <c r="BB1375" s="17"/>
      <c r="BC1375" s="17"/>
      <c r="BD1375" s="17"/>
      <c r="BE1375" s="17"/>
      <c r="BF1375" s="17"/>
      <c r="BG1375" s="17"/>
      <c r="BH1375" s="17"/>
      <c r="BI1375" s="17"/>
      <c r="BJ1375" s="17"/>
      <c r="BK1375" s="17"/>
      <c r="BL1375" s="17"/>
    </row>
    <row r="1376">
      <c r="A1376" s="17"/>
      <c r="B1376" s="17"/>
      <c r="C1376" s="17"/>
      <c r="D1376" s="17"/>
      <c r="E1376" s="17"/>
      <c r="F1376" s="17"/>
      <c r="G1376" s="17"/>
      <c r="H1376" s="356"/>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c r="BA1376" s="17"/>
      <c r="BB1376" s="17"/>
      <c r="BC1376" s="17"/>
      <c r="BD1376" s="17"/>
      <c r="BE1376" s="17"/>
      <c r="BF1376" s="17"/>
      <c r="BG1376" s="17"/>
      <c r="BH1376" s="17"/>
      <c r="BI1376" s="17"/>
      <c r="BJ1376" s="17"/>
      <c r="BK1376" s="17"/>
      <c r="BL1376" s="17"/>
    </row>
    <row r="1377">
      <c r="A1377" s="17"/>
      <c r="B1377" s="17"/>
      <c r="C1377" s="17"/>
      <c r="D1377" s="17"/>
      <c r="E1377" s="17"/>
      <c r="F1377" s="17"/>
      <c r="G1377" s="17"/>
      <c r="H1377" s="356"/>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c r="AV1377" s="17"/>
      <c r="AW1377" s="17"/>
      <c r="AX1377" s="17"/>
      <c r="AY1377" s="17"/>
      <c r="AZ1377" s="17"/>
      <c r="BA1377" s="17"/>
      <c r="BB1377" s="17"/>
      <c r="BC1377" s="17"/>
      <c r="BD1377" s="17"/>
      <c r="BE1377" s="17"/>
      <c r="BF1377" s="17"/>
      <c r="BG1377" s="17"/>
      <c r="BH1377" s="17"/>
      <c r="BI1377" s="17"/>
      <c r="BJ1377" s="17"/>
      <c r="BK1377" s="17"/>
      <c r="BL1377" s="17"/>
    </row>
    <row r="1378">
      <c r="A1378" s="17"/>
      <c r="B1378" s="17"/>
      <c r="C1378" s="17"/>
      <c r="D1378" s="17"/>
      <c r="E1378" s="17"/>
      <c r="F1378" s="17"/>
      <c r="G1378" s="17"/>
      <c r="H1378" s="356"/>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c r="BA1378" s="17"/>
      <c r="BB1378" s="17"/>
      <c r="BC1378" s="17"/>
      <c r="BD1378" s="17"/>
      <c r="BE1378" s="17"/>
      <c r="BF1378" s="17"/>
      <c r="BG1378" s="17"/>
      <c r="BH1378" s="17"/>
      <c r="BI1378" s="17"/>
      <c r="BJ1378" s="17"/>
      <c r="BK1378" s="17"/>
      <c r="BL1378" s="17"/>
    </row>
    <row r="1379">
      <c r="A1379" s="17"/>
      <c r="B1379" s="17"/>
      <c r="C1379" s="17"/>
      <c r="D1379" s="17"/>
      <c r="E1379" s="17"/>
      <c r="F1379" s="17"/>
      <c r="G1379" s="17"/>
      <c r="H1379" s="356"/>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c r="BA1379" s="17"/>
      <c r="BB1379" s="17"/>
      <c r="BC1379" s="17"/>
      <c r="BD1379" s="17"/>
      <c r="BE1379" s="17"/>
      <c r="BF1379" s="17"/>
      <c r="BG1379" s="17"/>
      <c r="BH1379" s="17"/>
      <c r="BI1379" s="17"/>
      <c r="BJ1379" s="17"/>
      <c r="BK1379" s="17"/>
      <c r="BL1379" s="17"/>
    </row>
    <row r="1380">
      <c r="A1380" s="17"/>
      <c r="B1380" s="17"/>
      <c r="C1380" s="17"/>
      <c r="D1380" s="17"/>
      <c r="E1380" s="17"/>
      <c r="F1380" s="17"/>
      <c r="G1380" s="17"/>
      <c r="H1380" s="356"/>
      <c r="I1380" s="17"/>
      <c r="J1380" s="17"/>
      <c r="K1380" s="17"/>
      <c r="L1380" s="17"/>
      <c r="M1380" s="17"/>
      <c r="N1380" s="17"/>
      <c r="O1380" s="17"/>
      <c r="P1380" s="17"/>
      <c r="Q1380" s="17"/>
      <c r="R1380" s="17"/>
      <c r="S1380" s="17"/>
      <c r="T1380" s="17"/>
      <c r="U1380" s="17"/>
      <c r="V1380" s="17"/>
      <c r="W1380" s="17"/>
      <c r="X1380" s="17"/>
      <c r="Y1380" s="17"/>
      <c r="Z1380" s="17"/>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c r="BA1380" s="17"/>
      <c r="BB1380" s="17"/>
      <c r="BC1380" s="17"/>
      <c r="BD1380" s="17"/>
      <c r="BE1380" s="17"/>
      <c r="BF1380" s="17"/>
      <c r="BG1380" s="17"/>
      <c r="BH1380" s="17"/>
      <c r="BI1380" s="17"/>
      <c r="BJ1380" s="17"/>
      <c r="BK1380" s="17"/>
      <c r="BL1380" s="17"/>
    </row>
    <row r="1381">
      <c r="A1381" s="17"/>
      <c r="B1381" s="17"/>
      <c r="C1381" s="17"/>
      <c r="D1381" s="17"/>
      <c r="E1381" s="17"/>
      <c r="F1381" s="17"/>
      <c r="G1381" s="17"/>
      <c r="H1381" s="356"/>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c r="BA1381" s="17"/>
      <c r="BB1381" s="17"/>
      <c r="BC1381" s="17"/>
      <c r="BD1381" s="17"/>
      <c r="BE1381" s="17"/>
      <c r="BF1381" s="17"/>
      <c r="BG1381" s="17"/>
      <c r="BH1381" s="17"/>
      <c r="BI1381" s="17"/>
      <c r="BJ1381" s="17"/>
      <c r="BK1381" s="17"/>
      <c r="BL1381" s="17"/>
    </row>
    <row r="1382">
      <c r="A1382" s="17"/>
      <c r="B1382" s="17"/>
      <c r="C1382" s="17"/>
      <c r="D1382" s="17"/>
      <c r="E1382" s="17"/>
      <c r="F1382" s="17"/>
      <c r="G1382" s="17"/>
      <c r="H1382" s="356"/>
      <c r="I1382" s="17"/>
      <c r="J1382" s="17"/>
      <c r="K1382" s="17"/>
      <c r="L1382" s="17"/>
      <c r="M1382" s="17"/>
      <c r="N1382" s="17"/>
      <c r="O1382" s="17"/>
      <c r="P1382" s="17"/>
      <c r="Q1382" s="17"/>
      <c r="R1382" s="17"/>
      <c r="S1382" s="17"/>
      <c r="T1382" s="17"/>
      <c r="U1382" s="17"/>
      <c r="V1382" s="17"/>
      <c r="W1382" s="17"/>
      <c r="X1382" s="17"/>
      <c r="Y1382" s="17"/>
      <c r="Z1382" s="17"/>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c r="BA1382" s="17"/>
      <c r="BB1382" s="17"/>
      <c r="BC1382" s="17"/>
      <c r="BD1382" s="17"/>
      <c r="BE1382" s="17"/>
      <c r="BF1382" s="17"/>
      <c r="BG1382" s="17"/>
      <c r="BH1382" s="17"/>
      <c r="BI1382" s="17"/>
      <c r="BJ1382" s="17"/>
      <c r="BK1382" s="17"/>
      <c r="BL1382" s="17"/>
    </row>
    <row r="1383">
      <c r="A1383" s="17"/>
      <c r="B1383" s="17"/>
      <c r="C1383" s="17"/>
      <c r="D1383" s="17"/>
      <c r="E1383" s="17"/>
      <c r="F1383" s="17"/>
      <c r="G1383" s="17"/>
      <c r="H1383" s="356"/>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c r="BA1383" s="17"/>
      <c r="BB1383" s="17"/>
      <c r="BC1383" s="17"/>
      <c r="BD1383" s="17"/>
      <c r="BE1383" s="17"/>
      <c r="BF1383" s="17"/>
      <c r="BG1383" s="17"/>
      <c r="BH1383" s="17"/>
      <c r="BI1383" s="17"/>
      <c r="BJ1383" s="17"/>
      <c r="BK1383" s="17"/>
      <c r="BL1383" s="17"/>
    </row>
    <row r="1384">
      <c r="A1384" s="17"/>
      <c r="B1384" s="17"/>
      <c r="C1384" s="17"/>
      <c r="D1384" s="17"/>
      <c r="E1384" s="17"/>
      <c r="F1384" s="17"/>
      <c r="G1384" s="17"/>
      <c r="H1384" s="356"/>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c r="BA1384" s="17"/>
      <c r="BB1384" s="17"/>
      <c r="BC1384" s="17"/>
      <c r="BD1384" s="17"/>
      <c r="BE1384" s="17"/>
      <c r="BF1384" s="17"/>
      <c r="BG1384" s="17"/>
      <c r="BH1384" s="17"/>
      <c r="BI1384" s="17"/>
      <c r="BJ1384" s="17"/>
      <c r="BK1384" s="17"/>
      <c r="BL1384" s="17"/>
    </row>
    <row r="1385">
      <c r="A1385" s="17"/>
      <c r="B1385" s="17"/>
      <c r="C1385" s="17"/>
      <c r="D1385" s="17"/>
      <c r="E1385" s="17"/>
      <c r="F1385" s="17"/>
      <c r="G1385" s="17"/>
      <c r="H1385" s="356"/>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c r="BA1385" s="17"/>
      <c r="BB1385" s="17"/>
      <c r="BC1385" s="17"/>
      <c r="BD1385" s="17"/>
      <c r="BE1385" s="17"/>
      <c r="BF1385" s="17"/>
      <c r="BG1385" s="17"/>
      <c r="BH1385" s="17"/>
      <c r="BI1385" s="17"/>
      <c r="BJ1385" s="17"/>
      <c r="BK1385" s="17"/>
      <c r="BL1385" s="17"/>
    </row>
    <row r="1386">
      <c r="A1386" s="17"/>
      <c r="B1386" s="17"/>
      <c r="C1386" s="17"/>
      <c r="D1386" s="17"/>
      <c r="E1386" s="17"/>
      <c r="F1386" s="17"/>
      <c r="G1386" s="17"/>
      <c r="H1386" s="356"/>
      <c r="I1386" s="17"/>
      <c r="J1386" s="17"/>
      <c r="K1386" s="17"/>
      <c r="L1386" s="17"/>
      <c r="M1386" s="17"/>
      <c r="N1386" s="17"/>
      <c r="O1386" s="17"/>
      <c r="P1386" s="17"/>
      <c r="Q1386" s="17"/>
      <c r="R1386" s="17"/>
      <c r="S1386" s="17"/>
      <c r="T1386" s="17"/>
      <c r="U1386" s="17"/>
      <c r="V1386" s="17"/>
      <c r="W1386" s="17"/>
      <c r="X1386" s="17"/>
      <c r="Y1386" s="17"/>
      <c r="Z1386" s="17"/>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c r="BA1386" s="17"/>
      <c r="BB1386" s="17"/>
      <c r="BC1386" s="17"/>
      <c r="BD1386" s="17"/>
      <c r="BE1386" s="17"/>
      <c r="BF1386" s="17"/>
      <c r="BG1386" s="17"/>
      <c r="BH1386" s="17"/>
      <c r="BI1386" s="17"/>
      <c r="BJ1386" s="17"/>
      <c r="BK1386" s="17"/>
      <c r="BL1386" s="17"/>
    </row>
    <row r="1387">
      <c r="A1387" s="17"/>
      <c r="B1387" s="17"/>
      <c r="C1387" s="17"/>
      <c r="D1387" s="17"/>
      <c r="E1387" s="17"/>
      <c r="F1387" s="17"/>
      <c r="G1387" s="17"/>
      <c r="H1387" s="356"/>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c r="BA1387" s="17"/>
      <c r="BB1387" s="17"/>
      <c r="BC1387" s="17"/>
      <c r="BD1387" s="17"/>
      <c r="BE1387" s="17"/>
      <c r="BF1387" s="17"/>
      <c r="BG1387" s="17"/>
      <c r="BH1387" s="17"/>
      <c r="BI1387" s="17"/>
      <c r="BJ1387" s="17"/>
      <c r="BK1387" s="17"/>
      <c r="BL1387" s="17"/>
    </row>
    <row r="1388">
      <c r="A1388" s="17"/>
      <c r="B1388" s="17"/>
      <c r="C1388" s="17"/>
      <c r="D1388" s="17"/>
      <c r="E1388" s="17"/>
      <c r="F1388" s="17"/>
      <c r="G1388" s="17"/>
      <c r="H1388" s="356"/>
      <c r="I1388" s="17"/>
      <c r="J1388" s="17"/>
      <c r="K1388" s="17"/>
      <c r="L1388" s="17"/>
      <c r="M1388" s="17"/>
      <c r="N1388" s="17"/>
      <c r="O1388" s="17"/>
      <c r="P1388" s="17"/>
      <c r="Q1388" s="17"/>
      <c r="R1388" s="17"/>
      <c r="S1388" s="17"/>
      <c r="T1388" s="17"/>
      <c r="U1388" s="17"/>
      <c r="V1388" s="17"/>
      <c r="W1388" s="17"/>
      <c r="X1388" s="17"/>
      <c r="Y1388" s="17"/>
      <c r="Z1388" s="17"/>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c r="BA1388" s="17"/>
      <c r="BB1388" s="17"/>
      <c r="BC1388" s="17"/>
      <c r="BD1388" s="17"/>
      <c r="BE1388" s="17"/>
      <c r="BF1388" s="17"/>
      <c r="BG1388" s="17"/>
      <c r="BH1388" s="17"/>
      <c r="BI1388" s="17"/>
      <c r="BJ1388" s="17"/>
      <c r="BK1388" s="17"/>
      <c r="BL1388" s="17"/>
    </row>
    <row r="1389">
      <c r="A1389" s="17"/>
      <c r="B1389" s="17"/>
      <c r="C1389" s="17"/>
      <c r="D1389" s="17"/>
      <c r="E1389" s="17"/>
      <c r="F1389" s="17"/>
      <c r="G1389" s="17"/>
      <c r="H1389" s="356"/>
      <c r="I1389" s="17"/>
      <c r="J1389" s="17"/>
      <c r="K1389" s="17"/>
      <c r="L1389" s="17"/>
      <c r="M1389" s="17"/>
      <c r="N1389" s="17"/>
      <c r="O1389" s="17"/>
      <c r="P1389" s="17"/>
      <c r="Q1389" s="17"/>
      <c r="R1389" s="17"/>
      <c r="S1389" s="17"/>
      <c r="T1389" s="17"/>
      <c r="U1389" s="17"/>
      <c r="V1389" s="17"/>
      <c r="W1389" s="17"/>
      <c r="X1389" s="17"/>
      <c r="Y1389" s="17"/>
      <c r="Z1389" s="17"/>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c r="BA1389" s="17"/>
      <c r="BB1389" s="17"/>
      <c r="BC1389" s="17"/>
      <c r="BD1389" s="17"/>
      <c r="BE1389" s="17"/>
      <c r="BF1389" s="17"/>
      <c r="BG1389" s="17"/>
      <c r="BH1389" s="17"/>
      <c r="BI1389" s="17"/>
      <c r="BJ1389" s="17"/>
      <c r="BK1389" s="17"/>
      <c r="BL1389" s="17"/>
    </row>
    <row r="1390">
      <c r="A1390" s="17"/>
      <c r="B1390" s="17"/>
      <c r="C1390" s="17"/>
      <c r="D1390" s="17"/>
      <c r="E1390" s="17"/>
      <c r="F1390" s="17"/>
      <c r="G1390" s="17"/>
      <c r="H1390" s="356"/>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c r="BA1390" s="17"/>
      <c r="BB1390" s="17"/>
      <c r="BC1390" s="17"/>
      <c r="BD1390" s="17"/>
      <c r="BE1390" s="17"/>
      <c r="BF1390" s="17"/>
      <c r="BG1390" s="17"/>
      <c r="BH1390" s="17"/>
      <c r="BI1390" s="17"/>
      <c r="BJ1390" s="17"/>
      <c r="BK1390" s="17"/>
      <c r="BL1390" s="17"/>
    </row>
    <row r="1391">
      <c r="A1391" s="17"/>
      <c r="B1391" s="17"/>
      <c r="C1391" s="17"/>
      <c r="D1391" s="17"/>
      <c r="E1391" s="17"/>
      <c r="F1391" s="17"/>
      <c r="G1391" s="17"/>
      <c r="H1391" s="356"/>
      <c r="I1391" s="17"/>
      <c r="J1391" s="17"/>
      <c r="K1391" s="17"/>
      <c r="L1391" s="17"/>
      <c r="M1391" s="17"/>
      <c r="N1391" s="17"/>
      <c r="O1391" s="17"/>
      <c r="P1391" s="17"/>
      <c r="Q1391" s="17"/>
      <c r="R1391" s="17"/>
      <c r="S1391" s="17"/>
      <c r="T1391" s="17"/>
      <c r="U1391" s="17"/>
      <c r="V1391" s="17"/>
      <c r="W1391" s="17"/>
      <c r="X1391" s="17"/>
      <c r="Y1391" s="17"/>
      <c r="Z1391" s="17"/>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c r="BA1391" s="17"/>
      <c r="BB1391" s="17"/>
      <c r="BC1391" s="17"/>
      <c r="BD1391" s="17"/>
      <c r="BE1391" s="17"/>
      <c r="BF1391" s="17"/>
      <c r="BG1391" s="17"/>
      <c r="BH1391" s="17"/>
      <c r="BI1391" s="17"/>
      <c r="BJ1391" s="17"/>
      <c r="BK1391" s="17"/>
      <c r="BL1391" s="17"/>
    </row>
    <row r="1392">
      <c r="A1392" s="17"/>
      <c r="B1392" s="17"/>
      <c r="C1392" s="17"/>
      <c r="D1392" s="17"/>
      <c r="E1392" s="17"/>
      <c r="F1392" s="17"/>
      <c r="G1392" s="17"/>
      <c r="H1392" s="356"/>
      <c r="I1392" s="17"/>
      <c r="J1392" s="17"/>
      <c r="K1392" s="17"/>
      <c r="L1392" s="17"/>
      <c r="M1392" s="17"/>
      <c r="N1392" s="17"/>
      <c r="O1392" s="17"/>
      <c r="P1392" s="17"/>
      <c r="Q1392" s="17"/>
      <c r="R1392" s="17"/>
      <c r="S1392" s="17"/>
      <c r="T1392" s="17"/>
      <c r="U1392" s="17"/>
      <c r="V1392" s="17"/>
      <c r="W1392" s="17"/>
      <c r="X1392" s="17"/>
      <c r="Y1392" s="17"/>
      <c r="Z1392" s="17"/>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c r="BA1392" s="17"/>
      <c r="BB1392" s="17"/>
      <c r="BC1392" s="17"/>
      <c r="BD1392" s="17"/>
      <c r="BE1392" s="17"/>
      <c r="BF1392" s="17"/>
      <c r="BG1392" s="17"/>
      <c r="BH1392" s="17"/>
      <c r="BI1392" s="17"/>
      <c r="BJ1392" s="17"/>
      <c r="BK1392" s="17"/>
      <c r="BL1392" s="17"/>
    </row>
    <row r="1393">
      <c r="A1393" s="17"/>
      <c r="B1393" s="17"/>
      <c r="C1393" s="17"/>
      <c r="D1393" s="17"/>
      <c r="E1393" s="17"/>
      <c r="F1393" s="17"/>
      <c r="G1393" s="17"/>
      <c r="H1393" s="356"/>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c r="BA1393" s="17"/>
      <c r="BB1393" s="17"/>
      <c r="BC1393" s="17"/>
      <c r="BD1393" s="17"/>
      <c r="BE1393" s="17"/>
      <c r="BF1393" s="17"/>
      <c r="BG1393" s="17"/>
      <c r="BH1393" s="17"/>
      <c r="BI1393" s="17"/>
      <c r="BJ1393" s="17"/>
      <c r="BK1393" s="17"/>
      <c r="BL1393" s="17"/>
    </row>
    <row r="1394">
      <c r="A1394" s="17"/>
      <c r="B1394" s="17"/>
      <c r="C1394" s="17"/>
      <c r="D1394" s="17"/>
      <c r="E1394" s="17"/>
      <c r="F1394" s="17"/>
      <c r="G1394" s="17"/>
      <c r="H1394" s="356"/>
      <c r="I1394" s="17"/>
      <c r="J1394" s="17"/>
      <c r="K1394" s="17"/>
      <c r="L1394" s="17"/>
      <c r="M1394" s="17"/>
      <c r="N1394" s="17"/>
      <c r="O1394" s="17"/>
      <c r="P1394" s="17"/>
      <c r="Q1394" s="17"/>
      <c r="R1394" s="17"/>
      <c r="S1394" s="17"/>
      <c r="T1394" s="17"/>
      <c r="U1394" s="17"/>
      <c r="V1394" s="17"/>
      <c r="W1394" s="17"/>
      <c r="X1394" s="17"/>
      <c r="Y1394" s="17"/>
      <c r="Z1394" s="17"/>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c r="BA1394" s="17"/>
      <c r="BB1394" s="17"/>
      <c r="BC1394" s="17"/>
      <c r="BD1394" s="17"/>
      <c r="BE1394" s="17"/>
      <c r="BF1394" s="17"/>
      <c r="BG1394" s="17"/>
      <c r="BH1394" s="17"/>
      <c r="BI1394" s="17"/>
      <c r="BJ1394" s="17"/>
      <c r="BK1394" s="17"/>
      <c r="BL1394" s="17"/>
    </row>
    <row r="1395">
      <c r="A1395" s="17"/>
      <c r="B1395" s="17"/>
      <c r="C1395" s="17"/>
      <c r="D1395" s="17"/>
      <c r="E1395" s="17"/>
      <c r="F1395" s="17"/>
      <c r="G1395" s="17"/>
      <c r="H1395" s="356"/>
      <c r="I1395" s="17"/>
      <c r="J1395" s="17"/>
      <c r="K1395" s="17"/>
      <c r="L1395" s="17"/>
      <c r="M1395" s="17"/>
      <c r="N1395" s="17"/>
      <c r="O1395" s="17"/>
      <c r="P1395" s="17"/>
      <c r="Q1395" s="17"/>
      <c r="R1395" s="17"/>
      <c r="S1395" s="17"/>
      <c r="T1395" s="17"/>
      <c r="U1395" s="17"/>
      <c r="V1395" s="17"/>
      <c r="W1395" s="17"/>
      <c r="X1395" s="17"/>
      <c r="Y1395" s="17"/>
      <c r="Z1395" s="17"/>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7"/>
      <c r="AW1395" s="17"/>
      <c r="AX1395" s="17"/>
      <c r="AY1395" s="17"/>
      <c r="AZ1395" s="17"/>
      <c r="BA1395" s="17"/>
      <c r="BB1395" s="17"/>
      <c r="BC1395" s="17"/>
      <c r="BD1395" s="17"/>
      <c r="BE1395" s="17"/>
      <c r="BF1395" s="17"/>
      <c r="BG1395" s="17"/>
      <c r="BH1395" s="17"/>
      <c r="BI1395" s="17"/>
      <c r="BJ1395" s="17"/>
      <c r="BK1395" s="17"/>
      <c r="BL1395" s="17"/>
    </row>
    <row r="1396">
      <c r="A1396" s="17"/>
      <c r="B1396" s="17"/>
      <c r="C1396" s="17"/>
      <c r="D1396" s="17"/>
      <c r="E1396" s="17"/>
      <c r="F1396" s="17"/>
      <c r="G1396" s="17"/>
      <c r="H1396" s="356"/>
      <c r="I1396" s="17"/>
      <c r="J1396" s="17"/>
      <c r="K1396" s="17"/>
      <c r="L1396" s="17"/>
      <c r="M1396" s="17"/>
      <c r="N1396" s="17"/>
      <c r="O1396" s="17"/>
      <c r="P1396" s="17"/>
      <c r="Q1396" s="17"/>
      <c r="R1396" s="17"/>
      <c r="S1396" s="17"/>
      <c r="T1396" s="17"/>
      <c r="U1396" s="17"/>
      <c r="V1396" s="17"/>
      <c r="W1396" s="17"/>
      <c r="X1396" s="17"/>
      <c r="Y1396" s="17"/>
      <c r="Z1396" s="17"/>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7"/>
      <c r="AW1396" s="17"/>
      <c r="AX1396" s="17"/>
      <c r="AY1396" s="17"/>
      <c r="AZ1396" s="17"/>
      <c r="BA1396" s="17"/>
      <c r="BB1396" s="17"/>
      <c r="BC1396" s="17"/>
      <c r="BD1396" s="17"/>
      <c r="BE1396" s="17"/>
      <c r="BF1396" s="17"/>
      <c r="BG1396" s="17"/>
      <c r="BH1396" s="17"/>
      <c r="BI1396" s="17"/>
      <c r="BJ1396" s="17"/>
      <c r="BK1396" s="17"/>
      <c r="BL1396" s="17"/>
    </row>
    <row r="1397">
      <c r="A1397" s="17"/>
      <c r="B1397" s="17"/>
      <c r="C1397" s="17"/>
      <c r="D1397" s="17"/>
      <c r="E1397" s="17"/>
      <c r="F1397" s="17"/>
      <c r="G1397" s="17"/>
      <c r="H1397" s="356"/>
      <c r="I1397" s="17"/>
      <c r="J1397" s="17"/>
      <c r="K1397" s="17"/>
      <c r="L1397" s="17"/>
      <c r="M1397" s="17"/>
      <c r="N1397" s="17"/>
      <c r="O1397" s="17"/>
      <c r="P1397" s="17"/>
      <c r="Q1397" s="17"/>
      <c r="R1397" s="17"/>
      <c r="S1397" s="17"/>
      <c r="T1397" s="17"/>
      <c r="U1397" s="17"/>
      <c r="V1397" s="17"/>
      <c r="W1397" s="17"/>
      <c r="X1397" s="17"/>
      <c r="Y1397" s="17"/>
      <c r="Z1397" s="17"/>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7"/>
      <c r="AW1397" s="17"/>
      <c r="AX1397" s="17"/>
      <c r="AY1397" s="17"/>
      <c r="AZ1397" s="17"/>
      <c r="BA1397" s="17"/>
      <c r="BB1397" s="17"/>
      <c r="BC1397" s="17"/>
      <c r="BD1397" s="17"/>
      <c r="BE1397" s="17"/>
      <c r="BF1397" s="17"/>
      <c r="BG1397" s="17"/>
      <c r="BH1397" s="17"/>
      <c r="BI1397" s="17"/>
      <c r="BJ1397" s="17"/>
      <c r="BK1397" s="17"/>
      <c r="BL1397" s="17"/>
    </row>
    <row r="1398">
      <c r="A1398" s="17"/>
      <c r="B1398" s="17"/>
      <c r="C1398" s="17"/>
      <c r="D1398" s="17"/>
      <c r="E1398" s="17"/>
      <c r="F1398" s="17"/>
      <c r="G1398" s="17"/>
      <c r="H1398" s="356"/>
      <c r="I1398" s="17"/>
      <c r="J1398" s="17"/>
      <c r="K1398" s="17"/>
      <c r="L1398" s="17"/>
      <c r="M1398" s="17"/>
      <c r="N1398" s="17"/>
      <c r="O1398" s="17"/>
      <c r="P1398" s="17"/>
      <c r="Q1398" s="17"/>
      <c r="R1398" s="17"/>
      <c r="S1398" s="17"/>
      <c r="T1398" s="17"/>
      <c r="U1398" s="17"/>
      <c r="V1398" s="17"/>
      <c r="W1398" s="17"/>
      <c r="X1398" s="17"/>
      <c r="Y1398" s="17"/>
      <c r="Z1398" s="17"/>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c r="BA1398" s="17"/>
      <c r="BB1398" s="17"/>
      <c r="BC1398" s="17"/>
      <c r="BD1398" s="17"/>
      <c r="BE1398" s="17"/>
      <c r="BF1398" s="17"/>
      <c r="BG1398" s="17"/>
      <c r="BH1398" s="17"/>
      <c r="BI1398" s="17"/>
      <c r="BJ1398" s="17"/>
      <c r="BK1398" s="17"/>
      <c r="BL1398" s="17"/>
    </row>
    <row r="1399">
      <c r="A1399" s="17"/>
      <c r="B1399" s="17"/>
      <c r="C1399" s="17"/>
      <c r="D1399" s="17"/>
      <c r="E1399" s="17"/>
      <c r="F1399" s="17"/>
      <c r="G1399" s="17"/>
      <c r="H1399" s="356"/>
      <c r="I1399" s="17"/>
      <c r="J1399" s="17"/>
      <c r="K1399" s="17"/>
      <c r="L1399" s="17"/>
      <c r="M1399" s="17"/>
      <c r="N1399" s="17"/>
      <c r="O1399" s="17"/>
      <c r="P1399" s="17"/>
      <c r="Q1399" s="17"/>
      <c r="R1399" s="17"/>
      <c r="S1399" s="17"/>
      <c r="T1399" s="17"/>
      <c r="U1399" s="17"/>
      <c r="V1399" s="17"/>
      <c r="W1399" s="17"/>
      <c r="X1399" s="17"/>
      <c r="Y1399" s="17"/>
      <c r="Z1399" s="17"/>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c r="BA1399" s="17"/>
      <c r="BB1399" s="17"/>
      <c r="BC1399" s="17"/>
      <c r="BD1399" s="17"/>
      <c r="BE1399" s="17"/>
      <c r="BF1399" s="17"/>
      <c r="BG1399" s="17"/>
      <c r="BH1399" s="17"/>
      <c r="BI1399" s="17"/>
      <c r="BJ1399" s="17"/>
      <c r="BK1399" s="17"/>
      <c r="BL1399" s="17"/>
    </row>
    <row r="1400">
      <c r="A1400" s="17"/>
      <c r="B1400" s="17"/>
      <c r="C1400" s="17"/>
      <c r="D1400" s="17"/>
      <c r="E1400" s="17"/>
      <c r="F1400" s="17"/>
      <c r="G1400" s="17"/>
      <c r="H1400" s="356"/>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c r="BA1400" s="17"/>
      <c r="BB1400" s="17"/>
      <c r="BC1400" s="17"/>
      <c r="BD1400" s="17"/>
      <c r="BE1400" s="17"/>
      <c r="BF1400" s="17"/>
      <c r="BG1400" s="17"/>
      <c r="BH1400" s="17"/>
      <c r="BI1400" s="17"/>
      <c r="BJ1400" s="17"/>
      <c r="BK1400" s="17"/>
      <c r="BL1400" s="17"/>
    </row>
    <row r="1401">
      <c r="A1401" s="17"/>
      <c r="B1401" s="17"/>
      <c r="C1401" s="17"/>
      <c r="D1401" s="17"/>
      <c r="E1401" s="17"/>
      <c r="F1401" s="17"/>
      <c r="G1401" s="17"/>
      <c r="H1401" s="356"/>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c r="BA1401" s="17"/>
      <c r="BB1401" s="17"/>
      <c r="BC1401" s="17"/>
      <c r="BD1401" s="17"/>
      <c r="BE1401" s="17"/>
      <c r="BF1401" s="17"/>
      <c r="BG1401" s="17"/>
      <c r="BH1401" s="17"/>
      <c r="BI1401" s="17"/>
      <c r="BJ1401" s="17"/>
      <c r="BK1401" s="17"/>
      <c r="BL1401" s="17"/>
    </row>
    <row r="1402">
      <c r="A1402" s="17"/>
      <c r="B1402" s="17"/>
      <c r="C1402" s="17"/>
      <c r="D1402" s="17"/>
      <c r="E1402" s="17"/>
      <c r="F1402" s="17"/>
      <c r="G1402" s="17"/>
      <c r="H1402" s="356"/>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c r="BA1402" s="17"/>
      <c r="BB1402" s="17"/>
      <c r="BC1402" s="17"/>
      <c r="BD1402" s="17"/>
      <c r="BE1402" s="17"/>
      <c r="BF1402" s="17"/>
      <c r="BG1402" s="17"/>
      <c r="BH1402" s="17"/>
      <c r="BI1402" s="17"/>
      <c r="BJ1402" s="17"/>
      <c r="BK1402" s="17"/>
      <c r="BL1402" s="17"/>
    </row>
    <row r="1403">
      <c r="A1403" s="17"/>
      <c r="B1403" s="17"/>
      <c r="C1403" s="17"/>
      <c r="D1403" s="17"/>
      <c r="E1403" s="17"/>
      <c r="F1403" s="17"/>
      <c r="G1403" s="17"/>
      <c r="H1403" s="356"/>
      <c r="I1403" s="17"/>
      <c r="J1403" s="17"/>
      <c r="K1403" s="17"/>
      <c r="L1403" s="17"/>
      <c r="M1403" s="17"/>
      <c r="N1403" s="17"/>
      <c r="O1403" s="17"/>
      <c r="P1403" s="17"/>
      <c r="Q1403" s="17"/>
      <c r="R1403" s="17"/>
      <c r="S1403" s="17"/>
      <c r="T1403" s="17"/>
      <c r="U1403" s="17"/>
      <c r="V1403" s="17"/>
      <c r="W1403" s="17"/>
      <c r="X1403" s="17"/>
      <c r="Y1403" s="17"/>
      <c r="Z1403" s="17"/>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c r="BA1403" s="17"/>
      <c r="BB1403" s="17"/>
      <c r="BC1403" s="17"/>
      <c r="BD1403" s="17"/>
      <c r="BE1403" s="17"/>
      <c r="BF1403" s="17"/>
      <c r="BG1403" s="17"/>
      <c r="BH1403" s="17"/>
      <c r="BI1403" s="17"/>
      <c r="BJ1403" s="17"/>
      <c r="BK1403" s="17"/>
      <c r="BL1403" s="17"/>
    </row>
    <row r="1404">
      <c r="A1404" s="17"/>
      <c r="B1404" s="17"/>
      <c r="C1404" s="17"/>
      <c r="D1404" s="17"/>
      <c r="E1404" s="17"/>
      <c r="F1404" s="17"/>
      <c r="G1404" s="17"/>
      <c r="H1404" s="356"/>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c r="BA1404" s="17"/>
      <c r="BB1404" s="17"/>
      <c r="BC1404" s="17"/>
      <c r="BD1404" s="17"/>
      <c r="BE1404" s="17"/>
      <c r="BF1404" s="17"/>
      <c r="BG1404" s="17"/>
      <c r="BH1404" s="17"/>
      <c r="BI1404" s="17"/>
      <c r="BJ1404" s="17"/>
      <c r="BK1404" s="17"/>
      <c r="BL1404" s="17"/>
    </row>
    <row r="1405">
      <c r="A1405" s="17"/>
      <c r="B1405" s="17"/>
      <c r="C1405" s="17"/>
      <c r="D1405" s="17"/>
      <c r="E1405" s="17"/>
      <c r="F1405" s="17"/>
      <c r="G1405" s="17"/>
      <c r="H1405" s="356"/>
      <c r="I1405" s="17"/>
      <c r="J1405" s="17"/>
      <c r="K1405" s="17"/>
      <c r="L1405" s="17"/>
      <c r="M1405" s="17"/>
      <c r="N1405" s="17"/>
      <c r="O1405" s="17"/>
      <c r="P1405" s="17"/>
      <c r="Q1405" s="17"/>
      <c r="R1405" s="17"/>
      <c r="S1405" s="17"/>
      <c r="T1405" s="17"/>
      <c r="U1405" s="17"/>
      <c r="V1405" s="17"/>
      <c r="W1405" s="17"/>
      <c r="X1405" s="17"/>
      <c r="Y1405" s="17"/>
      <c r="Z1405" s="17"/>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c r="BA1405" s="17"/>
      <c r="BB1405" s="17"/>
      <c r="BC1405" s="17"/>
      <c r="BD1405" s="17"/>
      <c r="BE1405" s="17"/>
      <c r="BF1405" s="17"/>
      <c r="BG1405" s="17"/>
      <c r="BH1405" s="17"/>
      <c r="BI1405" s="17"/>
      <c r="BJ1405" s="17"/>
      <c r="BK1405" s="17"/>
      <c r="BL1405" s="17"/>
    </row>
    <row r="1406">
      <c r="A1406" s="17"/>
      <c r="B1406" s="17"/>
      <c r="C1406" s="17"/>
      <c r="D1406" s="17"/>
      <c r="E1406" s="17"/>
      <c r="F1406" s="17"/>
      <c r="G1406" s="17"/>
      <c r="H1406" s="356"/>
      <c r="I1406" s="17"/>
      <c r="J1406" s="17"/>
      <c r="K1406" s="17"/>
      <c r="L1406" s="17"/>
      <c r="M1406" s="17"/>
      <c r="N1406" s="17"/>
      <c r="O1406" s="17"/>
      <c r="P1406" s="17"/>
      <c r="Q1406" s="17"/>
      <c r="R1406" s="17"/>
      <c r="S1406" s="17"/>
      <c r="T1406" s="17"/>
      <c r="U1406" s="17"/>
      <c r="V1406" s="17"/>
      <c r="W1406" s="17"/>
      <c r="X1406" s="17"/>
      <c r="Y1406" s="17"/>
      <c r="Z1406" s="17"/>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c r="BA1406" s="17"/>
      <c r="BB1406" s="17"/>
      <c r="BC1406" s="17"/>
      <c r="BD1406" s="17"/>
      <c r="BE1406" s="17"/>
      <c r="BF1406" s="17"/>
      <c r="BG1406" s="17"/>
      <c r="BH1406" s="17"/>
      <c r="BI1406" s="17"/>
      <c r="BJ1406" s="17"/>
      <c r="BK1406" s="17"/>
      <c r="BL1406" s="17"/>
    </row>
    <row r="1407">
      <c r="A1407" s="17"/>
      <c r="B1407" s="17"/>
      <c r="C1407" s="17"/>
      <c r="D1407" s="17"/>
      <c r="E1407" s="17"/>
      <c r="F1407" s="17"/>
      <c r="G1407" s="17"/>
      <c r="H1407" s="356"/>
      <c r="I1407" s="17"/>
      <c r="J1407" s="17"/>
      <c r="K1407" s="17"/>
      <c r="L1407" s="17"/>
      <c r="M1407" s="17"/>
      <c r="N1407" s="17"/>
      <c r="O1407" s="17"/>
      <c r="P1407" s="17"/>
      <c r="Q1407" s="17"/>
      <c r="R1407" s="17"/>
      <c r="S1407" s="17"/>
      <c r="T1407" s="17"/>
      <c r="U1407" s="17"/>
      <c r="V1407" s="17"/>
      <c r="W1407" s="17"/>
      <c r="X1407" s="17"/>
      <c r="Y1407" s="17"/>
      <c r="Z1407" s="17"/>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c r="BA1407" s="17"/>
      <c r="BB1407" s="17"/>
      <c r="BC1407" s="17"/>
      <c r="BD1407" s="17"/>
      <c r="BE1407" s="17"/>
      <c r="BF1407" s="17"/>
      <c r="BG1407" s="17"/>
      <c r="BH1407" s="17"/>
      <c r="BI1407" s="17"/>
      <c r="BJ1407" s="17"/>
      <c r="BK1407" s="17"/>
      <c r="BL1407" s="17"/>
    </row>
    <row r="1408">
      <c r="A1408" s="17"/>
      <c r="B1408" s="17"/>
      <c r="C1408" s="17"/>
      <c r="D1408" s="17"/>
      <c r="E1408" s="17"/>
      <c r="F1408" s="17"/>
      <c r="G1408" s="17"/>
      <c r="H1408" s="356"/>
      <c r="I1408" s="17"/>
      <c r="J1408" s="17"/>
      <c r="K1408" s="17"/>
      <c r="L1408" s="17"/>
      <c r="M1408" s="17"/>
      <c r="N1408" s="17"/>
      <c r="O1408" s="17"/>
      <c r="P1408" s="17"/>
      <c r="Q1408" s="17"/>
      <c r="R1408" s="17"/>
      <c r="S1408" s="17"/>
      <c r="T1408" s="17"/>
      <c r="U1408" s="17"/>
      <c r="V1408" s="17"/>
      <c r="W1408" s="17"/>
      <c r="X1408" s="17"/>
      <c r="Y1408" s="17"/>
      <c r="Z1408" s="17"/>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c r="BA1408" s="17"/>
      <c r="BB1408" s="17"/>
      <c r="BC1408" s="17"/>
      <c r="BD1408" s="17"/>
      <c r="BE1408" s="17"/>
      <c r="BF1408" s="17"/>
      <c r="BG1408" s="17"/>
      <c r="BH1408" s="17"/>
      <c r="BI1408" s="17"/>
      <c r="BJ1408" s="17"/>
      <c r="BK1408" s="17"/>
      <c r="BL1408" s="17"/>
    </row>
    <row r="1409">
      <c r="A1409" s="17"/>
      <c r="B1409" s="17"/>
      <c r="C1409" s="17"/>
      <c r="D1409" s="17"/>
      <c r="E1409" s="17"/>
      <c r="F1409" s="17"/>
      <c r="G1409" s="17"/>
      <c r="H1409" s="356"/>
      <c r="I1409" s="17"/>
      <c r="J1409" s="17"/>
      <c r="K1409" s="17"/>
      <c r="L1409" s="17"/>
      <c r="M1409" s="17"/>
      <c r="N1409" s="17"/>
      <c r="O1409" s="17"/>
      <c r="P1409" s="17"/>
      <c r="Q1409" s="17"/>
      <c r="R1409" s="17"/>
      <c r="S1409" s="17"/>
      <c r="T1409" s="17"/>
      <c r="U1409" s="17"/>
      <c r="V1409" s="17"/>
      <c r="W1409" s="17"/>
      <c r="X1409" s="17"/>
      <c r="Y1409" s="17"/>
      <c r="Z1409" s="17"/>
      <c r="AA1409" s="17"/>
      <c r="AB1409" s="17"/>
      <c r="AC1409" s="17"/>
      <c r="AD1409" s="17"/>
      <c r="AE1409" s="17"/>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c r="BA1409" s="17"/>
      <c r="BB1409" s="17"/>
      <c r="BC1409" s="17"/>
      <c r="BD1409" s="17"/>
      <c r="BE1409" s="17"/>
      <c r="BF1409" s="17"/>
      <c r="BG1409" s="17"/>
      <c r="BH1409" s="17"/>
      <c r="BI1409" s="17"/>
      <c r="BJ1409" s="17"/>
      <c r="BK1409" s="17"/>
      <c r="BL1409" s="17"/>
    </row>
    <row r="1410">
      <c r="A1410" s="17"/>
      <c r="B1410" s="17"/>
      <c r="C1410" s="17"/>
      <c r="D1410" s="17"/>
      <c r="E1410" s="17"/>
      <c r="F1410" s="17"/>
      <c r="G1410" s="17"/>
      <c r="H1410" s="356"/>
      <c r="I1410" s="17"/>
      <c r="J1410" s="17"/>
      <c r="K1410" s="17"/>
      <c r="L1410" s="17"/>
      <c r="M1410" s="17"/>
      <c r="N1410" s="17"/>
      <c r="O1410" s="17"/>
      <c r="P1410" s="17"/>
      <c r="Q1410" s="17"/>
      <c r="R1410" s="17"/>
      <c r="S1410" s="17"/>
      <c r="T1410" s="17"/>
      <c r="U1410" s="17"/>
      <c r="V1410" s="17"/>
      <c r="W1410" s="17"/>
      <c r="X1410" s="17"/>
      <c r="Y1410" s="17"/>
      <c r="Z1410" s="17"/>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c r="BA1410" s="17"/>
      <c r="BB1410" s="17"/>
      <c r="BC1410" s="17"/>
      <c r="BD1410" s="17"/>
      <c r="BE1410" s="17"/>
      <c r="BF1410" s="17"/>
      <c r="BG1410" s="17"/>
      <c r="BH1410" s="17"/>
      <c r="BI1410" s="17"/>
      <c r="BJ1410" s="17"/>
      <c r="BK1410" s="17"/>
      <c r="BL1410" s="17"/>
    </row>
    <row r="1411">
      <c r="A1411" s="17"/>
      <c r="B1411" s="17"/>
      <c r="C1411" s="17"/>
      <c r="D1411" s="17"/>
      <c r="E1411" s="17"/>
      <c r="F1411" s="17"/>
      <c r="G1411" s="17"/>
      <c r="H1411" s="356"/>
      <c r="I1411" s="17"/>
      <c r="J1411" s="17"/>
      <c r="K1411" s="17"/>
      <c r="L1411" s="17"/>
      <c r="M1411" s="17"/>
      <c r="N1411" s="17"/>
      <c r="O1411" s="17"/>
      <c r="P1411" s="17"/>
      <c r="Q1411" s="17"/>
      <c r="R1411" s="17"/>
      <c r="S1411" s="17"/>
      <c r="T1411" s="17"/>
      <c r="U1411" s="17"/>
      <c r="V1411" s="17"/>
      <c r="W1411" s="17"/>
      <c r="X1411" s="17"/>
      <c r="Y1411" s="17"/>
      <c r="Z1411" s="17"/>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c r="BA1411" s="17"/>
      <c r="BB1411" s="17"/>
      <c r="BC1411" s="17"/>
      <c r="BD1411" s="17"/>
      <c r="BE1411" s="17"/>
      <c r="BF1411" s="17"/>
      <c r="BG1411" s="17"/>
      <c r="BH1411" s="17"/>
      <c r="BI1411" s="17"/>
      <c r="BJ1411" s="17"/>
      <c r="BK1411" s="17"/>
      <c r="BL1411" s="17"/>
    </row>
    <row r="1412">
      <c r="A1412" s="17"/>
      <c r="B1412" s="17"/>
      <c r="C1412" s="17"/>
      <c r="D1412" s="17"/>
      <c r="E1412" s="17"/>
      <c r="F1412" s="17"/>
      <c r="G1412" s="17"/>
      <c r="H1412" s="356"/>
      <c r="I1412" s="17"/>
      <c r="J1412" s="17"/>
      <c r="K1412" s="17"/>
      <c r="L1412" s="17"/>
      <c r="M1412" s="17"/>
      <c r="N1412" s="17"/>
      <c r="O1412" s="17"/>
      <c r="P1412" s="17"/>
      <c r="Q1412" s="17"/>
      <c r="R1412" s="17"/>
      <c r="S1412" s="17"/>
      <c r="T1412" s="17"/>
      <c r="U1412" s="17"/>
      <c r="V1412" s="17"/>
      <c r="W1412" s="17"/>
      <c r="X1412" s="17"/>
      <c r="Y1412" s="17"/>
      <c r="Z1412" s="17"/>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c r="BA1412" s="17"/>
      <c r="BB1412" s="17"/>
      <c r="BC1412" s="17"/>
      <c r="BD1412" s="17"/>
      <c r="BE1412" s="17"/>
      <c r="BF1412" s="17"/>
      <c r="BG1412" s="17"/>
      <c r="BH1412" s="17"/>
      <c r="BI1412" s="17"/>
      <c r="BJ1412" s="17"/>
      <c r="BK1412" s="17"/>
      <c r="BL1412" s="17"/>
    </row>
    <row r="1413">
      <c r="A1413" s="17"/>
      <c r="B1413" s="17"/>
      <c r="C1413" s="17"/>
      <c r="D1413" s="17"/>
      <c r="E1413" s="17"/>
      <c r="F1413" s="17"/>
      <c r="G1413" s="17"/>
      <c r="H1413" s="356"/>
      <c r="I1413" s="17"/>
      <c r="J1413" s="17"/>
      <c r="K1413" s="17"/>
      <c r="L1413" s="17"/>
      <c r="M1413" s="17"/>
      <c r="N1413" s="17"/>
      <c r="O1413" s="17"/>
      <c r="P1413" s="17"/>
      <c r="Q1413" s="17"/>
      <c r="R1413" s="17"/>
      <c r="S1413" s="17"/>
      <c r="T1413" s="17"/>
      <c r="U1413" s="17"/>
      <c r="V1413" s="17"/>
      <c r="W1413" s="17"/>
      <c r="X1413" s="17"/>
      <c r="Y1413" s="17"/>
      <c r="Z1413" s="17"/>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c r="BA1413" s="17"/>
      <c r="BB1413" s="17"/>
      <c r="BC1413" s="17"/>
      <c r="BD1413" s="17"/>
      <c r="BE1413" s="17"/>
      <c r="BF1413" s="17"/>
      <c r="BG1413" s="17"/>
      <c r="BH1413" s="17"/>
      <c r="BI1413" s="17"/>
      <c r="BJ1413" s="17"/>
      <c r="BK1413" s="17"/>
      <c r="BL1413" s="17"/>
    </row>
    <row r="1414">
      <c r="A1414" s="17"/>
      <c r="B1414" s="17"/>
      <c r="C1414" s="17"/>
      <c r="D1414" s="17"/>
      <c r="E1414" s="17"/>
      <c r="F1414" s="17"/>
      <c r="G1414" s="17"/>
      <c r="H1414" s="356"/>
      <c r="I1414" s="17"/>
      <c r="J1414" s="17"/>
      <c r="K1414" s="17"/>
      <c r="L1414" s="17"/>
      <c r="M1414" s="17"/>
      <c r="N1414" s="17"/>
      <c r="O1414" s="17"/>
      <c r="P1414" s="17"/>
      <c r="Q1414" s="17"/>
      <c r="R1414" s="17"/>
      <c r="S1414" s="17"/>
      <c r="T1414" s="17"/>
      <c r="U1414" s="17"/>
      <c r="V1414" s="17"/>
      <c r="W1414" s="17"/>
      <c r="X1414" s="17"/>
      <c r="Y1414" s="17"/>
      <c r="Z1414" s="17"/>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c r="BA1414" s="17"/>
      <c r="BB1414" s="17"/>
      <c r="BC1414" s="17"/>
      <c r="BD1414" s="17"/>
      <c r="BE1414" s="17"/>
      <c r="BF1414" s="17"/>
      <c r="BG1414" s="17"/>
      <c r="BH1414" s="17"/>
      <c r="BI1414" s="17"/>
      <c r="BJ1414" s="17"/>
      <c r="BK1414" s="17"/>
      <c r="BL1414" s="17"/>
    </row>
    <row r="1415">
      <c r="A1415" s="17"/>
      <c r="B1415" s="17"/>
      <c r="C1415" s="17"/>
      <c r="D1415" s="17"/>
      <c r="E1415" s="17"/>
      <c r="F1415" s="17"/>
      <c r="G1415" s="17"/>
      <c r="H1415" s="356"/>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c r="BA1415" s="17"/>
      <c r="BB1415" s="17"/>
      <c r="BC1415" s="17"/>
      <c r="BD1415" s="17"/>
      <c r="BE1415" s="17"/>
      <c r="BF1415" s="17"/>
      <c r="BG1415" s="17"/>
      <c r="BH1415" s="17"/>
      <c r="BI1415" s="17"/>
      <c r="BJ1415" s="17"/>
      <c r="BK1415" s="17"/>
      <c r="BL1415" s="17"/>
    </row>
    <row r="1416">
      <c r="A1416" s="17"/>
      <c r="B1416" s="17"/>
      <c r="C1416" s="17"/>
      <c r="D1416" s="17"/>
      <c r="E1416" s="17"/>
      <c r="F1416" s="17"/>
      <c r="G1416" s="17"/>
      <c r="H1416" s="356"/>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c r="BA1416" s="17"/>
      <c r="BB1416" s="17"/>
      <c r="BC1416" s="17"/>
      <c r="BD1416" s="17"/>
      <c r="BE1416" s="17"/>
      <c r="BF1416" s="17"/>
      <c r="BG1416" s="17"/>
      <c r="BH1416" s="17"/>
      <c r="BI1416" s="17"/>
      <c r="BJ1416" s="17"/>
      <c r="BK1416" s="17"/>
      <c r="BL1416" s="17"/>
    </row>
    <row r="1417">
      <c r="A1417" s="17"/>
      <c r="B1417" s="17"/>
      <c r="C1417" s="17"/>
      <c r="D1417" s="17"/>
      <c r="E1417" s="17"/>
      <c r="F1417" s="17"/>
      <c r="G1417" s="17"/>
      <c r="H1417" s="356"/>
      <c r="I1417" s="17"/>
      <c r="J1417" s="17"/>
      <c r="K1417" s="17"/>
      <c r="L1417" s="17"/>
      <c r="M1417" s="17"/>
      <c r="N1417" s="17"/>
      <c r="O1417" s="17"/>
      <c r="P1417" s="17"/>
      <c r="Q1417" s="17"/>
      <c r="R1417" s="17"/>
      <c r="S1417" s="17"/>
      <c r="T1417" s="17"/>
      <c r="U1417" s="17"/>
      <c r="V1417" s="17"/>
      <c r="W1417" s="17"/>
      <c r="X1417" s="17"/>
      <c r="Y1417" s="17"/>
      <c r="Z1417" s="17"/>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7"/>
      <c r="AW1417" s="17"/>
      <c r="AX1417" s="17"/>
      <c r="AY1417" s="17"/>
      <c r="AZ1417" s="17"/>
      <c r="BA1417" s="17"/>
      <c r="BB1417" s="17"/>
      <c r="BC1417" s="17"/>
      <c r="BD1417" s="17"/>
      <c r="BE1417" s="17"/>
      <c r="BF1417" s="17"/>
      <c r="BG1417" s="17"/>
      <c r="BH1417" s="17"/>
      <c r="BI1417" s="17"/>
      <c r="BJ1417" s="17"/>
      <c r="BK1417" s="17"/>
      <c r="BL1417" s="17"/>
    </row>
    <row r="1418">
      <c r="A1418" s="17"/>
      <c r="B1418" s="17"/>
      <c r="C1418" s="17"/>
      <c r="D1418" s="17"/>
      <c r="E1418" s="17"/>
      <c r="F1418" s="17"/>
      <c r="G1418" s="17"/>
      <c r="H1418" s="356"/>
      <c r="I1418" s="17"/>
      <c r="J1418" s="17"/>
      <c r="K1418" s="17"/>
      <c r="L1418" s="17"/>
      <c r="M1418" s="17"/>
      <c r="N1418" s="17"/>
      <c r="O1418" s="17"/>
      <c r="P1418" s="17"/>
      <c r="Q1418" s="17"/>
      <c r="R1418" s="17"/>
      <c r="S1418" s="17"/>
      <c r="T1418" s="17"/>
      <c r="U1418" s="17"/>
      <c r="V1418" s="17"/>
      <c r="W1418" s="17"/>
      <c r="X1418" s="17"/>
      <c r="Y1418" s="17"/>
      <c r="Z1418" s="17"/>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7"/>
      <c r="AW1418" s="17"/>
      <c r="AX1418" s="17"/>
      <c r="AY1418" s="17"/>
      <c r="AZ1418" s="17"/>
      <c r="BA1418" s="17"/>
      <c r="BB1418" s="17"/>
      <c r="BC1418" s="17"/>
      <c r="BD1418" s="17"/>
      <c r="BE1418" s="17"/>
      <c r="BF1418" s="17"/>
      <c r="BG1418" s="17"/>
      <c r="BH1418" s="17"/>
      <c r="BI1418" s="17"/>
      <c r="BJ1418" s="17"/>
      <c r="BK1418" s="17"/>
      <c r="BL1418" s="17"/>
    </row>
    <row r="1419">
      <c r="A1419" s="17"/>
      <c r="B1419" s="17"/>
      <c r="C1419" s="17"/>
      <c r="D1419" s="17"/>
      <c r="E1419" s="17"/>
      <c r="F1419" s="17"/>
      <c r="G1419" s="17"/>
      <c r="H1419" s="356"/>
      <c r="I1419" s="17"/>
      <c r="J1419" s="17"/>
      <c r="K1419" s="17"/>
      <c r="L1419" s="17"/>
      <c r="M1419" s="17"/>
      <c r="N1419" s="17"/>
      <c r="O1419" s="17"/>
      <c r="P1419" s="17"/>
      <c r="Q1419" s="17"/>
      <c r="R1419" s="17"/>
      <c r="S1419" s="17"/>
      <c r="T1419" s="17"/>
      <c r="U1419" s="17"/>
      <c r="V1419" s="17"/>
      <c r="W1419" s="17"/>
      <c r="X1419" s="17"/>
      <c r="Y1419" s="17"/>
      <c r="Z1419" s="17"/>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c r="BA1419" s="17"/>
      <c r="BB1419" s="17"/>
      <c r="BC1419" s="17"/>
      <c r="BD1419" s="17"/>
      <c r="BE1419" s="17"/>
      <c r="BF1419" s="17"/>
      <c r="BG1419" s="17"/>
      <c r="BH1419" s="17"/>
      <c r="BI1419" s="17"/>
      <c r="BJ1419" s="17"/>
      <c r="BK1419" s="17"/>
      <c r="BL1419" s="17"/>
    </row>
    <row r="1420">
      <c r="A1420" s="17"/>
      <c r="B1420" s="17"/>
      <c r="C1420" s="17"/>
      <c r="D1420" s="17"/>
      <c r="E1420" s="17"/>
      <c r="F1420" s="17"/>
      <c r="G1420" s="17"/>
      <c r="H1420" s="356"/>
      <c r="I1420" s="17"/>
      <c r="J1420" s="17"/>
      <c r="K1420" s="17"/>
      <c r="L1420" s="17"/>
      <c r="M1420" s="17"/>
      <c r="N1420" s="17"/>
      <c r="O1420" s="17"/>
      <c r="P1420" s="17"/>
      <c r="Q1420" s="17"/>
      <c r="R1420" s="17"/>
      <c r="S1420" s="17"/>
      <c r="T1420" s="17"/>
      <c r="U1420" s="17"/>
      <c r="V1420" s="17"/>
      <c r="W1420" s="17"/>
      <c r="X1420" s="17"/>
      <c r="Y1420" s="17"/>
      <c r="Z1420" s="17"/>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c r="BA1420" s="17"/>
      <c r="BB1420" s="17"/>
      <c r="BC1420" s="17"/>
      <c r="BD1420" s="17"/>
      <c r="BE1420" s="17"/>
      <c r="BF1420" s="17"/>
      <c r="BG1420" s="17"/>
      <c r="BH1420" s="17"/>
      <c r="BI1420" s="17"/>
      <c r="BJ1420" s="17"/>
      <c r="BK1420" s="17"/>
      <c r="BL1420" s="17"/>
    </row>
    <row r="1421">
      <c r="A1421" s="17"/>
      <c r="B1421" s="17"/>
      <c r="C1421" s="17"/>
      <c r="D1421" s="17"/>
      <c r="E1421" s="17"/>
      <c r="F1421" s="17"/>
      <c r="G1421" s="17"/>
      <c r="H1421" s="356"/>
      <c r="I1421" s="17"/>
      <c r="J1421" s="17"/>
      <c r="K1421" s="17"/>
      <c r="L1421" s="17"/>
      <c r="M1421" s="17"/>
      <c r="N1421" s="17"/>
      <c r="O1421" s="17"/>
      <c r="P1421" s="17"/>
      <c r="Q1421" s="17"/>
      <c r="R1421" s="17"/>
      <c r="S1421" s="17"/>
      <c r="T1421" s="17"/>
      <c r="U1421" s="17"/>
      <c r="V1421" s="17"/>
      <c r="W1421" s="17"/>
      <c r="X1421" s="17"/>
      <c r="Y1421" s="17"/>
      <c r="Z1421" s="17"/>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7"/>
      <c r="AW1421" s="17"/>
      <c r="AX1421" s="17"/>
      <c r="AY1421" s="17"/>
      <c r="AZ1421" s="17"/>
      <c r="BA1421" s="17"/>
      <c r="BB1421" s="17"/>
      <c r="BC1421" s="17"/>
      <c r="BD1421" s="17"/>
      <c r="BE1421" s="17"/>
      <c r="BF1421" s="17"/>
      <c r="BG1421" s="17"/>
      <c r="BH1421" s="17"/>
      <c r="BI1421" s="17"/>
      <c r="BJ1421" s="17"/>
      <c r="BK1421" s="17"/>
      <c r="BL1421" s="17"/>
    </row>
    <row r="1422">
      <c r="A1422" s="17"/>
      <c r="B1422" s="17"/>
      <c r="C1422" s="17"/>
      <c r="D1422" s="17"/>
      <c r="E1422" s="17"/>
      <c r="F1422" s="17"/>
      <c r="G1422" s="17"/>
      <c r="H1422" s="356"/>
      <c r="I1422" s="17"/>
      <c r="J1422" s="17"/>
      <c r="K1422" s="17"/>
      <c r="L1422" s="17"/>
      <c r="M1422" s="17"/>
      <c r="N1422" s="17"/>
      <c r="O1422" s="17"/>
      <c r="P1422" s="17"/>
      <c r="Q1422" s="17"/>
      <c r="R1422" s="17"/>
      <c r="S1422" s="17"/>
      <c r="T1422" s="17"/>
      <c r="U1422" s="17"/>
      <c r="V1422" s="17"/>
      <c r="W1422" s="17"/>
      <c r="X1422" s="17"/>
      <c r="Y1422" s="17"/>
      <c r="Z1422" s="17"/>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c r="BA1422" s="17"/>
      <c r="BB1422" s="17"/>
      <c r="BC1422" s="17"/>
      <c r="BD1422" s="17"/>
      <c r="BE1422" s="17"/>
      <c r="BF1422" s="17"/>
      <c r="BG1422" s="17"/>
      <c r="BH1422" s="17"/>
      <c r="BI1422" s="17"/>
      <c r="BJ1422" s="17"/>
      <c r="BK1422" s="17"/>
      <c r="BL1422" s="17"/>
    </row>
    <row r="1423">
      <c r="A1423" s="17"/>
      <c r="B1423" s="17"/>
      <c r="C1423" s="17"/>
      <c r="D1423" s="17"/>
      <c r="E1423" s="17"/>
      <c r="F1423" s="17"/>
      <c r="G1423" s="17"/>
      <c r="H1423" s="356"/>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c r="BA1423" s="17"/>
      <c r="BB1423" s="17"/>
      <c r="BC1423" s="17"/>
      <c r="BD1423" s="17"/>
      <c r="BE1423" s="17"/>
      <c r="BF1423" s="17"/>
      <c r="BG1423" s="17"/>
      <c r="BH1423" s="17"/>
      <c r="BI1423" s="17"/>
      <c r="BJ1423" s="17"/>
      <c r="BK1423" s="17"/>
      <c r="BL1423" s="17"/>
    </row>
    <row r="1424">
      <c r="A1424" s="17"/>
      <c r="B1424" s="17"/>
      <c r="C1424" s="17"/>
      <c r="D1424" s="17"/>
      <c r="E1424" s="17"/>
      <c r="F1424" s="17"/>
      <c r="G1424" s="17"/>
      <c r="H1424" s="356"/>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c r="BA1424" s="17"/>
      <c r="BB1424" s="17"/>
      <c r="BC1424" s="17"/>
      <c r="BD1424" s="17"/>
      <c r="BE1424" s="17"/>
      <c r="BF1424" s="17"/>
      <c r="BG1424" s="17"/>
      <c r="BH1424" s="17"/>
      <c r="BI1424" s="17"/>
      <c r="BJ1424" s="17"/>
      <c r="BK1424" s="17"/>
      <c r="BL1424" s="17"/>
    </row>
    <row r="1425">
      <c r="A1425" s="17"/>
      <c r="B1425" s="17"/>
      <c r="C1425" s="17"/>
      <c r="D1425" s="17"/>
      <c r="E1425" s="17"/>
      <c r="F1425" s="17"/>
      <c r="G1425" s="17"/>
      <c r="H1425" s="356"/>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c r="BA1425" s="17"/>
      <c r="BB1425" s="17"/>
      <c r="BC1425" s="17"/>
      <c r="BD1425" s="17"/>
      <c r="BE1425" s="17"/>
      <c r="BF1425" s="17"/>
      <c r="BG1425" s="17"/>
      <c r="BH1425" s="17"/>
      <c r="BI1425" s="17"/>
      <c r="BJ1425" s="17"/>
      <c r="BK1425" s="17"/>
      <c r="BL1425" s="17"/>
    </row>
    <row r="1426">
      <c r="A1426" s="17"/>
      <c r="B1426" s="17"/>
      <c r="C1426" s="17"/>
      <c r="D1426" s="17"/>
      <c r="E1426" s="17"/>
      <c r="F1426" s="17"/>
      <c r="G1426" s="17"/>
      <c r="H1426" s="356"/>
      <c r="I1426" s="17"/>
      <c r="J1426" s="17"/>
      <c r="K1426" s="17"/>
      <c r="L1426" s="17"/>
      <c r="M1426" s="17"/>
      <c r="N1426" s="17"/>
      <c r="O1426" s="17"/>
      <c r="P1426" s="17"/>
      <c r="Q1426" s="17"/>
      <c r="R1426" s="17"/>
      <c r="S1426" s="17"/>
      <c r="T1426" s="17"/>
      <c r="U1426" s="17"/>
      <c r="V1426" s="17"/>
      <c r="W1426" s="17"/>
      <c r="X1426" s="17"/>
      <c r="Y1426" s="17"/>
      <c r="Z1426" s="17"/>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c r="BA1426" s="17"/>
      <c r="BB1426" s="17"/>
      <c r="BC1426" s="17"/>
      <c r="BD1426" s="17"/>
      <c r="BE1426" s="17"/>
      <c r="BF1426" s="17"/>
      <c r="BG1426" s="17"/>
      <c r="BH1426" s="17"/>
      <c r="BI1426" s="17"/>
      <c r="BJ1426" s="17"/>
      <c r="BK1426" s="17"/>
      <c r="BL1426" s="17"/>
    </row>
    <row r="1427">
      <c r="A1427" s="17"/>
      <c r="B1427" s="17"/>
      <c r="C1427" s="17"/>
      <c r="D1427" s="17"/>
      <c r="E1427" s="17"/>
      <c r="F1427" s="17"/>
      <c r="G1427" s="17"/>
      <c r="H1427" s="356"/>
      <c r="I1427" s="17"/>
      <c r="J1427" s="17"/>
      <c r="K1427" s="17"/>
      <c r="L1427" s="17"/>
      <c r="M1427" s="17"/>
      <c r="N1427" s="17"/>
      <c r="O1427" s="17"/>
      <c r="P1427" s="17"/>
      <c r="Q1427" s="17"/>
      <c r="R1427" s="17"/>
      <c r="S1427" s="17"/>
      <c r="T1427" s="17"/>
      <c r="U1427" s="17"/>
      <c r="V1427" s="17"/>
      <c r="W1427" s="17"/>
      <c r="X1427" s="17"/>
      <c r="Y1427" s="17"/>
      <c r="Z1427" s="17"/>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c r="BA1427" s="17"/>
      <c r="BB1427" s="17"/>
      <c r="BC1427" s="17"/>
      <c r="BD1427" s="17"/>
      <c r="BE1427" s="17"/>
      <c r="BF1427" s="17"/>
      <c r="BG1427" s="17"/>
      <c r="BH1427" s="17"/>
      <c r="BI1427" s="17"/>
      <c r="BJ1427" s="17"/>
      <c r="BK1427" s="17"/>
      <c r="BL1427" s="17"/>
    </row>
    <row r="1428">
      <c r="A1428" s="17"/>
      <c r="B1428" s="17"/>
      <c r="C1428" s="17"/>
      <c r="D1428" s="17"/>
      <c r="E1428" s="17"/>
      <c r="F1428" s="17"/>
      <c r="G1428" s="17"/>
      <c r="H1428" s="356"/>
      <c r="I1428" s="17"/>
      <c r="J1428" s="17"/>
      <c r="K1428" s="17"/>
      <c r="L1428" s="17"/>
      <c r="M1428" s="17"/>
      <c r="N1428" s="17"/>
      <c r="O1428" s="17"/>
      <c r="P1428" s="17"/>
      <c r="Q1428" s="17"/>
      <c r="R1428" s="17"/>
      <c r="S1428" s="17"/>
      <c r="T1428" s="17"/>
      <c r="U1428" s="17"/>
      <c r="V1428" s="17"/>
      <c r="W1428" s="17"/>
      <c r="X1428" s="17"/>
      <c r="Y1428" s="17"/>
      <c r="Z1428" s="17"/>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c r="BA1428" s="17"/>
      <c r="BB1428" s="17"/>
      <c r="BC1428" s="17"/>
      <c r="BD1428" s="17"/>
      <c r="BE1428" s="17"/>
      <c r="BF1428" s="17"/>
      <c r="BG1428" s="17"/>
      <c r="BH1428" s="17"/>
      <c r="BI1428" s="17"/>
      <c r="BJ1428" s="17"/>
      <c r="BK1428" s="17"/>
      <c r="BL1428" s="17"/>
    </row>
    <row r="1429">
      <c r="A1429" s="17"/>
      <c r="B1429" s="17"/>
      <c r="C1429" s="17"/>
      <c r="D1429" s="17"/>
      <c r="E1429" s="17"/>
      <c r="F1429" s="17"/>
      <c r="G1429" s="17"/>
      <c r="H1429" s="356"/>
      <c r="I1429" s="17"/>
      <c r="J1429" s="17"/>
      <c r="K1429" s="17"/>
      <c r="L1429" s="17"/>
      <c r="M1429" s="17"/>
      <c r="N1429" s="17"/>
      <c r="O1429" s="17"/>
      <c r="P1429" s="17"/>
      <c r="Q1429" s="17"/>
      <c r="R1429" s="17"/>
      <c r="S1429" s="17"/>
      <c r="T1429" s="17"/>
      <c r="U1429" s="17"/>
      <c r="V1429" s="17"/>
      <c r="W1429" s="17"/>
      <c r="X1429" s="17"/>
      <c r="Y1429" s="17"/>
      <c r="Z1429" s="17"/>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c r="AV1429" s="17"/>
      <c r="AW1429" s="17"/>
      <c r="AX1429" s="17"/>
      <c r="AY1429" s="17"/>
      <c r="AZ1429" s="17"/>
      <c r="BA1429" s="17"/>
      <c r="BB1429" s="17"/>
      <c r="BC1429" s="17"/>
      <c r="BD1429" s="17"/>
      <c r="BE1429" s="17"/>
      <c r="BF1429" s="17"/>
      <c r="BG1429" s="17"/>
      <c r="BH1429" s="17"/>
      <c r="BI1429" s="17"/>
      <c r="BJ1429" s="17"/>
      <c r="BK1429" s="17"/>
      <c r="BL1429" s="17"/>
    </row>
    <row r="1430">
      <c r="A1430" s="17"/>
      <c r="B1430" s="17"/>
      <c r="C1430" s="17"/>
      <c r="D1430" s="17"/>
      <c r="E1430" s="17"/>
      <c r="F1430" s="17"/>
      <c r="G1430" s="17"/>
      <c r="H1430" s="356"/>
      <c r="I1430" s="17"/>
      <c r="J1430" s="17"/>
      <c r="K1430" s="17"/>
      <c r="L1430" s="17"/>
      <c r="M1430" s="17"/>
      <c r="N1430" s="17"/>
      <c r="O1430" s="17"/>
      <c r="P1430" s="17"/>
      <c r="Q1430" s="17"/>
      <c r="R1430" s="17"/>
      <c r="S1430" s="17"/>
      <c r="T1430" s="17"/>
      <c r="U1430" s="17"/>
      <c r="V1430" s="17"/>
      <c r="W1430" s="17"/>
      <c r="X1430" s="17"/>
      <c r="Y1430" s="17"/>
      <c r="Z1430" s="17"/>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c r="BA1430" s="17"/>
      <c r="BB1430" s="17"/>
      <c r="BC1430" s="17"/>
      <c r="BD1430" s="17"/>
      <c r="BE1430" s="17"/>
      <c r="BF1430" s="17"/>
      <c r="BG1430" s="17"/>
      <c r="BH1430" s="17"/>
      <c r="BI1430" s="17"/>
      <c r="BJ1430" s="17"/>
      <c r="BK1430" s="17"/>
      <c r="BL1430" s="17"/>
    </row>
    <row r="1431">
      <c r="A1431" s="17"/>
      <c r="B1431" s="17"/>
      <c r="C1431" s="17"/>
      <c r="D1431" s="17"/>
      <c r="E1431" s="17"/>
      <c r="F1431" s="17"/>
      <c r="G1431" s="17"/>
      <c r="H1431" s="356"/>
      <c r="I1431" s="17"/>
      <c r="J1431" s="17"/>
      <c r="K1431" s="17"/>
      <c r="L1431" s="17"/>
      <c r="M1431" s="17"/>
      <c r="N1431" s="17"/>
      <c r="O1431" s="17"/>
      <c r="P1431" s="17"/>
      <c r="Q1431" s="17"/>
      <c r="R1431" s="17"/>
      <c r="S1431" s="17"/>
      <c r="T1431" s="17"/>
      <c r="U1431" s="17"/>
      <c r="V1431" s="17"/>
      <c r="W1431" s="17"/>
      <c r="X1431" s="17"/>
      <c r="Y1431" s="17"/>
      <c r="Z1431" s="17"/>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c r="BA1431" s="17"/>
      <c r="BB1431" s="17"/>
      <c r="BC1431" s="17"/>
      <c r="BD1431" s="17"/>
      <c r="BE1431" s="17"/>
      <c r="BF1431" s="17"/>
      <c r="BG1431" s="17"/>
      <c r="BH1431" s="17"/>
      <c r="BI1431" s="17"/>
      <c r="BJ1431" s="17"/>
      <c r="BK1431" s="17"/>
      <c r="BL1431" s="17"/>
    </row>
    <row r="1432">
      <c r="A1432" s="17"/>
      <c r="B1432" s="17"/>
      <c r="C1432" s="17"/>
      <c r="D1432" s="17"/>
      <c r="E1432" s="17"/>
      <c r="F1432" s="17"/>
      <c r="G1432" s="17"/>
      <c r="H1432" s="356"/>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c r="BA1432" s="17"/>
      <c r="BB1432" s="17"/>
      <c r="BC1432" s="17"/>
      <c r="BD1432" s="17"/>
      <c r="BE1432" s="17"/>
      <c r="BF1432" s="17"/>
      <c r="BG1432" s="17"/>
      <c r="BH1432" s="17"/>
      <c r="BI1432" s="17"/>
      <c r="BJ1432" s="17"/>
      <c r="BK1432" s="17"/>
      <c r="BL1432" s="17"/>
    </row>
    <row r="1433">
      <c r="A1433" s="17"/>
      <c r="B1433" s="17"/>
      <c r="C1433" s="17"/>
      <c r="D1433" s="17"/>
      <c r="E1433" s="17"/>
      <c r="F1433" s="17"/>
      <c r="G1433" s="17"/>
      <c r="H1433" s="356"/>
      <c r="I1433" s="17"/>
      <c r="J1433" s="17"/>
      <c r="K1433" s="17"/>
      <c r="L1433" s="17"/>
      <c r="M1433" s="17"/>
      <c r="N1433" s="17"/>
      <c r="O1433" s="17"/>
      <c r="P1433" s="17"/>
      <c r="Q1433" s="17"/>
      <c r="R1433" s="17"/>
      <c r="S1433" s="17"/>
      <c r="T1433" s="17"/>
      <c r="U1433" s="17"/>
      <c r="V1433" s="17"/>
      <c r="W1433" s="17"/>
      <c r="X1433" s="17"/>
      <c r="Y1433" s="17"/>
      <c r="Z1433" s="17"/>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c r="BA1433" s="17"/>
      <c r="BB1433" s="17"/>
      <c r="BC1433" s="17"/>
      <c r="BD1433" s="17"/>
      <c r="BE1433" s="17"/>
      <c r="BF1433" s="17"/>
      <c r="BG1433" s="17"/>
      <c r="BH1433" s="17"/>
      <c r="BI1433" s="17"/>
      <c r="BJ1433" s="17"/>
      <c r="BK1433" s="17"/>
      <c r="BL1433" s="17"/>
    </row>
    <row r="1434">
      <c r="A1434" s="17"/>
      <c r="B1434" s="17"/>
      <c r="C1434" s="17"/>
      <c r="D1434" s="17"/>
      <c r="E1434" s="17"/>
      <c r="F1434" s="17"/>
      <c r="G1434" s="17"/>
      <c r="H1434" s="356"/>
      <c r="I1434" s="17"/>
      <c r="J1434" s="17"/>
      <c r="K1434" s="17"/>
      <c r="L1434" s="17"/>
      <c r="M1434" s="17"/>
      <c r="N1434" s="17"/>
      <c r="O1434" s="17"/>
      <c r="P1434" s="17"/>
      <c r="Q1434" s="17"/>
      <c r="R1434" s="17"/>
      <c r="S1434" s="17"/>
      <c r="T1434" s="17"/>
      <c r="U1434" s="17"/>
      <c r="V1434" s="17"/>
      <c r="W1434" s="17"/>
      <c r="X1434" s="17"/>
      <c r="Y1434" s="17"/>
      <c r="Z1434" s="17"/>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c r="BA1434" s="17"/>
      <c r="BB1434" s="17"/>
      <c r="BC1434" s="17"/>
      <c r="BD1434" s="17"/>
      <c r="BE1434" s="17"/>
      <c r="BF1434" s="17"/>
      <c r="BG1434" s="17"/>
      <c r="BH1434" s="17"/>
      <c r="BI1434" s="17"/>
      <c r="BJ1434" s="17"/>
      <c r="BK1434" s="17"/>
      <c r="BL1434" s="17"/>
    </row>
    <row r="1435">
      <c r="A1435" s="17"/>
      <c r="B1435" s="17"/>
      <c r="C1435" s="17"/>
      <c r="D1435" s="17"/>
      <c r="E1435" s="17"/>
      <c r="F1435" s="17"/>
      <c r="G1435" s="17"/>
      <c r="H1435" s="356"/>
      <c r="I1435" s="17"/>
      <c r="J1435" s="17"/>
      <c r="K1435" s="17"/>
      <c r="L1435" s="17"/>
      <c r="M1435" s="17"/>
      <c r="N1435" s="17"/>
      <c r="O1435" s="17"/>
      <c r="P1435" s="17"/>
      <c r="Q1435" s="17"/>
      <c r="R1435" s="17"/>
      <c r="S1435" s="17"/>
      <c r="T1435" s="17"/>
      <c r="U1435" s="17"/>
      <c r="V1435" s="17"/>
      <c r="W1435" s="17"/>
      <c r="X1435" s="17"/>
      <c r="Y1435" s="17"/>
      <c r="Z1435" s="17"/>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c r="BA1435" s="17"/>
      <c r="BB1435" s="17"/>
      <c r="BC1435" s="17"/>
      <c r="BD1435" s="17"/>
      <c r="BE1435" s="17"/>
      <c r="BF1435" s="17"/>
      <c r="BG1435" s="17"/>
      <c r="BH1435" s="17"/>
      <c r="BI1435" s="17"/>
      <c r="BJ1435" s="17"/>
      <c r="BK1435" s="17"/>
      <c r="BL1435" s="17"/>
    </row>
    <row r="1436">
      <c r="A1436" s="17"/>
      <c r="B1436" s="17"/>
      <c r="C1436" s="17"/>
      <c r="D1436" s="17"/>
      <c r="E1436" s="17"/>
      <c r="F1436" s="17"/>
      <c r="G1436" s="17"/>
      <c r="H1436" s="356"/>
      <c r="I1436" s="17"/>
      <c r="J1436" s="17"/>
      <c r="K1436" s="17"/>
      <c r="L1436" s="17"/>
      <c r="M1436" s="17"/>
      <c r="N1436" s="17"/>
      <c r="O1436" s="17"/>
      <c r="P1436" s="17"/>
      <c r="Q1436" s="17"/>
      <c r="R1436" s="17"/>
      <c r="S1436" s="17"/>
      <c r="T1436" s="17"/>
      <c r="U1436" s="17"/>
      <c r="V1436" s="17"/>
      <c r="W1436" s="17"/>
      <c r="X1436" s="17"/>
      <c r="Y1436" s="17"/>
      <c r="Z1436" s="17"/>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c r="BA1436" s="17"/>
      <c r="BB1436" s="17"/>
      <c r="BC1436" s="17"/>
      <c r="BD1436" s="17"/>
      <c r="BE1436" s="17"/>
      <c r="BF1436" s="17"/>
      <c r="BG1436" s="17"/>
      <c r="BH1436" s="17"/>
      <c r="BI1436" s="17"/>
      <c r="BJ1436" s="17"/>
      <c r="BK1436" s="17"/>
      <c r="BL1436" s="17"/>
    </row>
    <row r="1437">
      <c r="A1437" s="17"/>
      <c r="B1437" s="17"/>
      <c r="C1437" s="17"/>
      <c r="D1437" s="17"/>
      <c r="E1437" s="17"/>
      <c r="F1437" s="17"/>
      <c r="G1437" s="17"/>
      <c r="H1437" s="356"/>
      <c r="I1437" s="17"/>
      <c r="J1437" s="17"/>
      <c r="K1437" s="17"/>
      <c r="L1437" s="17"/>
      <c r="M1437" s="17"/>
      <c r="N1437" s="17"/>
      <c r="O1437" s="17"/>
      <c r="P1437" s="17"/>
      <c r="Q1437" s="17"/>
      <c r="R1437" s="17"/>
      <c r="S1437" s="17"/>
      <c r="T1437" s="17"/>
      <c r="U1437" s="17"/>
      <c r="V1437" s="17"/>
      <c r="W1437" s="17"/>
      <c r="X1437" s="17"/>
      <c r="Y1437" s="17"/>
      <c r="Z1437" s="17"/>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c r="BA1437" s="17"/>
      <c r="BB1437" s="17"/>
      <c r="BC1437" s="17"/>
      <c r="BD1437" s="17"/>
      <c r="BE1437" s="17"/>
      <c r="BF1437" s="17"/>
      <c r="BG1437" s="17"/>
      <c r="BH1437" s="17"/>
      <c r="BI1437" s="17"/>
      <c r="BJ1437" s="17"/>
      <c r="BK1437" s="17"/>
      <c r="BL1437" s="17"/>
    </row>
    <row r="1438">
      <c r="A1438" s="17"/>
      <c r="B1438" s="17"/>
      <c r="C1438" s="17"/>
      <c r="D1438" s="17"/>
      <c r="E1438" s="17"/>
      <c r="F1438" s="17"/>
      <c r="G1438" s="17"/>
      <c r="H1438" s="356"/>
      <c r="I1438" s="17"/>
      <c r="J1438" s="17"/>
      <c r="K1438" s="17"/>
      <c r="L1438" s="17"/>
      <c r="M1438" s="17"/>
      <c r="N1438" s="17"/>
      <c r="O1438" s="17"/>
      <c r="P1438" s="17"/>
      <c r="Q1438" s="17"/>
      <c r="R1438" s="17"/>
      <c r="S1438" s="17"/>
      <c r="T1438" s="17"/>
      <c r="U1438" s="17"/>
      <c r="V1438" s="17"/>
      <c r="W1438" s="17"/>
      <c r="X1438" s="17"/>
      <c r="Y1438" s="17"/>
      <c r="Z1438" s="17"/>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c r="BA1438" s="17"/>
      <c r="BB1438" s="17"/>
      <c r="BC1438" s="17"/>
      <c r="BD1438" s="17"/>
      <c r="BE1438" s="17"/>
      <c r="BF1438" s="17"/>
      <c r="BG1438" s="17"/>
      <c r="BH1438" s="17"/>
      <c r="BI1438" s="17"/>
      <c r="BJ1438" s="17"/>
      <c r="BK1438" s="17"/>
      <c r="BL1438" s="17"/>
    </row>
    <row r="1439">
      <c r="A1439" s="17"/>
      <c r="B1439" s="17"/>
      <c r="C1439" s="17"/>
      <c r="D1439" s="17"/>
      <c r="E1439" s="17"/>
      <c r="F1439" s="17"/>
      <c r="G1439" s="17"/>
      <c r="H1439" s="356"/>
      <c r="I1439" s="17"/>
      <c r="J1439" s="17"/>
      <c r="K1439" s="17"/>
      <c r="L1439" s="17"/>
      <c r="M1439" s="17"/>
      <c r="N1439" s="17"/>
      <c r="O1439" s="17"/>
      <c r="P1439" s="17"/>
      <c r="Q1439" s="17"/>
      <c r="R1439" s="17"/>
      <c r="S1439" s="17"/>
      <c r="T1439" s="17"/>
      <c r="U1439" s="17"/>
      <c r="V1439" s="17"/>
      <c r="W1439" s="17"/>
      <c r="X1439" s="17"/>
      <c r="Y1439" s="17"/>
      <c r="Z1439" s="17"/>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c r="BA1439" s="17"/>
      <c r="BB1439" s="17"/>
      <c r="BC1439" s="17"/>
      <c r="BD1439" s="17"/>
      <c r="BE1439" s="17"/>
      <c r="BF1439" s="17"/>
      <c r="BG1439" s="17"/>
      <c r="BH1439" s="17"/>
      <c r="BI1439" s="17"/>
      <c r="BJ1439" s="17"/>
      <c r="BK1439" s="17"/>
      <c r="BL1439" s="17"/>
    </row>
    <row r="1440">
      <c r="A1440" s="17"/>
      <c r="B1440" s="17"/>
      <c r="C1440" s="17"/>
      <c r="D1440" s="17"/>
      <c r="E1440" s="17"/>
      <c r="F1440" s="17"/>
      <c r="G1440" s="17"/>
      <c r="H1440" s="356"/>
      <c r="I1440" s="17"/>
      <c r="J1440" s="17"/>
      <c r="K1440" s="17"/>
      <c r="L1440" s="17"/>
      <c r="M1440" s="17"/>
      <c r="N1440" s="17"/>
      <c r="O1440" s="17"/>
      <c r="P1440" s="17"/>
      <c r="Q1440" s="17"/>
      <c r="R1440" s="17"/>
      <c r="S1440" s="17"/>
      <c r="T1440" s="17"/>
      <c r="U1440" s="17"/>
      <c r="V1440" s="17"/>
      <c r="W1440" s="17"/>
      <c r="X1440" s="17"/>
      <c r="Y1440" s="17"/>
      <c r="Z1440" s="17"/>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c r="BA1440" s="17"/>
      <c r="BB1440" s="17"/>
      <c r="BC1440" s="17"/>
      <c r="BD1440" s="17"/>
      <c r="BE1440" s="17"/>
      <c r="BF1440" s="17"/>
      <c r="BG1440" s="17"/>
      <c r="BH1440" s="17"/>
      <c r="BI1440" s="17"/>
      <c r="BJ1440" s="17"/>
      <c r="BK1440" s="17"/>
      <c r="BL1440" s="17"/>
    </row>
    <row r="1441">
      <c r="A1441" s="17"/>
      <c r="B1441" s="17"/>
      <c r="C1441" s="17"/>
      <c r="D1441" s="17"/>
      <c r="E1441" s="17"/>
      <c r="F1441" s="17"/>
      <c r="G1441" s="17"/>
      <c r="H1441" s="356"/>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c r="BA1441" s="17"/>
      <c r="BB1441" s="17"/>
      <c r="BC1441" s="17"/>
      <c r="BD1441" s="17"/>
      <c r="BE1441" s="17"/>
      <c r="BF1441" s="17"/>
      <c r="BG1441" s="17"/>
      <c r="BH1441" s="17"/>
      <c r="BI1441" s="17"/>
      <c r="BJ1441" s="17"/>
      <c r="BK1441" s="17"/>
      <c r="BL1441" s="17"/>
    </row>
    <row r="1442">
      <c r="A1442" s="17"/>
      <c r="B1442" s="17"/>
      <c r="C1442" s="17"/>
      <c r="D1442" s="17"/>
      <c r="E1442" s="17"/>
      <c r="F1442" s="17"/>
      <c r="G1442" s="17"/>
      <c r="H1442" s="356"/>
      <c r="I1442" s="17"/>
      <c r="J1442" s="17"/>
      <c r="K1442" s="17"/>
      <c r="L1442" s="17"/>
      <c r="M1442" s="17"/>
      <c r="N1442" s="17"/>
      <c r="O1442" s="17"/>
      <c r="P1442" s="17"/>
      <c r="Q1442" s="17"/>
      <c r="R1442" s="17"/>
      <c r="S1442" s="17"/>
      <c r="T1442" s="17"/>
      <c r="U1442" s="17"/>
      <c r="V1442" s="17"/>
      <c r="W1442" s="17"/>
      <c r="X1442" s="17"/>
      <c r="Y1442" s="17"/>
      <c r="Z1442" s="17"/>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c r="AV1442" s="17"/>
      <c r="AW1442" s="17"/>
      <c r="AX1442" s="17"/>
      <c r="AY1442" s="17"/>
      <c r="AZ1442" s="17"/>
      <c r="BA1442" s="17"/>
      <c r="BB1442" s="17"/>
      <c r="BC1442" s="17"/>
      <c r="BD1442" s="17"/>
      <c r="BE1442" s="17"/>
      <c r="BF1442" s="17"/>
      <c r="BG1442" s="17"/>
      <c r="BH1442" s="17"/>
      <c r="BI1442" s="17"/>
      <c r="BJ1442" s="17"/>
      <c r="BK1442" s="17"/>
      <c r="BL1442" s="17"/>
    </row>
    <row r="1443">
      <c r="A1443" s="17"/>
      <c r="B1443" s="17"/>
      <c r="C1443" s="17"/>
      <c r="D1443" s="17"/>
      <c r="E1443" s="17"/>
      <c r="F1443" s="17"/>
      <c r="G1443" s="17"/>
      <c r="H1443" s="356"/>
      <c r="I1443" s="17"/>
      <c r="J1443" s="17"/>
      <c r="K1443" s="17"/>
      <c r="L1443" s="17"/>
      <c r="M1443" s="17"/>
      <c r="N1443" s="17"/>
      <c r="O1443" s="17"/>
      <c r="P1443" s="17"/>
      <c r="Q1443" s="17"/>
      <c r="R1443" s="17"/>
      <c r="S1443" s="17"/>
      <c r="T1443" s="17"/>
      <c r="U1443" s="17"/>
      <c r="V1443" s="17"/>
      <c r="W1443" s="17"/>
      <c r="X1443" s="17"/>
      <c r="Y1443" s="17"/>
      <c r="Z1443" s="17"/>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7"/>
      <c r="AW1443" s="17"/>
      <c r="AX1443" s="17"/>
      <c r="AY1443" s="17"/>
      <c r="AZ1443" s="17"/>
      <c r="BA1443" s="17"/>
      <c r="BB1443" s="17"/>
      <c r="BC1443" s="17"/>
      <c r="BD1443" s="17"/>
      <c r="BE1443" s="17"/>
      <c r="BF1443" s="17"/>
      <c r="BG1443" s="17"/>
      <c r="BH1443" s="17"/>
      <c r="BI1443" s="17"/>
      <c r="BJ1443" s="17"/>
      <c r="BK1443" s="17"/>
      <c r="BL1443" s="17"/>
    </row>
    <row r="1444">
      <c r="A1444" s="17"/>
      <c r="B1444" s="17"/>
      <c r="C1444" s="17"/>
      <c r="D1444" s="17"/>
      <c r="E1444" s="17"/>
      <c r="F1444" s="17"/>
      <c r="G1444" s="17"/>
      <c r="H1444" s="356"/>
      <c r="I1444" s="17"/>
      <c r="J1444" s="17"/>
      <c r="K1444" s="17"/>
      <c r="L1444" s="17"/>
      <c r="M1444" s="17"/>
      <c r="N1444" s="17"/>
      <c r="O1444" s="17"/>
      <c r="P1444" s="17"/>
      <c r="Q1444" s="17"/>
      <c r="R1444" s="17"/>
      <c r="S1444" s="17"/>
      <c r="T1444" s="17"/>
      <c r="U1444" s="17"/>
      <c r="V1444" s="17"/>
      <c r="W1444" s="17"/>
      <c r="X1444" s="17"/>
      <c r="Y1444" s="17"/>
      <c r="Z1444" s="17"/>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c r="BA1444" s="17"/>
      <c r="BB1444" s="17"/>
      <c r="BC1444" s="17"/>
      <c r="BD1444" s="17"/>
      <c r="BE1444" s="17"/>
      <c r="BF1444" s="17"/>
      <c r="BG1444" s="17"/>
      <c r="BH1444" s="17"/>
      <c r="BI1444" s="17"/>
      <c r="BJ1444" s="17"/>
      <c r="BK1444" s="17"/>
      <c r="BL1444" s="17"/>
    </row>
    <row r="1445">
      <c r="A1445" s="17"/>
      <c r="B1445" s="17"/>
      <c r="C1445" s="17"/>
      <c r="D1445" s="17"/>
      <c r="E1445" s="17"/>
      <c r="F1445" s="17"/>
      <c r="G1445" s="17"/>
      <c r="H1445" s="356"/>
      <c r="I1445" s="17"/>
      <c r="J1445" s="17"/>
      <c r="K1445" s="17"/>
      <c r="L1445" s="17"/>
      <c r="M1445" s="17"/>
      <c r="N1445" s="17"/>
      <c r="O1445" s="17"/>
      <c r="P1445" s="17"/>
      <c r="Q1445" s="17"/>
      <c r="R1445" s="17"/>
      <c r="S1445" s="17"/>
      <c r="T1445" s="17"/>
      <c r="U1445" s="17"/>
      <c r="V1445" s="17"/>
      <c r="W1445" s="17"/>
      <c r="X1445" s="17"/>
      <c r="Y1445" s="17"/>
      <c r="Z1445" s="17"/>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c r="BA1445" s="17"/>
      <c r="BB1445" s="17"/>
      <c r="BC1445" s="17"/>
      <c r="BD1445" s="17"/>
      <c r="BE1445" s="17"/>
      <c r="BF1445" s="17"/>
      <c r="BG1445" s="17"/>
      <c r="BH1445" s="17"/>
      <c r="BI1445" s="17"/>
      <c r="BJ1445" s="17"/>
      <c r="BK1445" s="17"/>
      <c r="BL1445" s="17"/>
    </row>
    <row r="1446">
      <c r="A1446" s="17"/>
      <c r="B1446" s="17"/>
      <c r="C1446" s="17"/>
      <c r="D1446" s="17"/>
      <c r="E1446" s="17"/>
      <c r="F1446" s="17"/>
      <c r="G1446" s="17"/>
      <c r="H1446" s="356"/>
      <c r="I1446" s="17"/>
      <c r="J1446" s="17"/>
      <c r="K1446" s="17"/>
      <c r="L1446" s="17"/>
      <c r="M1446" s="17"/>
      <c r="N1446" s="17"/>
      <c r="O1446" s="17"/>
      <c r="P1446" s="17"/>
      <c r="Q1446" s="17"/>
      <c r="R1446" s="17"/>
      <c r="S1446" s="17"/>
      <c r="T1446" s="17"/>
      <c r="U1446" s="17"/>
      <c r="V1446" s="17"/>
      <c r="W1446" s="17"/>
      <c r="X1446" s="17"/>
      <c r="Y1446" s="17"/>
      <c r="Z1446" s="17"/>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c r="BA1446" s="17"/>
      <c r="BB1446" s="17"/>
      <c r="BC1446" s="17"/>
      <c r="BD1446" s="17"/>
      <c r="BE1446" s="17"/>
      <c r="BF1446" s="17"/>
      <c r="BG1446" s="17"/>
      <c r="BH1446" s="17"/>
      <c r="BI1446" s="17"/>
      <c r="BJ1446" s="17"/>
      <c r="BK1446" s="17"/>
      <c r="BL1446" s="17"/>
    </row>
    <row r="1447">
      <c r="A1447" s="17"/>
      <c r="B1447" s="17"/>
      <c r="C1447" s="17"/>
      <c r="D1447" s="17"/>
      <c r="E1447" s="17"/>
      <c r="F1447" s="17"/>
      <c r="G1447" s="17"/>
      <c r="H1447" s="356"/>
      <c r="I1447" s="17"/>
      <c r="J1447" s="17"/>
      <c r="K1447" s="17"/>
      <c r="L1447" s="17"/>
      <c r="M1447" s="17"/>
      <c r="N1447" s="17"/>
      <c r="O1447" s="17"/>
      <c r="P1447" s="17"/>
      <c r="Q1447" s="17"/>
      <c r="R1447" s="17"/>
      <c r="S1447" s="17"/>
      <c r="T1447" s="17"/>
      <c r="U1447" s="17"/>
      <c r="V1447" s="17"/>
      <c r="W1447" s="17"/>
      <c r="X1447" s="17"/>
      <c r="Y1447" s="17"/>
      <c r="Z1447" s="17"/>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c r="BA1447" s="17"/>
      <c r="BB1447" s="17"/>
      <c r="BC1447" s="17"/>
      <c r="BD1447" s="17"/>
      <c r="BE1447" s="17"/>
      <c r="BF1447" s="17"/>
      <c r="BG1447" s="17"/>
      <c r="BH1447" s="17"/>
      <c r="BI1447" s="17"/>
      <c r="BJ1447" s="17"/>
      <c r="BK1447" s="17"/>
      <c r="BL1447" s="17"/>
    </row>
    <row r="1448">
      <c r="A1448" s="17"/>
      <c r="B1448" s="17"/>
      <c r="C1448" s="17"/>
      <c r="D1448" s="17"/>
      <c r="E1448" s="17"/>
      <c r="F1448" s="17"/>
      <c r="G1448" s="17"/>
      <c r="H1448" s="356"/>
      <c r="I1448" s="17"/>
      <c r="J1448" s="17"/>
      <c r="K1448" s="17"/>
      <c r="L1448" s="17"/>
      <c r="M1448" s="17"/>
      <c r="N1448" s="17"/>
      <c r="O1448" s="17"/>
      <c r="P1448" s="17"/>
      <c r="Q1448" s="17"/>
      <c r="R1448" s="17"/>
      <c r="S1448" s="17"/>
      <c r="T1448" s="17"/>
      <c r="U1448" s="17"/>
      <c r="V1448" s="17"/>
      <c r="W1448" s="17"/>
      <c r="X1448" s="17"/>
      <c r="Y1448" s="17"/>
      <c r="Z1448" s="17"/>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c r="BA1448" s="17"/>
      <c r="BB1448" s="17"/>
      <c r="BC1448" s="17"/>
      <c r="BD1448" s="17"/>
      <c r="BE1448" s="17"/>
      <c r="BF1448" s="17"/>
      <c r="BG1448" s="17"/>
      <c r="BH1448" s="17"/>
      <c r="BI1448" s="17"/>
      <c r="BJ1448" s="17"/>
      <c r="BK1448" s="17"/>
      <c r="BL1448" s="17"/>
    </row>
    <row r="1449">
      <c r="A1449" s="17"/>
      <c r="B1449" s="17"/>
      <c r="C1449" s="17"/>
      <c r="D1449" s="17"/>
      <c r="E1449" s="17"/>
      <c r="F1449" s="17"/>
      <c r="G1449" s="17"/>
      <c r="H1449" s="356"/>
      <c r="I1449" s="17"/>
      <c r="J1449" s="17"/>
      <c r="K1449" s="17"/>
      <c r="L1449" s="17"/>
      <c r="M1449" s="17"/>
      <c r="N1449" s="17"/>
      <c r="O1449" s="17"/>
      <c r="P1449" s="17"/>
      <c r="Q1449" s="17"/>
      <c r="R1449" s="17"/>
      <c r="S1449" s="17"/>
      <c r="T1449" s="17"/>
      <c r="U1449" s="17"/>
      <c r="V1449" s="17"/>
      <c r="W1449" s="17"/>
      <c r="X1449" s="17"/>
      <c r="Y1449" s="17"/>
      <c r="Z1449" s="17"/>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c r="BA1449" s="17"/>
      <c r="BB1449" s="17"/>
      <c r="BC1449" s="17"/>
      <c r="BD1449" s="17"/>
      <c r="BE1449" s="17"/>
      <c r="BF1449" s="17"/>
      <c r="BG1449" s="17"/>
      <c r="BH1449" s="17"/>
      <c r="BI1449" s="17"/>
      <c r="BJ1449" s="17"/>
      <c r="BK1449" s="17"/>
      <c r="BL1449" s="17"/>
    </row>
    <row r="1450">
      <c r="A1450" s="17"/>
      <c r="B1450" s="17"/>
      <c r="C1450" s="17"/>
      <c r="D1450" s="17"/>
      <c r="E1450" s="17"/>
      <c r="F1450" s="17"/>
      <c r="G1450" s="17"/>
      <c r="H1450" s="356"/>
      <c r="I1450" s="17"/>
      <c r="J1450" s="17"/>
      <c r="K1450" s="17"/>
      <c r="L1450" s="17"/>
      <c r="M1450" s="17"/>
      <c r="N1450" s="17"/>
      <c r="O1450" s="17"/>
      <c r="P1450" s="17"/>
      <c r="Q1450" s="17"/>
      <c r="R1450" s="17"/>
      <c r="S1450" s="17"/>
      <c r="T1450" s="17"/>
      <c r="U1450" s="17"/>
      <c r="V1450" s="17"/>
      <c r="W1450" s="17"/>
      <c r="X1450" s="17"/>
      <c r="Y1450" s="17"/>
      <c r="Z1450" s="17"/>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c r="BA1450" s="17"/>
      <c r="BB1450" s="17"/>
      <c r="BC1450" s="17"/>
      <c r="BD1450" s="17"/>
      <c r="BE1450" s="17"/>
      <c r="BF1450" s="17"/>
      <c r="BG1450" s="17"/>
      <c r="BH1450" s="17"/>
      <c r="BI1450" s="17"/>
      <c r="BJ1450" s="17"/>
      <c r="BK1450" s="17"/>
      <c r="BL1450" s="17"/>
    </row>
    <row r="1451">
      <c r="A1451" s="17"/>
      <c r="B1451" s="17"/>
      <c r="C1451" s="17"/>
      <c r="D1451" s="17"/>
      <c r="E1451" s="17"/>
      <c r="F1451" s="17"/>
      <c r="G1451" s="17"/>
      <c r="H1451" s="356"/>
      <c r="I1451" s="17"/>
      <c r="J1451" s="17"/>
      <c r="K1451" s="17"/>
      <c r="L1451" s="17"/>
      <c r="M1451" s="17"/>
      <c r="N1451" s="17"/>
      <c r="O1451" s="17"/>
      <c r="P1451" s="17"/>
      <c r="Q1451" s="17"/>
      <c r="R1451" s="17"/>
      <c r="S1451" s="17"/>
      <c r="T1451" s="17"/>
      <c r="U1451" s="17"/>
      <c r="V1451" s="17"/>
      <c r="W1451" s="17"/>
      <c r="X1451" s="17"/>
      <c r="Y1451" s="17"/>
      <c r="Z1451" s="17"/>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c r="BA1451" s="17"/>
      <c r="BB1451" s="17"/>
      <c r="BC1451" s="17"/>
      <c r="BD1451" s="17"/>
      <c r="BE1451" s="17"/>
      <c r="BF1451" s="17"/>
      <c r="BG1451" s="17"/>
      <c r="BH1451" s="17"/>
      <c r="BI1451" s="17"/>
      <c r="BJ1451" s="17"/>
      <c r="BK1451" s="17"/>
      <c r="BL1451" s="17"/>
    </row>
    <row r="1452">
      <c r="A1452" s="17"/>
      <c r="B1452" s="17"/>
      <c r="C1452" s="17"/>
      <c r="D1452" s="17"/>
      <c r="E1452" s="17"/>
      <c r="F1452" s="17"/>
      <c r="G1452" s="17"/>
      <c r="H1452" s="356"/>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c r="BA1452" s="17"/>
      <c r="BB1452" s="17"/>
      <c r="BC1452" s="17"/>
      <c r="BD1452" s="17"/>
      <c r="BE1452" s="17"/>
      <c r="BF1452" s="17"/>
      <c r="BG1452" s="17"/>
      <c r="BH1452" s="17"/>
      <c r="BI1452" s="17"/>
      <c r="BJ1452" s="17"/>
      <c r="BK1452" s="17"/>
      <c r="BL1452" s="17"/>
    </row>
    <row r="1453">
      <c r="A1453" s="17"/>
      <c r="B1453" s="17"/>
      <c r="C1453" s="17"/>
      <c r="D1453" s="17"/>
      <c r="E1453" s="17"/>
      <c r="F1453" s="17"/>
      <c r="G1453" s="17"/>
      <c r="H1453" s="356"/>
      <c r="I1453" s="17"/>
      <c r="J1453" s="17"/>
      <c r="K1453" s="17"/>
      <c r="L1453" s="17"/>
      <c r="M1453" s="17"/>
      <c r="N1453" s="17"/>
      <c r="O1453" s="17"/>
      <c r="P1453" s="17"/>
      <c r="Q1453" s="17"/>
      <c r="R1453" s="17"/>
      <c r="S1453" s="17"/>
      <c r="T1453" s="17"/>
      <c r="U1453" s="17"/>
      <c r="V1453" s="17"/>
      <c r="W1453" s="17"/>
      <c r="X1453" s="17"/>
      <c r="Y1453" s="17"/>
      <c r="Z1453" s="17"/>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c r="BA1453" s="17"/>
      <c r="BB1453" s="17"/>
      <c r="BC1453" s="17"/>
      <c r="BD1453" s="17"/>
      <c r="BE1453" s="17"/>
      <c r="BF1453" s="17"/>
      <c r="BG1453" s="17"/>
      <c r="BH1453" s="17"/>
      <c r="BI1453" s="17"/>
      <c r="BJ1453" s="17"/>
      <c r="BK1453" s="17"/>
      <c r="BL1453" s="17"/>
    </row>
    <row r="1454">
      <c r="A1454" s="17"/>
      <c r="B1454" s="17"/>
      <c r="C1454" s="17"/>
      <c r="D1454" s="17"/>
      <c r="E1454" s="17"/>
      <c r="F1454" s="17"/>
      <c r="G1454" s="17"/>
      <c r="H1454" s="356"/>
      <c r="I1454" s="17"/>
      <c r="J1454" s="17"/>
      <c r="K1454" s="17"/>
      <c r="L1454" s="17"/>
      <c r="M1454" s="17"/>
      <c r="N1454" s="17"/>
      <c r="O1454" s="17"/>
      <c r="P1454" s="17"/>
      <c r="Q1454" s="17"/>
      <c r="R1454" s="17"/>
      <c r="S1454" s="17"/>
      <c r="T1454" s="17"/>
      <c r="U1454" s="17"/>
      <c r="V1454" s="17"/>
      <c r="W1454" s="17"/>
      <c r="X1454" s="17"/>
      <c r="Y1454" s="17"/>
      <c r="Z1454" s="17"/>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c r="BA1454" s="17"/>
      <c r="BB1454" s="17"/>
      <c r="BC1454" s="17"/>
      <c r="BD1454" s="17"/>
      <c r="BE1454" s="17"/>
      <c r="BF1454" s="17"/>
      <c r="BG1454" s="17"/>
      <c r="BH1454" s="17"/>
      <c r="BI1454" s="17"/>
      <c r="BJ1454" s="17"/>
      <c r="BK1454" s="17"/>
      <c r="BL1454" s="17"/>
    </row>
    <row r="1455">
      <c r="A1455" s="17"/>
      <c r="B1455" s="17"/>
      <c r="C1455" s="17"/>
      <c r="D1455" s="17"/>
      <c r="E1455" s="17"/>
      <c r="F1455" s="17"/>
      <c r="G1455" s="17"/>
      <c r="H1455" s="356"/>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c r="BA1455" s="17"/>
      <c r="BB1455" s="17"/>
      <c r="BC1455" s="17"/>
      <c r="BD1455" s="17"/>
      <c r="BE1455" s="17"/>
      <c r="BF1455" s="17"/>
      <c r="BG1455" s="17"/>
      <c r="BH1455" s="17"/>
      <c r="BI1455" s="17"/>
      <c r="BJ1455" s="17"/>
      <c r="BK1455" s="17"/>
      <c r="BL1455" s="17"/>
    </row>
    <row r="1456">
      <c r="A1456" s="17"/>
      <c r="B1456" s="17"/>
      <c r="C1456" s="17"/>
      <c r="D1456" s="17"/>
      <c r="E1456" s="17"/>
      <c r="F1456" s="17"/>
      <c r="G1456" s="17"/>
      <c r="H1456" s="356"/>
      <c r="I1456" s="17"/>
      <c r="J1456" s="17"/>
      <c r="K1456" s="17"/>
      <c r="L1456" s="17"/>
      <c r="M1456" s="17"/>
      <c r="N1456" s="17"/>
      <c r="O1456" s="17"/>
      <c r="P1456" s="17"/>
      <c r="Q1456" s="17"/>
      <c r="R1456" s="17"/>
      <c r="S1456" s="17"/>
      <c r="T1456" s="17"/>
      <c r="U1456" s="17"/>
      <c r="V1456" s="17"/>
      <c r="W1456" s="17"/>
      <c r="X1456" s="17"/>
      <c r="Y1456" s="17"/>
      <c r="Z1456" s="17"/>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7"/>
      <c r="AW1456" s="17"/>
      <c r="AX1456" s="17"/>
      <c r="AY1456" s="17"/>
      <c r="AZ1456" s="17"/>
      <c r="BA1456" s="17"/>
      <c r="BB1456" s="17"/>
      <c r="BC1456" s="17"/>
      <c r="BD1456" s="17"/>
      <c r="BE1456" s="17"/>
      <c r="BF1456" s="17"/>
      <c r="BG1456" s="17"/>
      <c r="BH1456" s="17"/>
      <c r="BI1456" s="17"/>
      <c r="BJ1456" s="17"/>
      <c r="BK1456" s="17"/>
      <c r="BL1456" s="17"/>
    </row>
    <row r="1457">
      <c r="A1457" s="17"/>
      <c r="B1457" s="17"/>
      <c r="C1457" s="17"/>
      <c r="D1457" s="17"/>
      <c r="E1457" s="17"/>
      <c r="F1457" s="17"/>
      <c r="G1457" s="17"/>
      <c r="H1457" s="356"/>
      <c r="I1457" s="17"/>
      <c r="J1457" s="17"/>
      <c r="K1457" s="17"/>
      <c r="L1457" s="17"/>
      <c r="M1457" s="17"/>
      <c r="N1457" s="17"/>
      <c r="O1457" s="17"/>
      <c r="P1457" s="17"/>
      <c r="Q1457" s="17"/>
      <c r="R1457" s="17"/>
      <c r="S1457" s="17"/>
      <c r="T1457" s="17"/>
      <c r="U1457" s="17"/>
      <c r="V1457" s="17"/>
      <c r="W1457" s="17"/>
      <c r="X1457" s="17"/>
      <c r="Y1457" s="17"/>
      <c r="Z1457" s="17"/>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c r="AV1457" s="17"/>
      <c r="AW1457" s="17"/>
      <c r="AX1457" s="17"/>
      <c r="AY1457" s="17"/>
      <c r="AZ1457" s="17"/>
      <c r="BA1457" s="17"/>
      <c r="BB1457" s="17"/>
      <c r="BC1457" s="17"/>
      <c r="BD1457" s="17"/>
      <c r="BE1457" s="17"/>
      <c r="BF1457" s="17"/>
      <c r="BG1457" s="17"/>
      <c r="BH1457" s="17"/>
      <c r="BI1457" s="17"/>
      <c r="BJ1457" s="17"/>
      <c r="BK1457" s="17"/>
      <c r="BL1457" s="17"/>
    </row>
    <row r="1458">
      <c r="A1458" s="17"/>
      <c r="B1458" s="17"/>
      <c r="C1458" s="17"/>
      <c r="D1458" s="17"/>
      <c r="E1458" s="17"/>
      <c r="F1458" s="17"/>
      <c r="G1458" s="17"/>
      <c r="H1458" s="356"/>
      <c r="I1458" s="17"/>
      <c r="J1458" s="17"/>
      <c r="K1458" s="17"/>
      <c r="L1458" s="17"/>
      <c r="M1458" s="17"/>
      <c r="N1458" s="17"/>
      <c r="O1458" s="17"/>
      <c r="P1458" s="17"/>
      <c r="Q1458" s="17"/>
      <c r="R1458" s="17"/>
      <c r="S1458" s="17"/>
      <c r="T1458" s="17"/>
      <c r="U1458" s="17"/>
      <c r="V1458" s="17"/>
      <c r="W1458" s="17"/>
      <c r="X1458" s="17"/>
      <c r="Y1458" s="17"/>
      <c r="Z1458" s="17"/>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c r="BA1458" s="17"/>
      <c r="BB1458" s="17"/>
      <c r="BC1458" s="17"/>
      <c r="BD1458" s="17"/>
      <c r="BE1458" s="17"/>
      <c r="BF1458" s="17"/>
      <c r="BG1458" s="17"/>
      <c r="BH1458" s="17"/>
      <c r="BI1458" s="17"/>
      <c r="BJ1458" s="17"/>
      <c r="BK1458" s="17"/>
      <c r="BL1458" s="17"/>
    </row>
    <row r="1459">
      <c r="A1459" s="17"/>
      <c r="B1459" s="17"/>
      <c r="C1459" s="17"/>
      <c r="D1459" s="17"/>
      <c r="E1459" s="17"/>
      <c r="F1459" s="17"/>
      <c r="G1459" s="17"/>
      <c r="H1459" s="356"/>
      <c r="I1459" s="17"/>
      <c r="J1459" s="17"/>
      <c r="K1459" s="17"/>
      <c r="L1459" s="17"/>
      <c r="M1459" s="17"/>
      <c r="N1459" s="17"/>
      <c r="O1459" s="17"/>
      <c r="P1459" s="17"/>
      <c r="Q1459" s="17"/>
      <c r="R1459" s="17"/>
      <c r="S1459" s="17"/>
      <c r="T1459" s="17"/>
      <c r="U1459" s="17"/>
      <c r="V1459" s="17"/>
      <c r="W1459" s="17"/>
      <c r="X1459" s="17"/>
      <c r="Y1459" s="17"/>
      <c r="Z1459" s="17"/>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c r="AV1459" s="17"/>
      <c r="AW1459" s="17"/>
      <c r="AX1459" s="17"/>
      <c r="AY1459" s="17"/>
      <c r="AZ1459" s="17"/>
      <c r="BA1459" s="17"/>
      <c r="BB1459" s="17"/>
      <c r="BC1459" s="17"/>
      <c r="BD1459" s="17"/>
      <c r="BE1459" s="17"/>
      <c r="BF1459" s="17"/>
      <c r="BG1459" s="17"/>
      <c r="BH1459" s="17"/>
      <c r="BI1459" s="17"/>
      <c r="BJ1459" s="17"/>
      <c r="BK1459" s="17"/>
      <c r="BL1459" s="17"/>
    </row>
    <row r="1460">
      <c r="A1460" s="17"/>
      <c r="B1460" s="17"/>
      <c r="C1460" s="17"/>
      <c r="D1460" s="17"/>
      <c r="E1460" s="17"/>
      <c r="F1460" s="17"/>
      <c r="G1460" s="17"/>
      <c r="H1460" s="356"/>
      <c r="I1460" s="17"/>
      <c r="J1460" s="17"/>
      <c r="K1460" s="17"/>
      <c r="L1460" s="17"/>
      <c r="M1460" s="17"/>
      <c r="N1460" s="17"/>
      <c r="O1460" s="17"/>
      <c r="P1460" s="17"/>
      <c r="Q1460" s="17"/>
      <c r="R1460" s="17"/>
      <c r="S1460" s="17"/>
      <c r="T1460" s="17"/>
      <c r="U1460" s="17"/>
      <c r="V1460" s="17"/>
      <c r="W1460" s="17"/>
      <c r="X1460" s="17"/>
      <c r="Y1460" s="17"/>
      <c r="Z1460" s="17"/>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c r="BA1460" s="17"/>
      <c r="BB1460" s="17"/>
      <c r="BC1460" s="17"/>
      <c r="BD1460" s="17"/>
      <c r="BE1460" s="17"/>
      <c r="BF1460" s="17"/>
      <c r="BG1460" s="17"/>
      <c r="BH1460" s="17"/>
      <c r="BI1460" s="17"/>
      <c r="BJ1460" s="17"/>
      <c r="BK1460" s="17"/>
      <c r="BL1460" s="17"/>
    </row>
    <row r="1461">
      <c r="A1461" s="17"/>
      <c r="B1461" s="17"/>
      <c r="C1461" s="17"/>
      <c r="D1461" s="17"/>
      <c r="E1461" s="17"/>
      <c r="F1461" s="17"/>
      <c r="G1461" s="17"/>
      <c r="H1461" s="356"/>
      <c r="I1461" s="17"/>
      <c r="J1461" s="17"/>
      <c r="K1461" s="17"/>
      <c r="L1461" s="17"/>
      <c r="M1461" s="17"/>
      <c r="N1461" s="17"/>
      <c r="O1461" s="17"/>
      <c r="P1461" s="17"/>
      <c r="Q1461" s="17"/>
      <c r="R1461" s="17"/>
      <c r="S1461" s="17"/>
      <c r="T1461" s="17"/>
      <c r="U1461" s="17"/>
      <c r="V1461" s="17"/>
      <c r="W1461" s="17"/>
      <c r="X1461" s="17"/>
      <c r="Y1461" s="17"/>
      <c r="Z1461" s="17"/>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c r="BA1461" s="17"/>
      <c r="BB1461" s="17"/>
      <c r="BC1461" s="17"/>
      <c r="BD1461" s="17"/>
      <c r="BE1461" s="17"/>
      <c r="BF1461" s="17"/>
      <c r="BG1461" s="17"/>
      <c r="BH1461" s="17"/>
      <c r="BI1461" s="17"/>
      <c r="BJ1461" s="17"/>
      <c r="BK1461" s="17"/>
      <c r="BL1461" s="17"/>
    </row>
    <row r="1462">
      <c r="A1462" s="17"/>
      <c r="B1462" s="17"/>
      <c r="C1462" s="17"/>
      <c r="D1462" s="17"/>
      <c r="E1462" s="17"/>
      <c r="F1462" s="17"/>
      <c r="G1462" s="17"/>
      <c r="H1462" s="356"/>
      <c r="I1462" s="17"/>
      <c r="J1462" s="17"/>
      <c r="K1462" s="17"/>
      <c r="L1462" s="17"/>
      <c r="M1462" s="17"/>
      <c r="N1462" s="17"/>
      <c r="O1462" s="17"/>
      <c r="P1462" s="17"/>
      <c r="Q1462" s="17"/>
      <c r="R1462" s="17"/>
      <c r="S1462" s="17"/>
      <c r="T1462" s="17"/>
      <c r="U1462" s="17"/>
      <c r="V1462" s="17"/>
      <c r="W1462" s="17"/>
      <c r="X1462" s="17"/>
      <c r="Y1462" s="17"/>
      <c r="Z1462" s="17"/>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c r="BA1462" s="17"/>
      <c r="BB1462" s="17"/>
      <c r="BC1462" s="17"/>
      <c r="BD1462" s="17"/>
      <c r="BE1462" s="17"/>
      <c r="BF1462" s="17"/>
      <c r="BG1462" s="17"/>
      <c r="BH1462" s="17"/>
      <c r="BI1462" s="17"/>
      <c r="BJ1462" s="17"/>
      <c r="BK1462" s="17"/>
      <c r="BL1462" s="17"/>
    </row>
    <row r="1463">
      <c r="A1463" s="17"/>
      <c r="B1463" s="17"/>
      <c r="C1463" s="17"/>
      <c r="D1463" s="17"/>
      <c r="E1463" s="17"/>
      <c r="F1463" s="17"/>
      <c r="G1463" s="17"/>
      <c r="H1463" s="356"/>
      <c r="I1463" s="17"/>
      <c r="J1463" s="17"/>
      <c r="K1463" s="17"/>
      <c r="L1463" s="17"/>
      <c r="M1463" s="17"/>
      <c r="N1463" s="17"/>
      <c r="O1463" s="17"/>
      <c r="P1463" s="17"/>
      <c r="Q1463" s="17"/>
      <c r="R1463" s="17"/>
      <c r="S1463" s="17"/>
      <c r="T1463" s="17"/>
      <c r="U1463" s="17"/>
      <c r="V1463" s="17"/>
      <c r="W1463" s="17"/>
      <c r="X1463" s="17"/>
      <c r="Y1463" s="17"/>
      <c r="Z1463" s="17"/>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c r="BA1463" s="17"/>
      <c r="BB1463" s="17"/>
      <c r="BC1463" s="17"/>
      <c r="BD1463" s="17"/>
      <c r="BE1463" s="17"/>
      <c r="BF1463" s="17"/>
      <c r="BG1463" s="17"/>
      <c r="BH1463" s="17"/>
      <c r="BI1463" s="17"/>
      <c r="BJ1463" s="17"/>
      <c r="BK1463" s="17"/>
      <c r="BL1463" s="17"/>
    </row>
    <row r="1464">
      <c r="A1464" s="17"/>
      <c r="B1464" s="17"/>
      <c r="C1464" s="17"/>
      <c r="D1464" s="17"/>
      <c r="E1464" s="17"/>
      <c r="F1464" s="17"/>
      <c r="G1464" s="17"/>
      <c r="H1464" s="356"/>
      <c r="I1464" s="17"/>
      <c r="J1464" s="17"/>
      <c r="K1464" s="17"/>
      <c r="L1464" s="17"/>
      <c r="M1464" s="17"/>
      <c r="N1464" s="17"/>
      <c r="O1464" s="17"/>
      <c r="P1464" s="17"/>
      <c r="Q1464" s="17"/>
      <c r="R1464" s="17"/>
      <c r="S1464" s="17"/>
      <c r="T1464" s="17"/>
      <c r="U1464" s="17"/>
      <c r="V1464" s="17"/>
      <c r="W1464" s="17"/>
      <c r="X1464" s="17"/>
      <c r="Y1464" s="17"/>
      <c r="Z1464" s="17"/>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c r="BA1464" s="17"/>
      <c r="BB1464" s="17"/>
      <c r="BC1464" s="17"/>
      <c r="BD1464" s="17"/>
      <c r="BE1464" s="17"/>
      <c r="BF1464" s="17"/>
      <c r="BG1464" s="17"/>
      <c r="BH1464" s="17"/>
      <c r="BI1464" s="17"/>
      <c r="BJ1464" s="17"/>
      <c r="BK1464" s="17"/>
      <c r="BL1464" s="17"/>
    </row>
    <row r="1465">
      <c r="A1465" s="17"/>
      <c r="B1465" s="17"/>
      <c r="C1465" s="17"/>
      <c r="D1465" s="17"/>
      <c r="E1465" s="17"/>
      <c r="F1465" s="17"/>
      <c r="G1465" s="17"/>
      <c r="H1465" s="356"/>
      <c r="I1465" s="17"/>
      <c r="J1465" s="17"/>
      <c r="K1465" s="17"/>
      <c r="L1465" s="17"/>
      <c r="M1465" s="17"/>
      <c r="N1465" s="17"/>
      <c r="O1465" s="17"/>
      <c r="P1465" s="17"/>
      <c r="Q1465" s="17"/>
      <c r="R1465" s="17"/>
      <c r="S1465" s="17"/>
      <c r="T1465" s="17"/>
      <c r="U1465" s="17"/>
      <c r="V1465" s="17"/>
      <c r="W1465" s="17"/>
      <c r="X1465" s="17"/>
      <c r="Y1465" s="17"/>
      <c r="Z1465" s="17"/>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c r="BA1465" s="17"/>
      <c r="BB1465" s="17"/>
      <c r="BC1465" s="17"/>
      <c r="BD1465" s="17"/>
      <c r="BE1465" s="17"/>
      <c r="BF1465" s="17"/>
      <c r="BG1465" s="17"/>
      <c r="BH1465" s="17"/>
      <c r="BI1465" s="17"/>
      <c r="BJ1465" s="17"/>
      <c r="BK1465" s="17"/>
      <c r="BL1465" s="17"/>
    </row>
    <row r="1466">
      <c r="A1466" s="17"/>
      <c r="B1466" s="17"/>
      <c r="C1466" s="17"/>
      <c r="D1466" s="17"/>
      <c r="E1466" s="17"/>
      <c r="F1466" s="17"/>
      <c r="G1466" s="17"/>
      <c r="H1466" s="356"/>
      <c r="I1466" s="17"/>
      <c r="J1466" s="17"/>
      <c r="K1466" s="17"/>
      <c r="L1466" s="17"/>
      <c r="M1466" s="17"/>
      <c r="N1466" s="17"/>
      <c r="O1466" s="17"/>
      <c r="P1466" s="17"/>
      <c r="Q1466" s="17"/>
      <c r="R1466" s="17"/>
      <c r="S1466" s="17"/>
      <c r="T1466" s="17"/>
      <c r="U1466" s="17"/>
      <c r="V1466" s="17"/>
      <c r="W1466" s="17"/>
      <c r="X1466" s="17"/>
      <c r="Y1466" s="17"/>
      <c r="Z1466" s="17"/>
      <c r="AA1466" s="17"/>
      <c r="AB1466" s="17"/>
      <c r="AC1466" s="17"/>
      <c r="AD1466" s="17"/>
      <c r="AE1466" s="17"/>
      <c r="AF1466" s="17"/>
      <c r="AG1466" s="17"/>
      <c r="AH1466" s="17"/>
      <c r="AI1466" s="17"/>
      <c r="AJ1466" s="17"/>
      <c r="AK1466" s="17"/>
      <c r="AL1466" s="17"/>
      <c r="AM1466" s="17"/>
      <c r="AN1466" s="17"/>
      <c r="AO1466" s="17"/>
      <c r="AP1466" s="17"/>
      <c r="AQ1466" s="17"/>
      <c r="AR1466" s="17"/>
      <c r="AS1466" s="17"/>
      <c r="AT1466" s="17"/>
      <c r="AU1466" s="17"/>
      <c r="AV1466" s="17"/>
      <c r="AW1466" s="17"/>
      <c r="AX1466" s="17"/>
      <c r="AY1466" s="17"/>
      <c r="AZ1466" s="17"/>
      <c r="BA1466" s="17"/>
      <c r="BB1466" s="17"/>
      <c r="BC1466" s="17"/>
      <c r="BD1466" s="17"/>
      <c r="BE1466" s="17"/>
      <c r="BF1466" s="17"/>
      <c r="BG1466" s="17"/>
      <c r="BH1466" s="17"/>
      <c r="BI1466" s="17"/>
      <c r="BJ1466" s="17"/>
      <c r="BK1466" s="17"/>
      <c r="BL1466" s="17"/>
    </row>
    <row r="1467">
      <c r="A1467" s="17"/>
      <c r="B1467" s="17"/>
      <c r="C1467" s="17"/>
      <c r="D1467" s="17"/>
      <c r="E1467" s="17"/>
      <c r="F1467" s="17"/>
      <c r="G1467" s="17"/>
      <c r="H1467" s="356"/>
      <c r="I1467" s="17"/>
      <c r="J1467" s="17"/>
      <c r="K1467" s="17"/>
      <c r="L1467" s="17"/>
      <c r="M1467" s="17"/>
      <c r="N1467" s="17"/>
      <c r="O1467" s="17"/>
      <c r="P1467" s="17"/>
      <c r="Q1467" s="17"/>
      <c r="R1467" s="17"/>
      <c r="S1467" s="17"/>
      <c r="T1467" s="17"/>
      <c r="U1467" s="17"/>
      <c r="V1467" s="17"/>
      <c r="W1467" s="17"/>
      <c r="X1467" s="17"/>
      <c r="Y1467" s="17"/>
      <c r="Z1467" s="17"/>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c r="BA1467" s="17"/>
      <c r="BB1467" s="17"/>
      <c r="BC1467" s="17"/>
      <c r="BD1467" s="17"/>
      <c r="BE1467" s="17"/>
      <c r="BF1467" s="17"/>
      <c r="BG1467" s="17"/>
      <c r="BH1467" s="17"/>
      <c r="BI1467" s="17"/>
      <c r="BJ1467" s="17"/>
      <c r="BK1467" s="17"/>
      <c r="BL1467" s="17"/>
    </row>
    <row r="1468">
      <c r="A1468" s="17"/>
      <c r="B1468" s="17"/>
      <c r="C1468" s="17"/>
      <c r="D1468" s="17"/>
      <c r="E1468" s="17"/>
      <c r="F1468" s="17"/>
      <c r="G1468" s="17"/>
      <c r="H1468" s="356"/>
      <c r="I1468" s="17"/>
      <c r="J1468" s="17"/>
      <c r="K1468" s="17"/>
      <c r="L1468" s="17"/>
      <c r="M1468" s="17"/>
      <c r="N1468" s="17"/>
      <c r="O1468" s="17"/>
      <c r="P1468" s="17"/>
      <c r="Q1468" s="17"/>
      <c r="R1468" s="17"/>
      <c r="S1468" s="17"/>
      <c r="T1468" s="17"/>
      <c r="U1468" s="17"/>
      <c r="V1468" s="17"/>
      <c r="W1468" s="17"/>
      <c r="X1468" s="17"/>
      <c r="Y1468" s="17"/>
      <c r="Z1468" s="17"/>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c r="BA1468" s="17"/>
      <c r="BB1468" s="17"/>
      <c r="BC1468" s="17"/>
      <c r="BD1468" s="17"/>
      <c r="BE1468" s="17"/>
      <c r="BF1468" s="17"/>
      <c r="BG1468" s="17"/>
      <c r="BH1468" s="17"/>
      <c r="BI1468" s="17"/>
      <c r="BJ1468" s="17"/>
      <c r="BK1468" s="17"/>
      <c r="BL1468" s="17"/>
    </row>
    <row r="1469">
      <c r="A1469" s="17"/>
      <c r="B1469" s="17"/>
      <c r="C1469" s="17"/>
      <c r="D1469" s="17"/>
      <c r="E1469" s="17"/>
      <c r="F1469" s="17"/>
      <c r="G1469" s="17"/>
      <c r="H1469" s="356"/>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c r="BA1469" s="17"/>
      <c r="BB1469" s="17"/>
      <c r="BC1469" s="17"/>
      <c r="BD1469" s="17"/>
      <c r="BE1469" s="17"/>
      <c r="BF1469" s="17"/>
      <c r="BG1469" s="17"/>
      <c r="BH1469" s="17"/>
      <c r="BI1469" s="17"/>
      <c r="BJ1469" s="17"/>
      <c r="BK1469" s="17"/>
      <c r="BL1469" s="17"/>
    </row>
    <row r="1470">
      <c r="A1470" s="17"/>
      <c r="B1470" s="17"/>
      <c r="C1470" s="17"/>
      <c r="D1470" s="17"/>
      <c r="E1470" s="17"/>
      <c r="F1470" s="17"/>
      <c r="G1470" s="17"/>
      <c r="H1470" s="356"/>
      <c r="I1470" s="17"/>
      <c r="J1470" s="17"/>
      <c r="K1470" s="17"/>
      <c r="L1470" s="17"/>
      <c r="M1470" s="17"/>
      <c r="N1470" s="17"/>
      <c r="O1470" s="17"/>
      <c r="P1470" s="17"/>
      <c r="Q1470" s="17"/>
      <c r="R1470" s="17"/>
      <c r="S1470" s="17"/>
      <c r="T1470" s="17"/>
      <c r="U1470" s="17"/>
      <c r="V1470" s="17"/>
      <c r="W1470" s="17"/>
      <c r="X1470" s="17"/>
      <c r="Y1470" s="17"/>
      <c r="Z1470" s="17"/>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c r="BA1470" s="17"/>
      <c r="BB1470" s="17"/>
      <c r="BC1470" s="17"/>
      <c r="BD1470" s="17"/>
      <c r="BE1470" s="17"/>
      <c r="BF1470" s="17"/>
      <c r="BG1470" s="17"/>
      <c r="BH1470" s="17"/>
      <c r="BI1470" s="17"/>
      <c r="BJ1470" s="17"/>
      <c r="BK1470" s="17"/>
      <c r="BL1470" s="17"/>
    </row>
    <row r="1471">
      <c r="A1471" s="17"/>
      <c r="B1471" s="17"/>
      <c r="C1471" s="17"/>
      <c r="D1471" s="17"/>
      <c r="E1471" s="17"/>
      <c r="F1471" s="17"/>
      <c r="G1471" s="17"/>
      <c r="H1471" s="356"/>
      <c r="I1471" s="17"/>
      <c r="J1471" s="17"/>
      <c r="K1471" s="17"/>
      <c r="L1471" s="17"/>
      <c r="M1471" s="17"/>
      <c r="N1471" s="17"/>
      <c r="O1471" s="17"/>
      <c r="P1471" s="17"/>
      <c r="Q1471" s="17"/>
      <c r="R1471" s="17"/>
      <c r="S1471" s="17"/>
      <c r="T1471" s="17"/>
      <c r="U1471" s="17"/>
      <c r="V1471" s="17"/>
      <c r="W1471" s="17"/>
      <c r="X1471" s="17"/>
      <c r="Y1471" s="17"/>
      <c r="Z1471" s="17"/>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c r="BA1471" s="17"/>
      <c r="BB1471" s="17"/>
      <c r="BC1471" s="17"/>
      <c r="BD1471" s="17"/>
      <c r="BE1471" s="17"/>
      <c r="BF1471" s="17"/>
      <c r="BG1471" s="17"/>
      <c r="BH1471" s="17"/>
      <c r="BI1471" s="17"/>
      <c r="BJ1471" s="17"/>
      <c r="BK1471" s="17"/>
      <c r="BL1471" s="17"/>
    </row>
    <row r="1472">
      <c r="A1472" s="17"/>
      <c r="B1472" s="17"/>
      <c r="C1472" s="17"/>
      <c r="D1472" s="17"/>
      <c r="E1472" s="17"/>
      <c r="F1472" s="17"/>
      <c r="G1472" s="17"/>
      <c r="H1472" s="356"/>
      <c r="I1472" s="17"/>
      <c r="J1472" s="17"/>
      <c r="K1472" s="17"/>
      <c r="L1472" s="17"/>
      <c r="M1472" s="17"/>
      <c r="N1472" s="17"/>
      <c r="O1472" s="17"/>
      <c r="P1472" s="17"/>
      <c r="Q1472" s="17"/>
      <c r="R1472" s="17"/>
      <c r="S1472" s="17"/>
      <c r="T1472" s="17"/>
      <c r="U1472" s="17"/>
      <c r="V1472" s="17"/>
      <c r="W1472" s="17"/>
      <c r="X1472" s="17"/>
      <c r="Y1472" s="17"/>
      <c r="Z1472" s="17"/>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c r="BA1472" s="17"/>
      <c r="BB1472" s="17"/>
      <c r="BC1472" s="17"/>
      <c r="BD1472" s="17"/>
      <c r="BE1472" s="17"/>
      <c r="BF1472" s="17"/>
      <c r="BG1472" s="17"/>
      <c r="BH1472" s="17"/>
      <c r="BI1472" s="17"/>
      <c r="BJ1472" s="17"/>
      <c r="BK1472" s="17"/>
      <c r="BL1472" s="17"/>
    </row>
    <row r="1473">
      <c r="A1473" s="17"/>
      <c r="B1473" s="17"/>
      <c r="C1473" s="17"/>
      <c r="D1473" s="17"/>
      <c r="E1473" s="17"/>
      <c r="F1473" s="17"/>
      <c r="G1473" s="17"/>
      <c r="H1473" s="356"/>
      <c r="I1473" s="17"/>
      <c r="J1473" s="17"/>
      <c r="K1473" s="17"/>
      <c r="L1473" s="17"/>
      <c r="M1473" s="17"/>
      <c r="N1473" s="17"/>
      <c r="O1473" s="17"/>
      <c r="P1473" s="17"/>
      <c r="Q1473" s="17"/>
      <c r="R1473" s="17"/>
      <c r="S1473" s="17"/>
      <c r="T1473" s="17"/>
      <c r="U1473" s="17"/>
      <c r="V1473" s="17"/>
      <c r="W1473" s="17"/>
      <c r="X1473" s="17"/>
      <c r="Y1473" s="17"/>
      <c r="Z1473" s="17"/>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c r="BA1473" s="17"/>
      <c r="BB1473" s="17"/>
      <c r="BC1473" s="17"/>
      <c r="BD1473" s="17"/>
      <c r="BE1473" s="17"/>
      <c r="BF1473" s="17"/>
      <c r="BG1473" s="17"/>
      <c r="BH1473" s="17"/>
      <c r="BI1473" s="17"/>
      <c r="BJ1473" s="17"/>
      <c r="BK1473" s="17"/>
      <c r="BL1473" s="17"/>
    </row>
    <row r="1474">
      <c r="A1474" s="17"/>
      <c r="B1474" s="17"/>
      <c r="C1474" s="17"/>
      <c r="D1474" s="17"/>
      <c r="E1474" s="17"/>
      <c r="F1474" s="17"/>
      <c r="G1474" s="17"/>
      <c r="H1474" s="356"/>
      <c r="I1474" s="17"/>
      <c r="J1474" s="17"/>
      <c r="K1474" s="17"/>
      <c r="L1474" s="17"/>
      <c r="M1474" s="17"/>
      <c r="N1474" s="17"/>
      <c r="O1474" s="17"/>
      <c r="P1474" s="17"/>
      <c r="Q1474" s="17"/>
      <c r="R1474" s="17"/>
      <c r="S1474" s="17"/>
      <c r="T1474" s="17"/>
      <c r="U1474" s="17"/>
      <c r="V1474" s="17"/>
      <c r="W1474" s="17"/>
      <c r="X1474" s="17"/>
      <c r="Y1474" s="17"/>
      <c r="Z1474" s="17"/>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c r="BA1474" s="17"/>
      <c r="BB1474" s="17"/>
      <c r="BC1474" s="17"/>
      <c r="BD1474" s="17"/>
      <c r="BE1474" s="17"/>
      <c r="BF1474" s="17"/>
      <c r="BG1474" s="17"/>
      <c r="BH1474" s="17"/>
      <c r="BI1474" s="17"/>
      <c r="BJ1474" s="17"/>
      <c r="BK1474" s="17"/>
      <c r="BL1474" s="17"/>
    </row>
    <row r="1475">
      <c r="A1475" s="17"/>
      <c r="B1475" s="17"/>
      <c r="C1475" s="17"/>
      <c r="D1475" s="17"/>
      <c r="E1475" s="17"/>
      <c r="F1475" s="17"/>
      <c r="G1475" s="17"/>
      <c r="H1475" s="356"/>
      <c r="I1475" s="17"/>
      <c r="J1475" s="17"/>
      <c r="K1475" s="17"/>
      <c r="L1475" s="17"/>
      <c r="M1475" s="17"/>
      <c r="N1475" s="17"/>
      <c r="O1475" s="17"/>
      <c r="P1475" s="17"/>
      <c r="Q1475" s="17"/>
      <c r="R1475" s="17"/>
      <c r="S1475" s="17"/>
      <c r="T1475" s="17"/>
      <c r="U1475" s="17"/>
      <c r="V1475" s="17"/>
      <c r="W1475" s="17"/>
      <c r="X1475" s="17"/>
      <c r="Y1475" s="17"/>
      <c r="Z1475" s="17"/>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c r="BA1475" s="17"/>
      <c r="BB1475" s="17"/>
      <c r="BC1475" s="17"/>
      <c r="BD1475" s="17"/>
      <c r="BE1475" s="17"/>
      <c r="BF1475" s="17"/>
      <c r="BG1475" s="17"/>
      <c r="BH1475" s="17"/>
      <c r="BI1475" s="17"/>
      <c r="BJ1475" s="17"/>
      <c r="BK1475" s="17"/>
      <c r="BL1475" s="17"/>
    </row>
    <row r="1476">
      <c r="A1476" s="17"/>
      <c r="B1476" s="17"/>
      <c r="C1476" s="17"/>
      <c r="D1476" s="17"/>
      <c r="E1476" s="17"/>
      <c r="F1476" s="17"/>
      <c r="G1476" s="17"/>
      <c r="H1476" s="356"/>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c r="BA1476" s="17"/>
      <c r="BB1476" s="17"/>
      <c r="BC1476" s="17"/>
      <c r="BD1476" s="17"/>
      <c r="BE1476" s="17"/>
      <c r="BF1476" s="17"/>
      <c r="BG1476" s="17"/>
      <c r="BH1476" s="17"/>
      <c r="BI1476" s="17"/>
      <c r="BJ1476" s="17"/>
      <c r="BK1476" s="17"/>
      <c r="BL1476" s="17"/>
    </row>
    <row r="1477">
      <c r="A1477" s="17"/>
      <c r="B1477" s="17"/>
      <c r="C1477" s="17"/>
      <c r="D1477" s="17"/>
      <c r="E1477" s="17"/>
      <c r="F1477" s="17"/>
      <c r="G1477" s="17"/>
      <c r="H1477" s="356"/>
      <c r="I1477" s="17"/>
      <c r="J1477" s="17"/>
      <c r="K1477" s="17"/>
      <c r="L1477" s="17"/>
      <c r="M1477" s="17"/>
      <c r="N1477" s="17"/>
      <c r="O1477" s="17"/>
      <c r="P1477" s="17"/>
      <c r="Q1477" s="17"/>
      <c r="R1477" s="17"/>
      <c r="S1477" s="17"/>
      <c r="T1477" s="17"/>
      <c r="U1477" s="17"/>
      <c r="V1477" s="17"/>
      <c r="W1477" s="17"/>
      <c r="X1477" s="17"/>
      <c r="Y1477" s="17"/>
      <c r="Z1477" s="17"/>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c r="BA1477" s="17"/>
      <c r="BB1477" s="17"/>
      <c r="BC1477" s="17"/>
      <c r="BD1477" s="17"/>
      <c r="BE1477" s="17"/>
      <c r="BF1477" s="17"/>
      <c r="BG1477" s="17"/>
      <c r="BH1477" s="17"/>
      <c r="BI1477" s="17"/>
      <c r="BJ1477" s="17"/>
      <c r="BK1477" s="17"/>
      <c r="BL1477" s="17"/>
    </row>
    <row r="1478">
      <c r="A1478" s="17"/>
      <c r="B1478" s="17"/>
      <c r="C1478" s="17"/>
      <c r="D1478" s="17"/>
      <c r="E1478" s="17"/>
      <c r="F1478" s="17"/>
      <c r="G1478" s="17"/>
      <c r="H1478" s="356"/>
      <c r="I1478" s="17"/>
      <c r="J1478" s="17"/>
      <c r="K1478" s="17"/>
      <c r="L1478" s="17"/>
      <c r="M1478" s="17"/>
      <c r="N1478" s="17"/>
      <c r="O1478" s="17"/>
      <c r="P1478" s="17"/>
      <c r="Q1478" s="17"/>
      <c r="R1478" s="17"/>
      <c r="S1478" s="17"/>
      <c r="T1478" s="17"/>
      <c r="U1478" s="17"/>
      <c r="V1478" s="17"/>
      <c r="W1478" s="17"/>
      <c r="X1478" s="17"/>
      <c r="Y1478" s="17"/>
      <c r="Z1478" s="17"/>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c r="BA1478" s="17"/>
      <c r="BB1478" s="17"/>
      <c r="BC1478" s="17"/>
      <c r="BD1478" s="17"/>
      <c r="BE1478" s="17"/>
      <c r="BF1478" s="17"/>
      <c r="BG1478" s="17"/>
      <c r="BH1478" s="17"/>
      <c r="BI1478" s="17"/>
      <c r="BJ1478" s="17"/>
      <c r="BK1478" s="17"/>
      <c r="BL1478" s="17"/>
    </row>
    <row r="1479">
      <c r="A1479" s="17"/>
      <c r="B1479" s="17"/>
      <c r="C1479" s="17"/>
      <c r="D1479" s="17"/>
      <c r="E1479" s="17"/>
      <c r="F1479" s="17"/>
      <c r="G1479" s="17"/>
      <c r="H1479" s="356"/>
      <c r="I1479" s="17"/>
      <c r="J1479" s="17"/>
      <c r="K1479" s="17"/>
      <c r="L1479" s="17"/>
      <c r="M1479" s="17"/>
      <c r="N1479" s="17"/>
      <c r="O1479" s="17"/>
      <c r="P1479" s="17"/>
      <c r="Q1479" s="17"/>
      <c r="R1479" s="17"/>
      <c r="S1479" s="17"/>
      <c r="T1479" s="17"/>
      <c r="U1479" s="17"/>
      <c r="V1479" s="17"/>
      <c r="W1479" s="17"/>
      <c r="X1479" s="17"/>
      <c r="Y1479" s="17"/>
      <c r="Z1479" s="17"/>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c r="BA1479" s="17"/>
      <c r="BB1479" s="17"/>
      <c r="BC1479" s="17"/>
      <c r="BD1479" s="17"/>
      <c r="BE1479" s="17"/>
      <c r="BF1479" s="17"/>
      <c r="BG1479" s="17"/>
      <c r="BH1479" s="17"/>
      <c r="BI1479" s="17"/>
      <c r="BJ1479" s="17"/>
      <c r="BK1479" s="17"/>
      <c r="BL1479" s="17"/>
    </row>
    <row r="1480">
      <c r="A1480" s="17"/>
      <c r="B1480" s="17"/>
      <c r="C1480" s="17"/>
      <c r="D1480" s="17"/>
      <c r="E1480" s="17"/>
      <c r="F1480" s="17"/>
      <c r="G1480" s="17"/>
      <c r="H1480" s="356"/>
      <c r="I1480" s="17"/>
      <c r="J1480" s="17"/>
      <c r="K1480" s="17"/>
      <c r="L1480" s="17"/>
      <c r="M1480" s="17"/>
      <c r="N1480" s="17"/>
      <c r="O1480" s="17"/>
      <c r="P1480" s="17"/>
      <c r="Q1480" s="17"/>
      <c r="R1480" s="17"/>
      <c r="S1480" s="17"/>
      <c r="T1480" s="17"/>
      <c r="U1480" s="17"/>
      <c r="V1480" s="17"/>
      <c r="W1480" s="17"/>
      <c r="X1480" s="17"/>
      <c r="Y1480" s="17"/>
      <c r="Z1480" s="17"/>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7"/>
      <c r="AW1480" s="17"/>
      <c r="AX1480" s="17"/>
      <c r="AY1480" s="17"/>
      <c r="AZ1480" s="17"/>
      <c r="BA1480" s="17"/>
      <c r="BB1480" s="17"/>
      <c r="BC1480" s="17"/>
      <c r="BD1480" s="17"/>
      <c r="BE1480" s="17"/>
      <c r="BF1480" s="17"/>
      <c r="BG1480" s="17"/>
      <c r="BH1480" s="17"/>
      <c r="BI1480" s="17"/>
      <c r="BJ1480" s="17"/>
      <c r="BK1480" s="17"/>
      <c r="BL1480" s="17"/>
    </row>
    <row r="1481">
      <c r="A1481" s="17"/>
      <c r="B1481" s="17"/>
      <c r="C1481" s="17"/>
      <c r="D1481" s="17"/>
      <c r="E1481" s="17"/>
      <c r="F1481" s="17"/>
      <c r="G1481" s="17"/>
      <c r="H1481" s="356"/>
      <c r="I1481" s="17"/>
      <c r="J1481" s="17"/>
      <c r="K1481" s="17"/>
      <c r="L1481" s="17"/>
      <c r="M1481" s="17"/>
      <c r="N1481" s="17"/>
      <c r="O1481" s="17"/>
      <c r="P1481" s="17"/>
      <c r="Q1481" s="17"/>
      <c r="R1481" s="17"/>
      <c r="S1481" s="17"/>
      <c r="T1481" s="17"/>
      <c r="U1481" s="17"/>
      <c r="V1481" s="17"/>
      <c r="W1481" s="17"/>
      <c r="X1481" s="17"/>
      <c r="Y1481" s="17"/>
      <c r="Z1481" s="17"/>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c r="AV1481" s="17"/>
      <c r="AW1481" s="17"/>
      <c r="AX1481" s="17"/>
      <c r="AY1481" s="17"/>
      <c r="AZ1481" s="17"/>
      <c r="BA1481" s="17"/>
      <c r="BB1481" s="17"/>
      <c r="BC1481" s="17"/>
      <c r="BD1481" s="17"/>
      <c r="BE1481" s="17"/>
      <c r="BF1481" s="17"/>
      <c r="BG1481" s="17"/>
      <c r="BH1481" s="17"/>
      <c r="BI1481" s="17"/>
      <c r="BJ1481" s="17"/>
      <c r="BK1481" s="17"/>
      <c r="BL1481" s="17"/>
    </row>
    <row r="1482">
      <c r="A1482" s="17"/>
      <c r="B1482" s="17"/>
      <c r="C1482" s="17"/>
      <c r="D1482" s="17"/>
      <c r="E1482" s="17"/>
      <c r="F1482" s="17"/>
      <c r="G1482" s="17"/>
      <c r="H1482" s="356"/>
      <c r="I1482" s="17"/>
      <c r="J1482" s="17"/>
      <c r="K1482" s="17"/>
      <c r="L1482" s="17"/>
      <c r="M1482" s="17"/>
      <c r="N1482" s="17"/>
      <c r="O1482" s="17"/>
      <c r="P1482" s="17"/>
      <c r="Q1482" s="17"/>
      <c r="R1482" s="17"/>
      <c r="S1482" s="17"/>
      <c r="T1482" s="17"/>
      <c r="U1482" s="17"/>
      <c r="V1482" s="17"/>
      <c r="W1482" s="17"/>
      <c r="X1482" s="17"/>
      <c r="Y1482" s="17"/>
      <c r="Z1482" s="17"/>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c r="BA1482" s="17"/>
      <c r="BB1482" s="17"/>
      <c r="BC1482" s="17"/>
      <c r="BD1482" s="17"/>
      <c r="BE1482" s="17"/>
      <c r="BF1482" s="17"/>
      <c r="BG1482" s="17"/>
      <c r="BH1482" s="17"/>
      <c r="BI1482" s="17"/>
      <c r="BJ1482" s="17"/>
      <c r="BK1482" s="17"/>
      <c r="BL1482" s="17"/>
    </row>
    <row r="1483">
      <c r="A1483" s="17"/>
      <c r="B1483" s="17"/>
      <c r="C1483" s="17"/>
      <c r="D1483" s="17"/>
      <c r="E1483" s="17"/>
      <c r="F1483" s="17"/>
      <c r="G1483" s="17"/>
      <c r="H1483" s="356"/>
      <c r="I1483" s="17"/>
      <c r="J1483" s="17"/>
      <c r="K1483" s="17"/>
      <c r="L1483" s="17"/>
      <c r="M1483" s="17"/>
      <c r="N1483" s="17"/>
      <c r="O1483" s="17"/>
      <c r="P1483" s="17"/>
      <c r="Q1483" s="17"/>
      <c r="R1483" s="17"/>
      <c r="S1483" s="17"/>
      <c r="T1483" s="17"/>
      <c r="U1483" s="17"/>
      <c r="V1483" s="17"/>
      <c r="W1483" s="17"/>
      <c r="X1483" s="17"/>
      <c r="Y1483" s="17"/>
      <c r="Z1483" s="17"/>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c r="BA1483" s="17"/>
      <c r="BB1483" s="17"/>
      <c r="BC1483" s="17"/>
      <c r="BD1483" s="17"/>
      <c r="BE1483" s="17"/>
      <c r="BF1483" s="17"/>
      <c r="BG1483" s="17"/>
      <c r="BH1483" s="17"/>
      <c r="BI1483" s="17"/>
      <c r="BJ1483" s="17"/>
      <c r="BK1483" s="17"/>
      <c r="BL1483" s="17"/>
    </row>
    <row r="1484">
      <c r="A1484" s="17"/>
      <c r="B1484" s="17"/>
      <c r="C1484" s="17"/>
      <c r="D1484" s="17"/>
      <c r="E1484" s="17"/>
      <c r="F1484" s="17"/>
      <c r="G1484" s="17"/>
      <c r="H1484" s="356"/>
      <c r="I1484" s="17"/>
      <c r="J1484" s="17"/>
      <c r="K1484" s="17"/>
      <c r="L1484" s="17"/>
      <c r="M1484" s="17"/>
      <c r="N1484" s="17"/>
      <c r="O1484" s="17"/>
      <c r="P1484" s="17"/>
      <c r="Q1484" s="17"/>
      <c r="R1484" s="17"/>
      <c r="S1484" s="17"/>
      <c r="T1484" s="17"/>
      <c r="U1484" s="17"/>
      <c r="V1484" s="17"/>
      <c r="W1484" s="17"/>
      <c r="X1484" s="17"/>
      <c r="Y1484" s="17"/>
      <c r="Z1484" s="17"/>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7"/>
      <c r="AW1484" s="17"/>
      <c r="AX1484" s="17"/>
      <c r="AY1484" s="17"/>
      <c r="AZ1484" s="17"/>
      <c r="BA1484" s="17"/>
      <c r="BB1484" s="17"/>
      <c r="BC1484" s="17"/>
      <c r="BD1484" s="17"/>
      <c r="BE1484" s="17"/>
      <c r="BF1484" s="17"/>
      <c r="BG1484" s="17"/>
      <c r="BH1484" s="17"/>
      <c r="BI1484" s="17"/>
      <c r="BJ1484" s="17"/>
      <c r="BK1484" s="17"/>
      <c r="BL1484" s="17"/>
    </row>
    <row r="1485">
      <c r="A1485" s="17"/>
      <c r="B1485" s="17"/>
      <c r="C1485" s="17"/>
      <c r="D1485" s="17"/>
      <c r="E1485" s="17"/>
      <c r="F1485" s="17"/>
      <c r="G1485" s="17"/>
      <c r="H1485" s="356"/>
      <c r="I1485" s="17"/>
      <c r="J1485" s="17"/>
      <c r="K1485" s="17"/>
      <c r="L1485" s="17"/>
      <c r="M1485" s="17"/>
      <c r="N1485" s="17"/>
      <c r="O1485" s="17"/>
      <c r="P1485" s="17"/>
      <c r="Q1485" s="17"/>
      <c r="R1485" s="17"/>
      <c r="S1485" s="17"/>
      <c r="T1485" s="17"/>
      <c r="U1485" s="17"/>
      <c r="V1485" s="17"/>
      <c r="W1485" s="17"/>
      <c r="X1485" s="17"/>
      <c r="Y1485" s="17"/>
      <c r="Z1485" s="17"/>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c r="BA1485" s="17"/>
      <c r="BB1485" s="17"/>
      <c r="BC1485" s="17"/>
      <c r="BD1485" s="17"/>
      <c r="BE1485" s="17"/>
      <c r="BF1485" s="17"/>
      <c r="BG1485" s="17"/>
      <c r="BH1485" s="17"/>
      <c r="BI1485" s="17"/>
      <c r="BJ1485" s="17"/>
      <c r="BK1485" s="17"/>
      <c r="BL1485" s="17"/>
    </row>
    <row r="1486">
      <c r="A1486" s="17"/>
      <c r="B1486" s="17"/>
      <c r="C1486" s="17"/>
      <c r="D1486" s="17"/>
      <c r="E1486" s="17"/>
      <c r="F1486" s="17"/>
      <c r="G1486" s="17"/>
      <c r="H1486" s="356"/>
      <c r="I1486" s="17"/>
      <c r="J1486" s="17"/>
      <c r="K1486" s="17"/>
      <c r="L1486" s="17"/>
      <c r="M1486" s="17"/>
      <c r="N1486" s="17"/>
      <c r="O1486" s="17"/>
      <c r="P1486" s="17"/>
      <c r="Q1486" s="17"/>
      <c r="R1486" s="17"/>
      <c r="S1486" s="17"/>
      <c r="T1486" s="17"/>
      <c r="U1486" s="17"/>
      <c r="V1486" s="17"/>
      <c r="W1486" s="17"/>
      <c r="X1486" s="17"/>
      <c r="Y1486" s="17"/>
      <c r="Z1486" s="17"/>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7"/>
      <c r="AW1486" s="17"/>
      <c r="AX1486" s="17"/>
      <c r="AY1486" s="17"/>
      <c r="AZ1486" s="17"/>
      <c r="BA1486" s="17"/>
      <c r="BB1486" s="17"/>
      <c r="BC1486" s="17"/>
      <c r="BD1486" s="17"/>
      <c r="BE1486" s="17"/>
      <c r="BF1486" s="17"/>
      <c r="BG1486" s="17"/>
      <c r="BH1486" s="17"/>
      <c r="BI1486" s="17"/>
      <c r="BJ1486" s="17"/>
      <c r="BK1486" s="17"/>
      <c r="BL1486" s="17"/>
    </row>
    <row r="1487">
      <c r="A1487" s="17"/>
      <c r="B1487" s="17"/>
      <c r="C1487" s="17"/>
      <c r="D1487" s="17"/>
      <c r="E1487" s="17"/>
      <c r="F1487" s="17"/>
      <c r="G1487" s="17"/>
      <c r="H1487" s="356"/>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c r="BA1487" s="17"/>
      <c r="BB1487" s="17"/>
      <c r="BC1487" s="17"/>
      <c r="BD1487" s="17"/>
      <c r="BE1487" s="17"/>
      <c r="BF1487" s="17"/>
      <c r="BG1487" s="17"/>
      <c r="BH1487" s="17"/>
      <c r="BI1487" s="17"/>
      <c r="BJ1487" s="17"/>
      <c r="BK1487" s="17"/>
      <c r="BL1487" s="17"/>
    </row>
    <row r="1488">
      <c r="A1488" s="17"/>
      <c r="B1488" s="17"/>
      <c r="C1488" s="17"/>
      <c r="D1488" s="17"/>
      <c r="E1488" s="17"/>
      <c r="F1488" s="17"/>
      <c r="G1488" s="17"/>
      <c r="H1488" s="356"/>
      <c r="I1488" s="17"/>
      <c r="J1488" s="17"/>
      <c r="K1488" s="17"/>
      <c r="L1488" s="17"/>
      <c r="M1488" s="17"/>
      <c r="N1488" s="17"/>
      <c r="O1488" s="17"/>
      <c r="P1488" s="17"/>
      <c r="Q1488" s="17"/>
      <c r="R1488" s="17"/>
      <c r="S1488" s="17"/>
      <c r="T1488" s="17"/>
      <c r="U1488" s="17"/>
      <c r="V1488" s="17"/>
      <c r="W1488" s="17"/>
      <c r="X1488" s="17"/>
      <c r="Y1488" s="17"/>
      <c r="Z1488" s="17"/>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c r="BA1488" s="17"/>
      <c r="BB1488" s="17"/>
      <c r="BC1488" s="17"/>
      <c r="BD1488" s="17"/>
      <c r="BE1488" s="17"/>
      <c r="BF1488" s="17"/>
      <c r="BG1488" s="17"/>
      <c r="BH1488" s="17"/>
      <c r="BI1488" s="17"/>
      <c r="BJ1488" s="17"/>
      <c r="BK1488" s="17"/>
      <c r="BL1488" s="17"/>
    </row>
    <row r="1489">
      <c r="A1489" s="17"/>
      <c r="B1489" s="17"/>
      <c r="C1489" s="17"/>
      <c r="D1489" s="17"/>
      <c r="E1489" s="17"/>
      <c r="F1489" s="17"/>
      <c r="G1489" s="17"/>
      <c r="H1489" s="356"/>
      <c r="I1489" s="17"/>
      <c r="J1489" s="17"/>
      <c r="K1489" s="17"/>
      <c r="L1489" s="17"/>
      <c r="M1489" s="17"/>
      <c r="N1489" s="17"/>
      <c r="O1489" s="17"/>
      <c r="P1489" s="17"/>
      <c r="Q1489" s="17"/>
      <c r="R1489" s="17"/>
      <c r="S1489" s="17"/>
      <c r="T1489" s="17"/>
      <c r="U1489" s="17"/>
      <c r="V1489" s="17"/>
      <c r="W1489" s="17"/>
      <c r="X1489" s="17"/>
      <c r="Y1489" s="17"/>
      <c r="Z1489" s="17"/>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c r="BA1489" s="17"/>
      <c r="BB1489" s="17"/>
      <c r="BC1489" s="17"/>
      <c r="BD1489" s="17"/>
      <c r="BE1489" s="17"/>
      <c r="BF1489" s="17"/>
      <c r="BG1489" s="17"/>
      <c r="BH1489" s="17"/>
      <c r="BI1489" s="17"/>
      <c r="BJ1489" s="17"/>
      <c r="BK1489" s="17"/>
      <c r="BL1489" s="17"/>
    </row>
    <row r="1490">
      <c r="A1490" s="17"/>
      <c r="B1490" s="17"/>
      <c r="C1490" s="17"/>
      <c r="D1490" s="17"/>
      <c r="E1490" s="17"/>
      <c r="F1490" s="17"/>
      <c r="G1490" s="17"/>
      <c r="H1490" s="356"/>
      <c r="I1490" s="17"/>
      <c r="J1490" s="17"/>
      <c r="K1490" s="17"/>
      <c r="L1490" s="17"/>
      <c r="M1490" s="17"/>
      <c r="N1490" s="17"/>
      <c r="O1490" s="17"/>
      <c r="P1490" s="17"/>
      <c r="Q1490" s="17"/>
      <c r="R1490" s="17"/>
      <c r="S1490" s="17"/>
      <c r="T1490" s="17"/>
      <c r="U1490" s="17"/>
      <c r="V1490" s="17"/>
      <c r="W1490" s="17"/>
      <c r="X1490" s="17"/>
      <c r="Y1490" s="17"/>
      <c r="Z1490" s="17"/>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c r="BA1490" s="17"/>
      <c r="BB1490" s="17"/>
      <c r="BC1490" s="17"/>
      <c r="BD1490" s="17"/>
      <c r="BE1490" s="17"/>
      <c r="BF1490" s="17"/>
      <c r="BG1490" s="17"/>
      <c r="BH1490" s="17"/>
      <c r="BI1490" s="17"/>
      <c r="BJ1490" s="17"/>
      <c r="BK1490" s="17"/>
      <c r="BL1490" s="17"/>
    </row>
    <row r="1491">
      <c r="A1491" s="17"/>
      <c r="B1491" s="17"/>
      <c r="C1491" s="17"/>
      <c r="D1491" s="17"/>
      <c r="E1491" s="17"/>
      <c r="F1491" s="17"/>
      <c r="G1491" s="17"/>
      <c r="H1491" s="356"/>
      <c r="I1491" s="17"/>
      <c r="J1491" s="17"/>
      <c r="K1491" s="17"/>
      <c r="L1491" s="17"/>
      <c r="M1491" s="17"/>
      <c r="N1491" s="17"/>
      <c r="O1491" s="17"/>
      <c r="P1491" s="17"/>
      <c r="Q1491" s="17"/>
      <c r="R1491" s="17"/>
      <c r="S1491" s="17"/>
      <c r="T1491" s="17"/>
      <c r="U1491" s="17"/>
      <c r="V1491" s="17"/>
      <c r="W1491" s="17"/>
      <c r="X1491" s="17"/>
      <c r="Y1491" s="17"/>
      <c r="Z1491" s="17"/>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c r="BA1491" s="17"/>
      <c r="BB1491" s="17"/>
      <c r="BC1491" s="17"/>
      <c r="BD1491" s="17"/>
      <c r="BE1491" s="17"/>
      <c r="BF1491" s="17"/>
      <c r="BG1491" s="17"/>
      <c r="BH1491" s="17"/>
      <c r="BI1491" s="17"/>
      <c r="BJ1491" s="17"/>
      <c r="BK1491" s="17"/>
      <c r="BL1491" s="17"/>
    </row>
    <row r="1492">
      <c r="A1492" s="17"/>
      <c r="B1492" s="17"/>
      <c r="C1492" s="17"/>
      <c r="D1492" s="17"/>
      <c r="E1492" s="17"/>
      <c r="F1492" s="17"/>
      <c r="G1492" s="17"/>
      <c r="H1492" s="356"/>
      <c r="I1492" s="17"/>
      <c r="J1492" s="17"/>
      <c r="K1492" s="17"/>
      <c r="L1492" s="17"/>
      <c r="M1492" s="17"/>
      <c r="N1492" s="17"/>
      <c r="O1492" s="17"/>
      <c r="P1492" s="17"/>
      <c r="Q1492" s="17"/>
      <c r="R1492" s="17"/>
      <c r="S1492" s="17"/>
      <c r="T1492" s="17"/>
      <c r="U1492" s="17"/>
      <c r="V1492" s="17"/>
      <c r="W1492" s="17"/>
      <c r="X1492" s="17"/>
      <c r="Y1492" s="17"/>
      <c r="Z1492" s="17"/>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c r="BA1492" s="17"/>
      <c r="BB1492" s="17"/>
      <c r="BC1492" s="17"/>
      <c r="BD1492" s="17"/>
      <c r="BE1492" s="17"/>
      <c r="BF1492" s="17"/>
      <c r="BG1492" s="17"/>
      <c r="BH1492" s="17"/>
      <c r="BI1492" s="17"/>
      <c r="BJ1492" s="17"/>
      <c r="BK1492" s="17"/>
      <c r="BL1492" s="17"/>
    </row>
    <row r="1493">
      <c r="A1493" s="17"/>
      <c r="B1493" s="17"/>
      <c r="C1493" s="17"/>
      <c r="D1493" s="17"/>
      <c r="E1493" s="17"/>
      <c r="F1493" s="17"/>
      <c r="G1493" s="17"/>
      <c r="H1493" s="356"/>
      <c r="I1493" s="17"/>
      <c r="J1493" s="17"/>
      <c r="K1493" s="17"/>
      <c r="L1493" s="17"/>
      <c r="M1493" s="17"/>
      <c r="N1493" s="17"/>
      <c r="O1493" s="17"/>
      <c r="P1493" s="17"/>
      <c r="Q1493" s="17"/>
      <c r="R1493" s="17"/>
      <c r="S1493" s="17"/>
      <c r="T1493" s="17"/>
      <c r="U1493" s="17"/>
      <c r="V1493" s="17"/>
      <c r="W1493" s="17"/>
      <c r="X1493" s="17"/>
      <c r="Y1493" s="17"/>
      <c r="Z1493" s="17"/>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c r="BA1493" s="17"/>
      <c r="BB1493" s="17"/>
      <c r="BC1493" s="17"/>
      <c r="BD1493" s="17"/>
      <c r="BE1493" s="17"/>
      <c r="BF1493" s="17"/>
      <c r="BG1493" s="17"/>
      <c r="BH1493" s="17"/>
      <c r="BI1493" s="17"/>
      <c r="BJ1493" s="17"/>
      <c r="BK1493" s="17"/>
      <c r="BL1493" s="17"/>
    </row>
    <row r="1494">
      <c r="A1494" s="17"/>
      <c r="B1494" s="17"/>
      <c r="C1494" s="17"/>
      <c r="D1494" s="17"/>
      <c r="E1494" s="17"/>
      <c r="F1494" s="17"/>
      <c r="G1494" s="17"/>
      <c r="H1494" s="356"/>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c r="BA1494" s="17"/>
      <c r="BB1494" s="17"/>
      <c r="BC1494" s="17"/>
      <c r="BD1494" s="17"/>
      <c r="BE1494" s="17"/>
      <c r="BF1494" s="17"/>
      <c r="BG1494" s="17"/>
      <c r="BH1494" s="17"/>
      <c r="BI1494" s="17"/>
      <c r="BJ1494" s="17"/>
      <c r="BK1494" s="17"/>
      <c r="BL1494" s="17"/>
    </row>
    <row r="1495">
      <c r="A1495" s="17"/>
      <c r="B1495" s="17"/>
      <c r="C1495" s="17"/>
      <c r="D1495" s="17"/>
      <c r="E1495" s="17"/>
      <c r="F1495" s="17"/>
      <c r="G1495" s="17"/>
      <c r="H1495" s="356"/>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c r="BA1495" s="17"/>
      <c r="BB1495" s="17"/>
      <c r="BC1495" s="17"/>
      <c r="BD1495" s="17"/>
      <c r="BE1495" s="17"/>
      <c r="BF1495" s="17"/>
      <c r="BG1495" s="17"/>
      <c r="BH1495" s="17"/>
      <c r="BI1495" s="17"/>
      <c r="BJ1495" s="17"/>
      <c r="BK1495" s="17"/>
      <c r="BL1495" s="17"/>
    </row>
    <row r="1496">
      <c r="A1496" s="17"/>
      <c r="B1496" s="17"/>
      <c r="C1496" s="17"/>
      <c r="D1496" s="17"/>
      <c r="E1496" s="17"/>
      <c r="F1496" s="17"/>
      <c r="G1496" s="17"/>
      <c r="H1496" s="356"/>
      <c r="I1496" s="17"/>
      <c r="J1496" s="17"/>
      <c r="K1496" s="17"/>
      <c r="L1496" s="17"/>
      <c r="M1496" s="17"/>
      <c r="N1496" s="17"/>
      <c r="O1496" s="17"/>
      <c r="P1496" s="17"/>
      <c r="Q1496" s="17"/>
      <c r="R1496" s="17"/>
      <c r="S1496" s="17"/>
      <c r="T1496" s="17"/>
      <c r="U1496" s="17"/>
      <c r="V1496" s="17"/>
      <c r="W1496" s="17"/>
      <c r="X1496" s="17"/>
      <c r="Y1496" s="17"/>
      <c r="Z1496" s="17"/>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c r="BA1496" s="17"/>
      <c r="BB1496" s="17"/>
      <c r="BC1496" s="17"/>
      <c r="BD1496" s="17"/>
      <c r="BE1496" s="17"/>
      <c r="BF1496" s="17"/>
      <c r="BG1496" s="17"/>
      <c r="BH1496" s="17"/>
      <c r="BI1496" s="17"/>
      <c r="BJ1496" s="17"/>
      <c r="BK1496" s="17"/>
      <c r="BL1496" s="17"/>
    </row>
    <row r="1497">
      <c r="A1497" s="17"/>
      <c r="B1497" s="17"/>
      <c r="C1497" s="17"/>
      <c r="D1497" s="17"/>
      <c r="E1497" s="17"/>
      <c r="F1497" s="17"/>
      <c r="G1497" s="17"/>
      <c r="H1497" s="356"/>
      <c r="I1497" s="17"/>
      <c r="J1497" s="17"/>
      <c r="K1497" s="17"/>
      <c r="L1497" s="17"/>
      <c r="M1497" s="17"/>
      <c r="N1497" s="17"/>
      <c r="O1497" s="17"/>
      <c r="P1497" s="17"/>
      <c r="Q1497" s="17"/>
      <c r="R1497" s="17"/>
      <c r="S1497" s="17"/>
      <c r="T1497" s="17"/>
      <c r="U1497" s="17"/>
      <c r="V1497" s="17"/>
      <c r="W1497" s="17"/>
      <c r="X1497" s="17"/>
      <c r="Y1497" s="17"/>
      <c r="Z1497" s="17"/>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c r="BA1497" s="17"/>
      <c r="BB1497" s="17"/>
      <c r="BC1497" s="17"/>
      <c r="BD1497" s="17"/>
      <c r="BE1497" s="17"/>
      <c r="BF1497" s="17"/>
      <c r="BG1497" s="17"/>
      <c r="BH1497" s="17"/>
      <c r="BI1497" s="17"/>
      <c r="BJ1497" s="17"/>
      <c r="BK1497" s="17"/>
      <c r="BL1497" s="17"/>
    </row>
    <row r="1498">
      <c r="A1498" s="17"/>
      <c r="B1498" s="17"/>
      <c r="C1498" s="17"/>
      <c r="D1498" s="17"/>
      <c r="E1498" s="17"/>
      <c r="F1498" s="17"/>
      <c r="G1498" s="17"/>
      <c r="H1498" s="356"/>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c r="AV1498" s="17"/>
      <c r="AW1498" s="17"/>
      <c r="AX1498" s="17"/>
      <c r="AY1498" s="17"/>
      <c r="AZ1498" s="17"/>
      <c r="BA1498" s="17"/>
      <c r="BB1498" s="17"/>
      <c r="BC1498" s="17"/>
      <c r="BD1498" s="17"/>
      <c r="BE1498" s="17"/>
      <c r="BF1498" s="17"/>
      <c r="BG1498" s="17"/>
      <c r="BH1498" s="17"/>
      <c r="BI1498" s="17"/>
      <c r="BJ1498" s="17"/>
      <c r="BK1498" s="17"/>
      <c r="BL1498" s="17"/>
    </row>
    <row r="1499">
      <c r="A1499" s="17"/>
      <c r="B1499" s="17"/>
      <c r="C1499" s="17"/>
      <c r="D1499" s="17"/>
      <c r="E1499" s="17"/>
      <c r="F1499" s="17"/>
      <c r="G1499" s="17"/>
      <c r="H1499" s="356"/>
      <c r="I1499" s="17"/>
      <c r="J1499" s="17"/>
      <c r="K1499" s="17"/>
      <c r="L1499" s="17"/>
      <c r="M1499" s="17"/>
      <c r="N1499" s="17"/>
      <c r="O1499" s="17"/>
      <c r="P1499" s="17"/>
      <c r="Q1499" s="17"/>
      <c r="R1499" s="17"/>
      <c r="S1499" s="17"/>
      <c r="T1499" s="17"/>
      <c r="U1499" s="17"/>
      <c r="V1499" s="17"/>
      <c r="W1499" s="17"/>
      <c r="X1499" s="17"/>
      <c r="Y1499" s="17"/>
      <c r="Z1499" s="17"/>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c r="AV1499" s="17"/>
      <c r="AW1499" s="17"/>
      <c r="AX1499" s="17"/>
      <c r="AY1499" s="17"/>
      <c r="AZ1499" s="17"/>
      <c r="BA1499" s="17"/>
      <c r="BB1499" s="17"/>
      <c r="BC1499" s="17"/>
      <c r="BD1499" s="17"/>
      <c r="BE1499" s="17"/>
      <c r="BF1499" s="17"/>
      <c r="BG1499" s="17"/>
      <c r="BH1499" s="17"/>
      <c r="BI1499" s="17"/>
      <c r="BJ1499" s="17"/>
      <c r="BK1499" s="17"/>
      <c r="BL1499" s="17"/>
    </row>
    <row r="1500">
      <c r="A1500" s="17"/>
      <c r="B1500" s="17"/>
      <c r="C1500" s="17"/>
      <c r="D1500" s="17"/>
      <c r="E1500" s="17"/>
      <c r="F1500" s="17"/>
      <c r="G1500" s="17"/>
      <c r="H1500" s="356"/>
      <c r="I1500" s="17"/>
      <c r="J1500" s="17"/>
      <c r="K1500" s="17"/>
      <c r="L1500" s="17"/>
      <c r="M1500" s="17"/>
      <c r="N1500" s="17"/>
      <c r="O1500" s="17"/>
      <c r="P1500" s="17"/>
      <c r="Q1500" s="17"/>
      <c r="R1500" s="17"/>
      <c r="S1500" s="17"/>
      <c r="T1500" s="17"/>
      <c r="U1500" s="17"/>
      <c r="V1500" s="17"/>
      <c r="W1500" s="17"/>
      <c r="X1500" s="17"/>
      <c r="Y1500" s="17"/>
      <c r="Z1500" s="17"/>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c r="BA1500" s="17"/>
      <c r="BB1500" s="17"/>
      <c r="BC1500" s="17"/>
      <c r="BD1500" s="17"/>
      <c r="BE1500" s="17"/>
      <c r="BF1500" s="17"/>
      <c r="BG1500" s="17"/>
      <c r="BH1500" s="17"/>
      <c r="BI1500" s="17"/>
      <c r="BJ1500" s="17"/>
      <c r="BK1500" s="17"/>
      <c r="BL1500" s="17"/>
    </row>
    <row r="1501">
      <c r="A1501" s="17"/>
      <c r="B1501" s="17"/>
      <c r="C1501" s="17"/>
      <c r="D1501" s="17"/>
      <c r="E1501" s="17"/>
      <c r="F1501" s="17"/>
      <c r="G1501" s="17"/>
      <c r="H1501" s="356"/>
      <c r="I1501" s="17"/>
      <c r="J1501" s="17"/>
      <c r="K1501" s="17"/>
      <c r="L1501" s="17"/>
      <c r="M1501" s="17"/>
      <c r="N1501" s="17"/>
      <c r="O1501" s="17"/>
      <c r="P1501" s="17"/>
      <c r="Q1501" s="17"/>
      <c r="R1501" s="17"/>
      <c r="S1501" s="17"/>
      <c r="T1501" s="17"/>
      <c r="U1501" s="17"/>
      <c r="V1501" s="17"/>
      <c r="W1501" s="17"/>
      <c r="X1501" s="17"/>
      <c r="Y1501" s="17"/>
      <c r="Z1501" s="17"/>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c r="BA1501" s="17"/>
      <c r="BB1501" s="17"/>
      <c r="BC1501" s="17"/>
      <c r="BD1501" s="17"/>
      <c r="BE1501" s="17"/>
      <c r="BF1501" s="17"/>
      <c r="BG1501" s="17"/>
      <c r="BH1501" s="17"/>
      <c r="BI1501" s="17"/>
      <c r="BJ1501" s="17"/>
      <c r="BK1501" s="17"/>
      <c r="BL1501" s="17"/>
    </row>
    <row r="1502">
      <c r="A1502" s="17"/>
      <c r="B1502" s="17"/>
      <c r="C1502" s="17"/>
      <c r="D1502" s="17"/>
      <c r="E1502" s="17"/>
      <c r="F1502" s="17"/>
      <c r="G1502" s="17"/>
      <c r="H1502" s="356"/>
      <c r="I1502" s="17"/>
      <c r="J1502" s="17"/>
      <c r="K1502" s="17"/>
      <c r="L1502" s="17"/>
      <c r="M1502" s="17"/>
      <c r="N1502" s="17"/>
      <c r="O1502" s="17"/>
      <c r="P1502" s="17"/>
      <c r="Q1502" s="17"/>
      <c r="R1502" s="17"/>
      <c r="S1502" s="17"/>
      <c r="T1502" s="17"/>
      <c r="U1502" s="17"/>
      <c r="V1502" s="17"/>
      <c r="W1502" s="17"/>
      <c r="X1502" s="17"/>
      <c r="Y1502" s="17"/>
      <c r="Z1502" s="17"/>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c r="BA1502" s="17"/>
      <c r="BB1502" s="17"/>
      <c r="BC1502" s="17"/>
      <c r="BD1502" s="17"/>
      <c r="BE1502" s="17"/>
      <c r="BF1502" s="17"/>
      <c r="BG1502" s="17"/>
      <c r="BH1502" s="17"/>
      <c r="BI1502" s="17"/>
      <c r="BJ1502" s="17"/>
      <c r="BK1502" s="17"/>
      <c r="BL1502" s="17"/>
    </row>
    <row r="1503">
      <c r="A1503" s="17"/>
      <c r="B1503" s="17"/>
      <c r="C1503" s="17"/>
      <c r="D1503" s="17"/>
      <c r="E1503" s="17"/>
      <c r="F1503" s="17"/>
      <c r="G1503" s="17"/>
      <c r="H1503" s="356"/>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c r="BA1503" s="17"/>
      <c r="BB1503" s="17"/>
      <c r="BC1503" s="17"/>
      <c r="BD1503" s="17"/>
      <c r="BE1503" s="17"/>
      <c r="BF1503" s="17"/>
      <c r="BG1503" s="17"/>
      <c r="BH1503" s="17"/>
      <c r="BI1503" s="17"/>
      <c r="BJ1503" s="17"/>
      <c r="BK1503" s="17"/>
      <c r="BL1503" s="17"/>
    </row>
    <row r="1504">
      <c r="A1504" s="17"/>
      <c r="B1504" s="17"/>
      <c r="C1504" s="17"/>
      <c r="D1504" s="17"/>
      <c r="E1504" s="17"/>
      <c r="F1504" s="17"/>
      <c r="G1504" s="17"/>
      <c r="H1504" s="356"/>
      <c r="I1504" s="17"/>
      <c r="J1504" s="17"/>
      <c r="K1504" s="17"/>
      <c r="L1504" s="17"/>
      <c r="M1504" s="17"/>
      <c r="N1504" s="17"/>
      <c r="O1504" s="17"/>
      <c r="P1504" s="17"/>
      <c r="Q1504" s="17"/>
      <c r="R1504" s="17"/>
      <c r="S1504" s="17"/>
      <c r="T1504" s="17"/>
      <c r="U1504" s="17"/>
      <c r="V1504" s="17"/>
      <c r="W1504" s="17"/>
      <c r="X1504" s="17"/>
      <c r="Y1504" s="17"/>
      <c r="Z1504" s="17"/>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c r="BA1504" s="17"/>
      <c r="BB1504" s="17"/>
      <c r="BC1504" s="17"/>
      <c r="BD1504" s="17"/>
      <c r="BE1504" s="17"/>
      <c r="BF1504" s="17"/>
      <c r="BG1504" s="17"/>
      <c r="BH1504" s="17"/>
      <c r="BI1504" s="17"/>
      <c r="BJ1504" s="17"/>
      <c r="BK1504" s="17"/>
      <c r="BL1504" s="17"/>
    </row>
    <row r="1505">
      <c r="A1505" s="17"/>
      <c r="B1505" s="17"/>
      <c r="C1505" s="17"/>
      <c r="D1505" s="17"/>
      <c r="E1505" s="17"/>
      <c r="F1505" s="17"/>
      <c r="G1505" s="17"/>
      <c r="H1505" s="356"/>
      <c r="I1505" s="17"/>
      <c r="J1505" s="17"/>
      <c r="K1505" s="17"/>
      <c r="L1505" s="17"/>
      <c r="M1505" s="17"/>
      <c r="N1505" s="17"/>
      <c r="O1505" s="17"/>
      <c r="P1505" s="17"/>
      <c r="Q1505" s="17"/>
      <c r="R1505" s="17"/>
      <c r="S1505" s="17"/>
      <c r="T1505" s="17"/>
      <c r="U1505" s="17"/>
      <c r="V1505" s="17"/>
      <c r="W1505" s="17"/>
      <c r="X1505" s="17"/>
      <c r="Y1505" s="17"/>
      <c r="Z1505" s="17"/>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c r="BA1505" s="17"/>
      <c r="BB1505" s="17"/>
      <c r="BC1505" s="17"/>
      <c r="BD1505" s="17"/>
      <c r="BE1505" s="17"/>
      <c r="BF1505" s="17"/>
      <c r="BG1505" s="17"/>
      <c r="BH1505" s="17"/>
      <c r="BI1505" s="17"/>
      <c r="BJ1505" s="17"/>
      <c r="BK1505" s="17"/>
      <c r="BL1505" s="17"/>
    </row>
    <row r="1506">
      <c r="A1506" s="17"/>
      <c r="B1506" s="17"/>
      <c r="C1506" s="17"/>
      <c r="D1506" s="17"/>
      <c r="E1506" s="17"/>
      <c r="F1506" s="17"/>
      <c r="G1506" s="17"/>
      <c r="H1506" s="356"/>
      <c r="I1506" s="17"/>
      <c r="J1506" s="17"/>
      <c r="K1506" s="17"/>
      <c r="L1506" s="17"/>
      <c r="M1506" s="17"/>
      <c r="N1506" s="17"/>
      <c r="O1506" s="17"/>
      <c r="P1506" s="17"/>
      <c r="Q1506" s="17"/>
      <c r="R1506" s="17"/>
      <c r="S1506" s="17"/>
      <c r="T1506" s="17"/>
      <c r="U1506" s="17"/>
      <c r="V1506" s="17"/>
      <c r="W1506" s="17"/>
      <c r="X1506" s="17"/>
      <c r="Y1506" s="17"/>
      <c r="Z1506" s="17"/>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c r="BA1506" s="17"/>
      <c r="BB1506" s="17"/>
      <c r="BC1506" s="17"/>
      <c r="BD1506" s="17"/>
      <c r="BE1506" s="17"/>
      <c r="BF1506" s="17"/>
      <c r="BG1506" s="17"/>
      <c r="BH1506" s="17"/>
      <c r="BI1506" s="17"/>
      <c r="BJ1506" s="17"/>
      <c r="BK1506" s="17"/>
      <c r="BL1506" s="17"/>
    </row>
    <row r="1507">
      <c r="A1507" s="17"/>
      <c r="B1507" s="17"/>
      <c r="C1507" s="17"/>
      <c r="D1507" s="17"/>
      <c r="E1507" s="17"/>
      <c r="F1507" s="17"/>
      <c r="G1507" s="17"/>
      <c r="H1507" s="356"/>
      <c r="I1507" s="17"/>
      <c r="J1507" s="17"/>
      <c r="K1507" s="17"/>
      <c r="L1507" s="17"/>
      <c r="M1507" s="17"/>
      <c r="N1507" s="17"/>
      <c r="O1507" s="17"/>
      <c r="P1507" s="17"/>
      <c r="Q1507" s="17"/>
      <c r="R1507" s="17"/>
      <c r="S1507" s="17"/>
      <c r="T1507" s="17"/>
      <c r="U1507" s="17"/>
      <c r="V1507" s="17"/>
      <c r="W1507" s="17"/>
      <c r="X1507" s="17"/>
      <c r="Y1507" s="17"/>
      <c r="Z1507" s="17"/>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c r="BA1507" s="17"/>
      <c r="BB1507" s="17"/>
      <c r="BC1507" s="17"/>
      <c r="BD1507" s="17"/>
      <c r="BE1507" s="17"/>
      <c r="BF1507" s="17"/>
      <c r="BG1507" s="17"/>
      <c r="BH1507" s="17"/>
      <c r="BI1507" s="17"/>
      <c r="BJ1507" s="17"/>
      <c r="BK1507" s="17"/>
      <c r="BL1507" s="17"/>
    </row>
    <row r="1508">
      <c r="A1508" s="17"/>
      <c r="B1508" s="17"/>
      <c r="C1508" s="17"/>
      <c r="D1508" s="17"/>
      <c r="E1508" s="17"/>
      <c r="F1508" s="17"/>
      <c r="G1508" s="17"/>
      <c r="H1508" s="356"/>
      <c r="I1508" s="17"/>
      <c r="J1508" s="17"/>
      <c r="K1508" s="17"/>
      <c r="L1508" s="17"/>
      <c r="M1508" s="17"/>
      <c r="N1508" s="17"/>
      <c r="O1508" s="17"/>
      <c r="P1508" s="17"/>
      <c r="Q1508" s="17"/>
      <c r="R1508" s="17"/>
      <c r="S1508" s="17"/>
      <c r="T1508" s="17"/>
      <c r="U1508" s="17"/>
      <c r="V1508" s="17"/>
      <c r="W1508" s="17"/>
      <c r="X1508" s="17"/>
      <c r="Y1508" s="17"/>
      <c r="Z1508" s="17"/>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c r="BA1508" s="17"/>
      <c r="BB1508" s="17"/>
      <c r="BC1508" s="17"/>
      <c r="BD1508" s="17"/>
      <c r="BE1508" s="17"/>
      <c r="BF1508" s="17"/>
      <c r="BG1508" s="17"/>
      <c r="BH1508" s="17"/>
      <c r="BI1508" s="17"/>
      <c r="BJ1508" s="17"/>
      <c r="BK1508" s="17"/>
      <c r="BL1508" s="17"/>
    </row>
    <row r="1509">
      <c r="A1509" s="17"/>
      <c r="B1509" s="17"/>
      <c r="C1509" s="17"/>
      <c r="D1509" s="17"/>
      <c r="E1509" s="17"/>
      <c r="F1509" s="17"/>
      <c r="G1509" s="17"/>
      <c r="H1509" s="356"/>
      <c r="I1509" s="17"/>
      <c r="J1509" s="17"/>
      <c r="K1509" s="17"/>
      <c r="L1509" s="17"/>
      <c r="M1509" s="17"/>
      <c r="N1509" s="17"/>
      <c r="O1509" s="17"/>
      <c r="P1509" s="17"/>
      <c r="Q1509" s="17"/>
      <c r="R1509" s="17"/>
      <c r="S1509" s="17"/>
      <c r="T1509" s="17"/>
      <c r="U1509" s="17"/>
      <c r="V1509" s="17"/>
      <c r="W1509" s="17"/>
      <c r="X1509" s="17"/>
      <c r="Y1509" s="17"/>
      <c r="Z1509" s="17"/>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c r="BA1509" s="17"/>
      <c r="BB1509" s="17"/>
      <c r="BC1509" s="17"/>
      <c r="BD1509" s="17"/>
      <c r="BE1509" s="17"/>
      <c r="BF1509" s="17"/>
      <c r="BG1509" s="17"/>
      <c r="BH1509" s="17"/>
      <c r="BI1509" s="17"/>
      <c r="BJ1509" s="17"/>
      <c r="BK1509" s="17"/>
      <c r="BL1509" s="17"/>
    </row>
    <row r="1510">
      <c r="A1510" s="17"/>
      <c r="B1510" s="17"/>
      <c r="C1510" s="17"/>
      <c r="D1510" s="17"/>
      <c r="E1510" s="17"/>
      <c r="F1510" s="17"/>
      <c r="G1510" s="17"/>
      <c r="H1510" s="356"/>
      <c r="I1510" s="17"/>
      <c r="J1510" s="17"/>
      <c r="K1510" s="17"/>
      <c r="L1510" s="17"/>
      <c r="M1510" s="17"/>
      <c r="N1510" s="17"/>
      <c r="O1510" s="17"/>
      <c r="P1510" s="17"/>
      <c r="Q1510" s="17"/>
      <c r="R1510" s="17"/>
      <c r="S1510" s="17"/>
      <c r="T1510" s="17"/>
      <c r="U1510" s="17"/>
      <c r="V1510" s="17"/>
      <c r="W1510" s="17"/>
      <c r="X1510" s="17"/>
      <c r="Y1510" s="17"/>
      <c r="Z1510" s="17"/>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c r="BA1510" s="17"/>
      <c r="BB1510" s="17"/>
      <c r="BC1510" s="17"/>
      <c r="BD1510" s="17"/>
      <c r="BE1510" s="17"/>
      <c r="BF1510" s="17"/>
      <c r="BG1510" s="17"/>
      <c r="BH1510" s="17"/>
      <c r="BI1510" s="17"/>
      <c r="BJ1510" s="17"/>
      <c r="BK1510" s="17"/>
      <c r="BL1510" s="17"/>
    </row>
    <row r="1511">
      <c r="A1511" s="17"/>
      <c r="B1511" s="17"/>
      <c r="C1511" s="17"/>
      <c r="D1511" s="17"/>
      <c r="E1511" s="17"/>
      <c r="F1511" s="17"/>
      <c r="G1511" s="17"/>
      <c r="H1511" s="356"/>
      <c r="I1511" s="17"/>
      <c r="J1511" s="17"/>
      <c r="K1511" s="17"/>
      <c r="L1511" s="17"/>
      <c r="M1511" s="17"/>
      <c r="N1511" s="17"/>
      <c r="O1511" s="17"/>
      <c r="P1511" s="17"/>
      <c r="Q1511" s="17"/>
      <c r="R1511" s="17"/>
      <c r="S1511" s="17"/>
      <c r="T1511" s="17"/>
      <c r="U1511" s="17"/>
      <c r="V1511" s="17"/>
      <c r="W1511" s="17"/>
      <c r="X1511" s="17"/>
      <c r="Y1511" s="17"/>
      <c r="Z1511" s="17"/>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c r="BA1511" s="17"/>
      <c r="BB1511" s="17"/>
      <c r="BC1511" s="17"/>
      <c r="BD1511" s="17"/>
      <c r="BE1511" s="17"/>
      <c r="BF1511" s="17"/>
      <c r="BG1511" s="17"/>
      <c r="BH1511" s="17"/>
      <c r="BI1511" s="17"/>
      <c r="BJ1511" s="17"/>
      <c r="BK1511" s="17"/>
      <c r="BL1511" s="17"/>
    </row>
    <row r="1512">
      <c r="A1512" s="17"/>
      <c r="B1512" s="17"/>
      <c r="C1512" s="17"/>
      <c r="D1512" s="17"/>
      <c r="E1512" s="17"/>
      <c r="F1512" s="17"/>
      <c r="G1512" s="17"/>
      <c r="H1512" s="356"/>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c r="BA1512" s="17"/>
      <c r="BB1512" s="17"/>
      <c r="BC1512" s="17"/>
      <c r="BD1512" s="17"/>
      <c r="BE1512" s="17"/>
      <c r="BF1512" s="17"/>
      <c r="BG1512" s="17"/>
      <c r="BH1512" s="17"/>
      <c r="BI1512" s="17"/>
      <c r="BJ1512" s="17"/>
      <c r="BK1512" s="17"/>
      <c r="BL1512" s="17"/>
    </row>
    <row r="1513">
      <c r="A1513" s="17"/>
      <c r="B1513" s="17"/>
      <c r="C1513" s="17"/>
      <c r="D1513" s="17"/>
      <c r="E1513" s="17"/>
      <c r="F1513" s="17"/>
      <c r="G1513" s="17"/>
      <c r="H1513" s="356"/>
      <c r="I1513" s="17"/>
      <c r="J1513" s="17"/>
      <c r="K1513" s="17"/>
      <c r="L1513" s="17"/>
      <c r="M1513" s="17"/>
      <c r="N1513" s="17"/>
      <c r="O1513" s="17"/>
      <c r="P1513" s="17"/>
      <c r="Q1513" s="17"/>
      <c r="R1513" s="17"/>
      <c r="S1513" s="17"/>
      <c r="T1513" s="17"/>
      <c r="U1513" s="17"/>
      <c r="V1513" s="17"/>
      <c r="W1513" s="17"/>
      <c r="X1513" s="17"/>
      <c r="Y1513" s="17"/>
      <c r="Z1513" s="17"/>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c r="AV1513" s="17"/>
      <c r="AW1513" s="17"/>
      <c r="AX1513" s="17"/>
      <c r="AY1513" s="17"/>
      <c r="AZ1513" s="17"/>
      <c r="BA1513" s="17"/>
      <c r="BB1513" s="17"/>
      <c r="BC1513" s="17"/>
      <c r="BD1513" s="17"/>
      <c r="BE1513" s="17"/>
      <c r="BF1513" s="17"/>
      <c r="BG1513" s="17"/>
      <c r="BH1513" s="17"/>
      <c r="BI1513" s="17"/>
      <c r="BJ1513" s="17"/>
      <c r="BK1513" s="17"/>
      <c r="BL1513" s="17"/>
    </row>
    <row r="1514">
      <c r="A1514" s="17"/>
      <c r="B1514" s="17"/>
      <c r="C1514" s="17"/>
      <c r="D1514" s="17"/>
      <c r="E1514" s="17"/>
      <c r="F1514" s="17"/>
      <c r="G1514" s="17"/>
      <c r="H1514" s="356"/>
      <c r="I1514" s="17"/>
      <c r="J1514" s="17"/>
      <c r="K1514" s="17"/>
      <c r="L1514" s="17"/>
      <c r="M1514" s="17"/>
      <c r="N1514" s="17"/>
      <c r="O1514" s="17"/>
      <c r="P1514" s="17"/>
      <c r="Q1514" s="17"/>
      <c r="R1514" s="17"/>
      <c r="S1514" s="17"/>
      <c r="T1514" s="17"/>
      <c r="U1514" s="17"/>
      <c r="V1514" s="17"/>
      <c r="W1514" s="17"/>
      <c r="X1514" s="17"/>
      <c r="Y1514" s="17"/>
      <c r="Z1514" s="17"/>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c r="AV1514" s="17"/>
      <c r="AW1514" s="17"/>
      <c r="AX1514" s="17"/>
      <c r="AY1514" s="17"/>
      <c r="AZ1514" s="17"/>
      <c r="BA1514" s="17"/>
      <c r="BB1514" s="17"/>
      <c r="BC1514" s="17"/>
      <c r="BD1514" s="17"/>
      <c r="BE1514" s="17"/>
      <c r="BF1514" s="17"/>
      <c r="BG1514" s="17"/>
      <c r="BH1514" s="17"/>
      <c r="BI1514" s="17"/>
      <c r="BJ1514" s="17"/>
      <c r="BK1514" s="17"/>
      <c r="BL1514" s="17"/>
    </row>
    <row r="1515">
      <c r="A1515" s="17"/>
      <c r="B1515" s="17"/>
      <c r="C1515" s="17"/>
      <c r="D1515" s="17"/>
      <c r="E1515" s="17"/>
      <c r="F1515" s="17"/>
      <c r="G1515" s="17"/>
      <c r="H1515" s="356"/>
      <c r="I1515" s="17"/>
      <c r="J1515" s="17"/>
      <c r="K1515" s="17"/>
      <c r="L1515" s="17"/>
      <c r="M1515" s="17"/>
      <c r="N1515" s="17"/>
      <c r="O1515" s="17"/>
      <c r="P1515" s="17"/>
      <c r="Q1515" s="17"/>
      <c r="R1515" s="17"/>
      <c r="S1515" s="17"/>
      <c r="T1515" s="17"/>
      <c r="U1515" s="17"/>
      <c r="V1515" s="17"/>
      <c r="W1515" s="17"/>
      <c r="X1515" s="17"/>
      <c r="Y1515" s="17"/>
      <c r="Z1515" s="17"/>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c r="BA1515" s="17"/>
      <c r="BB1515" s="17"/>
      <c r="BC1515" s="17"/>
      <c r="BD1515" s="17"/>
      <c r="BE1515" s="17"/>
      <c r="BF1515" s="17"/>
      <c r="BG1515" s="17"/>
      <c r="BH1515" s="17"/>
      <c r="BI1515" s="17"/>
      <c r="BJ1515" s="17"/>
      <c r="BK1515" s="17"/>
      <c r="BL1515" s="17"/>
    </row>
    <row r="1516">
      <c r="A1516" s="17"/>
      <c r="B1516" s="17"/>
      <c r="C1516" s="17"/>
      <c r="D1516" s="17"/>
      <c r="E1516" s="17"/>
      <c r="F1516" s="17"/>
      <c r="G1516" s="17"/>
      <c r="H1516" s="356"/>
      <c r="I1516" s="17"/>
      <c r="J1516" s="17"/>
      <c r="K1516" s="17"/>
      <c r="L1516" s="17"/>
      <c r="M1516" s="17"/>
      <c r="N1516" s="17"/>
      <c r="O1516" s="17"/>
      <c r="P1516" s="17"/>
      <c r="Q1516" s="17"/>
      <c r="R1516" s="17"/>
      <c r="S1516" s="17"/>
      <c r="T1516" s="17"/>
      <c r="U1516" s="17"/>
      <c r="V1516" s="17"/>
      <c r="W1516" s="17"/>
      <c r="X1516" s="17"/>
      <c r="Y1516" s="17"/>
      <c r="Z1516" s="17"/>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c r="BA1516" s="17"/>
      <c r="BB1516" s="17"/>
      <c r="BC1516" s="17"/>
      <c r="BD1516" s="17"/>
      <c r="BE1516" s="17"/>
      <c r="BF1516" s="17"/>
      <c r="BG1516" s="17"/>
      <c r="BH1516" s="17"/>
      <c r="BI1516" s="17"/>
      <c r="BJ1516" s="17"/>
      <c r="BK1516" s="17"/>
      <c r="BL1516" s="17"/>
    </row>
    <row r="1517">
      <c r="A1517" s="17"/>
      <c r="B1517" s="17"/>
      <c r="C1517" s="17"/>
      <c r="D1517" s="17"/>
      <c r="E1517" s="17"/>
      <c r="F1517" s="17"/>
      <c r="G1517" s="17"/>
      <c r="H1517" s="356"/>
      <c r="I1517" s="17"/>
      <c r="J1517" s="17"/>
      <c r="K1517" s="17"/>
      <c r="L1517" s="17"/>
      <c r="M1517" s="17"/>
      <c r="N1517" s="17"/>
      <c r="O1517" s="17"/>
      <c r="P1517" s="17"/>
      <c r="Q1517" s="17"/>
      <c r="R1517" s="17"/>
      <c r="S1517" s="17"/>
      <c r="T1517" s="17"/>
      <c r="U1517" s="17"/>
      <c r="V1517" s="17"/>
      <c r="W1517" s="17"/>
      <c r="X1517" s="17"/>
      <c r="Y1517" s="17"/>
      <c r="Z1517" s="17"/>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c r="BA1517" s="17"/>
      <c r="BB1517" s="17"/>
      <c r="BC1517" s="17"/>
      <c r="BD1517" s="17"/>
      <c r="BE1517" s="17"/>
      <c r="BF1517" s="17"/>
      <c r="BG1517" s="17"/>
      <c r="BH1517" s="17"/>
      <c r="BI1517" s="17"/>
      <c r="BJ1517" s="17"/>
      <c r="BK1517" s="17"/>
      <c r="BL1517" s="17"/>
    </row>
    <row r="1518">
      <c r="A1518" s="17"/>
      <c r="B1518" s="17"/>
      <c r="C1518" s="17"/>
      <c r="D1518" s="17"/>
      <c r="E1518" s="17"/>
      <c r="F1518" s="17"/>
      <c r="G1518" s="17"/>
      <c r="H1518" s="356"/>
      <c r="I1518" s="17"/>
      <c r="J1518" s="17"/>
      <c r="K1518" s="17"/>
      <c r="L1518" s="17"/>
      <c r="M1518" s="17"/>
      <c r="N1518" s="17"/>
      <c r="O1518" s="17"/>
      <c r="P1518" s="17"/>
      <c r="Q1518" s="17"/>
      <c r="R1518" s="17"/>
      <c r="S1518" s="17"/>
      <c r="T1518" s="17"/>
      <c r="U1518" s="17"/>
      <c r="V1518" s="17"/>
      <c r="W1518" s="17"/>
      <c r="X1518" s="17"/>
      <c r="Y1518" s="17"/>
      <c r="Z1518" s="17"/>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c r="BA1518" s="17"/>
      <c r="BB1518" s="17"/>
      <c r="BC1518" s="17"/>
      <c r="BD1518" s="17"/>
      <c r="BE1518" s="17"/>
      <c r="BF1518" s="17"/>
      <c r="BG1518" s="17"/>
      <c r="BH1518" s="17"/>
      <c r="BI1518" s="17"/>
      <c r="BJ1518" s="17"/>
      <c r="BK1518" s="17"/>
      <c r="BL1518" s="17"/>
    </row>
    <row r="1519">
      <c r="A1519" s="17"/>
      <c r="B1519" s="17"/>
      <c r="C1519" s="17"/>
      <c r="D1519" s="17"/>
      <c r="E1519" s="17"/>
      <c r="F1519" s="17"/>
      <c r="G1519" s="17"/>
      <c r="H1519" s="356"/>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c r="BA1519" s="17"/>
      <c r="BB1519" s="17"/>
      <c r="BC1519" s="17"/>
      <c r="BD1519" s="17"/>
      <c r="BE1519" s="17"/>
      <c r="BF1519" s="17"/>
      <c r="BG1519" s="17"/>
      <c r="BH1519" s="17"/>
      <c r="BI1519" s="17"/>
      <c r="BJ1519" s="17"/>
      <c r="BK1519" s="17"/>
      <c r="BL1519" s="17"/>
    </row>
    <row r="1520">
      <c r="A1520" s="17"/>
      <c r="B1520" s="17"/>
      <c r="C1520" s="17"/>
      <c r="D1520" s="17"/>
      <c r="E1520" s="17"/>
      <c r="F1520" s="17"/>
      <c r="G1520" s="17"/>
      <c r="H1520" s="356"/>
      <c r="I1520" s="17"/>
      <c r="J1520" s="17"/>
      <c r="K1520" s="17"/>
      <c r="L1520" s="17"/>
      <c r="M1520" s="17"/>
      <c r="N1520" s="17"/>
      <c r="O1520" s="17"/>
      <c r="P1520" s="17"/>
      <c r="Q1520" s="17"/>
      <c r="R1520" s="17"/>
      <c r="S1520" s="17"/>
      <c r="T1520" s="17"/>
      <c r="U1520" s="17"/>
      <c r="V1520" s="17"/>
      <c r="W1520" s="17"/>
      <c r="X1520" s="17"/>
      <c r="Y1520" s="17"/>
      <c r="Z1520" s="17"/>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c r="BA1520" s="17"/>
      <c r="BB1520" s="17"/>
      <c r="BC1520" s="17"/>
      <c r="BD1520" s="17"/>
      <c r="BE1520" s="17"/>
      <c r="BF1520" s="17"/>
      <c r="BG1520" s="17"/>
      <c r="BH1520" s="17"/>
      <c r="BI1520" s="17"/>
      <c r="BJ1520" s="17"/>
      <c r="BK1520" s="17"/>
      <c r="BL1520" s="17"/>
    </row>
    <row r="1521">
      <c r="A1521" s="17"/>
      <c r="B1521" s="17"/>
      <c r="C1521" s="17"/>
      <c r="D1521" s="17"/>
      <c r="E1521" s="17"/>
      <c r="F1521" s="17"/>
      <c r="G1521" s="17"/>
      <c r="H1521" s="356"/>
      <c r="I1521" s="17"/>
      <c r="J1521" s="17"/>
      <c r="K1521" s="17"/>
      <c r="L1521" s="17"/>
      <c r="M1521" s="17"/>
      <c r="N1521" s="17"/>
      <c r="O1521" s="17"/>
      <c r="P1521" s="17"/>
      <c r="Q1521" s="17"/>
      <c r="R1521" s="17"/>
      <c r="S1521" s="17"/>
      <c r="T1521" s="17"/>
      <c r="U1521" s="17"/>
      <c r="V1521" s="17"/>
      <c r="W1521" s="17"/>
      <c r="X1521" s="17"/>
      <c r="Y1521" s="17"/>
      <c r="Z1521" s="17"/>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c r="BA1521" s="17"/>
      <c r="BB1521" s="17"/>
      <c r="BC1521" s="17"/>
      <c r="BD1521" s="17"/>
      <c r="BE1521" s="17"/>
      <c r="BF1521" s="17"/>
      <c r="BG1521" s="17"/>
      <c r="BH1521" s="17"/>
      <c r="BI1521" s="17"/>
      <c r="BJ1521" s="17"/>
      <c r="BK1521" s="17"/>
      <c r="BL1521" s="17"/>
    </row>
    <row r="1522">
      <c r="A1522" s="17"/>
      <c r="B1522" s="17"/>
      <c r="C1522" s="17"/>
      <c r="D1522" s="17"/>
      <c r="E1522" s="17"/>
      <c r="F1522" s="17"/>
      <c r="G1522" s="17"/>
      <c r="H1522" s="356"/>
      <c r="I1522" s="17"/>
      <c r="J1522" s="17"/>
      <c r="K1522" s="17"/>
      <c r="L1522" s="17"/>
      <c r="M1522" s="17"/>
      <c r="N1522" s="17"/>
      <c r="O1522" s="17"/>
      <c r="P1522" s="17"/>
      <c r="Q1522" s="17"/>
      <c r="R1522" s="17"/>
      <c r="S1522" s="17"/>
      <c r="T1522" s="17"/>
      <c r="U1522" s="17"/>
      <c r="V1522" s="17"/>
      <c r="W1522" s="17"/>
      <c r="X1522" s="17"/>
      <c r="Y1522" s="17"/>
      <c r="Z1522" s="17"/>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c r="BA1522" s="17"/>
      <c r="BB1522" s="17"/>
      <c r="BC1522" s="17"/>
      <c r="BD1522" s="17"/>
      <c r="BE1522" s="17"/>
      <c r="BF1522" s="17"/>
      <c r="BG1522" s="17"/>
      <c r="BH1522" s="17"/>
      <c r="BI1522" s="17"/>
      <c r="BJ1522" s="17"/>
      <c r="BK1522" s="17"/>
      <c r="BL1522" s="17"/>
    </row>
    <row r="1523">
      <c r="A1523" s="17"/>
      <c r="B1523" s="17"/>
      <c r="C1523" s="17"/>
      <c r="D1523" s="17"/>
      <c r="E1523" s="17"/>
      <c r="F1523" s="17"/>
      <c r="G1523" s="17"/>
      <c r="H1523" s="356"/>
      <c r="I1523" s="17"/>
      <c r="J1523" s="17"/>
      <c r="K1523" s="17"/>
      <c r="L1523" s="17"/>
      <c r="M1523" s="17"/>
      <c r="N1523" s="17"/>
      <c r="O1523" s="17"/>
      <c r="P1523" s="17"/>
      <c r="Q1523" s="17"/>
      <c r="R1523" s="17"/>
      <c r="S1523" s="17"/>
      <c r="T1523" s="17"/>
      <c r="U1523" s="17"/>
      <c r="V1523" s="17"/>
      <c r="W1523" s="17"/>
      <c r="X1523" s="17"/>
      <c r="Y1523" s="17"/>
      <c r="Z1523" s="17"/>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c r="BA1523" s="17"/>
      <c r="BB1523" s="17"/>
      <c r="BC1523" s="17"/>
      <c r="BD1523" s="17"/>
      <c r="BE1523" s="17"/>
      <c r="BF1523" s="17"/>
      <c r="BG1523" s="17"/>
      <c r="BH1523" s="17"/>
      <c r="BI1523" s="17"/>
      <c r="BJ1523" s="17"/>
      <c r="BK1523" s="17"/>
      <c r="BL1523" s="17"/>
    </row>
    <row r="1524">
      <c r="A1524" s="17"/>
      <c r="B1524" s="17"/>
      <c r="C1524" s="17"/>
      <c r="D1524" s="17"/>
      <c r="E1524" s="17"/>
      <c r="F1524" s="17"/>
      <c r="G1524" s="17"/>
      <c r="H1524" s="356"/>
      <c r="I1524" s="17"/>
      <c r="J1524" s="17"/>
      <c r="K1524" s="17"/>
      <c r="L1524" s="17"/>
      <c r="M1524" s="17"/>
      <c r="N1524" s="17"/>
      <c r="O1524" s="17"/>
      <c r="P1524" s="17"/>
      <c r="Q1524" s="17"/>
      <c r="R1524" s="17"/>
      <c r="S1524" s="17"/>
      <c r="T1524" s="17"/>
      <c r="U1524" s="17"/>
      <c r="V1524" s="17"/>
      <c r="W1524" s="17"/>
      <c r="X1524" s="17"/>
      <c r="Y1524" s="17"/>
      <c r="Z1524" s="17"/>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c r="BA1524" s="17"/>
      <c r="BB1524" s="17"/>
      <c r="BC1524" s="17"/>
      <c r="BD1524" s="17"/>
      <c r="BE1524" s="17"/>
      <c r="BF1524" s="17"/>
      <c r="BG1524" s="17"/>
      <c r="BH1524" s="17"/>
      <c r="BI1524" s="17"/>
      <c r="BJ1524" s="17"/>
      <c r="BK1524" s="17"/>
      <c r="BL1524" s="17"/>
    </row>
    <row r="1525">
      <c r="A1525" s="17"/>
      <c r="B1525" s="17"/>
      <c r="C1525" s="17"/>
      <c r="D1525" s="17"/>
      <c r="E1525" s="17"/>
      <c r="F1525" s="17"/>
      <c r="G1525" s="17"/>
      <c r="H1525" s="356"/>
      <c r="I1525" s="17"/>
      <c r="J1525" s="17"/>
      <c r="K1525" s="17"/>
      <c r="L1525" s="17"/>
      <c r="M1525" s="17"/>
      <c r="N1525" s="17"/>
      <c r="O1525" s="17"/>
      <c r="P1525" s="17"/>
      <c r="Q1525" s="17"/>
      <c r="R1525" s="17"/>
      <c r="S1525" s="17"/>
      <c r="T1525" s="17"/>
      <c r="U1525" s="17"/>
      <c r="V1525" s="17"/>
      <c r="W1525" s="17"/>
      <c r="X1525" s="17"/>
      <c r="Y1525" s="17"/>
      <c r="Z1525" s="17"/>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c r="AV1525" s="17"/>
      <c r="AW1525" s="17"/>
      <c r="AX1525" s="17"/>
      <c r="AY1525" s="17"/>
      <c r="AZ1525" s="17"/>
      <c r="BA1525" s="17"/>
      <c r="BB1525" s="17"/>
      <c r="BC1525" s="17"/>
      <c r="BD1525" s="17"/>
      <c r="BE1525" s="17"/>
      <c r="BF1525" s="17"/>
      <c r="BG1525" s="17"/>
      <c r="BH1525" s="17"/>
      <c r="BI1525" s="17"/>
      <c r="BJ1525" s="17"/>
      <c r="BK1525" s="17"/>
      <c r="BL1525" s="17"/>
    </row>
    <row r="1526">
      <c r="A1526" s="17"/>
      <c r="B1526" s="17"/>
      <c r="C1526" s="17"/>
      <c r="D1526" s="17"/>
      <c r="E1526" s="17"/>
      <c r="F1526" s="17"/>
      <c r="G1526" s="17"/>
      <c r="H1526" s="356"/>
      <c r="I1526" s="17"/>
      <c r="J1526" s="17"/>
      <c r="K1526" s="17"/>
      <c r="L1526" s="17"/>
      <c r="M1526" s="17"/>
      <c r="N1526" s="17"/>
      <c r="O1526" s="17"/>
      <c r="P1526" s="17"/>
      <c r="Q1526" s="17"/>
      <c r="R1526" s="17"/>
      <c r="S1526" s="17"/>
      <c r="T1526" s="17"/>
      <c r="U1526" s="17"/>
      <c r="V1526" s="17"/>
      <c r="W1526" s="17"/>
      <c r="X1526" s="17"/>
      <c r="Y1526" s="17"/>
      <c r="Z1526" s="17"/>
      <c r="AA1526" s="17"/>
      <c r="AB1526" s="17"/>
      <c r="AC1526" s="17"/>
      <c r="AD1526" s="17"/>
      <c r="AE1526" s="17"/>
      <c r="AF1526" s="17"/>
      <c r="AG1526" s="17"/>
      <c r="AH1526" s="17"/>
      <c r="AI1526" s="17"/>
      <c r="AJ1526" s="17"/>
      <c r="AK1526" s="17"/>
      <c r="AL1526" s="17"/>
      <c r="AM1526" s="17"/>
      <c r="AN1526" s="17"/>
      <c r="AO1526" s="17"/>
      <c r="AP1526" s="17"/>
      <c r="AQ1526" s="17"/>
      <c r="AR1526" s="17"/>
      <c r="AS1526" s="17"/>
      <c r="AT1526" s="17"/>
      <c r="AU1526" s="17"/>
      <c r="AV1526" s="17"/>
      <c r="AW1526" s="17"/>
      <c r="AX1526" s="17"/>
      <c r="AY1526" s="17"/>
      <c r="AZ1526" s="17"/>
      <c r="BA1526" s="17"/>
      <c r="BB1526" s="17"/>
      <c r="BC1526" s="17"/>
      <c r="BD1526" s="17"/>
      <c r="BE1526" s="17"/>
      <c r="BF1526" s="17"/>
      <c r="BG1526" s="17"/>
      <c r="BH1526" s="17"/>
      <c r="BI1526" s="17"/>
      <c r="BJ1526" s="17"/>
      <c r="BK1526" s="17"/>
      <c r="BL1526" s="17"/>
    </row>
    <row r="1527">
      <c r="A1527" s="17"/>
      <c r="B1527" s="17"/>
      <c r="C1527" s="17"/>
      <c r="D1527" s="17"/>
      <c r="E1527" s="17"/>
      <c r="F1527" s="17"/>
      <c r="G1527" s="17"/>
      <c r="H1527" s="356"/>
      <c r="I1527" s="17"/>
      <c r="J1527" s="17"/>
      <c r="K1527" s="17"/>
      <c r="L1527" s="17"/>
      <c r="M1527" s="17"/>
      <c r="N1527" s="17"/>
      <c r="O1527" s="17"/>
      <c r="P1527" s="17"/>
      <c r="Q1527" s="17"/>
      <c r="R1527" s="17"/>
      <c r="S1527" s="17"/>
      <c r="T1527" s="17"/>
      <c r="U1527" s="17"/>
      <c r="V1527" s="17"/>
      <c r="W1527" s="17"/>
      <c r="X1527" s="17"/>
      <c r="Y1527" s="17"/>
      <c r="Z1527" s="17"/>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c r="BA1527" s="17"/>
      <c r="BB1527" s="17"/>
      <c r="BC1527" s="17"/>
      <c r="BD1527" s="17"/>
      <c r="BE1527" s="17"/>
      <c r="BF1527" s="17"/>
      <c r="BG1527" s="17"/>
      <c r="BH1527" s="17"/>
      <c r="BI1527" s="17"/>
      <c r="BJ1527" s="17"/>
      <c r="BK1527" s="17"/>
      <c r="BL1527" s="17"/>
    </row>
    <row r="1528">
      <c r="A1528" s="17"/>
      <c r="B1528" s="17"/>
      <c r="C1528" s="17"/>
      <c r="D1528" s="17"/>
      <c r="E1528" s="17"/>
      <c r="F1528" s="17"/>
      <c r="G1528" s="17"/>
      <c r="H1528" s="356"/>
      <c r="I1528" s="17"/>
      <c r="J1528" s="17"/>
      <c r="K1528" s="17"/>
      <c r="L1528" s="17"/>
      <c r="M1528" s="17"/>
      <c r="N1528" s="17"/>
      <c r="O1528" s="17"/>
      <c r="P1528" s="17"/>
      <c r="Q1528" s="17"/>
      <c r="R1528" s="17"/>
      <c r="S1528" s="17"/>
      <c r="T1528" s="17"/>
      <c r="U1528" s="17"/>
      <c r="V1528" s="17"/>
      <c r="W1528" s="17"/>
      <c r="X1528" s="17"/>
      <c r="Y1528" s="17"/>
      <c r="Z1528" s="17"/>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c r="BA1528" s="17"/>
      <c r="BB1528" s="17"/>
      <c r="BC1528" s="17"/>
      <c r="BD1528" s="17"/>
      <c r="BE1528" s="17"/>
      <c r="BF1528" s="17"/>
      <c r="BG1528" s="17"/>
      <c r="BH1528" s="17"/>
      <c r="BI1528" s="17"/>
      <c r="BJ1528" s="17"/>
      <c r="BK1528" s="17"/>
      <c r="BL1528" s="17"/>
    </row>
    <row r="1529">
      <c r="A1529" s="17"/>
      <c r="B1529" s="17"/>
      <c r="C1529" s="17"/>
      <c r="D1529" s="17"/>
      <c r="E1529" s="17"/>
      <c r="F1529" s="17"/>
      <c r="G1529" s="17"/>
      <c r="H1529" s="356"/>
      <c r="I1529" s="17"/>
      <c r="J1529" s="17"/>
      <c r="K1529" s="17"/>
      <c r="L1529" s="17"/>
      <c r="M1529" s="17"/>
      <c r="N1529" s="17"/>
      <c r="O1529" s="17"/>
      <c r="P1529" s="17"/>
      <c r="Q1529" s="17"/>
      <c r="R1529" s="17"/>
      <c r="S1529" s="17"/>
      <c r="T1529" s="17"/>
      <c r="U1529" s="17"/>
      <c r="V1529" s="17"/>
      <c r="W1529" s="17"/>
      <c r="X1529" s="17"/>
      <c r="Y1529" s="17"/>
      <c r="Z1529" s="17"/>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c r="BA1529" s="17"/>
      <c r="BB1529" s="17"/>
      <c r="BC1529" s="17"/>
      <c r="BD1529" s="17"/>
      <c r="BE1529" s="17"/>
      <c r="BF1529" s="17"/>
      <c r="BG1529" s="17"/>
      <c r="BH1529" s="17"/>
      <c r="BI1529" s="17"/>
      <c r="BJ1529" s="17"/>
      <c r="BK1529" s="17"/>
      <c r="BL1529" s="17"/>
    </row>
    <row r="1530">
      <c r="A1530" s="17"/>
      <c r="B1530" s="17"/>
      <c r="C1530" s="17"/>
      <c r="D1530" s="17"/>
      <c r="E1530" s="17"/>
      <c r="F1530" s="17"/>
      <c r="G1530" s="17"/>
      <c r="H1530" s="356"/>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c r="BA1530" s="17"/>
      <c r="BB1530" s="17"/>
      <c r="BC1530" s="17"/>
      <c r="BD1530" s="17"/>
      <c r="BE1530" s="17"/>
      <c r="BF1530" s="17"/>
      <c r="BG1530" s="17"/>
      <c r="BH1530" s="17"/>
      <c r="BI1530" s="17"/>
      <c r="BJ1530" s="17"/>
      <c r="BK1530" s="17"/>
      <c r="BL1530" s="17"/>
    </row>
    <row r="1531">
      <c r="A1531" s="17"/>
      <c r="B1531" s="17"/>
      <c r="C1531" s="17"/>
      <c r="D1531" s="17"/>
      <c r="E1531" s="17"/>
      <c r="F1531" s="17"/>
      <c r="G1531" s="17"/>
      <c r="H1531" s="356"/>
      <c r="I1531" s="17"/>
      <c r="J1531" s="17"/>
      <c r="K1531" s="17"/>
      <c r="L1531" s="17"/>
      <c r="M1531" s="17"/>
      <c r="N1531" s="17"/>
      <c r="O1531" s="17"/>
      <c r="P1531" s="17"/>
      <c r="Q1531" s="17"/>
      <c r="R1531" s="17"/>
      <c r="S1531" s="17"/>
      <c r="T1531" s="17"/>
      <c r="U1531" s="17"/>
      <c r="V1531" s="17"/>
      <c r="W1531" s="17"/>
      <c r="X1531" s="17"/>
      <c r="Y1531" s="17"/>
      <c r="Z1531" s="17"/>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c r="BA1531" s="17"/>
      <c r="BB1531" s="17"/>
      <c r="BC1531" s="17"/>
      <c r="BD1531" s="17"/>
      <c r="BE1531" s="17"/>
      <c r="BF1531" s="17"/>
      <c r="BG1531" s="17"/>
      <c r="BH1531" s="17"/>
      <c r="BI1531" s="17"/>
      <c r="BJ1531" s="17"/>
      <c r="BK1531" s="17"/>
      <c r="BL1531" s="17"/>
    </row>
    <row r="1532">
      <c r="A1532" s="17"/>
      <c r="B1532" s="17"/>
      <c r="C1532" s="17"/>
      <c r="D1532" s="17"/>
      <c r="E1532" s="17"/>
      <c r="F1532" s="17"/>
      <c r="G1532" s="17"/>
      <c r="H1532" s="356"/>
      <c r="I1532" s="17"/>
      <c r="J1532" s="17"/>
      <c r="K1532" s="17"/>
      <c r="L1532" s="17"/>
      <c r="M1532" s="17"/>
      <c r="N1532" s="17"/>
      <c r="O1532" s="17"/>
      <c r="P1532" s="17"/>
      <c r="Q1532" s="17"/>
      <c r="R1532" s="17"/>
      <c r="S1532" s="17"/>
      <c r="T1532" s="17"/>
      <c r="U1532" s="17"/>
      <c r="V1532" s="17"/>
      <c r="W1532" s="17"/>
      <c r="X1532" s="17"/>
      <c r="Y1532" s="17"/>
      <c r="Z1532" s="17"/>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c r="BA1532" s="17"/>
      <c r="BB1532" s="17"/>
      <c r="BC1532" s="17"/>
      <c r="BD1532" s="17"/>
      <c r="BE1532" s="17"/>
      <c r="BF1532" s="17"/>
      <c r="BG1532" s="17"/>
      <c r="BH1532" s="17"/>
      <c r="BI1532" s="17"/>
      <c r="BJ1532" s="17"/>
      <c r="BK1532" s="17"/>
      <c r="BL1532" s="17"/>
    </row>
    <row r="1533">
      <c r="A1533" s="17"/>
      <c r="B1533" s="17"/>
      <c r="C1533" s="17"/>
      <c r="D1533" s="17"/>
      <c r="E1533" s="17"/>
      <c r="F1533" s="17"/>
      <c r="G1533" s="17"/>
      <c r="H1533" s="356"/>
      <c r="I1533" s="17"/>
      <c r="J1533" s="17"/>
      <c r="K1533" s="17"/>
      <c r="L1533" s="17"/>
      <c r="M1533" s="17"/>
      <c r="N1533" s="17"/>
      <c r="O1533" s="17"/>
      <c r="P1533" s="17"/>
      <c r="Q1533" s="17"/>
      <c r="R1533" s="17"/>
      <c r="S1533" s="17"/>
      <c r="T1533" s="17"/>
      <c r="U1533" s="17"/>
      <c r="V1533" s="17"/>
      <c r="W1533" s="17"/>
      <c r="X1533" s="17"/>
      <c r="Y1533" s="17"/>
      <c r="Z1533" s="17"/>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c r="BA1533" s="17"/>
      <c r="BB1533" s="17"/>
      <c r="BC1533" s="17"/>
      <c r="BD1533" s="17"/>
      <c r="BE1533" s="17"/>
      <c r="BF1533" s="17"/>
      <c r="BG1533" s="17"/>
      <c r="BH1533" s="17"/>
      <c r="BI1533" s="17"/>
      <c r="BJ1533" s="17"/>
      <c r="BK1533" s="17"/>
      <c r="BL1533" s="17"/>
    </row>
    <row r="1534">
      <c r="A1534" s="17"/>
      <c r="B1534" s="17"/>
      <c r="C1534" s="17"/>
      <c r="D1534" s="17"/>
      <c r="E1534" s="17"/>
      <c r="F1534" s="17"/>
      <c r="G1534" s="17"/>
      <c r="H1534" s="356"/>
      <c r="I1534" s="17"/>
      <c r="J1534" s="17"/>
      <c r="K1534" s="17"/>
      <c r="L1534" s="17"/>
      <c r="M1534" s="17"/>
      <c r="N1534" s="17"/>
      <c r="O1534" s="17"/>
      <c r="P1534" s="17"/>
      <c r="Q1534" s="17"/>
      <c r="R1534" s="17"/>
      <c r="S1534" s="17"/>
      <c r="T1534" s="17"/>
      <c r="U1534" s="17"/>
      <c r="V1534" s="17"/>
      <c r="W1534" s="17"/>
      <c r="X1534" s="17"/>
      <c r="Y1534" s="17"/>
      <c r="Z1534" s="17"/>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c r="BA1534" s="17"/>
      <c r="BB1534" s="17"/>
      <c r="BC1534" s="17"/>
      <c r="BD1534" s="17"/>
      <c r="BE1534" s="17"/>
      <c r="BF1534" s="17"/>
      <c r="BG1534" s="17"/>
      <c r="BH1534" s="17"/>
      <c r="BI1534" s="17"/>
      <c r="BJ1534" s="17"/>
      <c r="BK1534" s="17"/>
      <c r="BL1534" s="17"/>
    </row>
    <row r="1535">
      <c r="A1535" s="17"/>
      <c r="B1535" s="17"/>
      <c r="C1535" s="17"/>
      <c r="D1535" s="17"/>
      <c r="E1535" s="17"/>
      <c r="F1535" s="17"/>
      <c r="G1535" s="17"/>
      <c r="H1535" s="356"/>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c r="BA1535" s="17"/>
      <c r="BB1535" s="17"/>
      <c r="BC1535" s="17"/>
      <c r="BD1535" s="17"/>
      <c r="BE1535" s="17"/>
      <c r="BF1535" s="17"/>
      <c r="BG1535" s="17"/>
      <c r="BH1535" s="17"/>
      <c r="BI1535" s="17"/>
      <c r="BJ1535" s="17"/>
      <c r="BK1535" s="17"/>
      <c r="BL1535" s="17"/>
    </row>
    <row r="1536">
      <c r="A1536" s="17"/>
      <c r="B1536" s="17"/>
      <c r="C1536" s="17"/>
      <c r="D1536" s="17"/>
      <c r="E1536" s="17"/>
      <c r="F1536" s="17"/>
      <c r="G1536" s="17"/>
      <c r="H1536" s="356"/>
      <c r="I1536" s="17"/>
      <c r="J1536" s="17"/>
      <c r="K1536" s="17"/>
      <c r="L1536" s="17"/>
      <c r="M1536" s="17"/>
      <c r="N1536" s="17"/>
      <c r="O1536" s="17"/>
      <c r="P1536" s="17"/>
      <c r="Q1536" s="17"/>
      <c r="R1536" s="17"/>
      <c r="S1536" s="17"/>
      <c r="T1536" s="17"/>
      <c r="U1536" s="17"/>
      <c r="V1536" s="17"/>
      <c r="W1536" s="17"/>
      <c r="X1536" s="17"/>
      <c r="Y1536" s="17"/>
      <c r="Z1536" s="17"/>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c r="BA1536" s="17"/>
      <c r="BB1536" s="17"/>
      <c r="BC1536" s="17"/>
      <c r="BD1536" s="17"/>
      <c r="BE1536" s="17"/>
      <c r="BF1536" s="17"/>
      <c r="BG1536" s="17"/>
      <c r="BH1536" s="17"/>
      <c r="BI1536" s="17"/>
      <c r="BJ1536" s="17"/>
      <c r="BK1536" s="17"/>
      <c r="BL1536" s="17"/>
    </row>
    <row r="1537">
      <c r="A1537" s="17"/>
      <c r="B1537" s="17"/>
      <c r="C1537" s="17"/>
      <c r="D1537" s="17"/>
      <c r="E1537" s="17"/>
      <c r="F1537" s="17"/>
      <c r="G1537" s="17"/>
      <c r="H1537" s="356"/>
      <c r="I1537" s="17"/>
      <c r="J1537" s="17"/>
      <c r="K1537" s="17"/>
      <c r="L1537" s="17"/>
      <c r="M1537" s="17"/>
      <c r="N1537" s="17"/>
      <c r="O1537" s="17"/>
      <c r="P1537" s="17"/>
      <c r="Q1537" s="17"/>
      <c r="R1537" s="17"/>
      <c r="S1537" s="17"/>
      <c r="T1537" s="17"/>
      <c r="U1537" s="17"/>
      <c r="V1537" s="17"/>
      <c r="W1537" s="17"/>
      <c r="X1537" s="17"/>
      <c r="Y1537" s="17"/>
      <c r="Z1537" s="17"/>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c r="BA1537" s="17"/>
      <c r="BB1537" s="17"/>
      <c r="BC1537" s="17"/>
      <c r="BD1537" s="17"/>
      <c r="BE1537" s="17"/>
      <c r="BF1537" s="17"/>
      <c r="BG1537" s="17"/>
      <c r="BH1537" s="17"/>
      <c r="BI1537" s="17"/>
      <c r="BJ1537" s="17"/>
      <c r="BK1537" s="17"/>
      <c r="BL1537" s="17"/>
    </row>
    <row r="1538">
      <c r="A1538" s="17"/>
      <c r="B1538" s="17"/>
      <c r="C1538" s="17"/>
      <c r="D1538" s="17"/>
      <c r="E1538" s="17"/>
      <c r="F1538" s="17"/>
      <c r="G1538" s="17"/>
      <c r="H1538" s="356"/>
      <c r="I1538" s="17"/>
      <c r="J1538" s="17"/>
      <c r="K1538" s="17"/>
      <c r="L1538" s="17"/>
      <c r="M1538" s="17"/>
      <c r="N1538" s="17"/>
      <c r="O1538" s="17"/>
      <c r="P1538" s="17"/>
      <c r="Q1538" s="17"/>
      <c r="R1538" s="17"/>
      <c r="S1538" s="17"/>
      <c r="T1538" s="17"/>
      <c r="U1538" s="17"/>
      <c r="V1538" s="17"/>
      <c r="W1538" s="17"/>
      <c r="X1538" s="17"/>
      <c r="Y1538" s="17"/>
      <c r="Z1538" s="17"/>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c r="BA1538" s="17"/>
      <c r="BB1538" s="17"/>
      <c r="BC1538" s="17"/>
      <c r="BD1538" s="17"/>
      <c r="BE1538" s="17"/>
      <c r="BF1538" s="17"/>
      <c r="BG1538" s="17"/>
      <c r="BH1538" s="17"/>
      <c r="BI1538" s="17"/>
      <c r="BJ1538" s="17"/>
      <c r="BK1538" s="17"/>
      <c r="BL1538" s="17"/>
    </row>
    <row r="1539">
      <c r="A1539" s="17"/>
      <c r="B1539" s="17"/>
      <c r="C1539" s="17"/>
      <c r="D1539" s="17"/>
      <c r="E1539" s="17"/>
      <c r="F1539" s="17"/>
      <c r="G1539" s="17"/>
      <c r="H1539" s="356"/>
      <c r="I1539" s="17"/>
      <c r="J1539" s="17"/>
      <c r="K1539" s="17"/>
      <c r="L1539" s="17"/>
      <c r="M1539" s="17"/>
      <c r="N1539" s="17"/>
      <c r="O1539" s="17"/>
      <c r="P1539" s="17"/>
      <c r="Q1539" s="17"/>
      <c r="R1539" s="17"/>
      <c r="S1539" s="17"/>
      <c r="T1539" s="17"/>
      <c r="U1539" s="17"/>
      <c r="V1539" s="17"/>
      <c r="W1539" s="17"/>
      <c r="X1539" s="17"/>
      <c r="Y1539" s="17"/>
      <c r="Z1539" s="17"/>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c r="BA1539" s="17"/>
      <c r="BB1539" s="17"/>
      <c r="BC1539" s="17"/>
      <c r="BD1539" s="17"/>
      <c r="BE1539" s="17"/>
      <c r="BF1539" s="17"/>
      <c r="BG1539" s="17"/>
      <c r="BH1539" s="17"/>
      <c r="BI1539" s="17"/>
      <c r="BJ1539" s="17"/>
      <c r="BK1539" s="17"/>
      <c r="BL1539" s="17"/>
    </row>
    <row r="1540">
      <c r="A1540" s="17"/>
      <c r="B1540" s="17"/>
      <c r="C1540" s="17"/>
      <c r="D1540" s="17"/>
      <c r="E1540" s="17"/>
      <c r="F1540" s="17"/>
      <c r="G1540" s="17"/>
      <c r="H1540" s="356"/>
      <c r="I1540" s="17"/>
      <c r="J1540" s="17"/>
      <c r="K1540" s="17"/>
      <c r="L1540" s="17"/>
      <c r="M1540" s="17"/>
      <c r="N1540" s="17"/>
      <c r="O1540" s="17"/>
      <c r="P1540" s="17"/>
      <c r="Q1540" s="17"/>
      <c r="R1540" s="17"/>
      <c r="S1540" s="17"/>
      <c r="T1540" s="17"/>
      <c r="U1540" s="17"/>
      <c r="V1540" s="17"/>
      <c r="W1540" s="17"/>
      <c r="X1540" s="17"/>
      <c r="Y1540" s="17"/>
      <c r="Z1540" s="17"/>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c r="BA1540" s="17"/>
      <c r="BB1540" s="17"/>
      <c r="BC1540" s="17"/>
      <c r="BD1540" s="17"/>
      <c r="BE1540" s="17"/>
      <c r="BF1540" s="17"/>
      <c r="BG1540" s="17"/>
      <c r="BH1540" s="17"/>
      <c r="BI1540" s="17"/>
      <c r="BJ1540" s="17"/>
      <c r="BK1540" s="17"/>
      <c r="BL1540" s="17"/>
    </row>
    <row r="1541">
      <c r="A1541" s="17"/>
      <c r="B1541" s="17"/>
      <c r="C1541" s="17"/>
      <c r="D1541" s="17"/>
      <c r="E1541" s="17"/>
      <c r="F1541" s="17"/>
      <c r="G1541" s="17"/>
      <c r="H1541" s="356"/>
      <c r="I1541" s="17"/>
      <c r="J1541" s="17"/>
      <c r="K1541" s="17"/>
      <c r="L1541" s="17"/>
      <c r="M1541" s="17"/>
      <c r="N1541" s="17"/>
      <c r="O1541" s="17"/>
      <c r="P1541" s="17"/>
      <c r="Q1541" s="17"/>
      <c r="R1541" s="17"/>
      <c r="S1541" s="17"/>
      <c r="T1541" s="17"/>
      <c r="U1541" s="17"/>
      <c r="V1541" s="17"/>
      <c r="W1541" s="17"/>
      <c r="X1541" s="17"/>
      <c r="Y1541" s="17"/>
      <c r="Z1541" s="17"/>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c r="BA1541" s="17"/>
      <c r="BB1541" s="17"/>
      <c r="BC1541" s="17"/>
      <c r="BD1541" s="17"/>
      <c r="BE1541" s="17"/>
      <c r="BF1541" s="17"/>
      <c r="BG1541" s="17"/>
      <c r="BH1541" s="17"/>
      <c r="BI1541" s="17"/>
      <c r="BJ1541" s="17"/>
      <c r="BK1541" s="17"/>
      <c r="BL1541" s="17"/>
    </row>
    <row r="1542">
      <c r="A1542" s="17"/>
      <c r="B1542" s="17"/>
      <c r="C1542" s="17"/>
      <c r="D1542" s="17"/>
      <c r="E1542" s="17"/>
      <c r="F1542" s="17"/>
      <c r="G1542" s="17"/>
      <c r="H1542" s="356"/>
      <c r="I1542" s="17"/>
      <c r="J1542" s="17"/>
      <c r="K1542" s="17"/>
      <c r="L1542" s="17"/>
      <c r="M1542" s="17"/>
      <c r="N1542" s="17"/>
      <c r="O1542" s="17"/>
      <c r="P1542" s="17"/>
      <c r="Q1542" s="17"/>
      <c r="R1542" s="17"/>
      <c r="S1542" s="17"/>
      <c r="T1542" s="17"/>
      <c r="U1542" s="17"/>
      <c r="V1542" s="17"/>
      <c r="W1542" s="17"/>
      <c r="X1542" s="17"/>
      <c r="Y1542" s="17"/>
      <c r="Z1542" s="17"/>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c r="BA1542" s="17"/>
      <c r="BB1542" s="17"/>
      <c r="BC1542" s="17"/>
      <c r="BD1542" s="17"/>
      <c r="BE1542" s="17"/>
      <c r="BF1542" s="17"/>
      <c r="BG1542" s="17"/>
      <c r="BH1542" s="17"/>
      <c r="BI1542" s="17"/>
      <c r="BJ1542" s="17"/>
      <c r="BK1542" s="17"/>
      <c r="BL1542" s="17"/>
    </row>
    <row r="1543">
      <c r="A1543" s="17"/>
      <c r="B1543" s="17"/>
      <c r="C1543" s="17"/>
      <c r="D1543" s="17"/>
      <c r="E1543" s="17"/>
      <c r="F1543" s="17"/>
      <c r="G1543" s="17"/>
      <c r="H1543" s="356"/>
      <c r="I1543" s="17"/>
      <c r="J1543" s="17"/>
      <c r="K1543" s="17"/>
      <c r="L1543" s="17"/>
      <c r="M1543" s="17"/>
      <c r="N1543" s="17"/>
      <c r="O1543" s="17"/>
      <c r="P1543" s="17"/>
      <c r="Q1543" s="17"/>
      <c r="R1543" s="17"/>
      <c r="S1543" s="17"/>
      <c r="T1543" s="17"/>
      <c r="U1543" s="17"/>
      <c r="V1543" s="17"/>
      <c r="W1543" s="17"/>
      <c r="X1543" s="17"/>
      <c r="Y1543" s="17"/>
      <c r="Z1543" s="17"/>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c r="BA1543" s="17"/>
      <c r="BB1543" s="17"/>
      <c r="BC1543" s="17"/>
      <c r="BD1543" s="17"/>
      <c r="BE1543" s="17"/>
      <c r="BF1543" s="17"/>
      <c r="BG1543" s="17"/>
      <c r="BH1543" s="17"/>
      <c r="BI1543" s="17"/>
      <c r="BJ1543" s="17"/>
      <c r="BK1543" s="17"/>
      <c r="BL1543" s="17"/>
    </row>
    <row r="1544">
      <c r="A1544" s="17"/>
      <c r="B1544" s="17"/>
      <c r="C1544" s="17"/>
      <c r="D1544" s="17"/>
      <c r="E1544" s="17"/>
      <c r="F1544" s="17"/>
      <c r="G1544" s="17"/>
      <c r="H1544" s="356"/>
      <c r="I1544" s="17"/>
      <c r="J1544" s="17"/>
      <c r="K1544" s="17"/>
      <c r="L1544" s="17"/>
      <c r="M1544" s="17"/>
      <c r="N1544" s="17"/>
      <c r="O1544" s="17"/>
      <c r="P1544" s="17"/>
      <c r="Q1544" s="17"/>
      <c r="R1544" s="17"/>
      <c r="S1544" s="17"/>
      <c r="T1544" s="17"/>
      <c r="U1544" s="17"/>
      <c r="V1544" s="17"/>
      <c r="W1544" s="17"/>
      <c r="X1544" s="17"/>
      <c r="Y1544" s="17"/>
      <c r="Z1544" s="17"/>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c r="BA1544" s="17"/>
      <c r="BB1544" s="17"/>
      <c r="BC1544" s="17"/>
      <c r="BD1544" s="17"/>
      <c r="BE1544" s="17"/>
      <c r="BF1544" s="17"/>
      <c r="BG1544" s="17"/>
      <c r="BH1544" s="17"/>
      <c r="BI1544" s="17"/>
      <c r="BJ1544" s="17"/>
      <c r="BK1544" s="17"/>
      <c r="BL1544" s="17"/>
    </row>
    <row r="1545">
      <c r="A1545" s="17"/>
      <c r="B1545" s="17"/>
      <c r="C1545" s="17"/>
      <c r="D1545" s="17"/>
      <c r="E1545" s="17"/>
      <c r="F1545" s="17"/>
      <c r="G1545" s="17"/>
      <c r="H1545" s="356"/>
      <c r="I1545" s="17"/>
      <c r="J1545" s="17"/>
      <c r="K1545" s="17"/>
      <c r="L1545" s="17"/>
      <c r="M1545" s="17"/>
      <c r="N1545" s="17"/>
      <c r="O1545" s="17"/>
      <c r="P1545" s="17"/>
      <c r="Q1545" s="17"/>
      <c r="R1545" s="17"/>
      <c r="S1545" s="17"/>
      <c r="T1545" s="17"/>
      <c r="U1545" s="17"/>
      <c r="V1545" s="17"/>
      <c r="W1545" s="17"/>
      <c r="X1545" s="17"/>
      <c r="Y1545" s="17"/>
      <c r="Z1545" s="17"/>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c r="BA1545" s="17"/>
      <c r="BB1545" s="17"/>
      <c r="BC1545" s="17"/>
      <c r="BD1545" s="17"/>
      <c r="BE1545" s="17"/>
      <c r="BF1545" s="17"/>
      <c r="BG1545" s="17"/>
      <c r="BH1545" s="17"/>
      <c r="BI1545" s="17"/>
      <c r="BJ1545" s="17"/>
      <c r="BK1545" s="17"/>
      <c r="BL1545" s="17"/>
    </row>
    <row r="1546">
      <c r="A1546" s="17"/>
      <c r="B1546" s="17"/>
      <c r="C1546" s="17"/>
      <c r="D1546" s="17"/>
      <c r="E1546" s="17"/>
      <c r="F1546" s="17"/>
      <c r="G1546" s="17"/>
      <c r="H1546" s="356"/>
      <c r="I1546" s="17"/>
      <c r="J1546" s="17"/>
      <c r="K1546" s="17"/>
      <c r="L1546" s="17"/>
      <c r="M1546" s="17"/>
      <c r="N1546" s="17"/>
      <c r="O1546" s="17"/>
      <c r="P1546" s="17"/>
      <c r="Q1546" s="17"/>
      <c r="R1546" s="17"/>
      <c r="S1546" s="17"/>
      <c r="T1546" s="17"/>
      <c r="U1546" s="17"/>
      <c r="V1546" s="17"/>
      <c r="W1546" s="17"/>
      <c r="X1546" s="17"/>
      <c r="Y1546" s="17"/>
      <c r="Z1546" s="17"/>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c r="BA1546" s="17"/>
      <c r="BB1546" s="17"/>
      <c r="BC1546" s="17"/>
      <c r="BD1546" s="17"/>
      <c r="BE1546" s="17"/>
      <c r="BF1546" s="17"/>
      <c r="BG1546" s="17"/>
      <c r="BH1546" s="17"/>
      <c r="BI1546" s="17"/>
      <c r="BJ1546" s="17"/>
      <c r="BK1546" s="17"/>
      <c r="BL1546" s="17"/>
    </row>
    <row r="1547">
      <c r="A1547" s="17"/>
      <c r="B1547" s="17"/>
      <c r="C1547" s="17"/>
      <c r="D1547" s="17"/>
      <c r="E1547" s="17"/>
      <c r="F1547" s="17"/>
      <c r="G1547" s="17"/>
      <c r="H1547" s="356"/>
      <c r="I1547" s="17"/>
      <c r="J1547" s="17"/>
      <c r="K1547" s="17"/>
      <c r="L1547" s="17"/>
      <c r="M1547" s="17"/>
      <c r="N1547" s="17"/>
      <c r="O1547" s="17"/>
      <c r="P1547" s="17"/>
      <c r="Q1547" s="17"/>
      <c r="R1547" s="17"/>
      <c r="S1547" s="17"/>
      <c r="T1547" s="17"/>
      <c r="U1547" s="17"/>
      <c r="V1547" s="17"/>
      <c r="W1547" s="17"/>
      <c r="X1547" s="17"/>
      <c r="Y1547" s="17"/>
      <c r="Z1547" s="17"/>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c r="BA1547" s="17"/>
      <c r="BB1547" s="17"/>
      <c r="BC1547" s="17"/>
      <c r="BD1547" s="17"/>
      <c r="BE1547" s="17"/>
      <c r="BF1547" s="17"/>
      <c r="BG1547" s="17"/>
      <c r="BH1547" s="17"/>
      <c r="BI1547" s="17"/>
      <c r="BJ1547" s="17"/>
      <c r="BK1547" s="17"/>
      <c r="BL1547" s="17"/>
    </row>
    <row r="1548">
      <c r="A1548" s="17"/>
      <c r="B1548" s="17"/>
      <c r="C1548" s="17"/>
      <c r="D1548" s="17"/>
      <c r="E1548" s="17"/>
      <c r="F1548" s="17"/>
      <c r="G1548" s="17"/>
      <c r="H1548" s="356"/>
      <c r="I1548" s="17"/>
      <c r="J1548" s="17"/>
      <c r="K1548" s="17"/>
      <c r="L1548" s="17"/>
      <c r="M1548" s="17"/>
      <c r="N1548" s="17"/>
      <c r="O1548" s="17"/>
      <c r="P1548" s="17"/>
      <c r="Q1548" s="17"/>
      <c r="R1548" s="17"/>
      <c r="S1548" s="17"/>
      <c r="T1548" s="17"/>
      <c r="U1548" s="17"/>
      <c r="V1548" s="17"/>
      <c r="W1548" s="17"/>
      <c r="X1548" s="17"/>
      <c r="Y1548" s="17"/>
      <c r="Z1548" s="17"/>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c r="BA1548" s="17"/>
      <c r="BB1548" s="17"/>
      <c r="BC1548" s="17"/>
      <c r="BD1548" s="17"/>
      <c r="BE1548" s="17"/>
      <c r="BF1548" s="17"/>
      <c r="BG1548" s="17"/>
      <c r="BH1548" s="17"/>
      <c r="BI1548" s="17"/>
      <c r="BJ1548" s="17"/>
      <c r="BK1548" s="17"/>
      <c r="BL1548" s="17"/>
    </row>
    <row r="1549">
      <c r="A1549" s="17"/>
      <c r="B1549" s="17"/>
      <c r="C1549" s="17"/>
      <c r="D1549" s="17"/>
      <c r="E1549" s="17"/>
      <c r="F1549" s="17"/>
      <c r="G1549" s="17"/>
      <c r="H1549" s="356"/>
      <c r="I1549" s="17"/>
      <c r="J1549" s="17"/>
      <c r="K1549" s="17"/>
      <c r="L1549" s="17"/>
      <c r="M1549" s="17"/>
      <c r="N1549" s="17"/>
      <c r="O1549" s="17"/>
      <c r="P1549" s="17"/>
      <c r="Q1549" s="17"/>
      <c r="R1549" s="17"/>
      <c r="S1549" s="17"/>
      <c r="T1549" s="17"/>
      <c r="U1549" s="17"/>
      <c r="V1549" s="17"/>
      <c r="W1549" s="17"/>
      <c r="X1549" s="17"/>
      <c r="Y1549" s="17"/>
      <c r="Z1549" s="17"/>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c r="BA1549" s="17"/>
      <c r="BB1549" s="17"/>
      <c r="BC1549" s="17"/>
      <c r="BD1549" s="17"/>
      <c r="BE1549" s="17"/>
      <c r="BF1549" s="17"/>
      <c r="BG1549" s="17"/>
      <c r="BH1549" s="17"/>
      <c r="BI1549" s="17"/>
      <c r="BJ1549" s="17"/>
      <c r="BK1549" s="17"/>
      <c r="BL1549" s="17"/>
    </row>
    <row r="1550">
      <c r="A1550" s="17"/>
      <c r="B1550" s="17"/>
      <c r="C1550" s="17"/>
      <c r="D1550" s="17"/>
      <c r="E1550" s="17"/>
      <c r="F1550" s="17"/>
      <c r="G1550" s="17"/>
      <c r="H1550" s="356"/>
      <c r="I1550" s="17"/>
      <c r="J1550" s="17"/>
      <c r="K1550" s="17"/>
      <c r="L1550" s="17"/>
      <c r="M1550" s="17"/>
      <c r="N1550" s="17"/>
      <c r="O1550" s="17"/>
      <c r="P1550" s="17"/>
      <c r="Q1550" s="17"/>
      <c r="R1550" s="17"/>
      <c r="S1550" s="17"/>
      <c r="T1550" s="17"/>
      <c r="U1550" s="17"/>
      <c r="V1550" s="17"/>
      <c r="W1550" s="17"/>
      <c r="X1550" s="17"/>
      <c r="Y1550" s="17"/>
      <c r="Z1550" s="17"/>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c r="BA1550" s="17"/>
      <c r="BB1550" s="17"/>
      <c r="BC1550" s="17"/>
      <c r="BD1550" s="17"/>
      <c r="BE1550" s="17"/>
      <c r="BF1550" s="17"/>
      <c r="BG1550" s="17"/>
      <c r="BH1550" s="17"/>
      <c r="BI1550" s="17"/>
      <c r="BJ1550" s="17"/>
      <c r="BK1550" s="17"/>
      <c r="BL1550" s="17"/>
    </row>
    <row r="1551">
      <c r="A1551" s="17"/>
      <c r="B1551" s="17"/>
      <c r="C1551" s="17"/>
      <c r="D1551" s="17"/>
      <c r="E1551" s="17"/>
      <c r="F1551" s="17"/>
      <c r="G1551" s="17"/>
      <c r="H1551" s="356"/>
      <c r="I1551" s="17"/>
      <c r="J1551" s="17"/>
      <c r="K1551" s="17"/>
      <c r="L1551" s="17"/>
      <c r="M1551" s="17"/>
      <c r="N1551" s="17"/>
      <c r="O1551" s="17"/>
      <c r="P1551" s="17"/>
      <c r="Q1551" s="17"/>
      <c r="R1551" s="17"/>
      <c r="S1551" s="17"/>
      <c r="T1551" s="17"/>
      <c r="U1551" s="17"/>
      <c r="V1551" s="17"/>
      <c r="W1551" s="17"/>
      <c r="X1551" s="17"/>
      <c r="Y1551" s="17"/>
      <c r="Z1551" s="17"/>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c r="BA1551" s="17"/>
      <c r="BB1551" s="17"/>
      <c r="BC1551" s="17"/>
      <c r="BD1551" s="17"/>
      <c r="BE1551" s="17"/>
      <c r="BF1551" s="17"/>
      <c r="BG1551" s="17"/>
      <c r="BH1551" s="17"/>
      <c r="BI1551" s="17"/>
      <c r="BJ1551" s="17"/>
      <c r="BK1551" s="17"/>
      <c r="BL1551" s="17"/>
    </row>
    <row r="1552">
      <c r="A1552" s="17"/>
      <c r="B1552" s="17"/>
      <c r="C1552" s="17"/>
      <c r="D1552" s="17"/>
      <c r="E1552" s="17"/>
      <c r="F1552" s="17"/>
      <c r="G1552" s="17"/>
      <c r="H1552" s="356"/>
      <c r="I1552" s="17"/>
      <c r="J1552" s="17"/>
      <c r="K1552" s="17"/>
      <c r="L1552" s="17"/>
      <c r="M1552" s="17"/>
      <c r="N1552" s="17"/>
      <c r="O1552" s="17"/>
      <c r="P1552" s="17"/>
      <c r="Q1552" s="17"/>
      <c r="R1552" s="17"/>
      <c r="S1552" s="17"/>
      <c r="T1552" s="17"/>
      <c r="U1552" s="17"/>
      <c r="V1552" s="17"/>
      <c r="W1552" s="17"/>
      <c r="X1552" s="17"/>
      <c r="Y1552" s="17"/>
      <c r="Z1552" s="17"/>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c r="BA1552" s="17"/>
      <c r="BB1552" s="17"/>
      <c r="BC1552" s="17"/>
      <c r="BD1552" s="17"/>
      <c r="BE1552" s="17"/>
      <c r="BF1552" s="17"/>
      <c r="BG1552" s="17"/>
      <c r="BH1552" s="17"/>
      <c r="BI1552" s="17"/>
      <c r="BJ1552" s="17"/>
      <c r="BK1552" s="17"/>
      <c r="BL1552" s="17"/>
    </row>
    <row r="1553">
      <c r="A1553" s="17"/>
      <c r="B1553" s="17"/>
      <c r="C1553" s="17"/>
      <c r="D1553" s="17"/>
      <c r="E1553" s="17"/>
      <c r="F1553" s="17"/>
      <c r="G1553" s="17"/>
      <c r="H1553" s="356"/>
      <c r="I1553" s="17"/>
      <c r="J1553" s="17"/>
      <c r="K1553" s="17"/>
      <c r="L1553" s="17"/>
      <c r="M1553" s="17"/>
      <c r="N1553" s="17"/>
      <c r="O1553" s="17"/>
      <c r="P1553" s="17"/>
      <c r="Q1553" s="17"/>
      <c r="R1553" s="17"/>
      <c r="S1553" s="17"/>
      <c r="T1553" s="17"/>
      <c r="U1553" s="17"/>
      <c r="V1553" s="17"/>
      <c r="W1553" s="17"/>
      <c r="X1553" s="17"/>
      <c r="Y1553" s="17"/>
      <c r="Z1553" s="17"/>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c r="BA1553" s="17"/>
      <c r="BB1553" s="17"/>
      <c r="BC1553" s="17"/>
      <c r="BD1553" s="17"/>
      <c r="BE1553" s="17"/>
      <c r="BF1553" s="17"/>
      <c r="BG1553" s="17"/>
      <c r="BH1553" s="17"/>
      <c r="BI1553" s="17"/>
      <c r="BJ1553" s="17"/>
      <c r="BK1553" s="17"/>
      <c r="BL1553" s="17"/>
    </row>
    <row r="1554">
      <c r="A1554" s="17"/>
      <c r="B1554" s="17"/>
      <c r="C1554" s="17"/>
      <c r="D1554" s="17"/>
      <c r="E1554" s="17"/>
      <c r="F1554" s="17"/>
      <c r="G1554" s="17"/>
      <c r="H1554" s="356"/>
      <c r="I1554" s="17"/>
      <c r="J1554" s="17"/>
      <c r="K1554" s="17"/>
      <c r="L1554" s="17"/>
      <c r="M1554" s="17"/>
      <c r="N1554" s="17"/>
      <c r="O1554" s="17"/>
      <c r="P1554" s="17"/>
      <c r="Q1554" s="17"/>
      <c r="R1554" s="17"/>
      <c r="S1554" s="17"/>
      <c r="T1554" s="17"/>
      <c r="U1554" s="17"/>
      <c r="V1554" s="17"/>
      <c r="W1554" s="17"/>
      <c r="X1554" s="17"/>
      <c r="Y1554" s="17"/>
      <c r="Z1554" s="17"/>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c r="BA1554" s="17"/>
      <c r="BB1554" s="17"/>
      <c r="BC1554" s="17"/>
      <c r="BD1554" s="17"/>
      <c r="BE1554" s="17"/>
      <c r="BF1554" s="17"/>
      <c r="BG1554" s="17"/>
      <c r="BH1554" s="17"/>
      <c r="BI1554" s="17"/>
      <c r="BJ1554" s="17"/>
      <c r="BK1554" s="17"/>
      <c r="BL1554" s="17"/>
    </row>
    <row r="1555">
      <c r="A1555" s="17"/>
      <c r="B1555" s="17"/>
      <c r="C1555" s="17"/>
      <c r="D1555" s="17"/>
      <c r="E1555" s="17"/>
      <c r="F1555" s="17"/>
      <c r="G1555" s="17"/>
      <c r="H1555" s="356"/>
      <c r="I1555" s="17"/>
      <c r="J1555" s="17"/>
      <c r="K1555" s="17"/>
      <c r="L1555" s="17"/>
      <c r="M1555" s="17"/>
      <c r="N1555" s="17"/>
      <c r="O1555" s="17"/>
      <c r="P1555" s="17"/>
      <c r="Q1555" s="17"/>
      <c r="R1555" s="17"/>
      <c r="S1555" s="17"/>
      <c r="T1555" s="17"/>
      <c r="U1555" s="17"/>
      <c r="V1555" s="17"/>
      <c r="W1555" s="17"/>
      <c r="X1555" s="17"/>
      <c r="Y1555" s="17"/>
      <c r="Z1555" s="17"/>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c r="BA1555" s="17"/>
      <c r="BB1555" s="17"/>
      <c r="BC1555" s="17"/>
      <c r="BD1555" s="17"/>
      <c r="BE1555" s="17"/>
      <c r="BF1555" s="17"/>
      <c r="BG1555" s="17"/>
      <c r="BH1555" s="17"/>
      <c r="BI1555" s="17"/>
      <c r="BJ1555" s="17"/>
      <c r="BK1555" s="17"/>
      <c r="BL1555" s="17"/>
    </row>
    <row r="1556">
      <c r="A1556" s="17"/>
      <c r="B1556" s="17"/>
      <c r="C1556" s="17"/>
      <c r="D1556" s="17"/>
      <c r="E1556" s="17"/>
      <c r="F1556" s="17"/>
      <c r="G1556" s="17"/>
      <c r="H1556" s="356"/>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c r="BA1556" s="17"/>
      <c r="BB1556" s="17"/>
      <c r="BC1556" s="17"/>
      <c r="BD1556" s="17"/>
      <c r="BE1556" s="17"/>
      <c r="BF1556" s="17"/>
      <c r="BG1556" s="17"/>
      <c r="BH1556" s="17"/>
      <c r="BI1556" s="17"/>
      <c r="BJ1556" s="17"/>
      <c r="BK1556" s="17"/>
      <c r="BL1556" s="17"/>
    </row>
    <row r="1557">
      <c r="A1557" s="17"/>
      <c r="B1557" s="17"/>
      <c r="C1557" s="17"/>
      <c r="D1557" s="17"/>
      <c r="E1557" s="17"/>
      <c r="F1557" s="17"/>
      <c r="G1557" s="17"/>
      <c r="H1557" s="356"/>
      <c r="I1557" s="17"/>
      <c r="J1557" s="17"/>
      <c r="K1557" s="17"/>
      <c r="L1557" s="17"/>
      <c r="M1557" s="17"/>
      <c r="N1557" s="17"/>
      <c r="O1557" s="17"/>
      <c r="P1557" s="17"/>
      <c r="Q1557" s="17"/>
      <c r="R1557" s="17"/>
      <c r="S1557" s="17"/>
      <c r="T1557" s="17"/>
      <c r="U1557" s="17"/>
      <c r="V1557" s="17"/>
      <c r="W1557" s="17"/>
      <c r="X1557" s="17"/>
      <c r="Y1557" s="17"/>
      <c r="Z1557" s="17"/>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7"/>
      <c r="AW1557" s="17"/>
      <c r="AX1557" s="17"/>
      <c r="AY1557" s="17"/>
      <c r="AZ1557" s="17"/>
      <c r="BA1557" s="17"/>
      <c r="BB1557" s="17"/>
      <c r="BC1557" s="17"/>
      <c r="BD1557" s="17"/>
      <c r="BE1557" s="17"/>
      <c r="BF1557" s="17"/>
      <c r="BG1557" s="17"/>
      <c r="BH1557" s="17"/>
      <c r="BI1557" s="17"/>
      <c r="BJ1557" s="17"/>
      <c r="BK1557" s="17"/>
      <c r="BL1557" s="17"/>
    </row>
    <row r="1558">
      <c r="A1558" s="17"/>
      <c r="B1558" s="17"/>
      <c r="C1558" s="17"/>
      <c r="D1558" s="17"/>
      <c r="E1558" s="17"/>
      <c r="F1558" s="17"/>
      <c r="G1558" s="17"/>
      <c r="H1558" s="356"/>
      <c r="I1558" s="17"/>
      <c r="J1558" s="17"/>
      <c r="K1558" s="17"/>
      <c r="L1558" s="17"/>
      <c r="M1558" s="17"/>
      <c r="N1558" s="17"/>
      <c r="O1558" s="17"/>
      <c r="P1558" s="17"/>
      <c r="Q1558" s="17"/>
      <c r="R1558" s="17"/>
      <c r="S1558" s="17"/>
      <c r="T1558" s="17"/>
      <c r="U1558" s="17"/>
      <c r="V1558" s="17"/>
      <c r="W1558" s="17"/>
      <c r="X1558" s="17"/>
      <c r="Y1558" s="17"/>
      <c r="Z1558" s="17"/>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c r="BA1558" s="17"/>
      <c r="BB1558" s="17"/>
      <c r="BC1558" s="17"/>
      <c r="BD1558" s="17"/>
      <c r="BE1558" s="17"/>
      <c r="BF1558" s="17"/>
      <c r="BG1558" s="17"/>
      <c r="BH1558" s="17"/>
      <c r="BI1558" s="17"/>
      <c r="BJ1558" s="17"/>
      <c r="BK1558" s="17"/>
      <c r="BL1558" s="17"/>
    </row>
    <row r="1559">
      <c r="A1559" s="17"/>
      <c r="B1559" s="17"/>
      <c r="C1559" s="17"/>
      <c r="D1559" s="17"/>
      <c r="E1559" s="17"/>
      <c r="F1559" s="17"/>
      <c r="G1559" s="17"/>
      <c r="H1559" s="356"/>
      <c r="I1559" s="17"/>
      <c r="J1559" s="17"/>
      <c r="K1559" s="17"/>
      <c r="L1559" s="17"/>
      <c r="M1559" s="17"/>
      <c r="N1559" s="17"/>
      <c r="O1559" s="17"/>
      <c r="P1559" s="17"/>
      <c r="Q1559" s="17"/>
      <c r="R1559" s="17"/>
      <c r="S1559" s="17"/>
      <c r="T1559" s="17"/>
      <c r="U1559" s="17"/>
      <c r="V1559" s="17"/>
      <c r="W1559" s="17"/>
      <c r="X1559" s="17"/>
      <c r="Y1559" s="17"/>
      <c r="Z1559" s="17"/>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c r="BA1559" s="17"/>
      <c r="BB1559" s="17"/>
      <c r="BC1559" s="17"/>
      <c r="BD1559" s="17"/>
      <c r="BE1559" s="17"/>
      <c r="BF1559" s="17"/>
      <c r="BG1559" s="17"/>
      <c r="BH1559" s="17"/>
      <c r="BI1559" s="17"/>
      <c r="BJ1559" s="17"/>
      <c r="BK1559" s="17"/>
      <c r="BL1559" s="17"/>
    </row>
    <row r="1560">
      <c r="A1560" s="17"/>
      <c r="B1560" s="17"/>
      <c r="C1560" s="17"/>
      <c r="D1560" s="17"/>
      <c r="E1560" s="17"/>
      <c r="F1560" s="17"/>
      <c r="G1560" s="17"/>
      <c r="H1560" s="356"/>
      <c r="I1560" s="17"/>
      <c r="J1560" s="17"/>
      <c r="K1560" s="17"/>
      <c r="L1560" s="17"/>
      <c r="M1560" s="17"/>
      <c r="N1560" s="17"/>
      <c r="O1560" s="17"/>
      <c r="P1560" s="17"/>
      <c r="Q1560" s="17"/>
      <c r="R1560" s="17"/>
      <c r="S1560" s="17"/>
      <c r="T1560" s="17"/>
      <c r="U1560" s="17"/>
      <c r="V1560" s="17"/>
      <c r="W1560" s="17"/>
      <c r="X1560" s="17"/>
      <c r="Y1560" s="17"/>
      <c r="Z1560" s="17"/>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7"/>
      <c r="AW1560" s="17"/>
      <c r="AX1560" s="17"/>
      <c r="AY1560" s="17"/>
      <c r="AZ1560" s="17"/>
      <c r="BA1560" s="17"/>
      <c r="BB1560" s="17"/>
      <c r="BC1560" s="17"/>
      <c r="BD1560" s="17"/>
      <c r="BE1560" s="17"/>
      <c r="BF1560" s="17"/>
      <c r="BG1560" s="17"/>
      <c r="BH1560" s="17"/>
      <c r="BI1560" s="17"/>
      <c r="BJ1560" s="17"/>
      <c r="BK1560" s="17"/>
      <c r="BL1560" s="17"/>
    </row>
    <row r="1561">
      <c r="A1561" s="17"/>
      <c r="B1561" s="17"/>
      <c r="C1561" s="17"/>
      <c r="D1561" s="17"/>
      <c r="E1561" s="17"/>
      <c r="F1561" s="17"/>
      <c r="G1561" s="17"/>
      <c r="H1561" s="356"/>
      <c r="I1561" s="17"/>
      <c r="J1561" s="17"/>
      <c r="K1561" s="17"/>
      <c r="L1561" s="17"/>
      <c r="M1561" s="17"/>
      <c r="N1561" s="17"/>
      <c r="O1561" s="17"/>
      <c r="P1561" s="17"/>
      <c r="Q1561" s="17"/>
      <c r="R1561" s="17"/>
      <c r="S1561" s="17"/>
      <c r="T1561" s="17"/>
      <c r="U1561" s="17"/>
      <c r="V1561" s="17"/>
      <c r="W1561" s="17"/>
      <c r="X1561" s="17"/>
      <c r="Y1561" s="17"/>
      <c r="Z1561" s="17"/>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c r="BA1561" s="17"/>
      <c r="BB1561" s="17"/>
      <c r="BC1561" s="17"/>
      <c r="BD1561" s="17"/>
      <c r="BE1561" s="17"/>
      <c r="BF1561" s="17"/>
      <c r="BG1561" s="17"/>
      <c r="BH1561" s="17"/>
      <c r="BI1561" s="17"/>
      <c r="BJ1561" s="17"/>
      <c r="BK1561" s="17"/>
      <c r="BL1561" s="17"/>
    </row>
    <row r="1562">
      <c r="A1562" s="17"/>
      <c r="B1562" s="17"/>
      <c r="C1562" s="17"/>
      <c r="D1562" s="17"/>
      <c r="E1562" s="17"/>
      <c r="F1562" s="17"/>
      <c r="G1562" s="17"/>
      <c r="H1562" s="356"/>
      <c r="I1562" s="17"/>
      <c r="J1562" s="17"/>
      <c r="K1562" s="17"/>
      <c r="L1562" s="17"/>
      <c r="M1562" s="17"/>
      <c r="N1562" s="17"/>
      <c r="O1562" s="17"/>
      <c r="P1562" s="17"/>
      <c r="Q1562" s="17"/>
      <c r="R1562" s="17"/>
      <c r="S1562" s="17"/>
      <c r="T1562" s="17"/>
      <c r="U1562" s="17"/>
      <c r="V1562" s="17"/>
      <c r="W1562" s="17"/>
      <c r="X1562" s="17"/>
      <c r="Y1562" s="17"/>
      <c r="Z1562" s="17"/>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c r="BA1562" s="17"/>
      <c r="BB1562" s="17"/>
      <c r="BC1562" s="17"/>
      <c r="BD1562" s="17"/>
      <c r="BE1562" s="17"/>
      <c r="BF1562" s="17"/>
      <c r="BG1562" s="17"/>
      <c r="BH1562" s="17"/>
      <c r="BI1562" s="17"/>
      <c r="BJ1562" s="17"/>
      <c r="BK1562" s="17"/>
      <c r="BL1562" s="17"/>
    </row>
    <row r="1563">
      <c r="A1563" s="17"/>
      <c r="B1563" s="17"/>
      <c r="C1563" s="17"/>
      <c r="D1563" s="17"/>
      <c r="E1563" s="17"/>
      <c r="F1563" s="17"/>
      <c r="G1563" s="17"/>
      <c r="H1563" s="356"/>
      <c r="I1563" s="17"/>
      <c r="J1563" s="17"/>
      <c r="K1563" s="17"/>
      <c r="L1563" s="17"/>
      <c r="M1563" s="17"/>
      <c r="N1563" s="17"/>
      <c r="O1563" s="17"/>
      <c r="P1563" s="17"/>
      <c r="Q1563" s="17"/>
      <c r="R1563" s="17"/>
      <c r="S1563" s="17"/>
      <c r="T1563" s="17"/>
      <c r="U1563" s="17"/>
      <c r="V1563" s="17"/>
      <c r="W1563" s="17"/>
      <c r="X1563" s="17"/>
      <c r="Y1563" s="17"/>
      <c r="Z1563" s="17"/>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c r="BA1563" s="17"/>
      <c r="BB1563" s="17"/>
      <c r="BC1563" s="17"/>
      <c r="BD1563" s="17"/>
      <c r="BE1563" s="17"/>
      <c r="BF1563" s="17"/>
      <c r="BG1563" s="17"/>
      <c r="BH1563" s="17"/>
      <c r="BI1563" s="17"/>
      <c r="BJ1563" s="17"/>
      <c r="BK1563" s="17"/>
      <c r="BL1563" s="17"/>
    </row>
    <row r="1564">
      <c r="A1564" s="17"/>
      <c r="B1564" s="17"/>
      <c r="C1564" s="17"/>
      <c r="D1564" s="17"/>
      <c r="E1564" s="17"/>
      <c r="F1564" s="17"/>
      <c r="G1564" s="17"/>
      <c r="H1564" s="356"/>
      <c r="I1564" s="17"/>
      <c r="J1564" s="17"/>
      <c r="K1564" s="17"/>
      <c r="L1564" s="17"/>
      <c r="M1564" s="17"/>
      <c r="N1564" s="17"/>
      <c r="O1564" s="17"/>
      <c r="P1564" s="17"/>
      <c r="Q1564" s="17"/>
      <c r="R1564" s="17"/>
      <c r="S1564" s="17"/>
      <c r="T1564" s="17"/>
      <c r="U1564" s="17"/>
      <c r="V1564" s="17"/>
      <c r="W1564" s="17"/>
      <c r="X1564" s="17"/>
      <c r="Y1564" s="17"/>
      <c r="Z1564" s="17"/>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c r="BA1564" s="17"/>
      <c r="BB1564" s="17"/>
      <c r="BC1564" s="17"/>
      <c r="BD1564" s="17"/>
      <c r="BE1564" s="17"/>
      <c r="BF1564" s="17"/>
      <c r="BG1564" s="17"/>
      <c r="BH1564" s="17"/>
      <c r="BI1564" s="17"/>
      <c r="BJ1564" s="17"/>
      <c r="BK1564" s="17"/>
      <c r="BL1564" s="17"/>
    </row>
    <row r="1565">
      <c r="A1565" s="17"/>
      <c r="B1565" s="17"/>
      <c r="C1565" s="17"/>
      <c r="D1565" s="17"/>
      <c r="E1565" s="17"/>
      <c r="F1565" s="17"/>
      <c r="G1565" s="17"/>
      <c r="H1565" s="356"/>
      <c r="I1565" s="17"/>
      <c r="J1565" s="17"/>
      <c r="K1565" s="17"/>
      <c r="L1565" s="17"/>
      <c r="M1565" s="17"/>
      <c r="N1565" s="17"/>
      <c r="O1565" s="17"/>
      <c r="P1565" s="17"/>
      <c r="Q1565" s="17"/>
      <c r="R1565" s="17"/>
      <c r="S1565" s="17"/>
      <c r="T1565" s="17"/>
      <c r="U1565" s="17"/>
      <c r="V1565" s="17"/>
      <c r="W1565" s="17"/>
      <c r="X1565" s="17"/>
      <c r="Y1565" s="17"/>
      <c r="Z1565" s="17"/>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c r="BA1565" s="17"/>
      <c r="BB1565" s="17"/>
      <c r="BC1565" s="17"/>
      <c r="BD1565" s="17"/>
      <c r="BE1565" s="17"/>
      <c r="BF1565" s="17"/>
      <c r="BG1565" s="17"/>
      <c r="BH1565" s="17"/>
      <c r="BI1565" s="17"/>
      <c r="BJ1565" s="17"/>
      <c r="BK1565" s="17"/>
      <c r="BL1565" s="17"/>
    </row>
    <row r="1566">
      <c r="A1566" s="17"/>
      <c r="B1566" s="17"/>
      <c r="C1566" s="17"/>
      <c r="D1566" s="17"/>
      <c r="E1566" s="17"/>
      <c r="F1566" s="17"/>
      <c r="G1566" s="17"/>
      <c r="H1566" s="356"/>
      <c r="I1566" s="17"/>
      <c r="J1566" s="17"/>
      <c r="K1566" s="17"/>
      <c r="L1566" s="17"/>
      <c r="M1566" s="17"/>
      <c r="N1566" s="17"/>
      <c r="O1566" s="17"/>
      <c r="P1566" s="17"/>
      <c r="Q1566" s="17"/>
      <c r="R1566" s="17"/>
      <c r="S1566" s="17"/>
      <c r="T1566" s="17"/>
      <c r="U1566" s="17"/>
      <c r="V1566" s="17"/>
      <c r="W1566" s="17"/>
      <c r="X1566" s="17"/>
      <c r="Y1566" s="17"/>
      <c r="Z1566" s="17"/>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c r="BA1566" s="17"/>
      <c r="BB1566" s="17"/>
      <c r="BC1566" s="17"/>
      <c r="BD1566" s="17"/>
      <c r="BE1566" s="17"/>
      <c r="BF1566" s="17"/>
      <c r="BG1566" s="17"/>
      <c r="BH1566" s="17"/>
      <c r="BI1566" s="17"/>
      <c r="BJ1566" s="17"/>
      <c r="BK1566" s="17"/>
      <c r="BL1566" s="17"/>
    </row>
    <row r="1567">
      <c r="A1567" s="17"/>
      <c r="B1567" s="17"/>
      <c r="C1567" s="17"/>
      <c r="D1567" s="17"/>
      <c r="E1567" s="17"/>
      <c r="F1567" s="17"/>
      <c r="G1567" s="17"/>
      <c r="H1567" s="356"/>
      <c r="I1567" s="17"/>
      <c r="J1567" s="17"/>
      <c r="K1567" s="17"/>
      <c r="L1567" s="17"/>
      <c r="M1567" s="17"/>
      <c r="N1567" s="17"/>
      <c r="O1567" s="17"/>
      <c r="P1567" s="17"/>
      <c r="Q1567" s="17"/>
      <c r="R1567" s="17"/>
      <c r="S1567" s="17"/>
      <c r="T1567" s="17"/>
      <c r="U1567" s="17"/>
      <c r="V1567" s="17"/>
      <c r="W1567" s="17"/>
      <c r="X1567" s="17"/>
      <c r="Y1567" s="17"/>
      <c r="Z1567" s="17"/>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c r="BA1567" s="17"/>
      <c r="BB1567" s="17"/>
      <c r="BC1567" s="17"/>
      <c r="BD1567" s="17"/>
      <c r="BE1567" s="17"/>
      <c r="BF1567" s="17"/>
      <c r="BG1567" s="17"/>
      <c r="BH1567" s="17"/>
      <c r="BI1567" s="17"/>
      <c r="BJ1567" s="17"/>
      <c r="BK1567" s="17"/>
      <c r="BL1567" s="17"/>
    </row>
    <row r="1568">
      <c r="A1568" s="17"/>
      <c r="B1568" s="17"/>
      <c r="C1568" s="17"/>
      <c r="D1568" s="17"/>
      <c r="E1568" s="17"/>
      <c r="F1568" s="17"/>
      <c r="G1568" s="17"/>
      <c r="H1568" s="356"/>
      <c r="I1568" s="17"/>
      <c r="J1568" s="17"/>
      <c r="K1568" s="17"/>
      <c r="L1568" s="17"/>
      <c r="M1568" s="17"/>
      <c r="N1568" s="17"/>
      <c r="O1568" s="17"/>
      <c r="P1568" s="17"/>
      <c r="Q1568" s="17"/>
      <c r="R1568" s="17"/>
      <c r="S1568" s="17"/>
      <c r="T1568" s="17"/>
      <c r="U1568" s="17"/>
      <c r="V1568" s="17"/>
      <c r="W1568" s="17"/>
      <c r="X1568" s="17"/>
      <c r="Y1568" s="17"/>
      <c r="Z1568" s="17"/>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c r="BA1568" s="17"/>
      <c r="BB1568" s="17"/>
      <c r="BC1568" s="17"/>
      <c r="BD1568" s="17"/>
      <c r="BE1568" s="17"/>
      <c r="BF1568" s="17"/>
      <c r="BG1568" s="17"/>
      <c r="BH1568" s="17"/>
      <c r="BI1568" s="17"/>
      <c r="BJ1568" s="17"/>
      <c r="BK1568" s="17"/>
      <c r="BL1568" s="17"/>
    </row>
    <row r="1569">
      <c r="A1569" s="17"/>
      <c r="B1569" s="17"/>
      <c r="C1569" s="17"/>
      <c r="D1569" s="17"/>
      <c r="E1569" s="17"/>
      <c r="F1569" s="17"/>
      <c r="G1569" s="17"/>
      <c r="H1569" s="356"/>
      <c r="I1569" s="17"/>
      <c r="J1569" s="17"/>
      <c r="K1569" s="17"/>
      <c r="L1569" s="17"/>
      <c r="M1569" s="17"/>
      <c r="N1569" s="17"/>
      <c r="O1569" s="17"/>
      <c r="P1569" s="17"/>
      <c r="Q1569" s="17"/>
      <c r="R1569" s="17"/>
      <c r="S1569" s="17"/>
      <c r="T1569" s="17"/>
      <c r="U1569" s="17"/>
      <c r="V1569" s="17"/>
      <c r="W1569" s="17"/>
      <c r="X1569" s="17"/>
      <c r="Y1569" s="17"/>
      <c r="Z1569" s="17"/>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c r="BA1569" s="17"/>
      <c r="BB1569" s="17"/>
      <c r="BC1569" s="17"/>
      <c r="BD1569" s="17"/>
      <c r="BE1569" s="17"/>
      <c r="BF1569" s="17"/>
      <c r="BG1569" s="17"/>
      <c r="BH1569" s="17"/>
      <c r="BI1569" s="17"/>
      <c r="BJ1569" s="17"/>
      <c r="BK1569" s="17"/>
      <c r="BL1569" s="17"/>
    </row>
    <row r="1570">
      <c r="A1570" s="17"/>
      <c r="B1570" s="17"/>
      <c r="C1570" s="17"/>
      <c r="D1570" s="17"/>
      <c r="E1570" s="17"/>
      <c r="F1570" s="17"/>
      <c r="G1570" s="17"/>
      <c r="H1570" s="356"/>
      <c r="I1570" s="17"/>
      <c r="J1570" s="17"/>
      <c r="K1570" s="17"/>
      <c r="L1570" s="17"/>
      <c r="M1570" s="17"/>
      <c r="N1570" s="17"/>
      <c r="O1570" s="17"/>
      <c r="P1570" s="17"/>
      <c r="Q1570" s="17"/>
      <c r="R1570" s="17"/>
      <c r="S1570" s="17"/>
      <c r="T1570" s="17"/>
      <c r="U1570" s="17"/>
      <c r="V1570" s="17"/>
      <c r="W1570" s="17"/>
      <c r="X1570" s="17"/>
      <c r="Y1570" s="17"/>
      <c r="Z1570" s="17"/>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c r="BA1570" s="17"/>
      <c r="BB1570" s="17"/>
      <c r="BC1570" s="17"/>
      <c r="BD1570" s="17"/>
      <c r="BE1570" s="17"/>
      <c r="BF1570" s="17"/>
      <c r="BG1570" s="17"/>
      <c r="BH1570" s="17"/>
      <c r="BI1570" s="17"/>
      <c r="BJ1570" s="17"/>
      <c r="BK1570" s="17"/>
      <c r="BL1570" s="17"/>
    </row>
    <row r="1571">
      <c r="A1571" s="17"/>
      <c r="B1571" s="17"/>
      <c r="C1571" s="17"/>
      <c r="D1571" s="17"/>
      <c r="E1571" s="17"/>
      <c r="F1571" s="17"/>
      <c r="G1571" s="17"/>
      <c r="H1571" s="356"/>
      <c r="I1571" s="17"/>
      <c r="J1571" s="17"/>
      <c r="K1571" s="17"/>
      <c r="L1571" s="17"/>
      <c r="M1571" s="17"/>
      <c r="N1571" s="17"/>
      <c r="O1571" s="17"/>
      <c r="P1571" s="17"/>
      <c r="Q1571" s="17"/>
      <c r="R1571" s="17"/>
      <c r="S1571" s="17"/>
      <c r="T1571" s="17"/>
      <c r="U1571" s="17"/>
      <c r="V1571" s="17"/>
      <c r="W1571" s="17"/>
      <c r="X1571" s="17"/>
      <c r="Y1571" s="17"/>
      <c r="Z1571" s="17"/>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c r="BA1571" s="17"/>
      <c r="BB1571" s="17"/>
      <c r="BC1571" s="17"/>
      <c r="BD1571" s="17"/>
      <c r="BE1571" s="17"/>
      <c r="BF1571" s="17"/>
      <c r="BG1571" s="17"/>
      <c r="BH1571" s="17"/>
      <c r="BI1571" s="17"/>
      <c r="BJ1571" s="17"/>
      <c r="BK1571" s="17"/>
      <c r="BL1571" s="17"/>
    </row>
    <row r="1572">
      <c r="A1572" s="17"/>
      <c r="B1572" s="17"/>
      <c r="C1572" s="17"/>
      <c r="D1572" s="17"/>
      <c r="E1572" s="17"/>
      <c r="F1572" s="17"/>
      <c r="G1572" s="17"/>
      <c r="H1572" s="356"/>
      <c r="I1572" s="17"/>
      <c r="J1572" s="17"/>
      <c r="K1572" s="17"/>
      <c r="L1572" s="17"/>
      <c r="M1572" s="17"/>
      <c r="N1572" s="17"/>
      <c r="O1572" s="17"/>
      <c r="P1572" s="17"/>
      <c r="Q1572" s="17"/>
      <c r="R1572" s="17"/>
      <c r="S1572" s="17"/>
      <c r="T1572" s="17"/>
      <c r="U1572" s="17"/>
      <c r="V1572" s="17"/>
      <c r="W1572" s="17"/>
      <c r="X1572" s="17"/>
      <c r="Y1572" s="17"/>
      <c r="Z1572" s="17"/>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c r="BA1572" s="17"/>
      <c r="BB1572" s="17"/>
      <c r="BC1572" s="17"/>
      <c r="BD1572" s="17"/>
      <c r="BE1572" s="17"/>
      <c r="BF1572" s="17"/>
      <c r="BG1572" s="17"/>
      <c r="BH1572" s="17"/>
      <c r="BI1572" s="17"/>
      <c r="BJ1572" s="17"/>
      <c r="BK1572" s="17"/>
      <c r="BL1572" s="17"/>
    </row>
    <row r="1573">
      <c r="A1573" s="17"/>
      <c r="B1573" s="17"/>
      <c r="C1573" s="17"/>
      <c r="D1573" s="17"/>
      <c r="E1573" s="17"/>
      <c r="F1573" s="17"/>
      <c r="G1573" s="17"/>
      <c r="H1573" s="356"/>
      <c r="I1573" s="17"/>
      <c r="J1573" s="17"/>
      <c r="K1573" s="17"/>
      <c r="L1573" s="17"/>
      <c r="M1573" s="17"/>
      <c r="N1573" s="17"/>
      <c r="O1573" s="17"/>
      <c r="P1573" s="17"/>
      <c r="Q1573" s="17"/>
      <c r="R1573" s="17"/>
      <c r="S1573" s="17"/>
      <c r="T1573" s="17"/>
      <c r="U1573" s="17"/>
      <c r="V1573" s="17"/>
      <c r="W1573" s="17"/>
      <c r="X1573" s="17"/>
      <c r="Y1573" s="17"/>
      <c r="Z1573" s="17"/>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7"/>
      <c r="AW1573" s="17"/>
      <c r="AX1573" s="17"/>
      <c r="AY1573" s="17"/>
      <c r="AZ1573" s="17"/>
      <c r="BA1573" s="17"/>
      <c r="BB1573" s="17"/>
      <c r="BC1573" s="17"/>
      <c r="BD1573" s="17"/>
      <c r="BE1573" s="17"/>
      <c r="BF1573" s="17"/>
      <c r="BG1573" s="17"/>
      <c r="BH1573" s="17"/>
      <c r="BI1573" s="17"/>
      <c r="BJ1573" s="17"/>
      <c r="BK1573" s="17"/>
      <c r="BL1573" s="17"/>
    </row>
    <row r="1574">
      <c r="A1574" s="17"/>
      <c r="B1574" s="17"/>
      <c r="C1574" s="17"/>
      <c r="D1574" s="17"/>
      <c r="E1574" s="17"/>
      <c r="F1574" s="17"/>
      <c r="G1574" s="17"/>
      <c r="H1574" s="356"/>
      <c r="I1574" s="17"/>
      <c r="J1574" s="17"/>
      <c r="K1574" s="17"/>
      <c r="L1574" s="17"/>
      <c r="M1574" s="17"/>
      <c r="N1574" s="17"/>
      <c r="O1574" s="17"/>
      <c r="P1574" s="17"/>
      <c r="Q1574" s="17"/>
      <c r="R1574" s="17"/>
      <c r="S1574" s="17"/>
      <c r="T1574" s="17"/>
      <c r="U1574" s="17"/>
      <c r="V1574" s="17"/>
      <c r="W1574" s="17"/>
      <c r="X1574" s="17"/>
      <c r="Y1574" s="17"/>
      <c r="Z1574" s="17"/>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c r="BA1574" s="17"/>
      <c r="BB1574" s="17"/>
      <c r="BC1574" s="17"/>
      <c r="BD1574" s="17"/>
      <c r="BE1574" s="17"/>
      <c r="BF1574" s="17"/>
      <c r="BG1574" s="17"/>
      <c r="BH1574" s="17"/>
      <c r="BI1574" s="17"/>
      <c r="BJ1574" s="17"/>
      <c r="BK1574" s="17"/>
      <c r="BL1574" s="17"/>
    </row>
    <row r="1575">
      <c r="A1575" s="17"/>
      <c r="B1575" s="17"/>
      <c r="C1575" s="17"/>
      <c r="D1575" s="17"/>
      <c r="E1575" s="17"/>
      <c r="F1575" s="17"/>
      <c r="G1575" s="17"/>
      <c r="H1575" s="356"/>
      <c r="I1575" s="17"/>
      <c r="J1575" s="17"/>
      <c r="K1575" s="17"/>
      <c r="L1575" s="17"/>
      <c r="M1575" s="17"/>
      <c r="N1575" s="17"/>
      <c r="O1575" s="17"/>
      <c r="P1575" s="17"/>
      <c r="Q1575" s="17"/>
      <c r="R1575" s="17"/>
      <c r="S1575" s="17"/>
      <c r="T1575" s="17"/>
      <c r="U1575" s="17"/>
      <c r="V1575" s="17"/>
      <c r="W1575" s="17"/>
      <c r="X1575" s="17"/>
      <c r="Y1575" s="17"/>
      <c r="Z1575" s="17"/>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c r="BA1575" s="17"/>
      <c r="BB1575" s="17"/>
      <c r="BC1575" s="17"/>
      <c r="BD1575" s="17"/>
      <c r="BE1575" s="17"/>
      <c r="BF1575" s="17"/>
      <c r="BG1575" s="17"/>
      <c r="BH1575" s="17"/>
      <c r="BI1575" s="17"/>
      <c r="BJ1575" s="17"/>
      <c r="BK1575" s="17"/>
      <c r="BL1575" s="17"/>
    </row>
    <row r="1576">
      <c r="A1576" s="17"/>
      <c r="B1576" s="17"/>
      <c r="C1576" s="17"/>
      <c r="D1576" s="17"/>
      <c r="E1576" s="17"/>
      <c r="F1576" s="17"/>
      <c r="G1576" s="17"/>
      <c r="H1576" s="356"/>
      <c r="I1576" s="17"/>
      <c r="J1576" s="17"/>
      <c r="K1576" s="17"/>
      <c r="L1576" s="17"/>
      <c r="M1576" s="17"/>
      <c r="N1576" s="17"/>
      <c r="O1576" s="17"/>
      <c r="P1576" s="17"/>
      <c r="Q1576" s="17"/>
      <c r="R1576" s="17"/>
      <c r="S1576" s="17"/>
      <c r="T1576" s="17"/>
      <c r="U1576" s="17"/>
      <c r="V1576" s="17"/>
      <c r="W1576" s="17"/>
      <c r="X1576" s="17"/>
      <c r="Y1576" s="17"/>
      <c r="Z1576" s="17"/>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7"/>
      <c r="AW1576" s="17"/>
      <c r="AX1576" s="17"/>
      <c r="AY1576" s="17"/>
      <c r="AZ1576" s="17"/>
      <c r="BA1576" s="17"/>
      <c r="BB1576" s="17"/>
      <c r="BC1576" s="17"/>
      <c r="BD1576" s="17"/>
      <c r="BE1576" s="17"/>
      <c r="BF1576" s="17"/>
      <c r="BG1576" s="17"/>
      <c r="BH1576" s="17"/>
      <c r="BI1576" s="17"/>
      <c r="BJ1576" s="17"/>
      <c r="BK1576" s="17"/>
      <c r="BL1576" s="17"/>
    </row>
    <row r="1577">
      <c r="A1577" s="17"/>
      <c r="B1577" s="17"/>
      <c r="C1577" s="17"/>
      <c r="D1577" s="17"/>
      <c r="E1577" s="17"/>
      <c r="F1577" s="17"/>
      <c r="G1577" s="17"/>
      <c r="H1577" s="356"/>
      <c r="I1577" s="17"/>
      <c r="J1577" s="17"/>
      <c r="K1577" s="17"/>
      <c r="L1577" s="17"/>
      <c r="M1577" s="17"/>
      <c r="N1577" s="17"/>
      <c r="O1577" s="17"/>
      <c r="P1577" s="17"/>
      <c r="Q1577" s="17"/>
      <c r="R1577" s="17"/>
      <c r="S1577" s="17"/>
      <c r="T1577" s="17"/>
      <c r="U1577" s="17"/>
      <c r="V1577" s="17"/>
      <c r="W1577" s="17"/>
      <c r="X1577" s="17"/>
      <c r="Y1577" s="17"/>
      <c r="Z1577" s="17"/>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c r="BA1577" s="17"/>
      <c r="BB1577" s="17"/>
      <c r="BC1577" s="17"/>
      <c r="BD1577" s="17"/>
      <c r="BE1577" s="17"/>
      <c r="BF1577" s="17"/>
      <c r="BG1577" s="17"/>
      <c r="BH1577" s="17"/>
      <c r="BI1577" s="17"/>
      <c r="BJ1577" s="17"/>
      <c r="BK1577" s="17"/>
      <c r="BL1577" s="17"/>
    </row>
    <row r="1578">
      <c r="A1578" s="17"/>
      <c r="B1578" s="17"/>
      <c r="C1578" s="17"/>
      <c r="D1578" s="17"/>
      <c r="E1578" s="17"/>
      <c r="F1578" s="17"/>
      <c r="G1578" s="17"/>
      <c r="H1578" s="356"/>
      <c r="I1578" s="17"/>
      <c r="J1578" s="17"/>
      <c r="K1578" s="17"/>
      <c r="L1578" s="17"/>
      <c r="M1578" s="17"/>
      <c r="N1578" s="17"/>
      <c r="O1578" s="17"/>
      <c r="P1578" s="17"/>
      <c r="Q1578" s="17"/>
      <c r="R1578" s="17"/>
      <c r="S1578" s="17"/>
      <c r="T1578" s="17"/>
      <c r="U1578" s="17"/>
      <c r="V1578" s="17"/>
      <c r="W1578" s="17"/>
      <c r="X1578" s="17"/>
      <c r="Y1578" s="17"/>
      <c r="Z1578" s="17"/>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7"/>
      <c r="AW1578" s="17"/>
      <c r="AX1578" s="17"/>
      <c r="AY1578" s="17"/>
      <c r="AZ1578" s="17"/>
      <c r="BA1578" s="17"/>
      <c r="BB1578" s="17"/>
      <c r="BC1578" s="17"/>
      <c r="BD1578" s="17"/>
      <c r="BE1578" s="17"/>
      <c r="BF1578" s="17"/>
      <c r="BG1578" s="17"/>
      <c r="BH1578" s="17"/>
      <c r="BI1578" s="17"/>
      <c r="BJ1578" s="17"/>
      <c r="BK1578" s="17"/>
      <c r="BL1578" s="17"/>
    </row>
    <row r="1579">
      <c r="A1579" s="17"/>
      <c r="B1579" s="17"/>
      <c r="C1579" s="17"/>
      <c r="D1579" s="17"/>
      <c r="E1579" s="17"/>
      <c r="F1579" s="17"/>
      <c r="G1579" s="17"/>
      <c r="H1579" s="356"/>
      <c r="I1579" s="17"/>
      <c r="J1579" s="17"/>
      <c r="K1579" s="17"/>
      <c r="L1579" s="17"/>
      <c r="M1579" s="17"/>
      <c r="N1579" s="17"/>
      <c r="O1579" s="17"/>
      <c r="P1579" s="17"/>
      <c r="Q1579" s="17"/>
      <c r="R1579" s="17"/>
      <c r="S1579" s="17"/>
      <c r="T1579" s="17"/>
      <c r="U1579" s="17"/>
      <c r="V1579" s="17"/>
      <c r="W1579" s="17"/>
      <c r="X1579" s="17"/>
      <c r="Y1579" s="17"/>
      <c r="Z1579" s="17"/>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c r="BA1579" s="17"/>
      <c r="BB1579" s="17"/>
      <c r="BC1579" s="17"/>
      <c r="BD1579" s="17"/>
      <c r="BE1579" s="17"/>
      <c r="BF1579" s="17"/>
      <c r="BG1579" s="17"/>
      <c r="BH1579" s="17"/>
      <c r="BI1579" s="17"/>
      <c r="BJ1579" s="17"/>
      <c r="BK1579" s="17"/>
      <c r="BL1579" s="17"/>
    </row>
    <row r="1580">
      <c r="A1580" s="17"/>
      <c r="B1580" s="17"/>
      <c r="C1580" s="17"/>
      <c r="D1580" s="17"/>
      <c r="E1580" s="17"/>
      <c r="F1580" s="17"/>
      <c r="G1580" s="17"/>
      <c r="H1580" s="356"/>
      <c r="I1580" s="17"/>
      <c r="J1580" s="17"/>
      <c r="K1580" s="17"/>
      <c r="L1580" s="17"/>
      <c r="M1580" s="17"/>
      <c r="N1580" s="17"/>
      <c r="O1580" s="17"/>
      <c r="P1580" s="17"/>
      <c r="Q1580" s="17"/>
      <c r="R1580" s="17"/>
      <c r="S1580" s="17"/>
      <c r="T1580" s="17"/>
      <c r="U1580" s="17"/>
      <c r="V1580" s="17"/>
      <c r="W1580" s="17"/>
      <c r="X1580" s="17"/>
      <c r="Y1580" s="17"/>
      <c r="Z1580" s="17"/>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c r="BA1580" s="17"/>
      <c r="BB1580" s="17"/>
      <c r="BC1580" s="17"/>
      <c r="BD1580" s="17"/>
      <c r="BE1580" s="17"/>
      <c r="BF1580" s="17"/>
      <c r="BG1580" s="17"/>
      <c r="BH1580" s="17"/>
      <c r="BI1580" s="17"/>
      <c r="BJ1580" s="17"/>
      <c r="BK1580" s="17"/>
      <c r="BL1580" s="17"/>
    </row>
    <row r="1581">
      <c r="A1581" s="17"/>
      <c r="B1581" s="17"/>
      <c r="C1581" s="17"/>
      <c r="D1581" s="17"/>
      <c r="E1581" s="17"/>
      <c r="F1581" s="17"/>
      <c r="G1581" s="17"/>
      <c r="H1581" s="356"/>
      <c r="I1581" s="17"/>
      <c r="J1581" s="17"/>
      <c r="K1581" s="17"/>
      <c r="L1581" s="17"/>
      <c r="M1581" s="17"/>
      <c r="N1581" s="17"/>
      <c r="O1581" s="17"/>
      <c r="P1581" s="17"/>
      <c r="Q1581" s="17"/>
      <c r="R1581" s="17"/>
      <c r="S1581" s="17"/>
      <c r="T1581" s="17"/>
      <c r="U1581" s="17"/>
      <c r="V1581" s="17"/>
      <c r="W1581" s="17"/>
      <c r="X1581" s="17"/>
      <c r="Y1581" s="17"/>
      <c r="Z1581" s="17"/>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c r="BA1581" s="17"/>
      <c r="BB1581" s="17"/>
      <c r="BC1581" s="17"/>
      <c r="BD1581" s="17"/>
      <c r="BE1581" s="17"/>
      <c r="BF1581" s="17"/>
      <c r="BG1581" s="17"/>
      <c r="BH1581" s="17"/>
      <c r="BI1581" s="17"/>
      <c r="BJ1581" s="17"/>
      <c r="BK1581" s="17"/>
      <c r="BL1581" s="17"/>
    </row>
    <row r="1582">
      <c r="A1582" s="17"/>
      <c r="B1582" s="17"/>
      <c r="C1582" s="17"/>
      <c r="D1582" s="17"/>
      <c r="E1582" s="17"/>
      <c r="F1582" s="17"/>
      <c r="G1582" s="17"/>
      <c r="H1582" s="356"/>
      <c r="I1582" s="17"/>
      <c r="J1582" s="17"/>
      <c r="K1582" s="17"/>
      <c r="L1582" s="17"/>
      <c r="M1582" s="17"/>
      <c r="N1582" s="17"/>
      <c r="O1582" s="17"/>
      <c r="P1582" s="17"/>
      <c r="Q1582" s="17"/>
      <c r="R1582" s="17"/>
      <c r="S1582" s="17"/>
      <c r="T1582" s="17"/>
      <c r="U1582" s="17"/>
      <c r="V1582" s="17"/>
      <c r="W1582" s="17"/>
      <c r="X1582" s="17"/>
      <c r="Y1582" s="17"/>
      <c r="Z1582" s="17"/>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c r="BA1582" s="17"/>
      <c r="BB1582" s="17"/>
      <c r="BC1582" s="17"/>
      <c r="BD1582" s="17"/>
      <c r="BE1582" s="17"/>
      <c r="BF1582" s="17"/>
      <c r="BG1582" s="17"/>
      <c r="BH1582" s="17"/>
      <c r="BI1582" s="17"/>
      <c r="BJ1582" s="17"/>
      <c r="BK1582" s="17"/>
      <c r="BL1582" s="17"/>
    </row>
    <row r="1583">
      <c r="A1583" s="17"/>
      <c r="B1583" s="17"/>
      <c r="C1583" s="17"/>
      <c r="D1583" s="17"/>
      <c r="E1583" s="17"/>
      <c r="F1583" s="17"/>
      <c r="G1583" s="17"/>
      <c r="H1583" s="356"/>
      <c r="I1583" s="17"/>
      <c r="J1583" s="17"/>
      <c r="K1583" s="17"/>
      <c r="L1583" s="17"/>
      <c r="M1583" s="17"/>
      <c r="N1583" s="17"/>
      <c r="O1583" s="17"/>
      <c r="P1583" s="17"/>
      <c r="Q1583" s="17"/>
      <c r="R1583" s="17"/>
      <c r="S1583" s="17"/>
      <c r="T1583" s="17"/>
      <c r="U1583" s="17"/>
      <c r="V1583" s="17"/>
      <c r="W1583" s="17"/>
      <c r="X1583" s="17"/>
      <c r="Y1583" s="17"/>
      <c r="Z1583" s="17"/>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c r="BA1583" s="17"/>
      <c r="BB1583" s="17"/>
      <c r="BC1583" s="17"/>
      <c r="BD1583" s="17"/>
      <c r="BE1583" s="17"/>
      <c r="BF1583" s="17"/>
      <c r="BG1583" s="17"/>
      <c r="BH1583" s="17"/>
      <c r="BI1583" s="17"/>
      <c r="BJ1583" s="17"/>
      <c r="BK1583" s="17"/>
      <c r="BL1583" s="17"/>
    </row>
    <row r="1584">
      <c r="A1584" s="17"/>
      <c r="B1584" s="17"/>
      <c r="C1584" s="17"/>
      <c r="D1584" s="17"/>
      <c r="E1584" s="17"/>
      <c r="F1584" s="17"/>
      <c r="G1584" s="17"/>
      <c r="H1584" s="356"/>
      <c r="I1584" s="17"/>
      <c r="J1584" s="17"/>
      <c r="K1584" s="17"/>
      <c r="L1584" s="17"/>
      <c r="M1584" s="17"/>
      <c r="N1584" s="17"/>
      <c r="O1584" s="17"/>
      <c r="P1584" s="17"/>
      <c r="Q1584" s="17"/>
      <c r="R1584" s="17"/>
      <c r="S1584" s="17"/>
      <c r="T1584" s="17"/>
      <c r="U1584" s="17"/>
      <c r="V1584" s="17"/>
      <c r="W1584" s="17"/>
      <c r="X1584" s="17"/>
      <c r="Y1584" s="17"/>
      <c r="Z1584" s="17"/>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c r="BA1584" s="17"/>
      <c r="BB1584" s="17"/>
      <c r="BC1584" s="17"/>
      <c r="BD1584" s="17"/>
      <c r="BE1584" s="17"/>
      <c r="BF1584" s="17"/>
      <c r="BG1584" s="17"/>
      <c r="BH1584" s="17"/>
      <c r="BI1584" s="17"/>
      <c r="BJ1584" s="17"/>
      <c r="BK1584" s="17"/>
      <c r="BL1584" s="17"/>
    </row>
    <row r="1585">
      <c r="A1585" s="17"/>
      <c r="B1585" s="17"/>
      <c r="C1585" s="17"/>
      <c r="D1585" s="17"/>
      <c r="E1585" s="17"/>
      <c r="F1585" s="17"/>
      <c r="G1585" s="17"/>
      <c r="H1585" s="356"/>
      <c r="I1585" s="17"/>
      <c r="J1585" s="17"/>
      <c r="K1585" s="17"/>
      <c r="L1585" s="17"/>
      <c r="M1585" s="17"/>
      <c r="N1585" s="17"/>
      <c r="O1585" s="17"/>
      <c r="P1585" s="17"/>
      <c r="Q1585" s="17"/>
      <c r="R1585" s="17"/>
      <c r="S1585" s="17"/>
      <c r="T1585" s="17"/>
      <c r="U1585" s="17"/>
      <c r="V1585" s="17"/>
      <c r="W1585" s="17"/>
      <c r="X1585" s="17"/>
      <c r="Y1585" s="17"/>
      <c r="Z1585" s="17"/>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7"/>
      <c r="AW1585" s="17"/>
      <c r="AX1585" s="17"/>
      <c r="AY1585" s="17"/>
      <c r="AZ1585" s="17"/>
      <c r="BA1585" s="17"/>
      <c r="BB1585" s="17"/>
      <c r="BC1585" s="17"/>
      <c r="BD1585" s="17"/>
      <c r="BE1585" s="17"/>
      <c r="BF1585" s="17"/>
      <c r="BG1585" s="17"/>
      <c r="BH1585" s="17"/>
      <c r="BI1585" s="17"/>
      <c r="BJ1585" s="17"/>
      <c r="BK1585" s="17"/>
      <c r="BL1585" s="17"/>
    </row>
    <row r="1586">
      <c r="A1586" s="17"/>
      <c r="B1586" s="17"/>
      <c r="C1586" s="17"/>
      <c r="D1586" s="17"/>
      <c r="E1586" s="17"/>
      <c r="F1586" s="17"/>
      <c r="G1586" s="17"/>
      <c r="H1586" s="356"/>
      <c r="I1586" s="17"/>
      <c r="J1586" s="17"/>
      <c r="K1586" s="17"/>
      <c r="L1586" s="17"/>
      <c r="M1586" s="17"/>
      <c r="N1586" s="17"/>
      <c r="O1586" s="17"/>
      <c r="P1586" s="17"/>
      <c r="Q1586" s="17"/>
      <c r="R1586" s="17"/>
      <c r="S1586" s="17"/>
      <c r="T1586" s="17"/>
      <c r="U1586" s="17"/>
      <c r="V1586" s="17"/>
      <c r="W1586" s="17"/>
      <c r="X1586" s="17"/>
      <c r="Y1586" s="17"/>
      <c r="Z1586" s="17"/>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c r="BA1586" s="17"/>
      <c r="BB1586" s="17"/>
      <c r="BC1586" s="17"/>
      <c r="BD1586" s="17"/>
      <c r="BE1586" s="17"/>
      <c r="BF1586" s="17"/>
      <c r="BG1586" s="17"/>
      <c r="BH1586" s="17"/>
      <c r="BI1586" s="17"/>
      <c r="BJ1586" s="17"/>
      <c r="BK1586" s="17"/>
      <c r="BL1586" s="17"/>
    </row>
    <row r="1587">
      <c r="A1587" s="17"/>
      <c r="B1587" s="17"/>
      <c r="C1587" s="17"/>
      <c r="D1587" s="17"/>
      <c r="E1587" s="17"/>
      <c r="F1587" s="17"/>
      <c r="G1587" s="17"/>
      <c r="H1587" s="356"/>
      <c r="I1587" s="17"/>
      <c r="J1587" s="17"/>
      <c r="K1587" s="17"/>
      <c r="L1587" s="17"/>
      <c r="M1587" s="17"/>
      <c r="N1587" s="17"/>
      <c r="O1587" s="17"/>
      <c r="P1587" s="17"/>
      <c r="Q1587" s="17"/>
      <c r="R1587" s="17"/>
      <c r="S1587" s="17"/>
      <c r="T1587" s="17"/>
      <c r="U1587" s="17"/>
      <c r="V1587" s="17"/>
      <c r="W1587" s="17"/>
      <c r="X1587" s="17"/>
      <c r="Y1587" s="17"/>
      <c r="Z1587" s="17"/>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c r="BA1587" s="17"/>
      <c r="BB1587" s="17"/>
      <c r="BC1587" s="17"/>
      <c r="BD1587" s="17"/>
      <c r="BE1587" s="17"/>
      <c r="BF1587" s="17"/>
      <c r="BG1587" s="17"/>
      <c r="BH1587" s="17"/>
      <c r="BI1587" s="17"/>
      <c r="BJ1587" s="17"/>
      <c r="BK1587" s="17"/>
      <c r="BL1587" s="17"/>
    </row>
    <row r="1588">
      <c r="A1588" s="17"/>
      <c r="B1588" s="17"/>
      <c r="C1588" s="17"/>
      <c r="D1588" s="17"/>
      <c r="E1588" s="17"/>
      <c r="F1588" s="17"/>
      <c r="G1588" s="17"/>
      <c r="H1588" s="356"/>
      <c r="I1588" s="17"/>
      <c r="J1588" s="17"/>
      <c r="K1588" s="17"/>
      <c r="L1588" s="17"/>
      <c r="M1588" s="17"/>
      <c r="N1588" s="17"/>
      <c r="O1588" s="17"/>
      <c r="P1588" s="17"/>
      <c r="Q1588" s="17"/>
      <c r="R1588" s="17"/>
      <c r="S1588" s="17"/>
      <c r="T1588" s="17"/>
      <c r="U1588" s="17"/>
      <c r="V1588" s="17"/>
      <c r="W1588" s="17"/>
      <c r="X1588" s="17"/>
      <c r="Y1588" s="17"/>
      <c r="Z1588" s="17"/>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c r="BA1588" s="17"/>
      <c r="BB1588" s="17"/>
      <c r="BC1588" s="17"/>
      <c r="BD1588" s="17"/>
      <c r="BE1588" s="17"/>
      <c r="BF1588" s="17"/>
      <c r="BG1588" s="17"/>
      <c r="BH1588" s="17"/>
      <c r="BI1588" s="17"/>
      <c r="BJ1588" s="17"/>
      <c r="BK1588" s="17"/>
      <c r="BL1588" s="17"/>
    </row>
    <row r="1589">
      <c r="A1589" s="17"/>
      <c r="B1589" s="17"/>
      <c r="C1589" s="17"/>
      <c r="D1589" s="17"/>
      <c r="E1589" s="17"/>
      <c r="F1589" s="17"/>
      <c r="G1589" s="17"/>
      <c r="H1589" s="356"/>
      <c r="I1589" s="17"/>
      <c r="J1589" s="17"/>
      <c r="K1589" s="17"/>
      <c r="L1589" s="17"/>
      <c r="M1589" s="17"/>
      <c r="N1589" s="17"/>
      <c r="O1589" s="17"/>
      <c r="P1589" s="17"/>
      <c r="Q1589" s="17"/>
      <c r="R1589" s="17"/>
      <c r="S1589" s="17"/>
      <c r="T1589" s="17"/>
      <c r="U1589" s="17"/>
      <c r="V1589" s="17"/>
      <c r="W1589" s="17"/>
      <c r="X1589" s="17"/>
      <c r="Y1589" s="17"/>
      <c r="Z1589" s="17"/>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c r="BA1589" s="17"/>
      <c r="BB1589" s="17"/>
      <c r="BC1589" s="17"/>
      <c r="BD1589" s="17"/>
      <c r="BE1589" s="17"/>
      <c r="BF1589" s="17"/>
      <c r="BG1589" s="17"/>
      <c r="BH1589" s="17"/>
      <c r="BI1589" s="17"/>
      <c r="BJ1589" s="17"/>
      <c r="BK1589" s="17"/>
      <c r="BL1589" s="17"/>
    </row>
    <row r="1590">
      <c r="A1590" s="17"/>
      <c r="B1590" s="17"/>
      <c r="C1590" s="17"/>
      <c r="D1590" s="17"/>
      <c r="E1590" s="17"/>
      <c r="F1590" s="17"/>
      <c r="G1590" s="17"/>
      <c r="H1590" s="356"/>
      <c r="I1590" s="17"/>
      <c r="J1590" s="17"/>
      <c r="K1590" s="17"/>
      <c r="L1590" s="17"/>
      <c r="M1590" s="17"/>
      <c r="N1590" s="17"/>
      <c r="O1590" s="17"/>
      <c r="P1590" s="17"/>
      <c r="Q1590" s="17"/>
      <c r="R1590" s="17"/>
      <c r="S1590" s="17"/>
      <c r="T1590" s="17"/>
      <c r="U1590" s="17"/>
      <c r="V1590" s="17"/>
      <c r="W1590" s="17"/>
      <c r="X1590" s="17"/>
      <c r="Y1590" s="17"/>
      <c r="Z1590" s="17"/>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c r="BA1590" s="17"/>
      <c r="BB1590" s="17"/>
      <c r="BC1590" s="17"/>
      <c r="BD1590" s="17"/>
      <c r="BE1590" s="17"/>
      <c r="BF1590" s="17"/>
      <c r="BG1590" s="17"/>
      <c r="BH1590" s="17"/>
      <c r="BI1590" s="17"/>
      <c r="BJ1590" s="17"/>
      <c r="BK1590" s="17"/>
      <c r="BL1590" s="17"/>
    </row>
    <row r="1591">
      <c r="A1591" s="17"/>
      <c r="B1591" s="17"/>
      <c r="C1591" s="17"/>
      <c r="D1591" s="17"/>
      <c r="E1591" s="17"/>
      <c r="F1591" s="17"/>
      <c r="G1591" s="17"/>
      <c r="H1591" s="356"/>
      <c r="I1591" s="17"/>
      <c r="J1591" s="17"/>
      <c r="K1591" s="17"/>
      <c r="L1591" s="17"/>
      <c r="M1591" s="17"/>
      <c r="N1591" s="17"/>
      <c r="O1591" s="17"/>
      <c r="P1591" s="17"/>
      <c r="Q1591" s="17"/>
      <c r="R1591" s="17"/>
      <c r="S1591" s="17"/>
      <c r="T1591" s="17"/>
      <c r="U1591" s="17"/>
      <c r="V1591" s="17"/>
      <c r="W1591" s="17"/>
      <c r="X1591" s="17"/>
      <c r="Y1591" s="17"/>
      <c r="Z1591" s="17"/>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c r="AV1591" s="17"/>
      <c r="AW1591" s="17"/>
      <c r="AX1591" s="17"/>
      <c r="AY1591" s="17"/>
      <c r="AZ1591" s="17"/>
      <c r="BA1591" s="17"/>
      <c r="BB1591" s="17"/>
      <c r="BC1591" s="17"/>
      <c r="BD1591" s="17"/>
      <c r="BE1591" s="17"/>
      <c r="BF1591" s="17"/>
      <c r="BG1591" s="17"/>
      <c r="BH1591" s="17"/>
      <c r="BI1591" s="17"/>
      <c r="BJ1591" s="17"/>
      <c r="BK1591" s="17"/>
      <c r="BL1591" s="17"/>
    </row>
    <row r="1592">
      <c r="A1592" s="17"/>
      <c r="B1592" s="17"/>
      <c r="C1592" s="17"/>
      <c r="D1592" s="17"/>
      <c r="E1592" s="17"/>
      <c r="F1592" s="17"/>
      <c r="G1592" s="17"/>
      <c r="H1592" s="356"/>
      <c r="I1592" s="17"/>
      <c r="J1592" s="17"/>
      <c r="K1592" s="17"/>
      <c r="L1592" s="17"/>
      <c r="M1592" s="17"/>
      <c r="N1592" s="17"/>
      <c r="O1592" s="17"/>
      <c r="P1592" s="17"/>
      <c r="Q1592" s="17"/>
      <c r="R1592" s="17"/>
      <c r="S1592" s="17"/>
      <c r="T1592" s="17"/>
      <c r="U1592" s="17"/>
      <c r="V1592" s="17"/>
      <c r="W1592" s="17"/>
      <c r="X1592" s="17"/>
      <c r="Y1592" s="17"/>
      <c r="Z1592" s="17"/>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c r="BA1592" s="17"/>
      <c r="BB1592" s="17"/>
      <c r="BC1592" s="17"/>
      <c r="BD1592" s="17"/>
      <c r="BE1592" s="17"/>
      <c r="BF1592" s="17"/>
      <c r="BG1592" s="17"/>
      <c r="BH1592" s="17"/>
      <c r="BI1592" s="17"/>
      <c r="BJ1592" s="17"/>
      <c r="BK1592" s="17"/>
      <c r="BL1592" s="17"/>
    </row>
    <row r="1593">
      <c r="A1593" s="17"/>
      <c r="B1593" s="17"/>
      <c r="C1593" s="17"/>
      <c r="D1593" s="17"/>
      <c r="E1593" s="17"/>
      <c r="F1593" s="17"/>
      <c r="G1593" s="17"/>
      <c r="H1593" s="356"/>
      <c r="I1593" s="17"/>
      <c r="J1593" s="17"/>
      <c r="K1593" s="17"/>
      <c r="L1593" s="17"/>
      <c r="M1593" s="17"/>
      <c r="N1593" s="17"/>
      <c r="O1593" s="17"/>
      <c r="P1593" s="17"/>
      <c r="Q1593" s="17"/>
      <c r="R1593" s="17"/>
      <c r="S1593" s="17"/>
      <c r="T1593" s="17"/>
      <c r="U1593" s="17"/>
      <c r="V1593" s="17"/>
      <c r="W1593" s="17"/>
      <c r="X1593" s="17"/>
      <c r="Y1593" s="17"/>
      <c r="Z1593" s="17"/>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c r="BA1593" s="17"/>
      <c r="BB1593" s="17"/>
      <c r="BC1593" s="17"/>
      <c r="BD1593" s="17"/>
      <c r="BE1593" s="17"/>
      <c r="BF1593" s="17"/>
      <c r="BG1593" s="17"/>
      <c r="BH1593" s="17"/>
      <c r="BI1593" s="17"/>
      <c r="BJ1593" s="17"/>
      <c r="BK1593" s="17"/>
      <c r="BL1593" s="17"/>
    </row>
    <row r="1594">
      <c r="A1594" s="17"/>
      <c r="B1594" s="17"/>
      <c r="C1594" s="17"/>
      <c r="D1594" s="17"/>
      <c r="E1594" s="17"/>
      <c r="F1594" s="17"/>
      <c r="G1594" s="17"/>
      <c r="H1594" s="356"/>
      <c r="I1594" s="17"/>
      <c r="J1594" s="17"/>
      <c r="K1594" s="17"/>
      <c r="L1594" s="17"/>
      <c r="M1594" s="17"/>
      <c r="N1594" s="17"/>
      <c r="O1594" s="17"/>
      <c r="P1594" s="17"/>
      <c r="Q1594" s="17"/>
      <c r="R1594" s="17"/>
      <c r="S1594" s="17"/>
      <c r="T1594" s="17"/>
      <c r="U1594" s="17"/>
      <c r="V1594" s="17"/>
      <c r="W1594" s="17"/>
      <c r="X1594" s="17"/>
      <c r="Y1594" s="17"/>
      <c r="Z1594" s="17"/>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c r="BA1594" s="17"/>
      <c r="BB1594" s="17"/>
      <c r="BC1594" s="17"/>
      <c r="BD1594" s="17"/>
      <c r="BE1594" s="17"/>
      <c r="BF1594" s="17"/>
      <c r="BG1594" s="17"/>
      <c r="BH1594" s="17"/>
      <c r="BI1594" s="17"/>
      <c r="BJ1594" s="17"/>
      <c r="BK1594" s="17"/>
      <c r="BL1594" s="17"/>
    </row>
    <row r="1595">
      <c r="A1595" s="17"/>
      <c r="B1595" s="17"/>
      <c r="C1595" s="17"/>
      <c r="D1595" s="17"/>
      <c r="E1595" s="17"/>
      <c r="F1595" s="17"/>
      <c r="G1595" s="17"/>
      <c r="H1595" s="356"/>
      <c r="I1595" s="17"/>
      <c r="J1595" s="17"/>
      <c r="K1595" s="17"/>
      <c r="L1595" s="17"/>
      <c r="M1595" s="17"/>
      <c r="N1595" s="17"/>
      <c r="O1595" s="17"/>
      <c r="P1595" s="17"/>
      <c r="Q1595" s="17"/>
      <c r="R1595" s="17"/>
      <c r="S1595" s="17"/>
      <c r="T1595" s="17"/>
      <c r="U1595" s="17"/>
      <c r="V1595" s="17"/>
      <c r="W1595" s="17"/>
      <c r="X1595" s="17"/>
      <c r="Y1595" s="17"/>
      <c r="Z1595" s="17"/>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c r="BA1595" s="17"/>
      <c r="BB1595" s="17"/>
      <c r="BC1595" s="17"/>
      <c r="BD1595" s="17"/>
      <c r="BE1595" s="17"/>
      <c r="BF1595" s="17"/>
      <c r="BG1595" s="17"/>
      <c r="BH1595" s="17"/>
      <c r="BI1595" s="17"/>
      <c r="BJ1595" s="17"/>
      <c r="BK1595" s="17"/>
      <c r="BL1595" s="17"/>
    </row>
    <row r="1596">
      <c r="A1596" s="17"/>
      <c r="B1596" s="17"/>
      <c r="C1596" s="17"/>
      <c r="D1596" s="17"/>
      <c r="E1596" s="17"/>
      <c r="F1596" s="17"/>
      <c r="G1596" s="17"/>
      <c r="H1596" s="356"/>
      <c r="I1596" s="17"/>
      <c r="J1596" s="17"/>
      <c r="K1596" s="17"/>
      <c r="L1596" s="17"/>
      <c r="M1596" s="17"/>
      <c r="N1596" s="17"/>
      <c r="O1596" s="17"/>
      <c r="P1596" s="17"/>
      <c r="Q1596" s="17"/>
      <c r="R1596" s="17"/>
      <c r="S1596" s="17"/>
      <c r="T1596" s="17"/>
      <c r="U1596" s="17"/>
      <c r="V1596" s="17"/>
      <c r="W1596" s="17"/>
      <c r="X1596" s="17"/>
      <c r="Y1596" s="17"/>
      <c r="Z1596" s="17"/>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c r="BA1596" s="17"/>
      <c r="BB1596" s="17"/>
      <c r="BC1596" s="17"/>
      <c r="BD1596" s="17"/>
      <c r="BE1596" s="17"/>
      <c r="BF1596" s="17"/>
      <c r="BG1596" s="17"/>
      <c r="BH1596" s="17"/>
      <c r="BI1596" s="17"/>
      <c r="BJ1596" s="17"/>
      <c r="BK1596" s="17"/>
      <c r="BL1596" s="17"/>
    </row>
    <row r="1597">
      <c r="A1597" s="17"/>
      <c r="B1597" s="17"/>
      <c r="C1597" s="17"/>
      <c r="D1597" s="17"/>
      <c r="E1597" s="17"/>
      <c r="F1597" s="17"/>
      <c r="G1597" s="17"/>
      <c r="H1597" s="356"/>
      <c r="I1597" s="17"/>
      <c r="J1597" s="17"/>
      <c r="K1597" s="17"/>
      <c r="L1597" s="17"/>
      <c r="M1597" s="17"/>
      <c r="N1597" s="17"/>
      <c r="O1597" s="17"/>
      <c r="P1597" s="17"/>
      <c r="Q1597" s="17"/>
      <c r="R1597" s="17"/>
      <c r="S1597" s="17"/>
      <c r="T1597" s="17"/>
      <c r="U1597" s="17"/>
      <c r="V1597" s="17"/>
      <c r="W1597" s="17"/>
      <c r="X1597" s="17"/>
      <c r="Y1597" s="17"/>
      <c r="Z1597" s="17"/>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c r="BA1597" s="17"/>
      <c r="BB1597" s="17"/>
      <c r="BC1597" s="17"/>
      <c r="BD1597" s="17"/>
      <c r="BE1597" s="17"/>
      <c r="BF1597" s="17"/>
      <c r="BG1597" s="17"/>
      <c r="BH1597" s="17"/>
      <c r="BI1597" s="17"/>
      <c r="BJ1597" s="17"/>
      <c r="BK1597" s="17"/>
      <c r="BL1597" s="17"/>
    </row>
    <row r="1598">
      <c r="A1598" s="17"/>
      <c r="B1598" s="17"/>
      <c r="C1598" s="17"/>
      <c r="D1598" s="17"/>
      <c r="E1598" s="17"/>
      <c r="F1598" s="17"/>
      <c r="G1598" s="17"/>
      <c r="H1598" s="356"/>
      <c r="I1598" s="17"/>
      <c r="J1598" s="17"/>
      <c r="K1598" s="17"/>
      <c r="L1598" s="17"/>
      <c r="M1598" s="17"/>
      <c r="N1598" s="17"/>
      <c r="O1598" s="17"/>
      <c r="P1598" s="17"/>
      <c r="Q1598" s="17"/>
      <c r="R1598" s="17"/>
      <c r="S1598" s="17"/>
      <c r="T1598" s="17"/>
      <c r="U1598" s="17"/>
      <c r="V1598" s="17"/>
      <c r="W1598" s="17"/>
      <c r="X1598" s="17"/>
      <c r="Y1598" s="17"/>
      <c r="Z1598" s="17"/>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c r="BA1598" s="17"/>
      <c r="BB1598" s="17"/>
      <c r="BC1598" s="17"/>
      <c r="BD1598" s="17"/>
      <c r="BE1598" s="17"/>
      <c r="BF1598" s="17"/>
      <c r="BG1598" s="17"/>
      <c r="BH1598" s="17"/>
      <c r="BI1598" s="17"/>
      <c r="BJ1598" s="17"/>
      <c r="BK1598" s="17"/>
      <c r="BL1598" s="17"/>
    </row>
    <row r="1599">
      <c r="A1599" s="17"/>
      <c r="B1599" s="17"/>
      <c r="C1599" s="17"/>
      <c r="D1599" s="17"/>
      <c r="E1599" s="17"/>
      <c r="F1599" s="17"/>
      <c r="G1599" s="17"/>
      <c r="H1599" s="356"/>
      <c r="I1599" s="17"/>
      <c r="J1599" s="17"/>
      <c r="K1599" s="17"/>
      <c r="L1599" s="17"/>
      <c r="M1599" s="17"/>
      <c r="N1599" s="17"/>
      <c r="O1599" s="17"/>
      <c r="P1599" s="17"/>
      <c r="Q1599" s="17"/>
      <c r="R1599" s="17"/>
      <c r="S1599" s="17"/>
      <c r="T1599" s="17"/>
      <c r="U1599" s="17"/>
      <c r="V1599" s="17"/>
      <c r="W1599" s="17"/>
      <c r="X1599" s="17"/>
      <c r="Y1599" s="17"/>
      <c r="Z1599" s="17"/>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c r="AW1599" s="17"/>
      <c r="AX1599" s="17"/>
      <c r="AY1599" s="17"/>
      <c r="AZ1599" s="17"/>
      <c r="BA1599" s="17"/>
      <c r="BB1599" s="17"/>
      <c r="BC1599" s="17"/>
      <c r="BD1599" s="17"/>
      <c r="BE1599" s="17"/>
      <c r="BF1599" s="17"/>
      <c r="BG1599" s="17"/>
      <c r="BH1599" s="17"/>
      <c r="BI1599" s="17"/>
      <c r="BJ1599" s="17"/>
      <c r="BK1599" s="17"/>
      <c r="BL1599" s="17"/>
    </row>
    <row r="1600">
      <c r="A1600" s="17"/>
      <c r="B1600" s="17"/>
      <c r="C1600" s="17"/>
      <c r="D1600" s="17"/>
      <c r="E1600" s="17"/>
      <c r="F1600" s="17"/>
      <c r="G1600" s="17"/>
      <c r="H1600" s="356"/>
      <c r="I1600" s="17"/>
      <c r="J1600" s="17"/>
      <c r="K1600" s="17"/>
      <c r="L1600" s="17"/>
      <c r="M1600" s="17"/>
      <c r="N1600" s="17"/>
      <c r="O1600" s="17"/>
      <c r="P1600" s="17"/>
      <c r="Q1600" s="17"/>
      <c r="R1600" s="17"/>
      <c r="S1600" s="17"/>
      <c r="T1600" s="17"/>
      <c r="U1600" s="17"/>
      <c r="V1600" s="17"/>
      <c r="W1600" s="17"/>
      <c r="X1600" s="17"/>
      <c r="Y1600" s="17"/>
      <c r="Z1600" s="17"/>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7"/>
      <c r="AW1600" s="17"/>
      <c r="AX1600" s="17"/>
      <c r="AY1600" s="17"/>
      <c r="AZ1600" s="17"/>
      <c r="BA1600" s="17"/>
      <c r="BB1600" s="17"/>
      <c r="BC1600" s="17"/>
      <c r="BD1600" s="17"/>
      <c r="BE1600" s="17"/>
      <c r="BF1600" s="17"/>
      <c r="BG1600" s="17"/>
      <c r="BH1600" s="17"/>
      <c r="BI1600" s="17"/>
      <c r="BJ1600" s="17"/>
      <c r="BK1600" s="17"/>
      <c r="BL1600" s="17"/>
    </row>
    <row r="1601">
      <c r="A1601" s="17"/>
      <c r="B1601" s="17"/>
      <c r="C1601" s="17"/>
      <c r="D1601" s="17"/>
      <c r="E1601" s="17"/>
      <c r="F1601" s="17"/>
      <c r="G1601" s="17"/>
      <c r="H1601" s="356"/>
      <c r="I1601" s="17"/>
      <c r="J1601" s="17"/>
      <c r="K1601" s="17"/>
      <c r="L1601" s="17"/>
      <c r="M1601" s="17"/>
      <c r="N1601" s="17"/>
      <c r="O1601" s="17"/>
      <c r="P1601" s="17"/>
      <c r="Q1601" s="17"/>
      <c r="R1601" s="17"/>
      <c r="S1601" s="17"/>
      <c r="T1601" s="17"/>
      <c r="U1601" s="17"/>
      <c r="V1601" s="17"/>
      <c r="W1601" s="17"/>
      <c r="X1601" s="17"/>
      <c r="Y1601" s="17"/>
      <c r="Z1601" s="17"/>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7"/>
      <c r="AW1601" s="17"/>
      <c r="AX1601" s="17"/>
      <c r="AY1601" s="17"/>
      <c r="AZ1601" s="17"/>
      <c r="BA1601" s="17"/>
      <c r="BB1601" s="17"/>
      <c r="BC1601" s="17"/>
      <c r="BD1601" s="17"/>
      <c r="BE1601" s="17"/>
      <c r="BF1601" s="17"/>
      <c r="BG1601" s="17"/>
      <c r="BH1601" s="17"/>
      <c r="BI1601" s="17"/>
      <c r="BJ1601" s="17"/>
      <c r="BK1601" s="17"/>
      <c r="BL1601" s="17"/>
    </row>
    <row r="1602">
      <c r="A1602" s="17"/>
      <c r="B1602" s="17"/>
      <c r="C1602" s="17"/>
      <c r="D1602" s="17"/>
      <c r="E1602" s="17"/>
      <c r="F1602" s="17"/>
      <c r="G1602" s="17"/>
      <c r="H1602" s="356"/>
      <c r="I1602" s="17"/>
      <c r="J1602" s="17"/>
      <c r="K1602" s="17"/>
      <c r="L1602" s="17"/>
      <c r="M1602" s="17"/>
      <c r="N1602" s="17"/>
      <c r="O1602" s="17"/>
      <c r="P1602" s="17"/>
      <c r="Q1602" s="17"/>
      <c r="R1602" s="17"/>
      <c r="S1602" s="17"/>
      <c r="T1602" s="17"/>
      <c r="U1602" s="17"/>
      <c r="V1602" s="17"/>
      <c r="W1602" s="17"/>
      <c r="X1602" s="17"/>
      <c r="Y1602" s="17"/>
      <c r="Z1602" s="17"/>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c r="AW1602" s="17"/>
      <c r="AX1602" s="17"/>
      <c r="AY1602" s="17"/>
      <c r="AZ1602" s="17"/>
      <c r="BA1602" s="17"/>
      <c r="BB1602" s="17"/>
      <c r="BC1602" s="17"/>
      <c r="BD1602" s="17"/>
      <c r="BE1602" s="17"/>
      <c r="BF1602" s="17"/>
      <c r="BG1602" s="17"/>
      <c r="BH1602" s="17"/>
      <c r="BI1602" s="17"/>
      <c r="BJ1602" s="17"/>
      <c r="BK1602" s="17"/>
      <c r="BL1602" s="17"/>
    </row>
    <row r="1603">
      <c r="A1603" s="17"/>
      <c r="B1603" s="17"/>
      <c r="C1603" s="17"/>
      <c r="D1603" s="17"/>
      <c r="E1603" s="17"/>
      <c r="F1603" s="17"/>
      <c r="G1603" s="17"/>
      <c r="H1603" s="356"/>
      <c r="I1603" s="17"/>
      <c r="J1603" s="17"/>
      <c r="K1603" s="17"/>
      <c r="L1603" s="17"/>
      <c r="M1603" s="17"/>
      <c r="N1603" s="17"/>
      <c r="O1603" s="17"/>
      <c r="P1603" s="17"/>
      <c r="Q1603" s="17"/>
      <c r="R1603" s="17"/>
      <c r="S1603" s="17"/>
      <c r="T1603" s="17"/>
      <c r="U1603" s="17"/>
      <c r="V1603" s="17"/>
      <c r="W1603" s="17"/>
      <c r="X1603" s="17"/>
      <c r="Y1603" s="17"/>
      <c r="Z1603" s="17"/>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7"/>
      <c r="AW1603" s="17"/>
      <c r="AX1603" s="17"/>
      <c r="AY1603" s="17"/>
      <c r="AZ1603" s="17"/>
      <c r="BA1603" s="17"/>
      <c r="BB1603" s="17"/>
      <c r="BC1603" s="17"/>
      <c r="BD1603" s="17"/>
      <c r="BE1603" s="17"/>
      <c r="BF1603" s="17"/>
      <c r="BG1603" s="17"/>
      <c r="BH1603" s="17"/>
      <c r="BI1603" s="17"/>
      <c r="BJ1603" s="17"/>
      <c r="BK1603" s="17"/>
      <c r="BL1603" s="17"/>
    </row>
    <row r="1604">
      <c r="A1604" s="17"/>
      <c r="B1604" s="17"/>
      <c r="C1604" s="17"/>
      <c r="D1604" s="17"/>
      <c r="E1604" s="17"/>
      <c r="F1604" s="17"/>
      <c r="G1604" s="17"/>
      <c r="H1604" s="356"/>
      <c r="I1604" s="17"/>
      <c r="J1604" s="17"/>
      <c r="K1604" s="17"/>
      <c r="L1604" s="17"/>
      <c r="M1604" s="17"/>
      <c r="N1604" s="17"/>
      <c r="O1604" s="17"/>
      <c r="P1604" s="17"/>
      <c r="Q1604" s="17"/>
      <c r="R1604" s="17"/>
      <c r="S1604" s="17"/>
      <c r="T1604" s="17"/>
      <c r="U1604" s="17"/>
      <c r="V1604" s="17"/>
      <c r="W1604" s="17"/>
      <c r="X1604" s="17"/>
      <c r="Y1604" s="17"/>
      <c r="Z1604" s="17"/>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7"/>
      <c r="AW1604" s="17"/>
      <c r="AX1604" s="17"/>
      <c r="AY1604" s="17"/>
      <c r="AZ1604" s="17"/>
      <c r="BA1604" s="17"/>
      <c r="BB1604" s="17"/>
      <c r="BC1604" s="17"/>
      <c r="BD1604" s="17"/>
      <c r="BE1604" s="17"/>
      <c r="BF1604" s="17"/>
      <c r="BG1604" s="17"/>
      <c r="BH1604" s="17"/>
      <c r="BI1604" s="17"/>
      <c r="BJ1604" s="17"/>
      <c r="BK1604" s="17"/>
      <c r="BL1604" s="17"/>
    </row>
    <row r="1605">
      <c r="A1605" s="17"/>
      <c r="B1605" s="17"/>
      <c r="C1605" s="17"/>
      <c r="D1605" s="17"/>
      <c r="E1605" s="17"/>
      <c r="F1605" s="17"/>
      <c r="G1605" s="17"/>
      <c r="H1605" s="356"/>
      <c r="I1605" s="17"/>
      <c r="J1605" s="17"/>
      <c r="K1605" s="17"/>
      <c r="L1605" s="17"/>
      <c r="M1605" s="17"/>
      <c r="N1605" s="17"/>
      <c r="O1605" s="17"/>
      <c r="P1605" s="17"/>
      <c r="Q1605" s="17"/>
      <c r="R1605" s="17"/>
      <c r="S1605" s="17"/>
      <c r="T1605" s="17"/>
      <c r="U1605" s="17"/>
      <c r="V1605" s="17"/>
      <c r="W1605" s="17"/>
      <c r="X1605" s="17"/>
      <c r="Y1605" s="17"/>
      <c r="Z1605" s="17"/>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7"/>
      <c r="AW1605" s="17"/>
      <c r="AX1605" s="17"/>
      <c r="AY1605" s="17"/>
      <c r="AZ1605" s="17"/>
      <c r="BA1605" s="17"/>
      <c r="BB1605" s="17"/>
      <c r="BC1605" s="17"/>
      <c r="BD1605" s="17"/>
      <c r="BE1605" s="17"/>
      <c r="BF1605" s="17"/>
      <c r="BG1605" s="17"/>
      <c r="BH1605" s="17"/>
      <c r="BI1605" s="17"/>
      <c r="BJ1605" s="17"/>
      <c r="BK1605" s="17"/>
      <c r="BL1605" s="17"/>
    </row>
    <row r="1606">
      <c r="A1606" s="17"/>
      <c r="B1606" s="17"/>
      <c r="C1606" s="17"/>
      <c r="D1606" s="17"/>
      <c r="E1606" s="17"/>
      <c r="F1606" s="17"/>
      <c r="G1606" s="17"/>
      <c r="H1606" s="356"/>
      <c r="I1606" s="17"/>
      <c r="J1606" s="17"/>
      <c r="K1606" s="17"/>
      <c r="L1606" s="17"/>
      <c r="M1606" s="17"/>
      <c r="N1606" s="17"/>
      <c r="O1606" s="17"/>
      <c r="P1606" s="17"/>
      <c r="Q1606" s="17"/>
      <c r="R1606" s="17"/>
      <c r="S1606" s="17"/>
      <c r="T1606" s="17"/>
      <c r="U1606" s="17"/>
      <c r="V1606" s="17"/>
      <c r="W1606" s="17"/>
      <c r="X1606" s="17"/>
      <c r="Y1606" s="17"/>
      <c r="Z1606" s="17"/>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7"/>
      <c r="AW1606" s="17"/>
      <c r="AX1606" s="17"/>
      <c r="AY1606" s="17"/>
      <c r="AZ1606" s="17"/>
      <c r="BA1606" s="17"/>
      <c r="BB1606" s="17"/>
      <c r="BC1606" s="17"/>
      <c r="BD1606" s="17"/>
      <c r="BE1606" s="17"/>
      <c r="BF1606" s="17"/>
      <c r="BG1606" s="17"/>
      <c r="BH1606" s="17"/>
      <c r="BI1606" s="17"/>
      <c r="BJ1606" s="17"/>
      <c r="BK1606" s="17"/>
      <c r="BL1606" s="17"/>
    </row>
    <row r="1607">
      <c r="A1607" s="17"/>
      <c r="B1607" s="17"/>
      <c r="C1607" s="17"/>
      <c r="D1607" s="17"/>
      <c r="E1607" s="17"/>
      <c r="F1607" s="17"/>
      <c r="G1607" s="17"/>
      <c r="H1607" s="356"/>
      <c r="I1607" s="17"/>
      <c r="J1607" s="17"/>
      <c r="K1607" s="17"/>
      <c r="L1607" s="17"/>
      <c r="M1607" s="17"/>
      <c r="N1607" s="17"/>
      <c r="O1607" s="17"/>
      <c r="P1607" s="17"/>
      <c r="Q1607" s="17"/>
      <c r="R1607" s="17"/>
      <c r="S1607" s="17"/>
      <c r="T1607" s="17"/>
      <c r="U1607" s="17"/>
      <c r="V1607" s="17"/>
      <c r="W1607" s="17"/>
      <c r="X1607" s="17"/>
      <c r="Y1607" s="17"/>
      <c r="Z1607" s="17"/>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7"/>
      <c r="AW1607" s="17"/>
      <c r="AX1607" s="17"/>
      <c r="AY1607" s="17"/>
      <c r="AZ1607" s="17"/>
      <c r="BA1607" s="17"/>
      <c r="BB1607" s="17"/>
      <c r="BC1607" s="17"/>
      <c r="BD1607" s="17"/>
      <c r="BE1607" s="17"/>
      <c r="BF1607" s="17"/>
      <c r="BG1607" s="17"/>
      <c r="BH1607" s="17"/>
      <c r="BI1607" s="17"/>
      <c r="BJ1607" s="17"/>
      <c r="BK1607" s="17"/>
      <c r="BL1607" s="17"/>
    </row>
    <row r="1608">
      <c r="A1608" s="17"/>
      <c r="B1608" s="17"/>
      <c r="C1608" s="17"/>
      <c r="D1608" s="17"/>
      <c r="E1608" s="17"/>
      <c r="F1608" s="17"/>
      <c r="G1608" s="17"/>
      <c r="H1608" s="356"/>
      <c r="I1608" s="17"/>
      <c r="J1608" s="17"/>
      <c r="K1608" s="17"/>
      <c r="L1608" s="17"/>
      <c r="M1608" s="17"/>
      <c r="N1608" s="17"/>
      <c r="O1608" s="17"/>
      <c r="P1608" s="17"/>
      <c r="Q1608" s="17"/>
      <c r="R1608" s="17"/>
      <c r="S1608" s="17"/>
      <c r="T1608" s="17"/>
      <c r="U1608" s="17"/>
      <c r="V1608" s="17"/>
      <c r="W1608" s="17"/>
      <c r="X1608" s="17"/>
      <c r="Y1608" s="17"/>
      <c r="Z1608" s="17"/>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7"/>
      <c r="AW1608" s="17"/>
      <c r="AX1608" s="17"/>
      <c r="AY1608" s="17"/>
      <c r="AZ1608" s="17"/>
      <c r="BA1608" s="17"/>
      <c r="BB1608" s="17"/>
      <c r="BC1608" s="17"/>
      <c r="BD1608" s="17"/>
      <c r="BE1608" s="17"/>
      <c r="BF1608" s="17"/>
      <c r="BG1608" s="17"/>
      <c r="BH1608" s="17"/>
      <c r="BI1608" s="17"/>
      <c r="BJ1608" s="17"/>
      <c r="BK1608" s="17"/>
      <c r="BL1608" s="17"/>
    </row>
    <row r="1609">
      <c r="A1609" s="17"/>
      <c r="B1609" s="17"/>
      <c r="C1609" s="17"/>
      <c r="D1609" s="17"/>
      <c r="E1609" s="17"/>
      <c r="F1609" s="17"/>
      <c r="G1609" s="17"/>
      <c r="H1609" s="356"/>
      <c r="I1609" s="17"/>
      <c r="J1609" s="17"/>
      <c r="K1609" s="17"/>
      <c r="L1609" s="17"/>
      <c r="M1609" s="17"/>
      <c r="N1609" s="17"/>
      <c r="O1609" s="17"/>
      <c r="P1609" s="17"/>
      <c r="Q1609" s="17"/>
      <c r="R1609" s="17"/>
      <c r="S1609" s="17"/>
      <c r="T1609" s="17"/>
      <c r="U1609" s="17"/>
      <c r="V1609" s="17"/>
      <c r="W1609" s="17"/>
      <c r="X1609" s="17"/>
      <c r="Y1609" s="17"/>
      <c r="Z1609" s="17"/>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7"/>
      <c r="AW1609" s="17"/>
      <c r="AX1609" s="17"/>
      <c r="AY1609" s="17"/>
      <c r="AZ1609" s="17"/>
      <c r="BA1609" s="17"/>
      <c r="BB1609" s="17"/>
      <c r="BC1609" s="17"/>
      <c r="BD1609" s="17"/>
      <c r="BE1609" s="17"/>
      <c r="BF1609" s="17"/>
      <c r="BG1609" s="17"/>
      <c r="BH1609" s="17"/>
      <c r="BI1609" s="17"/>
      <c r="BJ1609" s="17"/>
      <c r="BK1609" s="17"/>
      <c r="BL1609" s="17"/>
    </row>
    <row r="1610">
      <c r="A1610" s="17"/>
      <c r="B1610" s="17"/>
      <c r="C1610" s="17"/>
      <c r="D1610" s="17"/>
      <c r="E1610" s="17"/>
      <c r="F1610" s="17"/>
      <c r="G1610" s="17"/>
      <c r="H1610" s="356"/>
      <c r="I1610" s="17"/>
      <c r="J1610" s="17"/>
      <c r="K1610" s="17"/>
      <c r="L1610" s="17"/>
      <c r="M1610" s="17"/>
      <c r="N1610" s="17"/>
      <c r="O1610" s="17"/>
      <c r="P1610" s="17"/>
      <c r="Q1610" s="17"/>
      <c r="R1610" s="17"/>
      <c r="S1610" s="17"/>
      <c r="T1610" s="17"/>
      <c r="U1610" s="17"/>
      <c r="V1610" s="17"/>
      <c r="W1610" s="17"/>
      <c r="X1610" s="17"/>
      <c r="Y1610" s="17"/>
      <c r="Z1610" s="17"/>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c r="AV1610" s="17"/>
      <c r="AW1610" s="17"/>
      <c r="AX1610" s="17"/>
      <c r="AY1610" s="17"/>
      <c r="AZ1610" s="17"/>
      <c r="BA1610" s="17"/>
      <c r="BB1610" s="17"/>
      <c r="BC1610" s="17"/>
      <c r="BD1610" s="17"/>
      <c r="BE1610" s="17"/>
      <c r="BF1610" s="17"/>
      <c r="BG1610" s="17"/>
      <c r="BH1610" s="17"/>
      <c r="BI1610" s="17"/>
      <c r="BJ1610" s="17"/>
      <c r="BK1610" s="17"/>
      <c r="BL1610" s="17"/>
    </row>
    <row r="1611">
      <c r="A1611" s="17"/>
      <c r="B1611" s="17"/>
      <c r="C1611" s="17"/>
      <c r="D1611" s="17"/>
      <c r="E1611" s="17"/>
      <c r="F1611" s="17"/>
      <c r="G1611" s="17"/>
      <c r="H1611" s="356"/>
      <c r="I1611" s="17"/>
      <c r="J1611" s="17"/>
      <c r="K1611" s="17"/>
      <c r="L1611" s="17"/>
      <c r="M1611" s="17"/>
      <c r="N1611" s="17"/>
      <c r="O1611" s="17"/>
      <c r="P1611" s="17"/>
      <c r="Q1611" s="17"/>
      <c r="R1611" s="17"/>
      <c r="S1611" s="17"/>
      <c r="T1611" s="17"/>
      <c r="U1611" s="17"/>
      <c r="V1611" s="17"/>
      <c r="W1611" s="17"/>
      <c r="X1611" s="17"/>
      <c r="Y1611" s="17"/>
      <c r="Z1611" s="17"/>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c r="AV1611" s="17"/>
      <c r="AW1611" s="17"/>
      <c r="AX1611" s="17"/>
      <c r="AY1611" s="17"/>
      <c r="AZ1611" s="17"/>
      <c r="BA1611" s="17"/>
      <c r="BB1611" s="17"/>
      <c r="BC1611" s="17"/>
      <c r="BD1611" s="17"/>
      <c r="BE1611" s="17"/>
      <c r="BF1611" s="17"/>
      <c r="BG1611" s="17"/>
      <c r="BH1611" s="17"/>
      <c r="BI1611" s="17"/>
      <c r="BJ1611" s="17"/>
      <c r="BK1611" s="17"/>
      <c r="BL1611" s="17"/>
    </row>
    <row r="1612">
      <c r="A1612" s="17"/>
      <c r="B1612" s="17"/>
      <c r="C1612" s="17"/>
      <c r="D1612" s="17"/>
      <c r="E1612" s="17"/>
      <c r="F1612" s="17"/>
      <c r="G1612" s="17"/>
      <c r="H1612" s="356"/>
      <c r="I1612" s="17"/>
      <c r="J1612" s="17"/>
      <c r="K1612" s="17"/>
      <c r="L1612" s="17"/>
      <c r="M1612" s="17"/>
      <c r="N1612" s="17"/>
      <c r="O1612" s="17"/>
      <c r="P1612" s="17"/>
      <c r="Q1612" s="17"/>
      <c r="R1612" s="17"/>
      <c r="S1612" s="17"/>
      <c r="T1612" s="17"/>
      <c r="U1612" s="17"/>
      <c r="V1612" s="17"/>
      <c r="W1612" s="17"/>
      <c r="X1612" s="17"/>
      <c r="Y1612" s="17"/>
      <c r="Z1612" s="17"/>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c r="AV1612" s="17"/>
      <c r="AW1612" s="17"/>
      <c r="AX1612" s="17"/>
      <c r="AY1612" s="17"/>
      <c r="AZ1612" s="17"/>
      <c r="BA1612" s="17"/>
      <c r="BB1612" s="17"/>
      <c r="BC1612" s="17"/>
      <c r="BD1612" s="17"/>
      <c r="BE1612" s="17"/>
      <c r="BF1612" s="17"/>
      <c r="BG1612" s="17"/>
      <c r="BH1612" s="17"/>
      <c r="BI1612" s="17"/>
      <c r="BJ1612" s="17"/>
      <c r="BK1612" s="17"/>
      <c r="BL1612" s="17"/>
    </row>
    <row r="1613">
      <c r="A1613" s="17"/>
      <c r="B1613" s="17"/>
      <c r="C1613" s="17"/>
      <c r="D1613" s="17"/>
      <c r="E1613" s="17"/>
      <c r="F1613" s="17"/>
      <c r="G1613" s="17"/>
      <c r="H1613" s="356"/>
      <c r="I1613" s="17"/>
      <c r="J1613" s="17"/>
      <c r="K1613" s="17"/>
      <c r="L1613" s="17"/>
      <c r="M1613" s="17"/>
      <c r="N1613" s="17"/>
      <c r="O1613" s="17"/>
      <c r="P1613" s="17"/>
      <c r="Q1613" s="17"/>
      <c r="R1613" s="17"/>
      <c r="S1613" s="17"/>
      <c r="T1613" s="17"/>
      <c r="U1613" s="17"/>
      <c r="V1613" s="17"/>
      <c r="W1613" s="17"/>
      <c r="X1613" s="17"/>
      <c r="Y1613" s="17"/>
      <c r="Z1613" s="17"/>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c r="BA1613" s="17"/>
      <c r="BB1613" s="17"/>
      <c r="BC1613" s="17"/>
      <c r="BD1613" s="17"/>
      <c r="BE1613" s="17"/>
      <c r="BF1613" s="17"/>
      <c r="BG1613" s="17"/>
      <c r="BH1613" s="17"/>
      <c r="BI1613" s="17"/>
      <c r="BJ1613" s="17"/>
      <c r="BK1613" s="17"/>
      <c r="BL1613" s="17"/>
    </row>
    <row r="1614">
      <c r="A1614" s="17"/>
      <c r="B1614" s="17"/>
      <c r="C1614" s="17"/>
      <c r="D1614" s="17"/>
      <c r="E1614" s="17"/>
      <c r="F1614" s="17"/>
      <c r="G1614" s="17"/>
      <c r="H1614" s="356"/>
      <c r="I1614" s="17"/>
      <c r="J1614" s="17"/>
      <c r="K1614" s="17"/>
      <c r="L1614" s="17"/>
      <c r="M1614" s="17"/>
      <c r="N1614" s="17"/>
      <c r="O1614" s="17"/>
      <c r="P1614" s="17"/>
      <c r="Q1614" s="17"/>
      <c r="R1614" s="17"/>
      <c r="S1614" s="17"/>
      <c r="T1614" s="17"/>
      <c r="U1614" s="17"/>
      <c r="V1614" s="17"/>
      <c r="W1614" s="17"/>
      <c r="X1614" s="17"/>
      <c r="Y1614" s="17"/>
      <c r="Z1614" s="17"/>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c r="BA1614" s="17"/>
      <c r="BB1614" s="17"/>
      <c r="BC1614" s="17"/>
      <c r="BD1614" s="17"/>
      <c r="BE1614" s="17"/>
      <c r="BF1614" s="17"/>
      <c r="BG1614" s="17"/>
      <c r="BH1614" s="17"/>
      <c r="BI1614" s="17"/>
      <c r="BJ1614" s="17"/>
      <c r="BK1614" s="17"/>
      <c r="BL1614" s="17"/>
    </row>
    <row r="1615">
      <c r="A1615" s="17"/>
      <c r="B1615" s="17"/>
      <c r="C1615" s="17"/>
      <c r="D1615" s="17"/>
      <c r="E1615" s="17"/>
      <c r="F1615" s="17"/>
      <c r="G1615" s="17"/>
      <c r="H1615" s="356"/>
      <c r="I1615" s="17"/>
      <c r="J1615" s="17"/>
      <c r="K1615" s="17"/>
      <c r="L1615" s="17"/>
      <c r="M1615" s="17"/>
      <c r="N1615" s="17"/>
      <c r="O1615" s="17"/>
      <c r="P1615" s="17"/>
      <c r="Q1615" s="17"/>
      <c r="R1615" s="17"/>
      <c r="S1615" s="17"/>
      <c r="T1615" s="17"/>
      <c r="U1615" s="17"/>
      <c r="V1615" s="17"/>
      <c r="W1615" s="17"/>
      <c r="X1615" s="17"/>
      <c r="Y1615" s="17"/>
      <c r="Z1615" s="17"/>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7"/>
      <c r="AW1615" s="17"/>
      <c r="AX1615" s="17"/>
      <c r="AY1615" s="17"/>
      <c r="AZ1615" s="17"/>
      <c r="BA1615" s="17"/>
      <c r="BB1615" s="17"/>
      <c r="BC1615" s="17"/>
      <c r="BD1615" s="17"/>
      <c r="BE1615" s="17"/>
      <c r="BF1615" s="17"/>
      <c r="BG1615" s="17"/>
      <c r="BH1615" s="17"/>
      <c r="BI1615" s="17"/>
      <c r="BJ1615" s="17"/>
      <c r="BK1615" s="17"/>
      <c r="BL1615" s="17"/>
    </row>
    <row r="1616">
      <c r="A1616" s="17"/>
      <c r="B1616" s="17"/>
      <c r="C1616" s="17"/>
      <c r="D1616" s="17"/>
      <c r="E1616" s="17"/>
      <c r="F1616" s="17"/>
      <c r="G1616" s="17"/>
      <c r="H1616" s="356"/>
      <c r="I1616" s="17"/>
      <c r="J1616" s="17"/>
      <c r="K1616" s="17"/>
      <c r="L1616" s="17"/>
      <c r="M1616" s="17"/>
      <c r="N1616" s="17"/>
      <c r="O1616" s="17"/>
      <c r="P1616" s="17"/>
      <c r="Q1616" s="17"/>
      <c r="R1616" s="17"/>
      <c r="S1616" s="17"/>
      <c r="T1616" s="17"/>
      <c r="U1616" s="17"/>
      <c r="V1616" s="17"/>
      <c r="W1616" s="17"/>
      <c r="X1616" s="17"/>
      <c r="Y1616" s="17"/>
      <c r="Z1616" s="17"/>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7"/>
      <c r="AW1616" s="17"/>
      <c r="AX1616" s="17"/>
      <c r="AY1616" s="17"/>
      <c r="AZ1616" s="17"/>
      <c r="BA1616" s="17"/>
      <c r="BB1616" s="17"/>
      <c r="BC1616" s="17"/>
      <c r="BD1616" s="17"/>
      <c r="BE1616" s="17"/>
      <c r="BF1616" s="17"/>
      <c r="BG1616" s="17"/>
      <c r="BH1616" s="17"/>
      <c r="BI1616" s="17"/>
      <c r="BJ1616" s="17"/>
      <c r="BK1616" s="17"/>
      <c r="BL1616" s="17"/>
    </row>
    <row r="1617">
      <c r="A1617" s="17"/>
      <c r="B1617" s="17"/>
      <c r="C1617" s="17"/>
      <c r="D1617" s="17"/>
      <c r="E1617" s="17"/>
      <c r="F1617" s="17"/>
      <c r="G1617" s="17"/>
      <c r="H1617" s="356"/>
      <c r="I1617" s="17"/>
      <c r="J1617" s="17"/>
      <c r="K1617" s="17"/>
      <c r="L1617" s="17"/>
      <c r="M1617" s="17"/>
      <c r="N1617" s="17"/>
      <c r="O1617" s="17"/>
      <c r="P1617" s="17"/>
      <c r="Q1617" s="17"/>
      <c r="R1617" s="17"/>
      <c r="S1617" s="17"/>
      <c r="T1617" s="17"/>
      <c r="U1617" s="17"/>
      <c r="V1617" s="17"/>
      <c r="W1617" s="17"/>
      <c r="X1617" s="17"/>
      <c r="Y1617" s="17"/>
      <c r="Z1617" s="17"/>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7"/>
      <c r="AW1617" s="17"/>
      <c r="AX1617" s="17"/>
      <c r="AY1617" s="17"/>
      <c r="AZ1617" s="17"/>
      <c r="BA1617" s="17"/>
      <c r="BB1617" s="17"/>
      <c r="BC1617" s="17"/>
      <c r="BD1617" s="17"/>
      <c r="BE1617" s="17"/>
      <c r="BF1617" s="17"/>
      <c r="BG1617" s="17"/>
      <c r="BH1617" s="17"/>
      <c r="BI1617" s="17"/>
      <c r="BJ1617" s="17"/>
      <c r="BK1617" s="17"/>
      <c r="BL1617" s="17"/>
    </row>
    <row r="1618">
      <c r="A1618" s="17"/>
      <c r="B1618" s="17"/>
      <c r="C1618" s="17"/>
      <c r="D1618" s="17"/>
      <c r="E1618" s="17"/>
      <c r="F1618" s="17"/>
      <c r="G1618" s="17"/>
      <c r="H1618" s="356"/>
      <c r="I1618" s="17"/>
      <c r="J1618" s="17"/>
      <c r="K1618" s="17"/>
      <c r="L1618" s="17"/>
      <c r="M1618" s="17"/>
      <c r="N1618" s="17"/>
      <c r="O1618" s="17"/>
      <c r="P1618" s="17"/>
      <c r="Q1618" s="17"/>
      <c r="R1618" s="17"/>
      <c r="S1618" s="17"/>
      <c r="T1618" s="17"/>
      <c r="U1618" s="17"/>
      <c r="V1618" s="17"/>
      <c r="W1618" s="17"/>
      <c r="X1618" s="17"/>
      <c r="Y1618" s="17"/>
      <c r="Z1618" s="17"/>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c r="AV1618" s="17"/>
      <c r="AW1618" s="17"/>
      <c r="AX1618" s="17"/>
      <c r="AY1618" s="17"/>
      <c r="AZ1618" s="17"/>
      <c r="BA1618" s="17"/>
      <c r="BB1618" s="17"/>
      <c r="BC1618" s="17"/>
      <c r="BD1618" s="17"/>
      <c r="BE1618" s="17"/>
      <c r="BF1618" s="17"/>
      <c r="BG1618" s="17"/>
      <c r="BH1618" s="17"/>
      <c r="BI1618" s="17"/>
      <c r="BJ1618" s="17"/>
      <c r="BK1618" s="17"/>
      <c r="BL1618" s="17"/>
    </row>
    <row r="1619">
      <c r="A1619" s="17"/>
      <c r="B1619" s="17"/>
      <c r="C1619" s="17"/>
      <c r="D1619" s="17"/>
      <c r="E1619" s="17"/>
      <c r="F1619" s="17"/>
      <c r="G1619" s="17"/>
      <c r="H1619" s="356"/>
      <c r="I1619" s="17"/>
      <c r="J1619" s="17"/>
      <c r="K1619" s="17"/>
      <c r="L1619" s="17"/>
      <c r="M1619" s="17"/>
      <c r="N1619" s="17"/>
      <c r="O1619" s="17"/>
      <c r="P1619" s="17"/>
      <c r="Q1619" s="17"/>
      <c r="R1619" s="17"/>
      <c r="S1619" s="17"/>
      <c r="T1619" s="17"/>
      <c r="U1619" s="17"/>
      <c r="V1619" s="17"/>
      <c r="W1619" s="17"/>
      <c r="X1619" s="17"/>
      <c r="Y1619" s="17"/>
      <c r="Z1619" s="17"/>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c r="AV1619" s="17"/>
      <c r="AW1619" s="17"/>
      <c r="AX1619" s="17"/>
      <c r="AY1619" s="17"/>
      <c r="AZ1619" s="17"/>
      <c r="BA1619" s="17"/>
      <c r="BB1619" s="17"/>
      <c r="BC1619" s="17"/>
      <c r="BD1619" s="17"/>
      <c r="BE1619" s="17"/>
      <c r="BF1619" s="17"/>
      <c r="BG1619" s="17"/>
      <c r="BH1619" s="17"/>
      <c r="BI1619" s="17"/>
      <c r="BJ1619" s="17"/>
      <c r="BK1619" s="17"/>
      <c r="BL1619" s="17"/>
    </row>
    <row r="1620">
      <c r="A1620" s="17"/>
      <c r="B1620" s="17"/>
      <c r="C1620" s="17"/>
      <c r="D1620" s="17"/>
      <c r="E1620" s="17"/>
      <c r="F1620" s="17"/>
      <c r="G1620" s="17"/>
      <c r="H1620" s="356"/>
      <c r="I1620" s="17"/>
      <c r="J1620" s="17"/>
      <c r="K1620" s="17"/>
      <c r="L1620" s="17"/>
      <c r="M1620" s="17"/>
      <c r="N1620" s="17"/>
      <c r="O1620" s="17"/>
      <c r="P1620" s="17"/>
      <c r="Q1620" s="17"/>
      <c r="R1620" s="17"/>
      <c r="S1620" s="17"/>
      <c r="T1620" s="17"/>
      <c r="U1620" s="17"/>
      <c r="V1620" s="17"/>
      <c r="W1620" s="17"/>
      <c r="X1620" s="17"/>
      <c r="Y1620" s="17"/>
      <c r="Z1620" s="17"/>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7"/>
      <c r="AW1620" s="17"/>
      <c r="AX1620" s="17"/>
      <c r="AY1620" s="17"/>
      <c r="AZ1620" s="17"/>
      <c r="BA1620" s="17"/>
      <c r="BB1620" s="17"/>
      <c r="BC1620" s="17"/>
      <c r="BD1620" s="17"/>
      <c r="BE1620" s="17"/>
      <c r="BF1620" s="17"/>
      <c r="BG1620" s="17"/>
      <c r="BH1620" s="17"/>
      <c r="BI1620" s="17"/>
      <c r="BJ1620" s="17"/>
      <c r="BK1620" s="17"/>
      <c r="BL1620" s="17"/>
    </row>
    <row r="1621">
      <c r="A1621" s="17"/>
      <c r="B1621" s="17"/>
      <c r="C1621" s="17"/>
      <c r="D1621" s="17"/>
      <c r="E1621" s="17"/>
      <c r="F1621" s="17"/>
      <c r="G1621" s="17"/>
      <c r="H1621" s="356"/>
      <c r="I1621" s="17"/>
      <c r="J1621" s="17"/>
      <c r="K1621" s="17"/>
      <c r="L1621" s="17"/>
      <c r="M1621" s="17"/>
      <c r="N1621" s="17"/>
      <c r="O1621" s="17"/>
      <c r="P1621" s="17"/>
      <c r="Q1621" s="17"/>
      <c r="R1621" s="17"/>
      <c r="S1621" s="17"/>
      <c r="T1621" s="17"/>
      <c r="U1621" s="17"/>
      <c r="V1621" s="17"/>
      <c r="W1621" s="17"/>
      <c r="X1621" s="17"/>
      <c r="Y1621" s="17"/>
      <c r="Z1621" s="17"/>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c r="AV1621" s="17"/>
      <c r="AW1621" s="17"/>
      <c r="AX1621" s="17"/>
      <c r="AY1621" s="17"/>
      <c r="AZ1621" s="17"/>
      <c r="BA1621" s="17"/>
      <c r="BB1621" s="17"/>
      <c r="BC1621" s="17"/>
      <c r="BD1621" s="17"/>
      <c r="BE1621" s="17"/>
      <c r="BF1621" s="17"/>
      <c r="BG1621" s="17"/>
      <c r="BH1621" s="17"/>
      <c r="BI1621" s="17"/>
      <c r="BJ1621" s="17"/>
      <c r="BK1621" s="17"/>
      <c r="BL1621" s="17"/>
    </row>
    <row r="1622">
      <c r="A1622" s="17"/>
      <c r="B1622" s="17"/>
      <c r="C1622" s="17"/>
      <c r="D1622" s="17"/>
      <c r="E1622" s="17"/>
      <c r="F1622" s="17"/>
      <c r="G1622" s="17"/>
      <c r="H1622" s="356"/>
      <c r="I1622" s="17"/>
      <c r="J1622" s="17"/>
      <c r="K1622" s="17"/>
      <c r="L1622" s="17"/>
      <c r="M1622" s="17"/>
      <c r="N1622" s="17"/>
      <c r="O1622" s="17"/>
      <c r="P1622" s="17"/>
      <c r="Q1622" s="17"/>
      <c r="R1622" s="17"/>
      <c r="S1622" s="17"/>
      <c r="T1622" s="17"/>
      <c r="U1622" s="17"/>
      <c r="V1622" s="17"/>
      <c r="W1622" s="17"/>
      <c r="X1622" s="17"/>
      <c r="Y1622" s="17"/>
      <c r="Z1622" s="17"/>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7"/>
      <c r="AW1622" s="17"/>
      <c r="AX1622" s="17"/>
      <c r="AY1622" s="17"/>
      <c r="AZ1622" s="17"/>
      <c r="BA1622" s="17"/>
      <c r="BB1622" s="17"/>
      <c r="BC1622" s="17"/>
      <c r="BD1622" s="17"/>
      <c r="BE1622" s="17"/>
      <c r="BF1622" s="17"/>
      <c r="BG1622" s="17"/>
      <c r="BH1622" s="17"/>
      <c r="BI1622" s="17"/>
      <c r="BJ1622" s="17"/>
      <c r="BK1622" s="17"/>
      <c r="BL1622" s="17"/>
    </row>
    <row r="1623">
      <c r="A1623" s="17"/>
      <c r="B1623" s="17"/>
      <c r="C1623" s="17"/>
      <c r="D1623" s="17"/>
      <c r="E1623" s="17"/>
      <c r="F1623" s="17"/>
      <c r="G1623" s="17"/>
      <c r="H1623" s="356"/>
      <c r="I1623" s="17"/>
      <c r="J1623" s="17"/>
      <c r="K1623" s="17"/>
      <c r="L1623" s="17"/>
      <c r="M1623" s="17"/>
      <c r="N1623" s="17"/>
      <c r="O1623" s="17"/>
      <c r="P1623" s="17"/>
      <c r="Q1623" s="17"/>
      <c r="R1623" s="17"/>
      <c r="S1623" s="17"/>
      <c r="T1623" s="17"/>
      <c r="U1623" s="17"/>
      <c r="V1623" s="17"/>
      <c r="W1623" s="17"/>
      <c r="X1623" s="17"/>
      <c r="Y1623" s="17"/>
      <c r="Z1623" s="17"/>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c r="AV1623" s="17"/>
      <c r="AW1623" s="17"/>
      <c r="AX1623" s="17"/>
      <c r="AY1623" s="17"/>
      <c r="AZ1623" s="17"/>
      <c r="BA1623" s="17"/>
      <c r="BB1623" s="17"/>
      <c r="BC1623" s="17"/>
      <c r="BD1623" s="17"/>
      <c r="BE1623" s="17"/>
      <c r="BF1623" s="17"/>
      <c r="BG1623" s="17"/>
      <c r="BH1623" s="17"/>
      <c r="BI1623" s="17"/>
      <c r="BJ1623" s="17"/>
      <c r="BK1623" s="17"/>
      <c r="BL1623" s="17"/>
    </row>
    <row r="1624">
      <c r="A1624" s="17"/>
      <c r="B1624" s="17"/>
      <c r="C1624" s="17"/>
      <c r="D1624" s="17"/>
      <c r="E1624" s="17"/>
      <c r="F1624" s="17"/>
      <c r="G1624" s="17"/>
      <c r="H1624" s="356"/>
      <c r="I1624" s="17"/>
      <c r="J1624" s="17"/>
      <c r="K1624" s="17"/>
      <c r="L1624" s="17"/>
      <c r="M1624" s="17"/>
      <c r="N1624" s="17"/>
      <c r="O1624" s="17"/>
      <c r="P1624" s="17"/>
      <c r="Q1624" s="17"/>
      <c r="R1624" s="17"/>
      <c r="S1624" s="17"/>
      <c r="T1624" s="17"/>
      <c r="U1624" s="17"/>
      <c r="V1624" s="17"/>
      <c r="W1624" s="17"/>
      <c r="X1624" s="17"/>
      <c r="Y1624" s="17"/>
      <c r="Z1624" s="17"/>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7"/>
      <c r="AW1624" s="17"/>
      <c r="AX1624" s="17"/>
      <c r="AY1624" s="17"/>
      <c r="AZ1624" s="17"/>
      <c r="BA1624" s="17"/>
      <c r="BB1624" s="17"/>
      <c r="BC1624" s="17"/>
      <c r="BD1624" s="17"/>
      <c r="BE1624" s="17"/>
      <c r="BF1624" s="17"/>
      <c r="BG1624" s="17"/>
      <c r="BH1624" s="17"/>
      <c r="BI1624" s="17"/>
      <c r="BJ1624" s="17"/>
      <c r="BK1624" s="17"/>
      <c r="BL1624" s="17"/>
    </row>
    <row r="1625">
      <c r="A1625" s="17"/>
      <c r="B1625" s="17"/>
      <c r="C1625" s="17"/>
      <c r="D1625" s="17"/>
      <c r="E1625" s="17"/>
      <c r="F1625" s="17"/>
      <c r="G1625" s="17"/>
      <c r="H1625" s="356"/>
      <c r="I1625" s="17"/>
      <c r="J1625" s="17"/>
      <c r="K1625" s="17"/>
      <c r="L1625" s="17"/>
      <c r="M1625" s="17"/>
      <c r="N1625" s="17"/>
      <c r="O1625" s="17"/>
      <c r="P1625" s="17"/>
      <c r="Q1625" s="17"/>
      <c r="R1625" s="17"/>
      <c r="S1625" s="17"/>
      <c r="T1625" s="17"/>
      <c r="U1625" s="17"/>
      <c r="V1625" s="17"/>
      <c r="W1625" s="17"/>
      <c r="X1625" s="17"/>
      <c r="Y1625" s="17"/>
      <c r="Z1625" s="17"/>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7"/>
      <c r="AW1625" s="17"/>
      <c r="AX1625" s="17"/>
      <c r="AY1625" s="17"/>
      <c r="AZ1625" s="17"/>
      <c r="BA1625" s="17"/>
      <c r="BB1625" s="17"/>
      <c r="BC1625" s="17"/>
      <c r="BD1625" s="17"/>
      <c r="BE1625" s="17"/>
      <c r="BF1625" s="17"/>
      <c r="BG1625" s="17"/>
      <c r="BH1625" s="17"/>
      <c r="BI1625" s="17"/>
      <c r="BJ1625" s="17"/>
      <c r="BK1625" s="17"/>
      <c r="BL1625" s="17"/>
    </row>
    <row r="1626">
      <c r="A1626" s="17"/>
      <c r="B1626" s="17"/>
      <c r="C1626" s="17"/>
      <c r="D1626" s="17"/>
      <c r="E1626" s="17"/>
      <c r="F1626" s="17"/>
      <c r="G1626" s="17"/>
      <c r="H1626" s="356"/>
      <c r="I1626" s="17"/>
      <c r="J1626" s="17"/>
      <c r="K1626" s="17"/>
      <c r="L1626" s="17"/>
      <c r="M1626" s="17"/>
      <c r="N1626" s="17"/>
      <c r="O1626" s="17"/>
      <c r="P1626" s="17"/>
      <c r="Q1626" s="17"/>
      <c r="R1626" s="17"/>
      <c r="S1626" s="17"/>
      <c r="T1626" s="17"/>
      <c r="U1626" s="17"/>
      <c r="V1626" s="17"/>
      <c r="W1626" s="17"/>
      <c r="X1626" s="17"/>
      <c r="Y1626" s="17"/>
      <c r="Z1626" s="17"/>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c r="AV1626" s="17"/>
      <c r="AW1626" s="17"/>
      <c r="AX1626" s="17"/>
      <c r="AY1626" s="17"/>
      <c r="AZ1626" s="17"/>
      <c r="BA1626" s="17"/>
      <c r="BB1626" s="17"/>
      <c r="BC1626" s="17"/>
      <c r="BD1626" s="17"/>
      <c r="BE1626" s="17"/>
      <c r="BF1626" s="17"/>
      <c r="BG1626" s="17"/>
      <c r="BH1626" s="17"/>
      <c r="BI1626" s="17"/>
      <c r="BJ1626" s="17"/>
      <c r="BK1626" s="17"/>
      <c r="BL1626" s="17"/>
    </row>
    <row r="1627">
      <c r="A1627" s="17"/>
      <c r="B1627" s="17"/>
      <c r="C1627" s="17"/>
      <c r="D1627" s="17"/>
      <c r="E1627" s="17"/>
      <c r="F1627" s="17"/>
      <c r="G1627" s="17"/>
      <c r="H1627" s="356"/>
      <c r="I1627" s="17"/>
      <c r="J1627" s="17"/>
      <c r="K1627" s="17"/>
      <c r="L1627" s="17"/>
      <c r="M1627" s="17"/>
      <c r="N1627" s="17"/>
      <c r="O1627" s="17"/>
      <c r="P1627" s="17"/>
      <c r="Q1627" s="17"/>
      <c r="R1627" s="17"/>
      <c r="S1627" s="17"/>
      <c r="T1627" s="17"/>
      <c r="U1627" s="17"/>
      <c r="V1627" s="17"/>
      <c r="W1627" s="17"/>
      <c r="X1627" s="17"/>
      <c r="Y1627" s="17"/>
      <c r="Z1627" s="17"/>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c r="AV1627" s="17"/>
      <c r="AW1627" s="17"/>
      <c r="AX1627" s="17"/>
      <c r="AY1627" s="17"/>
      <c r="AZ1627" s="17"/>
      <c r="BA1627" s="17"/>
      <c r="BB1627" s="17"/>
      <c r="BC1627" s="17"/>
      <c r="BD1627" s="17"/>
      <c r="BE1627" s="17"/>
      <c r="BF1627" s="17"/>
      <c r="BG1627" s="17"/>
      <c r="BH1627" s="17"/>
      <c r="BI1627" s="17"/>
      <c r="BJ1627" s="17"/>
      <c r="BK1627" s="17"/>
      <c r="BL1627" s="17"/>
    </row>
    <row r="1628">
      <c r="A1628" s="17"/>
      <c r="B1628" s="17"/>
      <c r="C1628" s="17"/>
      <c r="D1628" s="17"/>
      <c r="E1628" s="17"/>
      <c r="F1628" s="17"/>
      <c r="G1628" s="17"/>
      <c r="H1628" s="356"/>
      <c r="I1628" s="17"/>
      <c r="J1628" s="17"/>
      <c r="K1628" s="17"/>
      <c r="L1628" s="17"/>
      <c r="M1628" s="17"/>
      <c r="N1628" s="17"/>
      <c r="O1628" s="17"/>
      <c r="P1628" s="17"/>
      <c r="Q1628" s="17"/>
      <c r="R1628" s="17"/>
      <c r="S1628" s="17"/>
      <c r="T1628" s="17"/>
      <c r="U1628" s="17"/>
      <c r="V1628" s="17"/>
      <c r="W1628" s="17"/>
      <c r="X1628" s="17"/>
      <c r="Y1628" s="17"/>
      <c r="Z1628" s="17"/>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c r="AV1628" s="17"/>
      <c r="AW1628" s="17"/>
      <c r="AX1628" s="17"/>
      <c r="AY1628" s="17"/>
      <c r="AZ1628" s="17"/>
      <c r="BA1628" s="17"/>
      <c r="BB1628" s="17"/>
      <c r="BC1628" s="17"/>
      <c r="BD1628" s="17"/>
      <c r="BE1628" s="17"/>
      <c r="BF1628" s="17"/>
      <c r="BG1628" s="17"/>
      <c r="BH1628" s="17"/>
      <c r="BI1628" s="17"/>
      <c r="BJ1628" s="17"/>
      <c r="BK1628" s="17"/>
      <c r="BL1628" s="17"/>
    </row>
    <row r="1629">
      <c r="A1629" s="17"/>
      <c r="B1629" s="17"/>
      <c r="C1629" s="17"/>
      <c r="D1629" s="17"/>
      <c r="E1629" s="17"/>
      <c r="F1629" s="17"/>
      <c r="G1629" s="17"/>
      <c r="H1629" s="356"/>
      <c r="I1629" s="17"/>
      <c r="J1629" s="17"/>
      <c r="K1629" s="17"/>
      <c r="L1629" s="17"/>
      <c r="M1629" s="17"/>
      <c r="N1629" s="17"/>
      <c r="O1629" s="17"/>
      <c r="P1629" s="17"/>
      <c r="Q1629" s="17"/>
      <c r="R1629" s="17"/>
      <c r="S1629" s="17"/>
      <c r="T1629" s="17"/>
      <c r="U1629" s="17"/>
      <c r="V1629" s="17"/>
      <c r="W1629" s="17"/>
      <c r="X1629" s="17"/>
      <c r="Y1629" s="17"/>
      <c r="Z1629" s="17"/>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c r="AV1629" s="17"/>
      <c r="AW1629" s="17"/>
      <c r="AX1629" s="17"/>
      <c r="AY1629" s="17"/>
      <c r="AZ1629" s="17"/>
      <c r="BA1629" s="17"/>
      <c r="BB1629" s="17"/>
      <c r="BC1629" s="17"/>
      <c r="BD1629" s="17"/>
      <c r="BE1629" s="17"/>
      <c r="BF1629" s="17"/>
      <c r="BG1629" s="17"/>
      <c r="BH1629" s="17"/>
      <c r="BI1629" s="17"/>
      <c r="BJ1629" s="17"/>
      <c r="BK1629" s="17"/>
      <c r="BL1629" s="17"/>
    </row>
    <row r="1630">
      <c r="A1630" s="17"/>
      <c r="B1630" s="17"/>
      <c r="C1630" s="17"/>
      <c r="D1630" s="17"/>
      <c r="E1630" s="17"/>
      <c r="F1630" s="17"/>
      <c r="G1630" s="17"/>
      <c r="H1630" s="356"/>
      <c r="I1630" s="17"/>
      <c r="J1630" s="17"/>
      <c r="K1630" s="17"/>
      <c r="L1630" s="17"/>
      <c r="M1630" s="17"/>
      <c r="N1630" s="17"/>
      <c r="O1630" s="17"/>
      <c r="P1630" s="17"/>
      <c r="Q1630" s="17"/>
      <c r="R1630" s="17"/>
      <c r="S1630" s="17"/>
      <c r="T1630" s="17"/>
      <c r="U1630" s="17"/>
      <c r="V1630" s="17"/>
      <c r="W1630" s="17"/>
      <c r="X1630" s="17"/>
      <c r="Y1630" s="17"/>
      <c r="Z1630" s="17"/>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c r="AV1630" s="17"/>
      <c r="AW1630" s="17"/>
      <c r="AX1630" s="17"/>
      <c r="AY1630" s="17"/>
      <c r="AZ1630" s="17"/>
      <c r="BA1630" s="17"/>
      <c r="BB1630" s="17"/>
      <c r="BC1630" s="17"/>
      <c r="BD1630" s="17"/>
      <c r="BE1630" s="17"/>
      <c r="BF1630" s="17"/>
      <c r="BG1630" s="17"/>
      <c r="BH1630" s="17"/>
      <c r="BI1630" s="17"/>
      <c r="BJ1630" s="17"/>
      <c r="BK1630" s="17"/>
      <c r="BL1630" s="17"/>
    </row>
    <row r="1631">
      <c r="A1631" s="17"/>
      <c r="B1631" s="17"/>
      <c r="C1631" s="17"/>
      <c r="D1631" s="17"/>
      <c r="E1631" s="17"/>
      <c r="F1631" s="17"/>
      <c r="G1631" s="17"/>
      <c r="H1631" s="356"/>
      <c r="I1631" s="17"/>
      <c r="J1631" s="17"/>
      <c r="K1631" s="17"/>
      <c r="L1631" s="17"/>
      <c r="M1631" s="17"/>
      <c r="N1631" s="17"/>
      <c r="O1631" s="17"/>
      <c r="P1631" s="17"/>
      <c r="Q1631" s="17"/>
      <c r="R1631" s="17"/>
      <c r="S1631" s="17"/>
      <c r="T1631" s="17"/>
      <c r="U1631" s="17"/>
      <c r="V1631" s="17"/>
      <c r="W1631" s="17"/>
      <c r="X1631" s="17"/>
      <c r="Y1631" s="17"/>
      <c r="Z1631" s="17"/>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7"/>
      <c r="AW1631" s="17"/>
      <c r="AX1631" s="17"/>
      <c r="AY1631" s="17"/>
      <c r="AZ1631" s="17"/>
      <c r="BA1631" s="17"/>
      <c r="BB1631" s="17"/>
      <c r="BC1631" s="17"/>
      <c r="BD1631" s="17"/>
      <c r="BE1631" s="17"/>
      <c r="BF1631" s="17"/>
      <c r="BG1631" s="17"/>
      <c r="BH1631" s="17"/>
      <c r="BI1631" s="17"/>
      <c r="BJ1631" s="17"/>
      <c r="BK1631" s="17"/>
      <c r="BL1631" s="17"/>
    </row>
    <row r="1632">
      <c r="A1632" s="17"/>
      <c r="B1632" s="17"/>
      <c r="C1632" s="17"/>
      <c r="D1632" s="17"/>
      <c r="E1632" s="17"/>
      <c r="F1632" s="17"/>
      <c r="G1632" s="17"/>
      <c r="H1632" s="356"/>
      <c r="I1632" s="17"/>
      <c r="J1632" s="17"/>
      <c r="K1632" s="17"/>
      <c r="L1632" s="17"/>
      <c r="M1632" s="17"/>
      <c r="N1632" s="17"/>
      <c r="O1632" s="17"/>
      <c r="P1632" s="17"/>
      <c r="Q1632" s="17"/>
      <c r="R1632" s="17"/>
      <c r="S1632" s="17"/>
      <c r="T1632" s="17"/>
      <c r="U1632" s="17"/>
      <c r="V1632" s="17"/>
      <c r="W1632" s="17"/>
      <c r="X1632" s="17"/>
      <c r="Y1632" s="17"/>
      <c r="Z1632" s="17"/>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c r="AV1632" s="17"/>
      <c r="AW1632" s="17"/>
      <c r="AX1632" s="17"/>
      <c r="AY1632" s="17"/>
      <c r="AZ1632" s="17"/>
      <c r="BA1632" s="17"/>
      <c r="BB1632" s="17"/>
      <c r="BC1632" s="17"/>
      <c r="BD1632" s="17"/>
      <c r="BE1632" s="17"/>
      <c r="BF1632" s="17"/>
      <c r="BG1632" s="17"/>
      <c r="BH1632" s="17"/>
      <c r="BI1632" s="17"/>
      <c r="BJ1632" s="17"/>
      <c r="BK1632" s="17"/>
      <c r="BL1632" s="17"/>
    </row>
    <row r="1633">
      <c r="A1633" s="17"/>
      <c r="B1633" s="17"/>
      <c r="C1633" s="17"/>
      <c r="D1633" s="17"/>
      <c r="E1633" s="17"/>
      <c r="F1633" s="17"/>
      <c r="G1633" s="17"/>
      <c r="H1633" s="356"/>
      <c r="I1633" s="17"/>
      <c r="J1633" s="17"/>
      <c r="K1633" s="17"/>
      <c r="L1633" s="17"/>
      <c r="M1633" s="17"/>
      <c r="N1633" s="17"/>
      <c r="O1633" s="17"/>
      <c r="P1633" s="17"/>
      <c r="Q1633" s="17"/>
      <c r="R1633" s="17"/>
      <c r="S1633" s="17"/>
      <c r="T1633" s="17"/>
      <c r="U1633" s="17"/>
      <c r="V1633" s="17"/>
      <c r="W1633" s="17"/>
      <c r="X1633" s="17"/>
      <c r="Y1633" s="17"/>
      <c r="Z1633" s="17"/>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c r="AV1633" s="17"/>
      <c r="AW1633" s="17"/>
      <c r="AX1633" s="17"/>
      <c r="AY1633" s="17"/>
      <c r="AZ1633" s="17"/>
      <c r="BA1633" s="17"/>
      <c r="BB1633" s="17"/>
      <c r="BC1633" s="17"/>
      <c r="BD1633" s="17"/>
      <c r="BE1633" s="17"/>
      <c r="BF1633" s="17"/>
      <c r="BG1633" s="17"/>
      <c r="BH1633" s="17"/>
      <c r="BI1633" s="17"/>
      <c r="BJ1633" s="17"/>
      <c r="BK1633" s="17"/>
      <c r="BL1633" s="17"/>
    </row>
    <row r="1634">
      <c r="A1634" s="17"/>
      <c r="B1634" s="17"/>
      <c r="C1634" s="17"/>
      <c r="D1634" s="17"/>
      <c r="E1634" s="17"/>
      <c r="F1634" s="17"/>
      <c r="G1634" s="17"/>
      <c r="H1634" s="356"/>
      <c r="I1634" s="17"/>
      <c r="J1634" s="17"/>
      <c r="K1634" s="17"/>
      <c r="L1634" s="17"/>
      <c r="M1634" s="17"/>
      <c r="N1634" s="17"/>
      <c r="O1634" s="17"/>
      <c r="P1634" s="17"/>
      <c r="Q1634" s="17"/>
      <c r="R1634" s="17"/>
      <c r="S1634" s="17"/>
      <c r="T1634" s="17"/>
      <c r="U1634" s="17"/>
      <c r="V1634" s="17"/>
      <c r="W1634" s="17"/>
      <c r="X1634" s="17"/>
      <c r="Y1634" s="17"/>
      <c r="Z1634" s="17"/>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c r="BA1634" s="17"/>
      <c r="BB1634" s="17"/>
      <c r="BC1634" s="17"/>
      <c r="BD1634" s="17"/>
      <c r="BE1634" s="17"/>
      <c r="BF1634" s="17"/>
      <c r="BG1634" s="17"/>
      <c r="BH1634" s="17"/>
      <c r="BI1634" s="17"/>
      <c r="BJ1634" s="17"/>
      <c r="BK1634" s="17"/>
      <c r="BL1634" s="17"/>
    </row>
    <row r="1635">
      <c r="A1635" s="17"/>
      <c r="B1635" s="17"/>
      <c r="C1635" s="17"/>
      <c r="D1635" s="17"/>
      <c r="E1635" s="17"/>
      <c r="F1635" s="17"/>
      <c r="G1635" s="17"/>
      <c r="H1635" s="356"/>
      <c r="I1635" s="17"/>
      <c r="J1635" s="17"/>
      <c r="K1635" s="17"/>
      <c r="L1635" s="17"/>
      <c r="M1635" s="17"/>
      <c r="N1635" s="17"/>
      <c r="O1635" s="17"/>
      <c r="P1635" s="17"/>
      <c r="Q1635" s="17"/>
      <c r="R1635" s="17"/>
      <c r="S1635" s="17"/>
      <c r="T1635" s="17"/>
      <c r="U1635" s="17"/>
      <c r="V1635" s="17"/>
      <c r="W1635" s="17"/>
      <c r="X1635" s="17"/>
      <c r="Y1635" s="17"/>
      <c r="Z1635" s="17"/>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c r="BA1635" s="17"/>
      <c r="BB1635" s="17"/>
      <c r="BC1635" s="17"/>
      <c r="BD1635" s="17"/>
      <c r="BE1635" s="17"/>
      <c r="BF1635" s="17"/>
      <c r="BG1635" s="17"/>
      <c r="BH1635" s="17"/>
      <c r="BI1635" s="17"/>
      <c r="BJ1635" s="17"/>
      <c r="BK1635" s="17"/>
      <c r="BL1635" s="17"/>
    </row>
    <row r="1636">
      <c r="A1636" s="17"/>
      <c r="B1636" s="17"/>
      <c r="C1636" s="17"/>
      <c r="D1636" s="17"/>
      <c r="E1636" s="17"/>
      <c r="F1636" s="17"/>
      <c r="G1636" s="17"/>
      <c r="H1636" s="356"/>
      <c r="I1636" s="17"/>
      <c r="J1636" s="17"/>
      <c r="K1636" s="17"/>
      <c r="L1636" s="17"/>
      <c r="M1636" s="17"/>
      <c r="N1636" s="17"/>
      <c r="O1636" s="17"/>
      <c r="P1636" s="17"/>
      <c r="Q1636" s="17"/>
      <c r="R1636" s="17"/>
      <c r="S1636" s="17"/>
      <c r="T1636" s="17"/>
      <c r="U1636" s="17"/>
      <c r="V1636" s="17"/>
      <c r="W1636" s="17"/>
      <c r="X1636" s="17"/>
      <c r="Y1636" s="17"/>
      <c r="Z1636" s="17"/>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c r="BA1636" s="17"/>
      <c r="BB1636" s="17"/>
      <c r="BC1636" s="17"/>
      <c r="BD1636" s="17"/>
      <c r="BE1636" s="17"/>
      <c r="BF1636" s="17"/>
      <c r="BG1636" s="17"/>
      <c r="BH1636" s="17"/>
      <c r="BI1636" s="17"/>
      <c r="BJ1636" s="17"/>
      <c r="BK1636" s="17"/>
      <c r="BL1636" s="17"/>
    </row>
    <row r="1637">
      <c r="A1637" s="17"/>
      <c r="B1637" s="17"/>
      <c r="C1637" s="17"/>
      <c r="D1637" s="17"/>
      <c r="E1637" s="17"/>
      <c r="F1637" s="17"/>
      <c r="G1637" s="17"/>
      <c r="H1637" s="356"/>
      <c r="I1637" s="17"/>
      <c r="J1637" s="17"/>
      <c r="K1637" s="17"/>
      <c r="L1637" s="17"/>
      <c r="M1637" s="17"/>
      <c r="N1637" s="17"/>
      <c r="O1637" s="17"/>
      <c r="P1637" s="17"/>
      <c r="Q1637" s="17"/>
      <c r="R1637" s="17"/>
      <c r="S1637" s="17"/>
      <c r="T1637" s="17"/>
      <c r="U1637" s="17"/>
      <c r="V1637" s="17"/>
      <c r="W1637" s="17"/>
      <c r="X1637" s="17"/>
      <c r="Y1637" s="17"/>
      <c r="Z1637" s="17"/>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c r="AV1637" s="17"/>
      <c r="AW1637" s="17"/>
      <c r="AX1637" s="17"/>
      <c r="AY1637" s="17"/>
      <c r="AZ1637" s="17"/>
      <c r="BA1637" s="17"/>
      <c r="BB1637" s="17"/>
      <c r="BC1637" s="17"/>
      <c r="BD1637" s="17"/>
      <c r="BE1637" s="17"/>
      <c r="BF1637" s="17"/>
      <c r="BG1637" s="17"/>
      <c r="BH1637" s="17"/>
      <c r="BI1637" s="17"/>
      <c r="BJ1637" s="17"/>
      <c r="BK1637" s="17"/>
      <c r="BL1637" s="17"/>
    </row>
    <row r="1638">
      <c r="A1638" s="17"/>
      <c r="B1638" s="17"/>
      <c r="C1638" s="17"/>
      <c r="D1638" s="17"/>
      <c r="E1638" s="17"/>
      <c r="F1638" s="17"/>
      <c r="G1638" s="17"/>
      <c r="H1638" s="356"/>
      <c r="I1638" s="17"/>
      <c r="J1638" s="17"/>
      <c r="K1638" s="17"/>
      <c r="L1638" s="17"/>
      <c r="M1638" s="17"/>
      <c r="N1638" s="17"/>
      <c r="O1638" s="17"/>
      <c r="P1638" s="17"/>
      <c r="Q1638" s="17"/>
      <c r="R1638" s="17"/>
      <c r="S1638" s="17"/>
      <c r="T1638" s="17"/>
      <c r="U1638" s="17"/>
      <c r="V1638" s="17"/>
      <c r="W1638" s="17"/>
      <c r="X1638" s="17"/>
      <c r="Y1638" s="17"/>
      <c r="Z1638" s="17"/>
      <c r="AA1638" s="17"/>
      <c r="AB1638" s="17"/>
      <c r="AC1638" s="17"/>
      <c r="AD1638" s="17"/>
      <c r="AE1638" s="17"/>
      <c r="AF1638" s="17"/>
      <c r="AG1638" s="17"/>
      <c r="AH1638" s="17"/>
      <c r="AI1638" s="17"/>
      <c r="AJ1638" s="17"/>
      <c r="AK1638" s="17"/>
      <c r="AL1638" s="17"/>
      <c r="AM1638" s="17"/>
      <c r="AN1638" s="17"/>
      <c r="AO1638" s="17"/>
      <c r="AP1638" s="17"/>
      <c r="AQ1638" s="17"/>
      <c r="AR1638" s="17"/>
      <c r="AS1638" s="17"/>
      <c r="AT1638" s="17"/>
      <c r="AU1638" s="17"/>
      <c r="AV1638" s="17"/>
      <c r="AW1638" s="17"/>
      <c r="AX1638" s="17"/>
      <c r="AY1638" s="17"/>
      <c r="AZ1638" s="17"/>
      <c r="BA1638" s="17"/>
      <c r="BB1638" s="17"/>
      <c r="BC1638" s="17"/>
      <c r="BD1638" s="17"/>
      <c r="BE1638" s="17"/>
      <c r="BF1638" s="17"/>
      <c r="BG1638" s="17"/>
      <c r="BH1638" s="17"/>
      <c r="BI1638" s="17"/>
      <c r="BJ1638" s="17"/>
      <c r="BK1638" s="17"/>
      <c r="BL1638" s="17"/>
    </row>
    <row r="1639">
      <c r="A1639" s="17"/>
      <c r="B1639" s="17"/>
      <c r="C1639" s="17"/>
      <c r="D1639" s="17"/>
      <c r="E1639" s="17"/>
      <c r="F1639" s="17"/>
      <c r="G1639" s="17"/>
      <c r="H1639" s="356"/>
      <c r="I1639" s="17"/>
      <c r="J1639" s="17"/>
      <c r="K1639" s="17"/>
      <c r="L1639" s="17"/>
      <c r="M1639" s="17"/>
      <c r="N1639" s="17"/>
      <c r="O1639" s="17"/>
      <c r="P1639" s="17"/>
      <c r="Q1639" s="17"/>
      <c r="R1639" s="17"/>
      <c r="S1639" s="17"/>
      <c r="T1639" s="17"/>
      <c r="U1639" s="17"/>
      <c r="V1639" s="17"/>
      <c r="W1639" s="17"/>
      <c r="X1639" s="17"/>
      <c r="Y1639" s="17"/>
      <c r="Z1639" s="17"/>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c r="AV1639" s="17"/>
      <c r="AW1639" s="17"/>
      <c r="AX1639" s="17"/>
      <c r="AY1639" s="17"/>
      <c r="AZ1639" s="17"/>
      <c r="BA1639" s="17"/>
      <c r="BB1639" s="17"/>
      <c r="BC1639" s="17"/>
      <c r="BD1639" s="17"/>
      <c r="BE1639" s="17"/>
      <c r="BF1639" s="17"/>
      <c r="BG1639" s="17"/>
      <c r="BH1639" s="17"/>
      <c r="BI1639" s="17"/>
      <c r="BJ1639" s="17"/>
      <c r="BK1639" s="17"/>
      <c r="BL1639" s="17"/>
    </row>
    <row r="1640">
      <c r="A1640" s="17"/>
      <c r="B1640" s="17"/>
      <c r="C1640" s="17"/>
      <c r="D1640" s="17"/>
      <c r="E1640" s="17"/>
      <c r="F1640" s="17"/>
      <c r="G1640" s="17"/>
      <c r="H1640" s="356"/>
      <c r="I1640" s="17"/>
      <c r="J1640" s="17"/>
      <c r="K1640" s="17"/>
      <c r="L1640" s="17"/>
      <c r="M1640" s="17"/>
      <c r="N1640" s="17"/>
      <c r="O1640" s="17"/>
      <c r="P1640" s="17"/>
      <c r="Q1640" s="17"/>
      <c r="R1640" s="17"/>
      <c r="S1640" s="17"/>
      <c r="T1640" s="17"/>
      <c r="U1640" s="17"/>
      <c r="V1640" s="17"/>
      <c r="W1640" s="17"/>
      <c r="X1640" s="17"/>
      <c r="Y1640" s="17"/>
      <c r="Z1640" s="17"/>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7"/>
      <c r="AW1640" s="17"/>
      <c r="AX1640" s="17"/>
      <c r="AY1640" s="17"/>
      <c r="AZ1640" s="17"/>
      <c r="BA1640" s="17"/>
      <c r="BB1640" s="17"/>
      <c r="BC1640" s="17"/>
      <c r="BD1640" s="17"/>
      <c r="BE1640" s="17"/>
      <c r="BF1640" s="17"/>
      <c r="BG1640" s="17"/>
      <c r="BH1640" s="17"/>
      <c r="BI1640" s="17"/>
      <c r="BJ1640" s="17"/>
      <c r="BK1640" s="17"/>
      <c r="BL1640" s="17"/>
    </row>
    <row r="1641">
      <c r="A1641" s="17"/>
      <c r="B1641" s="17"/>
      <c r="C1641" s="17"/>
      <c r="D1641" s="17"/>
      <c r="E1641" s="17"/>
      <c r="F1641" s="17"/>
      <c r="G1641" s="17"/>
      <c r="H1641" s="356"/>
      <c r="I1641" s="17"/>
      <c r="J1641" s="17"/>
      <c r="K1641" s="17"/>
      <c r="L1641" s="17"/>
      <c r="M1641" s="17"/>
      <c r="N1641" s="17"/>
      <c r="O1641" s="17"/>
      <c r="P1641" s="17"/>
      <c r="Q1641" s="17"/>
      <c r="R1641" s="17"/>
      <c r="S1641" s="17"/>
      <c r="T1641" s="17"/>
      <c r="U1641" s="17"/>
      <c r="V1641" s="17"/>
      <c r="W1641" s="17"/>
      <c r="X1641" s="17"/>
      <c r="Y1641" s="17"/>
      <c r="Z1641" s="17"/>
      <c r="AA1641" s="17"/>
      <c r="AB1641" s="17"/>
      <c r="AC1641" s="17"/>
      <c r="AD1641" s="17"/>
      <c r="AE1641" s="17"/>
      <c r="AF1641" s="17"/>
      <c r="AG1641" s="17"/>
      <c r="AH1641" s="17"/>
      <c r="AI1641" s="17"/>
      <c r="AJ1641" s="17"/>
      <c r="AK1641" s="17"/>
      <c r="AL1641" s="17"/>
      <c r="AM1641" s="17"/>
      <c r="AN1641" s="17"/>
      <c r="AO1641" s="17"/>
      <c r="AP1641" s="17"/>
      <c r="AQ1641" s="17"/>
      <c r="AR1641" s="17"/>
      <c r="AS1641" s="17"/>
      <c r="AT1641" s="17"/>
      <c r="AU1641" s="17"/>
      <c r="AV1641" s="17"/>
      <c r="AW1641" s="17"/>
      <c r="AX1641" s="17"/>
      <c r="AY1641" s="17"/>
      <c r="AZ1641" s="17"/>
      <c r="BA1641" s="17"/>
      <c r="BB1641" s="17"/>
      <c r="BC1641" s="17"/>
      <c r="BD1641" s="17"/>
      <c r="BE1641" s="17"/>
      <c r="BF1641" s="17"/>
      <c r="BG1641" s="17"/>
      <c r="BH1641" s="17"/>
      <c r="BI1641" s="17"/>
      <c r="BJ1641" s="17"/>
      <c r="BK1641" s="17"/>
      <c r="BL1641" s="17"/>
    </row>
    <row r="1642">
      <c r="A1642" s="17"/>
      <c r="B1642" s="17"/>
      <c r="C1642" s="17"/>
      <c r="D1642" s="17"/>
      <c r="E1642" s="17"/>
      <c r="F1642" s="17"/>
      <c r="G1642" s="17"/>
      <c r="H1642" s="356"/>
      <c r="I1642" s="17"/>
      <c r="J1642" s="17"/>
      <c r="K1642" s="17"/>
      <c r="L1642" s="17"/>
      <c r="M1642" s="17"/>
      <c r="N1642" s="17"/>
      <c r="O1642" s="17"/>
      <c r="P1642" s="17"/>
      <c r="Q1642" s="17"/>
      <c r="R1642" s="17"/>
      <c r="S1642" s="17"/>
      <c r="T1642" s="17"/>
      <c r="U1642" s="17"/>
      <c r="V1642" s="17"/>
      <c r="W1642" s="17"/>
      <c r="X1642" s="17"/>
      <c r="Y1642" s="17"/>
      <c r="Z1642" s="17"/>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c r="AV1642" s="17"/>
      <c r="AW1642" s="17"/>
      <c r="AX1642" s="17"/>
      <c r="AY1642" s="17"/>
      <c r="AZ1642" s="17"/>
      <c r="BA1642" s="17"/>
      <c r="BB1642" s="17"/>
      <c r="BC1642" s="17"/>
      <c r="BD1642" s="17"/>
      <c r="BE1642" s="17"/>
      <c r="BF1642" s="17"/>
      <c r="BG1642" s="17"/>
      <c r="BH1642" s="17"/>
      <c r="BI1642" s="17"/>
      <c r="BJ1642" s="17"/>
      <c r="BK1642" s="17"/>
      <c r="BL1642" s="17"/>
    </row>
    <row r="1643">
      <c r="A1643" s="17"/>
      <c r="B1643" s="17"/>
      <c r="C1643" s="17"/>
      <c r="D1643" s="17"/>
      <c r="E1643" s="17"/>
      <c r="F1643" s="17"/>
      <c r="G1643" s="17"/>
      <c r="H1643" s="356"/>
      <c r="I1643" s="17"/>
      <c r="J1643" s="17"/>
      <c r="K1643" s="17"/>
      <c r="L1643" s="17"/>
      <c r="M1643" s="17"/>
      <c r="N1643" s="17"/>
      <c r="O1643" s="17"/>
      <c r="P1643" s="17"/>
      <c r="Q1643" s="17"/>
      <c r="R1643" s="17"/>
      <c r="S1643" s="17"/>
      <c r="T1643" s="17"/>
      <c r="U1643" s="17"/>
      <c r="V1643" s="17"/>
      <c r="W1643" s="17"/>
      <c r="X1643" s="17"/>
      <c r="Y1643" s="17"/>
      <c r="Z1643" s="17"/>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c r="AV1643" s="17"/>
      <c r="AW1643" s="17"/>
      <c r="AX1643" s="17"/>
      <c r="AY1643" s="17"/>
      <c r="AZ1643" s="17"/>
      <c r="BA1643" s="17"/>
      <c r="BB1643" s="17"/>
      <c r="BC1643" s="17"/>
      <c r="BD1643" s="17"/>
      <c r="BE1643" s="17"/>
      <c r="BF1643" s="17"/>
      <c r="BG1643" s="17"/>
      <c r="BH1643" s="17"/>
      <c r="BI1643" s="17"/>
      <c r="BJ1643" s="17"/>
      <c r="BK1643" s="17"/>
      <c r="BL1643" s="17"/>
    </row>
    <row r="1644">
      <c r="A1644" s="17"/>
      <c r="B1644" s="17"/>
      <c r="C1644" s="17"/>
      <c r="D1644" s="17"/>
      <c r="E1644" s="17"/>
      <c r="F1644" s="17"/>
      <c r="G1644" s="17"/>
      <c r="H1644" s="356"/>
      <c r="I1644" s="17"/>
      <c r="J1644" s="17"/>
      <c r="K1644" s="17"/>
      <c r="L1644" s="17"/>
      <c r="M1644" s="17"/>
      <c r="N1644" s="17"/>
      <c r="O1644" s="17"/>
      <c r="P1644" s="17"/>
      <c r="Q1644" s="17"/>
      <c r="R1644" s="17"/>
      <c r="S1644" s="17"/>
      <c r="T1644" s="17"/>
      <c r="U1644" s="17"/>
      <c r="V1644" s="17"/>
      <c r="W1644" s="17"/>
      <c r="X1644" s="17"/>
      <c r="Y1644" s="17"/>
      <c r="Z1644" s="17"/>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c r="AV1644" s="17"/>
      <c r="AW1644" s="17"/>
      <c r="AX1644" s="17"/>
      <c r="AY1644" s="17"/>
      <c r="AZ1644" s="17"/>
      <c r="BA1644" s="17"/>
      <c r="BB1644" s="17"/>
      <c r="BC1644" s="17"/>
      <c r="BD1644" s="17"/>
      <c r="BE1644" s="17"/>
      <c r="BF1644" s="17"/>
      <c r="BG1644" s="17"/>
      <c r="BH1644" s="17"/>
      <c r="BI1644" s="17"/>
      <c r="BJ1644" s="17"/>
      <c r="BK1644" s="17"/>
      <c r="BL1644" s="17"/>
    </row>
    <row r="1645">
      <c r="A1645" s="17"/>
      <c r="B1645" s="17"/>
      <c r="C1645" s="17"/>
      <c r="D1645" s="17"/>
      <c r="E1645" s="17"/>
      <c r="F1645" s="17"/>
      <c r="G1645" s="17"/>
      <c r="H1645" s="356"/>
      <c r="I1645" s="17"/>
      <c r="J1645" s="17"/>
      <c r="K1645" s="17"/>
      <c r="L1645" s="17"/>
      <c r="M1645" s="17"/>
      <c r="N1645" s="17"/>
      <c r="O1645" s="17"/>
      <c r="P1645" s="17"/>
      <c r="Q1645" s="17"/>
      <c r="R1645" s="17"/>
      <c r="S1645" s="17"/>
      <c r="T1645" s="17"/>
      <c r="U1645" s="17"/>
      <c r="V1645" s="17"/>
      <c r="W1645" s="17"/>
      <c r="X1645" s="17"/>
      <c r="Y1645" s="17"/>
      <c r="Z1645" s="17"/>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c r="AV1645" s="17"/>
      <c r="AW1645" s="17"/>
      <c r="AX1645" s="17"/>
      <c r="AY1645" s="17"/>
      <c r="AZ1645" s="17"/>
      <c r="BA1645" s="17"/>
      <c r="BB1645" s="17"/>
      <c r="BC1645" s="17"/>
      <c r="BD1645" s="17"/>
      <c r="BE1645" s="17"/>
      <c r="BF1645" s="17"/>
      <c r="BG1645" s="17"/>
      <c r="BH1645" s="17"/>
      <c r="BI1645" s="17"/>
      <c r="BJ1645" s="17"/>
      <c r="BK1645" s="17"/>
      <c r="BL1645" s="17"/>
    </row>
    <row r="1646">
      <c r="A1646" s="17"/>
      <c r="B1646" s="17"/>
      <c r="C1646" s="17"/>
      <c r="D1646" s="17"/>
      <c r="E1646" s="17"/>
      <c r="F1646" s="17"/>
      <c r="G1646" s="17"/>
      <c r="H1646" s="356"/>
      <c r="I1646" s="17"/>
      <c r="J1646" s="17"/>
      <c r="K1646" s="17"/>
      <c r="L1646" s="17"/>
      <c r="M1646" s="17"/>
      <c r="N1646" s="17"/>
      <c r="O1646" s="17"/>
      <c r="P1646" s="17"/>
      <c r="Q1646" s="17"/>
      <c r="R1646" s="17"/>
      <c r="S1646" s="17"/>
      <c r="T1646" s="17"/>
      <c r="U1646" s="17"/>
      <c r="V1646" s="17"/>
      <c r="W1646" s="17"/>
      <c r="X1646" s="17"/>
      <c r="Y1646" s="17"/>
      <c r="Z1646" s="17"/>
      <c r="AA1646" s="17"/>
      <c r="AB1646" s="17"/>
      <c r="AC1646" s="17"/>
      <c r="AD1646" s="17"/>
      <c r="AE1646" s="17"/>
      <c r="AF1646" s="17"/>
      <c r="AG1646" s="17"/>
      <c r="AH1646" s="17"/>
      <c r="AI1646" s="17"/>
      <c r="AJ1646" s="17"/>
      <c r="AK1646" s="17"/>
      <c r="AL1646" s="17"/>
      <c r="AM1646" s="17"/>
      <c r="AN1646" s="17"/>
      <c r="AO1646" s="17"/>
      <c r="AP1646" s="17"/>
      <c r="AQ1646" s="17"/>
      <c r="AR1646" s="17"/>
      <c r="AS1646" s="17"/>
      <c r="AT1646" s="17"/>
      <c r="AU1646" s="17"/>
      <c r="AV1646" s="17"/>
      <c r="AW1646" s="17"/>
      <c r="AX1646" s="17"/>
      <c r="AY1646" s="17"/>
      <c r="AZ1646" s="17"/>
      <c r="BA1646" s="17"/>
      <c r="BB1646" s="17"/>
      <c r="BC1646" s="17"/>
      <c r="BD1646" s="17"/>
      <c r="BE1646" s="17"/>
      <c r="BF1646" s="17"/>
      <c r="BG1646" s="17"/>
      <c r="BH1646" s="17"/>
      <c r="BI1646" s="17"/>
      <c r="BJ1646" s="17"/>
      <c r="BK1646" s="17"/>
      <c r="BL1646" s="17"/>
    </row>
    <row r="1647">
      <c r="A1647" s="17"/>
      <c r="B1647" s="17"/>
      <c r="C1647" s="17"/>
      <c r="D1647" s="17"/>
      <c r="E1647" s="17"/>
      <c r="F1647" s="17"/>
      <c r="G1647" s="17"/>
      <c r="H1647" s="356"/>
      <c r="I1647" s="17"/>
      <c r="J1647" s="17"/>
      <c r="K1647" s="17"/>
      <c r="L1647" s="17"/>
      <c r="M1647" s="17"/>
      <c r="N1647" s="17"/>
      <c r="O1647" s="17"/>
      <c r="P1647" s="17"/>
      <c r="Q1647" s="17"/>
      <c r="R1647" s="17"/>
      <c r="S1647" s="17"/>
      <c r="T1647" s="17"/>
      <c r="U1647" s="17"/>
      <c r="V1647" s="17"/>
      <c r="W1647" s="17"/>
      <c r="X1647" s="17"/>
      <c r="Y1647" s="17"/>
      <c r="Z1647" s="17"/>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c r="AV1647" s="17"/>
      <c r="AW1647" s="17"/>
      <c r="AX1647" s="17"/>
      <c r="AY1647" s="17"/>
      <c r="AZ1647" s="17"/>
      <c r="BA1647" s="17"/>
      <c r="BB1647" s="17"/>
      <c r="BC1647" s="17"/>
      <c r="BD1647" s="17"/>
      <c r="BE1647" s="17"/>
      <c r="BF1647" s="17"/>
      <c r="BG1647" s="17"/>
      <c r="BH1647" s="17"/>
      <c r="BI1647" s="17"/>
      <c r="BJ1647" s="17"/>
      <c r="BK1647" s="17"/>
      <c r="BL1647" s="17"/>
    </row>
    <row r="1648">
      <c r="A1648" s="17"/>
      <c r="B1648" s="17"/>
      <c r="C1648" s="17"/>
      <c r="D1648" s="17"/>
      <c r="E1648" s="17"/>
      <c r="F1648" s="17"/>
      <c r="G1648" s="17"/>
      <c r="H1648" s="356"/>
      <c r="I1648" s="17"/>
      <c r="J1648" s="17"/>
      <c r="K1648" s="17"/>
      <c r="L1648" s="17"/>
      <c r="M1648" s="17"/>
      <c r="N1648" s="17"/>
      <c r="O1648" s="17"/>
      <c r="P1648" s="17"/>
      <c r="Q1648" s="17"/>
      <c r="R1648" s="17"/>
      <c r="S1648" s="17"/>
      <c r="T1648" s="17"/>
      <c r="U1648" s="17"/>
      <c r="V1648" s="17"/>
      <c r="W1648" s="17"/>
      <c r="X1648" s="17"/>
      <c r="Y1648" s="17"/>
      <c r="Z1648" s="17"/>
      <c r="AA1648" s="17"/>
      <c r="AB1648" s="17"/>
      <c r="AC1648" s="17"/>
      <c r="AD1648" s="17"/>
      <c r="AE1648" s="17"/>
      <c r="AF1648" s="17"/>
      <c r="AG1648" s="17"/>
      <c r="AH1648" s="17"/>
      <c r="AI1648" s="17"/>
      <c r="AJ1648" s="17"/>
      <c r="AK1648" s="17"/>
      <c r="AL1648" s="17"/>
      <c r="AM1648" s="17"/>
      <c r="AN1648" s="17"/>
      <c r="AO1648" s="17"/>
      <c r="AP1648" s="17"/>
      <c r="AQ1648" s="17"/>
      <c r="AR1648" s="17"/>
      <c r="AS1648" s="17"/>
      <c r="AT1648" s="17"/>
      <c r="AU1648" s="17"/>
      <c r="AV1648" s="17"/>
      <c r="AW1648" s="17"/>
      <c r="AX1648" s="17"/>
      <c r="AY1648" s="17"/>
      <c r="AZ1648" s="17"/>
      <c r="BA1648" s="17"/>
      <c r="BB1648" s="17"/>
      <c r="BC1648" s="17"/>
      <c r="BD1648" s="17"/>
      <c r="BE1648" s="17"/>
      <c r="BF1648" s="17"/>
      <c r="BG1648" s="17"/>
      <c r="BH1648" s="17"/>
      <c r="BI1648" s="17"/>
      <c r="BJ1648" s="17"/>
      <c r="BK1648" s="17"/>
      <c r="BL1648" s="17"/>
    </row>
    <row r="1649">
      <c r="A1649" s="17"/>
      <c r="B1649" s="17"/>
      <c r="C1649" s="17"/>
      <c r="D1649" s="17"/>
      <c r="E1649" s="17"/>
      <c r="F1649" s="17"/>
      <c r="G1649" s="17"/>
      <c r="H1649" s="356"/>
      <c r="I1649" s="17"/>
      <c r="J1649" s="17"/>
      <c r="K1649" s="17"/>
      <c r="L1649" s="17"/>
      <c r="M1649" s="17"/>
      <c r="N1649" s="17"/>
      <c r="O1649" s="17"/>
      <c r="P1649" s="17"/>
      <c r="Q1649" s="17"/>
      <c r="R1649" s="17"/>
      <c r="S1649" s="17"/>
      <c r="T1649" s="17"/>
      <c r="U1649" s="17"/>
      <c r="V1649" s="17"/>
      <c r="W1649" s="17"/>
      <c r="X1649" s="17"/>
      <c r="Y1649" s="17"/>
      <c r="Z1649" s="17"/>
      <c r="AA1649" s="17"/>
      <c r="AB1649" s="17"/>
      <c r="AC1649" s="17"/>
      <c r="AD1649" s="17"/>
      <c r="AE1649" s="17"/>
      <c r="AF1649" s="17"/>
      <c r="AG1649" s="17"/>
      <c r="AH1649" s="17"/>
      <c r="AI1649" s="17"/>
      <c r="AJ1649" s="17"/>
      <c r="AK1649" s="17"/>
      <c r="AL1649" s="17"/>
      <c r="AM1649" s="17"/>
      <c r="AN1649" s="17"/>
      <c r="AO1649" s="17"/>
      <c r="AP1649" s="17"/>
      <c r="AQ1649" s="17"/>
      <c r="AR1649" s="17"/>
      <c r="AS1649" s="17"/>
      <c r="AT1649" s="17"/>
      <c r="AU1649" s="17"/>
      <c r="AV1649" s="17"/>
      <c r="AW1649" s="17"/>
      <c r="AX1649" s="17"/>
      <c r="AY1649" s="17"/>
      <c r="AZ1649" s="17"/>
      <c r="BA1649" s="17"/>
      <c r="BB1649" s="17"/>
      <c r="BC1649" s="17"/>
      <c r="BD1649" s="17"/>
      <c r="BE1649" s="17"/>
      <c r="BF1649" s="17"/>
      <c r="BG1649" s="17"/>
      <c r="BH1649" s="17"/>
      <c r="BI1649" s="17"/>
      <c r="BJ1649" s="17"/>
      <c r="BK1649" s="17"/>
      <c r="BL1649" s="17"/>
    </row>
    <row r="1650">
      <c r="A1650" s="17"/>
      <c r="B1650" s="17"/>
      <c r="C1650" s="17"/>
      <c r="D1650" s="17"/>
      <c r="E1650" s="17"/>
      <c r="F1650" s="17"/>
      <c r="G1650" s="17"/>
      <c r="H1650" s="356"/>
      <c r="I1650" s="17"/>
      <c r="J1650" s="17"/>
      <c r="K1650" s="17"/>
      <c r="L1650" s="17"/>
      <c r="M1650" s="17"/>
      <c r="N1650" s="17"/>
      <c r="O1650" s="17"/>
      <c r="P1650" s="17"/>
      <c r="Q1650" s="17"/>
      <c r="R1650" s="17"/>
      <c r="S1650" s="17"/>
      <c r="T1650" s="17"/>
      <c r="U1650" s="17"/>
      <c r="V1650" s="17"/>
      <c r="W1650" s="17"/>
      <c r="X1650" s="17"/>
      <c r="Y1650" s="17"/>
      <c r="Z1650" s="17"/>
      <c r="AA1650" s="17"/>
      <c r="AB1650" s="17"/>
      <c r="AC1650" s="17"/>
      <c r="AD1650" s="17"/>
      <c r="AE1650" s="17"/>
      <c r="AF1650" s="17"/>
      <c r="AG1650" s="17"/>
      <c r="AH1650" s="17"/>
      <c r="AI1650" s="17"/>
      <c r="AJ1650" s="17"/>
      <c r="AK1650" s="17"/>
      <c r="AL1650" s="17"/>
      <c r="AM1650" s="17"/>
      <c r="AN1650" s="17"/>
      <c r="AO1650" s="17"/>
      <c r="AP1650" s="17"/>
      <c r="AQ1650" s="17"/>
      <c r="AR1650" s="17"/>
      <c r="AS1650" s="17"/>
      <c r="AT1650" s="17"/>
      <c r="AU1650" s="17"/>
      <c r="AV1650" s="17"/>
      <c r="AW1650" s="17"/>
      <c r="AX1650" s="17"/>
      <c r="AY1650" s="17"/>
      <c r="AZ1650" s="17"/>
      <c r="BA1650" s="17"/>
      <c r="BB1650" s="17"/>
      <c r="BC1650" s="17"/>
      <c r="BD1650" s="17"/>
      <c r="BE1650" s="17"/>
      <c r="BF1650" s="17"/>
      <c r="BG1650" s="17"/>
      <c r="BH1650" s="17"/>
      <c r="BI1650" s="17"/>
      <c r="BJ1650" s="17"/>
      <c r="BK1650" s="17"/>
      <c r="BL1650" s="17"/>
    </row>
    <row r="1651">
      <c r="A1651" s="17"/>
      <c r="B1651" s="17"/>
      <c r="C1651" s="17"/>
      <c r="D1651" s="17"/>
      <c r="E1651" s="17"/>
      <c r="F1651" s="17"/>
      <c r="G1651" s="17"/>
      <c r="H1651" s="356"/>
      <c r="I1651" s="17"/>
      <c r="J1651" s="17"/>
      <c r="K1651" s="17"/>
      <c r="L1651" s="17"/>
      <c r="M1651" s="17"/>
      <c r="N1651" s="17"/>
      <c r="O1651" s="17"/>
      <c r="P1651" s="17"/>
      <c r="Q1651" s="17"/>
      <c r="R1651" s="17"/>
      <c r="S1651" s="17"/>
      <c r="T1651" s="17"/>
      <c r="U1651" s="17"/>
      <c r="V1651" s="17"/>
      <c r="W1651" s="17"/>
      <c r="X1651" s="17"/>
      <c r="Y1651" s="17"/>
      <c r="Z1651" s="17"/>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c r="BA1651" s="17"/>
      <c r="BB1651" s="17"/>
      <c r="BC1651" s="17"/>
      <c r="BD1651" s="17"/>
      <c r="BE1651" s="17"/>
      <c r="BF1651" s="17"/>
      <c r="BG1651" s="17"/>
      <c r="BH1651" s="17"/>
      <c r="BI1651" s="17"/>
      <c r="BJ1651" s="17"/>
      <c r="BK1651" s="17"/>
      <c r="BL1651" s="17"/>
    </row>
    <row r="1652">
      <c r="A1652" s="17"/>
      <c r="B1652" s="17"/>
      <c r="C1652" s="17"/>
      <c r="D1652" s="17"/>
      <c r="E1652" s="17"/>
      <c r="F1652" s="17"/>
      <c r="G1652" s="17"/>
      <c r="H1652" s="356"/>
      <c r="I1652" s="17"/>
      <c r="J1652" s="17"/>
      <c r="K1652" s="17"/>
      <c r="L1652" s="17"/>
      <c r="M1652" s="17"/>
      <c r="N1652" s="17"/>
      <c r="O1652" s="17"/>
      <c r="P1652" s="17"/>
      <c r="Q1652" s="17"/>
      <c r="R1652" s="17"/>
      <c r="S1652" s="17"/>
      <c r="T1652" s="17"/>
      <c r="U1652" s="17"/>
      <c r="V1652" s="17"/>
      <c r="W1652" s="17"/>
      <c r="X1652" s="17"/>
      <c r="Y1652" s="17"/>
      <c r="Z1652" s="17"/>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c r="BA1652" s="17"/>
      <c r="BB1652" s="17"/>
      <c r="BC1652" s="17"/>
      <c r="BD1652" s="17"/>
      <c r="BE1652" s="17"/>
      <c r="BF1652" s="17"/>
      <c r="BG1652" s="17"/>
      <c r="BH1652" s="17"/>
      <c r="BI1652" s="17"/>
      <c r="BJ1652" s="17"/>
      <c r="BK1652" s="17"/>
      <c r="BL1652" s="17"/>
    </row>
    <row r="1653">
      <c r="A1653" s="17"/>
      <c r="B1653" s="17"/>
      <c r="C1653" s="17"/>
      <c r="D1653" s="17"/>
      <c r="E1653" s="17"/>
      <c r="F1653" s="17"/>
      <c r="G1653" s="17"/>
      <c r="H1653" s="356"/>
      <c r="I1653" s="17"/>
      <c r="J1653" s="17"/>
      <c r="K1653" s="17"/>
      <c r="L1653" s="17"/>
      <c r="M1653" s="17"/>
      <c r="N1653" s="17"/>
      <c r="O1653" s="17"/>
      <c r="P1653" s="17"/>
      <c r="Q1653" s="17"/>
      <c r="R1653" s="17"/>
      <c r="S1653" s="17"/>
      <c r="T1653" s="17"/>
      <c r="U1653" s="17"/>
      <c r="V1653" s="17"/>
      <c r="W1653" s="17"/>
      <c r="X1653" s="17"/>
      <c r="Y1653" s="17"/>
      <c r="Z1653" s="17"/>
      <c r="AA1653" s="17"/>
      <c r="AB1653" s="17"/>
      <c r="AC1653" s="17"/>
      <c r="AD1653" s="17"/>
      <c r="AE1653" s="17"/>
      <c r="AF1653" s="17"/>
      <c r="AG1653" s="17"/>
      <c r="AH1653" s="17"/>
      <c r="AI1653" s="17"/>
      <c r="AJ1653" s="17"/>
      <c r="AK1653" s="17"/>
      <c r="AL1653" s="17"/>
      <c r="AM1653" s="17"/>
      <c r="AN1653" s="17"/>
      <c r="AO1653" s="17"/>
      <c r="AP1653" s="17"/>
      <c r="AQ1653" s="17"/>
      <c r="AR1653" s="17"/>
      <c r="AS1653" s="17"/>
      <c r="AT1653" s="17"/>
      <c r="AU1653" s="17"/>
      <c r="AV1653" s="17"/>
      <c r="AW1653" s="17"/>
      <c r="AX1653" s="17"/>
      <c r="AY1653" s="17"/>
      <c r="AZ1653" s="17"/>
      <c r="BA1653" s="17"/>
      <c r="BB1653" s="17"/>
      <c r="BC1653" s="17"/>
      <c r="BD1653" s="17"/>
      <c r="BE1653" s="17"/>
      <c r="BF1653" s="17"/>
      <c r="BG1653" s="17"/>
      <c r="BH1653" s="17"/>
      <c r="BI1653" s="17"/>
      <c r="BJ1653" s="17"/>
      <c r="BK1653" s="17"/>
      <c r="BL1653" s="17"/>
    </row>
    <row r="1654">
      <c r="A1654" s="17"/>
      <c r="B1654" s="17"/>
      <c r="C1654" s="17"/>
      <c r="D1654" s="17"/>
      <c r="E1654" s="17"/>
      <c r="F1654" s="17"/>
      <c r="G1654" s="17"/>
      <c r="H1654" s="356"/>
      <c r="I1654" s="17"/>
      <c r="J1654" s="17"/>
      <c r="K1654" s="17"/>
      <c r="L1654" s="17"/>
      <c r="M1654" s="17"/>
      <c r="N1654" s="17"/>
      <c r="O1654" s="17"/>
      <c r="P1654" s="17"/>
      <c r="Q1654" s="17"/>
      <c r="R1654" s="17"/>
      <c r="S1654" s="17"/>
      <c r="T1654" s="17"/>
      <c r="U1654" s="17"/>
      <c r="V1654" s="17"/>
      <c r="W1654" s="17"/>
      <c r="X1654" s="17"/>
      <c r="Y1654" s="17"/>
      <c r="Z1654" s="17"/>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c r="AV1654" s="17"/>
      <c r="AW1654" s="17"/>
      <c r="AX1654" s="17"/>
      <c r="AY1654" s="17"/>
      <c r="AZ1654" s="17"/>
      <c r="BA1654" s="17"/>
      <c r="BB1654" s="17"/>
      <c r="BC1654" s="17"/>
      <c r="BD1654" s="17"/>
      <c r="BE1654" s="17"/>
      <c r="BF1654" s="17"/>
      <c r="BG1654" s="17"/>
      <c r="BH1654" s="17"/>
      <c r="BI1654" s="17"/>
      <c r="BJ1654" s="17"/>
      <c r="BK1654" s="17"/>
      <c r="BL1654" s="17"/>
    </row>
    <row r="1655">
      <c r="A1655" s="17"/>
      <c r="B1655" s="17"/>
      <c r="C1655" s="17"/>
      <c r="D1655" s="17"/>
      <c r="E1655" s="17"/>
      <c r="F1655" s="17"/>
      <c r="G1655" s="17"/>
      <c r="H1655" s="356"/>
      <c r="I1655" s="17"/>
      <c r="J1655" s="17"/>
      <c r="K1655" s="17"/>
      <c r="L1655" s="17"/>
      <c r="M1655" s="17"/>
      <c r="N1655" s="17"/>
      <c r="O1655" s="17"/>
      <c r="P1655" s="17"/>
      <c r="Q1655" s="17"/>
      <c r="R1655" s="17"/>
      <c r="S1655" s="17"/>
      <c r="T1655" s="17"/>
      <c r="U1655" s="17"/>
      <c r="V1655" s="17"/>
      <c r="W1655" s="17"/>
      <c r="X1655" s="17"/>
      <c r="Y1655" s="17"/>
      <c r="Z1655" s="17"/>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7"/>
      <c r="AW1655" s="17"/>
      <c r="AX1655" s="17"/>
      <c r="AY1655" s="17"/>
      <c r="AZ1655" s="17"/>
      <c r="BA1655" s="17"/>
      <c r="BB1655" s="17"/>
      <c r="BC1655" s="17"/>
      <c r="BD1655" s="17"/>
      <c r="BE1655" s="17"/>
      <c r="BF1655" s="17"/>
      <c r="BG1655" s="17"/>
      <c r="BH1655" s="17"/>
      <c r="BI1655" s="17"/>
      <c r="BJ1655" s="17"/>
      <c r="BK1655" s="17"/>
      <c r="BL1655" s="17"/>
    </row>
    <row r="1656">
      <c r="A1656" s="17"/>
      <c r="B1656" s="17"/>
      <c r="C1656" s="17"/>
      <c r="D1656" s="17"/>
      <c r="E1656" s="17"/>
      <c r="F1656" s="17"/>
      <c r="G1656" s="17"/>
      <c r="H1656" s="356"/>
      <c r="I1656" s="17"/>
      <c r="J1656" s="17"/>
      <c r="K1656" s="17"/>
      <c r="L1656" s="17"/>
      <c r="M1656" s="17"/>
      <c r="N1656" s="17"/>
      <c r="O1656" s="17"/>
      <c r="P1656" s="17"/>
      <c r="Q1656" s="17"/>
      <c r="R1656" s="17"/>
      <c r="S1656" s="17"/>
      <c r="T1656" s="17"/>
      <c r="U1656" s="17"/>
      <c r="V1656" s="17"/>
      <c r="W1656" s="17"/>
      <c r="X1656" s="17"/>
      <c r="Y1656" s="17"/>
      <c r="Z1656" s="17"/>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c r="AV1656" s="17"/>
      <c r="AW1656" s="17"/>
      <c r="AX1656" s="17"/>
      <c r="AY1656" s="17"/>
      <c r="AZ1656" s="17"/>
      <c r="BA1656" s="17"/>
      <c r="BB1656" s="17"/>
      <c r="BC1656" s="17"/>
      <c r="BD1656" s="17"/>
      <c r="BE1656" s="17"/>
      <c r="BF1656" s="17"/>
      <c r="BG1656" s="17"/>
      <c r="BH1656" s="17"/>
      <c r="BI1656" s="17"/>
      <c r="BJ1656" s="17"/>
      <c r="BK1656" s="17"/>
      <c r="BL1656" s="17"/>
    </row>
    <row r="1657">
      <c r="A1657" s="17"/>
      <c r="B1657" s="17"/>
      <c r="C1657" s="17"/>
      <c r="D1657" s="17"/>
      <c r="E1657" s="17"/>
      <c r="F1657" s="17"/>
      <c r="G1657" s="17"/>
      <c r="H1657" s="356"/>
      <c r="I1657" s="17"/>
      <c r="J1657" s="17"/>
      <c r="K1657" s="17"/>
      <c r="L1657" s="17"/>
      <c r="M1657" s="17"/>
      <c r="N1657" s="17"/>
      <c r="O1657" s="17"/>
      <c r="P1657" s="17"/>
      <c r="Q1657" s="17"/>
      <c r="R1657" s="17"/>
      <c r="S1657" s="17"/>
      <c r="T1657" s="17"/>
      <c r="U1657" s="17"/>
      <c r="V1657" s="17"/>
      <c r="W1657" s="17"/>
      <c r="X1657" s="17"/>
      <c r="Y1657" s="17"/>
      <c r="Z1657" s="17"/>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c r="AV1657" s="17"/>
      <c r="AW1657" s="17"/>
      <c r="AX1657" s="17"/>
      <c r="AY1657" s="17"/>
      <c r="AZ1657" s="17"/>
      <c r="BA1657" s="17"/>
      <c r="BB1657" s="17"/>
      <c r="BC1657" s="17"/>
      <c r="BD1657" s="17"/>
      <c r="BE1657" s="17"/>
      <c r="BF1657" s="17"/>
      <c r="BG1657" s="17"/>
      <c r="BH1657" s="17"/>
      <c r="BI1657" s="17"/>
      <c r="BJ1657" s="17"/>
      <c r="BK1657" s="17"/>
      <c r="BL1657" s="17"/>
    </row>
    <row r="1658">
      <c r="A1658" s="17"/>
      <c r="B1658" s="17"/>
      <c r="C1658" s="17"/>
      <c r="D1658" s="17"/>
      <c r="E1658" s="17"/>
      <c r="F1658" s="17"/>
      <c r="G1658" s="17"/>
      <c r="H1658" s="356"/>
      <c r="I1658" s="17"/>
      <c r="J1658" s="17"/>
      <c r="K1658" s="17"/>
      <c r="L1658" s="17"/>
      <c r="M1658" s="17"/>
      <c r="N1658" s="17"/>
      <c r="O1658" s="17"/>
      <c r="P1658" s="17"/>
      <c r="Q1658" s="17"/>
      <c r="R1658" s="17"/>
      <c r="S1658" s="17"/>
      <c r="T1658" s="17"/>
      <c r="U1658" s="17"/>
      <c r="V1658" s="17"/>
      <c r="W1658" s="17"/>
      <c r="X1658" s="17"/>
      <c r="Y1658" s="17"/>
      <c r="Z1658" s="17"/>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c r="AV1658" s="17"/>
      <c r="AW1658" s="17"/>
      <c r="AX1658" s="17"/>
      <c r="AY1658" s="17"/>
      <c r="AZ1658" s="17"/>
      <c r="BA1658" s="17"/>
      <c r="BB1658" s="17"/>
      <c r="BC1658" s="17"/>
      <c r="BD1658" s="17"/>
      <c r="BE1658" s="17"/>
      <c r="BF1658" s="17"/>
      <c r="BG1658" s="17"/>
      <c r="BH1658" s="17"/>
      <c r="BI1658" s="17"/>
      <c r="BJ1658" s="17"/>
      <c r="BK1658" s="17"/>
      <c r="BL1658" s="17"/>
    </row>
    <row r="1659">
      <c r="A1659" s="17"/>
      <c r="B1659" s="17"/>
      <c r="C1659" s="17"/>
      <c r="D1659" s="17"/>
      <c r="E1659" s="17"/>
      <c r="F1659" s="17"/>
      <c r="G1659" s="17"/>
      <c r="H1659" s="356"/>
      <c r="I1659" s="17"/>
      <c r="J1659" s="17"/>
      <c r="K1659" s="17"/>
      <c r="L1659" s="17"/>
      <c r="M1659" s="17"/>
      <c r="N1659" s="17"/>
      <c r="O1659" s="17"/>
      <c r="P1659" s="17"/>
      <c r="Q1659" s="17"/>
      <c r="R1659" s="17"/>
      <c r="S1659" s="17"/>
      <c r="T1659" s="17"/>
      <c r="U1659" s="17"/>
      <c r="V1659" s="17"/>
      <c r="W1659" s="17"/>
      <c r="X1659" s="17"/>
      <c r="Y1659" s="17"/>
      <c r="Z1659" s="17"/>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c r="AV1659" s="17"/>
      <c r="AW1659" s="17"/>
      <c r="AX1659" s="17"/>
      <c r="AY1659" s="17"/>
      <c r="AZ1659" s="17"/>
      <c r="BA1659" s="17"/>
      <c r="BB1659" s="17"/>
      <c r="BC1659" s="17"/>
      <c r="BD1659" s="17"/>
      <c r="BE1659" s="17"/>
      <c r="BF1659" s="17"/>
      <c r="BG1659" s="17"/>
      <c r="BH1659" s="17"/>
      <c r="BI1659" s="17"/>
      <c r="BJ1659" s="17"/>
      <c r="BK1659" s="17"/>
      <c r="BL1659" s="17"/>
    </row>
    <row r="1660">
      <c r="A1660" s="17"/>
      <c r="B1660" s="17"/>
      <c r="C1660" s="17"/>
      <c r="D1660" s="17"/>
      <c r="E1660" s="17"/>
      <c r="F1660" s="17"/>
      <c r="G1660" s="17"/>
      <c r="H1660" s="356"/>
      <c r="I1660" s="17"/>
      <c r="J1660" s="17"/>
      <c r="K1660" s="17"/>
      <c r="L1660" s="17"/>
      <c r="M1660" s="17"/>
      <c r="N1660" s="17"/>
      <c r="O1660" s="17"/>
      <c r="P1660" s="17"/>
      <c r="Q1660" s="17"/>
      <c r="R1660" s="17"/>
      <c r="S1660" s="17"/>
      <c r="T1660" s="17"/>
      <c r="U1660" s="17"/>
      <c r="V1660" s="17"/>
      <c r="W1660" s="17"/>
      <c r="X1660" s="17"/>
      <c r="Y1660" s="17"/>
      <c r="Z1660" s="17"/>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7"/>
      <c r="AW1660" s="17"/>
      <c r="AX1660" s="17"/>
      <c r="AY1660" s="17"/>
      <c r="AZ1660" s="17"/>
      <c r="BA1660" s="17"/>
      <c r="BB1660" s="17"/>
      <c r="BC1660" s="17"/>
      <c r="BD1660" s="17"/>
      <c r="BE1660" s="17"/>
      <c r="BF1660" s="17"/>
      <c r="BG1660" s="17"/>
      <c r="BH1660" s="17"/>
      <c r="BI1660" s="17"/>
      <c r="BJ1660" s="17"/>
      <c r="BK1660" s="17"/>
      <c r="BL1660" s="17"/>
    </row>
    <row r="1661">
      <c r="A1661" s="17"/>
      <c r="B1661" s="17"/>
      <c r="C1661" s="17"/>
      <c r="D1661" s="17"/>
      <c r="E1661" s="17"/>
      <c r="F1661" s="17"/>
      <c r="G1661" s="17"/>
      <c r="H1661" s="356"/>
      <c r="I1661" s="17"/>
      <c r="J1661" s="17"/>
      <c r="K1661" s="17"/>
      <c r="L1661" s="17"/>
      <c r="M1661" s="17"/>
      <c r="N1661" s="17"/>
      <c r="O1661" s="17"/>
      <c r="P1661" s="17"/>
      <c r="Q1661" s="17"/>
      <c r="R1661" s="17"/>
      <c r="S1661" s="17"/>
      <c r="T1661" s="17"/>
      <c r="U1661" s="17"/>
      <c r="V1661" s="17"/>
      <c r="W1661" s="17"/>
      <c r="X1661" s="17"/>
      <c r="Y1661" s="17"/>
      <c r="Z1661" s="17"/>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c r="AV1661" s="17"/>
      <c r="AW1661" s="17"/>
      <c r="AX1661" s="17"/>
      <c r="AY1661" s="17"/>
      <c r="AZ1661" s="17"/>
      <c r="BA1661" s="17"/>
      <c r="BB1661" s="17"/>
      <c r="BC1661" s="17"/>
      <c r="BD1661" s="17"/>
      <c r="BE1661" s="17"/>
      <c r="BF1661" s="17"/>
      <c r="BG1661" s="17"/>
      <c r="BH1661" s="17"/>
      <c r="BI1661" s="17"/>
      <c r="BJ1661" s="17"/>
      <c r="BK1661" s="17"/>
      <c r="BL1661" s="17"/>
    </row>
    <row r="1662">
      <c r="A1662" s="17"/>
      <c r="B1662" s="17"/>
      <c r="C1662" s="17"/>
      <c r="D1662" s="17"/>
      <c r="E1662" s="17"/>
      <c r="F1662" s="17"/>
      <c r="G1662" s="17"/>
      <c r="H1662" s="356"/>
      <c r="I1662" s="17"/>
      <c r="J1662" s="17"/>
      <c r="K1662" s="17"/>
      <c r="L1662" s="17"/>
      <c r="M1662" s="17"/>
      <c r="N1662" s="17"/>
      <c r="O1662" s="17"/>
      <c r="P1662" s="17"/>
      <c r="Q1662" s="17"/>
      <c r="R1662" s="17"/>
      <c r="S1662" s="17"/>
      <c r="T1662" s="17"/>
      <c r="U1662" s="17"/>
      <c r="V1662" s="17"/>
      <c r="W1662" s="17"/>
      <c r="X1662" s="17"/>
      <c r="Y1662" s="17"/>
      <c r="Z1662" s="17"/>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c r="AV1662" s="17"/>
      <c r="AW1662" s="17"/>
      <c r="AX1662" s="17"/>
      <c r="AY1662" s="17"/>
      <c r="AZ1662" s="17"/>
      <c r="BA1662" s="17"/>
      <c r="BB1662" s="17"/>
      <c r="BC1662" s="17"/>
      <c r="BD1662" s="17"/>
      <c r="BE1662" s="17"/>
      <c r="BF1662" s="17"/>
      <c r="BG1662" s="17"/>
      <c r="BH1662" s="17"/>
      <c r="BI1662" s="17"/>
      <c r="BJ1662" s="17"/>
      <c r="BK1662" s="17"/>
      <c r="BL1662" s="17"/>
    </row>
    <row r="1663">
      <c r="A1663" s="17"/>
      <c r="B1663" s="17"/>
      <c r="C1663" s="17"/>
      <c r="D1663" s="17"/>
      <c r="E1663" s="17"/>
      <c r="F1663" s="17"/>
      <c r="G1663" s="17"/>
      <c r="H1663" s="356"/>
      <c r="I1663" s="17"/>
      <c r="J1663" s="17"/>
      <c r="K1663" s="17"/>
      <c r="L1663" s="17"/>
      <c r="M1663" s="17"/>
      <c r="N1663" s="17"/>
      <c r="O1663" s="17"/>
      <c r="P1663" s="17"/>
      <c r="Q1663" s="17"/>
      <c r="R1663" s="17"/>
      <c r="S1663" s="17"/>
      <c r="T1663" s="17"/>
      <c r="U1663" s="17"/>
      <c r="V1663" s="17"/>
      <c r="W1663" s="17"/>
      <c r="X1663" s="17"/>
      <c r="Y1663" s="17"/>
      <c r="Z1663" s="17"/>
      <c r="AA1663" s="17"/>
      <c r="AB1663" s="17"/>
      <c r="AC1663" s="17"/>
      <c r="AD1663" s="17"/>
      <c r="AE1663" s="17"/>
      <c r="AF1663" s="17"/>
      <c r="AG1663" s="17"/>
      <c r="AH1663" s="17"/>
      <c r="AI1663" s="17"/>
      <c r="AJ1663" s="17"/>
      <c r="AK1663" s="17"/>
      <c r="AL1663" s="17"/>
      <c r="AM1663" s="17"/>
      <c r="AN1663" s="17"/>
      <c r="AO1663" s="17"/>
      <c r="AP1663" s="17"/>
      <c r="AQ1663" s="17"/>
      <c r="AR1663" s="17"/>
      <c r="AS1663" s="17"/>
      <c r="AT1663" s="17"/>
      <c r="AU1663" s="17"/>
      <c r="AV1663" s="17"/>
      <c r="AW1663" s="17"/>
      <c r="AX1663" s="17"/>
      <c r="AY1663" s="17"/>
      <c r="AZ1663" s="17"/>
      <c r="BA1663" s="17"/>
      <c r="BB1663" s="17"/>
      <c r="BC1663" s="17"/>
      <c r="BD1663" s="17"/>
      <c r="BE1663" s="17"/>
      <c r="BF1663" s="17"/>
      <c r="BG1663" s="17"/>
      <c r="BH1663" s="17"/>
      <c r="BI1663" s="17"/>
      <c r="BJ1663" s="17"/>
      <c r="BK1663" s="17"/>
      <c r="BL1663" s="17"/>
    </row>
    <row r="1664">
      <c r="A1664" s="17"/>
      <c r="B1664" s="17"/>
      <c r="C1664" s="17"/>
      <c r="D1664" s="17"/>
      <c r="E1664" s="17"/>
      <c r="F1664" s="17"/>
      <c r="G1664" s="17"/>
      <c r="H1664" s="356"/>
      <c r="I1664" s="17"/>
      <c r="J1664" s="17"/>
      <c r="K1664" s="17"/>
      <c r="L1664" s="17"/>
      <c r="M1664" s="17"/>
      <c r="N1664" s="17"/>
      <c r="O1664" s="17"/>
      <c r="P1664" s="17"/>
      <c r="Q1664" s="17"/>
      <c r="R1664" s="17"/>
      <c r="S1664" s="17"/>
      <c r="T1664" s="17"/>
      <c r="U1664" s="17"/>
      <c r="V1664" s="17"/>
      <c r="W1664" s="17"/>
      <c r="X1664" s="17"/>
      <c r="Y1664" s="17"/>
      <c r="Z1664" s="17"/>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c r="AV1664" s="17"/>
      <c r="AW1664" s="17"/>
      <c r="AX1664" s="17"/>
      <c r="AY1664" s="17"/>
      <c r="AZ1664" s="17"/>
      <c r="BA1664" s="17"/>
      <c r="BB1664" s="17"/>
      <c r="BC1664" s="17"/>
      <c r="BD1664" s="17"/>
      <c r="BE1664" s="17"/>
      <c r="BF1664" s="17"/>
      <c r="BG1664" s="17"/>
      <c r="BH1664" s="17"/>
      <c r="BI1664" s="17"/>
      <c r="BJ1664" s="17"/>
      <c r="BK1664" s="17"/>
      <c r="BL1664" s="17"/>
    </row>
    <row r="1665">
      <c r="A1665" s="17"/>
      <c r="B1665" s="17"/>
      <c r="C1665" s="17"/>
      <c r="D1665" s="17"/>
      <c r="E1665" s="17"/>
      <c r="F1665" s="17"/>
      <c r="G1665" s="17"/>
      <c r="H1665" s="356"/>
      <c r="I1665" s="17"/>
      <c r="J1665" s="17"/>
      <c r="K1665" s="17"/>
      <c r="L1665" s="17"/>
      <c r="M1665" s="17"/>
      <c r="N1665" s="17"/>
      <c r="O1665" s="17"/>
      <c r="P1665" s="17"/>
      <c r="Q1665" s="17"/>
      <c r="R1665" s="17"/>
      <c r="S1665" s="17"/>
      <c r="T1665" s="17"/>
      <c r="U1665" s="17"/>
      <c r="V1665" s="17"/>
      <c r="W1665" s="17"/>
      <c r="X1665" s="17"/>
      <c r="Y1665" s="17"/>
      <c r="Z1665" s="17"/>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7"/>
      <c r="AW1665" s="17"/>
      <c r="AX1665" s="17"/>
      <c r="AY1665" s="17"/>
      <c r="AZ1665" s="17"/>
      <c r="BA1665" s="17"/>
      <c r="BB1665" s="17"/>
      <c r="BC1665" s="17"/>
      <c r="BD1665" s="17"/>
      <c r="BE1665" s="17"/>
      <c r="BF1665" s="17"/>
      <c r="BG1665" s="17"/>
      <c r="BH1665" s="17"/>
      <c r="BI1665" s="17"/>
      <c r="BJ1665" s="17"/>
      <c r="BK1665" s="17"/>
      <c r="BL1665" s="17"/>
    </row>
    <row r="1666">
      <c r="A1666" s="17"/>
      <c r="B1666" s="17"/>
      <c r="C1666" s="17"/>
      <c r="D1666" s="17"/>
      <c r="E1666" s="17"/>
      <c r="F1666" s="17"/>
      <c r="G1666" s="17"/>
      <c r="H1666" s="356"/>
      <c r="I1666" s="17"/>
      <c r="J1666" s="17"/>
      <c r="K1666" s="17"/>
      <c r="L1666" s="17"/>
      <c r="M1666" s="17"/>
      <c r="N1666" s="17"/>
      <c r="O1666" s="17"/>
      <c r="P1666" s="17"/>
      <c r="Q1666" s="17"/>
      <c r="R1666" s="17"/>
      <c r="S1666" s="17"/>
      <c r="T1666" s="17"/>
      <c r="U1666" s="17"/>
      <c r="V1666" s="17"/>
      <c r="W1666" s="17"/>
      <c r="X1666" s="17"/>
      <c r="Y1666" s="17"/>
      <c r="Z1666" s="17"/>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c r="AV1666" s="17"/>
      <c r="AW1666" s="17"/>
      <c r="AX1666" s="17"/>
      <c r="AY1666" s="17"/>
      <c r="AZ1666" s="17"/>
      <c r="BA1666" s="17"/>
      <c r="BB1666" s="17"/>
      <c r="BC1666" s="17"/>
      <c r="BD1666" s="17"/>
      <c r="BE1666" s="17"/>
      <c r="BF1666" s="17"/>
      <c r="BG1666" s="17"/>
      <c r="BH1666" s="17"/>
      <c r="BI1666" s="17"/>
      <c r="BJ1666" s="17"/>
      <c r="BK1666" s="17"/>
      <c r="BL1666" s="17"/>
    </row>
    <row r="1667">
      <c r="A1667" s="17"/>
      <c r="B1667" s="17"/>
      <c r="C1667" s="17"/>
      <c r="D1667" s="17"/>
      <c r="E1667" s="17"/>
      <c r="F1667" s="17"/>
      <c r="G1667" s="17"/>
      <c r="H1667" s="356"/>
      <c r="I1667" s="17"/>
      <c r="J1667" s="17"/>
      <c r="K1667" s="17"/>
      <c r="L1667" s="17"/>
      <c r="M1667" s="17"/>
      <c r="N1667" s="17"/>
      <c r="O1667" s="17"/>
      <c r="P1667" s="17"/>
      <c r="Q1667" s="17"/>
      <c r="R1667" s="17"/>
      <c r="S1667" s="17"/>
      <c r="T1667" s="17"/>
      <c r="U1667" s="17"/>
      <c r="V1667" s="17"/>
      <c r="W1667" s="17"/>
      <c r="X1667" s="17"/>
      <c r="Y1667" s="17"/>
      <c r="Z1667" s="17"/>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c r="AV1667" s="17"/>
      <c r="AW1667" s="17"/>
      <c r="AX1667" s="17"/>
      <c r="AY1667" s="17"/>
      <c r="AZ1667" s="17"/>
      <c r="BA1667" s="17"/>
      <c r="BB1667" s="17"/>
      <c r="BC1667" s="17"/>
      <c r="BD1667" s="17"/>
      <c r="BE1667" s="17"/>
      <c r="BF1667" s="17"/>
      <c r="BG1667" s="17"/>
      <c r="BH1667" s="17"/>
      <c r="BI1667" s="17"/>
      <c r="BJ1667" s="17"/>
      <c r="BK1667" s="17"/>
      <c r="BL1667" s="17"/>
    </row>
    <row r="1668">
      <c r="A1668" s="17"/>
      <c r="B1668" s="17"/>
      <c r="C1668" s="17"/>
      <c r="D1668" s="17"/>
      <c r="E1668" s="17"/>
      <c r="F1668" s="17"/>
      <c r="G1668" s="17"/>
      <c r="H1668" s="356"/>
      <c r="I1668" s="17"/>
      <c r="J1668" s="17"/>
      <c r="K1668" s="17"/>
      <c r="L1668" s="17"/>
      <c r="M1668" s="17"/>
      <c r="N1668" s="17"/>
      <c r="O1668" s="17"/>
      <c r="P1668" s="17"/>
      <c r="Q1668" s="17"/>
      <c r="R1668" s="17"/>
      <c r="S1668" s="17"/>
      <c r="T1668" s="17"/>
      <c r="U1668" s="17"/>
      <c r="V1668" s="17"/>
      <c r="W1668" s="17"/>
      <c r="X1668" s="17"/>
      <c r="Y1668" s="17"/>
      <c r="Z1668" s="17"/>
      <c r="AA1668" s="17"/>
      <c r="AB1668" s="17"/>
      <c r="AC1668" s="17"/>
      <c r="AD1668" s="17"/>
      <c r="AE1668" s="17"/>
      <c r="AF1668" s="17"/>
      <c r="AG1668" s="17"/>
      <c r="AH1668" s="17"/>
      <c r="AI1668" s="17"/>
      <c r="AJ1668" s="17"/>
      <c r="AK1668" s="17"/>
      <c r="AL1668" s="17"/>
      <c r="AM1668" s="17"/>
      <c r="AN1668" s="17"/>
      <c r="AO1668" s="17"/>
      <c r="AP1668" s="17"/>
      <c r="AQ1668" s="17"/>
      <c r="AR1668" s="17"/>
      <c r="AS1668" s="17"/>
      <c r="AT1668" s="17"/>
      <c r="AU1668" s="17"/>
      <c r="AV1668" s="17"/>
      <c r="AW1668" s="17"/>
      <c r="AX1668" s="17"/>
      <c r="AY1668" s="17"/>
      <c r="AZ1668" s="17"/>
      <c r="BA1668" s="17"/>
      <c r="BB1668" s="17"/>
      <c r="BC1668" s="17"/>
      <c r="BD1668" s="17"/>
      <c r="BE1668" s="17"/>
      <c r="BF1668" s="17"/>
      <c r="BG1668" s="17"/>
      <c r="BH1668" s="17"/>
      <c r="BI1668" s="17"/>
      <c r="BJ1668" s="17"/>
      <c r="BK1668" s="17"/>
      <c r="BL1668" s="17"/>
    </row>
    <row r="1669">
      <c r="A1669" s="17"/>
      <c r="B1669" s="17"/>
      <c r="C1669" s="17"/>
      <c r="D1669" s="17"/>
      <c r="E1669" s="17"/>
      <c r="F1669" s="17"/>
      <c r="G1669" s="17"/>
      <c r="H1669" s="356"/>
      <c r="I1669" s="17"/>
      <c r="J1669" s="17"/>
      <c r="K1669" s="17"/>
      <c r="L1669" s="17"/>
      <c r="M1669" s="17"/>
      <c r="N1669" s="17"/>
      <c r="O1669" s="17"/>
      <c r="P1669" s="17"/>
      <c r="Q1669" s="17"/>
      <c r="R1669" s="17"/>
      <c r="S1669" s="17"/>
      <c r="T1669" s="17"/>
      <c r="U1669" s="17"/>
      <c r="V1669" s="17"/>
      <c r="W1669" s="17"/>
      <c r="X1669" s="17"/>
      <c r="Y1669" s="17"/>
      <c r="Z1669" s="17"/>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c r="AV1669" s="17"/>
      <c r="AW1669" s="17"/>
      <c r="AX1669" s="17"/>
      <c r="AY1669" s="17"/>
      <c r="AZ1669" s="17"/>
      <c r="BA1669" s="17"/>
      <c r="BB1669" s="17"/>
      <c r="BC1669" s="17"/>
      <c r="BD1669" s="17"/>
      <c r="BE1669" s="17"/>
      <c r="BF1669" s="17"/>
      <c r="BG1669" s="17"/>
      <c r="BH1669" s="17"/>
      <c r="BI1669" s="17"/>
      <c r="BJ1669" s="17"/>
      <c r="BK1669" s="17"/>
      <c r="BL1669" s="17"/>
    </row>
    <row r="1670">
      <c r="A1670" s="17"/>
      <c r="B1670" s="17"/>
      <c r="C1670" s="17"/>
      <c r="D1670" s="17"/>
      <c r="E1670" s="17"/>
      <c r="F1670" s="17"/>
      <c r="G1670" s="17"/>
      <c r="H1670" s="356"/>
      <c r="I1670" s="17"/>
      <c r="J1670" s="17"/>
      <c r="K1670" s="17"/>
      <c r="L1670" s="17"/>
      <c r="M1670" s="17"/>
      <c r="N1670" s="17"/>
      <c r="O1670" s="17"/>
      <c r="P1670" s="17"/>
      <c r="Q1670" s="17"/>
      <c r="R1670" s="17"/>
      <c r="S1670" s="17"/>
      <c r="T1670" s="17"/>
      <c r="U1670" s="17"/>
      <c r="V1670" s="17"/>
      <c r="W1670" s="17"/>
      <c r="X1670" s="17"/>
      <c r="Y1670" s="17"/>
      <c r="Z1670" s="17"/>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c r="AV1670" s="17"/>
      <c r="AW1670" s="17"/>
      <c r="AX1670" s="17"/>
      <c r="AY1670" s="17"/>
      <c r="AZ1670" s="17"/>
      <c r="BA1670" s="17"/>
      <c r="BB1670" s="17"/>
      <c r="BC1670" s="17"/>
      <c r="BD1670" s="17"/>
      <c r="BE1670" s="17"/>
      <c r="BF1670" s="17"/>
      <c r="BG1670" s="17"/>
      <c r="BH1670" s="17"/>
      <c r="BI1670" s="17"/>
      <c r="BJ1670" s="17"/>
      <c r="BK1670" s="17"/>
      <c r="BL1670" s="17"/>
    </row>
    <row r="1671">
      <c r="A1671" s="17"/>
      <c r="B1671" s="17"/>
      <c r="C1671" s="17"/>
      <c r="D1671" s="17"/>
      <c r="E1671" s="17"/>
      <c r="F1671" s="17"/>
      <c r="G1671" s="17"/>
      <c r="H1671" s="356"/>
      <c r="I1671" s="17"/>
      <c r="J1671" s="17"/>
      <c r="K1671" s="17"/>
      <c r="L1671" s="17"/>
      <c r="M1671" s="17"/>
      <c r="N1671" s="17"/>
      <c r="O1671" s="17"/>
      <c r="P1671" s="17"/>
      <c r="Q1671" s="17"/>
      <c r="R1671" s="17"/>
      <c r="S1671" s="17"/>
      <c r="T1671" s="17"/>
      <c r="U1671" s="17"/>
      <c r="V1671" s="17"/>
      <c r="W1671" s="17"/>
      <c r="X1671" s="17"/>
      <c r="Y1671" s="17"/>
      <c r="Z1671" s="17"/>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c r="AV1671" s="17"/>
      <c r="AW1671" s="17"/>
      <c r="AX1671" s="17"/>
      <c r="AY1671" s="17"/>
      <c r="AZ1671" s="17"/>
      <c r="BA1671" s="17"/>
      <c r="BB1671" s="17"/>
      <c r="BC1671" s="17"/>
      <c r="BD1671" s="17"/>
      <c r="BE1671" s="17"/>
      <c r="BF1671" s="17"/>
      <c r="BG1671" s="17"/>
      <c r="BH1671" s="17"/>
      <c r="BI1671" s="17"/>
      <c r="BJ1671" s="17"/>
      <c r="BK1671" s="17"/>
      <c r="BL1671" s="17"/>
    </row>
    <row r="1672">
      <c r="A1672" s="17"/>
      <c r="B1672" s="17"/>
      <c r="C1672" s="17"/>
      <c r="D1672" s="17"/>
      <c r="E1672" s="17"/>
      <c r="F1672" s="17"/>
      <c r="G1672" s="17"/>
      <c r="H1672" s="356"/>
      <c r="I1672" s="17"/>
      <c r="J1672" s="17"/>
      <c r="K1672" s="17"/>
      <c r="L1672" s="17"/>
      <c r="M1672" s="17"/>
      <c r="N1672" s="17"/>
      <c r="O1672" s="17"/>
      <c r="P1672" s="17"/>
      <c r="Q1672" s="17"/>
      <c r="R1672" s="17"/>
      <c r="S1672" s="17"/>
      <c r="T1672" s="17"/>
      <c r="U1672" s="17"/>
      <c r="V1672" s="17"/>
      <c r="W1672" s="17"/>
      <c r="X1672" s="17"/>
      <c r="Y1672" s="17"/>
      <c r="Z1672" s="17"/>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c r="AV1672" s="17"/>
      <c r="AW1672" s="17"/>
      <c r="AX1672" s="17"/>
      <c r="AY1672" s="17"/>
      <c r="AZ1672" s="17"/>
      <c r="BA1672" s="17"/>
      <c r="BB1672" s="17"/>
      <c r="BC1672" s="17"/>
      <c r="BD1672" s="17"/>
      <c r="BE1672" s="17"/>
      <c r="BF1672" s="17"/>
      <c r="BG1672" s="17"/>
      <c r="BH1672" s="17"/>
      <c r="BI1672" s="17"/>
      <c r="BJ1672" s="17"/>
      <c r="BK1672" s="17"/>
      <c r="BL1672" s="17"/>
    </row>
    <row r="1673">
      <c r="A1673" s="17"/>
      <c r="B1673" s="17"/>
      <c r="C1673" s="17"/>
      <c r="D1673" s="17"/>
      <c r="E1673" s="17"/>
      <c r="F1673" s="17"/>
      <c r="G1673" s="17"/>
      <c r="H1673" s="356"/>
      <c r="I1673" s="17"/>
      <c r="J1673" s="17"/>
      <c r="K1673" s="17"/>
      <c r="L1673" s="17"/>
      <c r="M1673" s="17"/>
      <c r="N1673" s="17"/>
      <c r="O1673" s="17"/>
      <c r="P1673" s="17"/>
      <c r="Q1673" s="17"/>
      <c r="R1673" s="17"/>
      <c r="S1673" s="17"/>
      <c r="T1673" s="17"/>
      <c r="U1673" s="17"/>
      <c r="V1673" s="17"/>
      <c r="W1673" s="17"/>
      <c r="X1673" s="17"/>
      <c r="Y1673" s="17"/>
      <c r="Z1673" s="17"/>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c r="AV1673" s="17"/>
      <c r="AW1673" s="17"/>
      <c r="AX1673" s="17"/>
      <c r="AY1673" s="17"/>
      <c r="AZ1673" s="17"/>
      <c r="BA1673" s="17"/>
      <c r="BB1673" s="17"/>
      <c r="BC1673" s="17"/>
      <c r="BD1673" s="17"/>
      <c r="BE1673" s="17"/>
      <c r="BF1673" s="17"/>
      <c r="BG1673" s="17"/>
      <c r="BH1673" s="17"/>
      <c r="BI1673" s="17"/>
      <c r="BJ1673" s="17"/>
      <c r="BK1673" s="17"/>
      <c r="BL1673" s="17"/>
    </row>
    <row r="1674">
      <c r="A1674" s="17"/>
      <c r="B1674" s="17"/>
      <c r="C1674" s="17"/>
      <c r="D1674" s="17"/>
      <c r="E1674" s="17"/>
      <c r="F1674" s="17"/>
      <c r="G1674" s="17"/>
      <c r="H1674" s="356"/>
      <c r="I1674" s="17"/>
      <c r="J1674" s="17"/>
      <c r="K1674" s="17"/>
      <c r="L1674" s="17"/>
      <c r="M1674" s="17"/>
      <c r="N1674" s="17"/>
      <c r="O1674" s="17"/>
      <c r="P1674" s="17"/>
      <c r="Q1674" s="17"/>
      <c r="R1674" s="17"/>
      <c r="S1674" s="17"/>
      <c r="T1674" s="17"/>
      <c r="U1674" s="17"/>
      <c r="V1674" s="17"/>
      <c r="W1674" s="17"/>
      <c r="X1674" s="17"/>
      <c r="Y1674" s="17"/>
      <c r="Z1674" s="17"/>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c r="AV1674" s="17"/>
      <c r="AW1674" s="17"/>
      <c r="AX1674" s="17"/>
      <c r="AY1674" s="17"/>
      <c r="AZ1674" s="17"/>
      <c r="BA1674" s="17"/>
      <c r="BB1674" s="17"/>
      <c r="BC1674" s="17"/>
      <c r="BD1674" s="17"/>
      <c r="BE1674" s="17"/>
      <c r="BF1674" s="17"/>
      <c r="BG1674" s="17"/>
      <c r="BH1674" s="17"/>
      <c r="BI1674" s="17"/>
      <c r="BJ1674" s="17"/>
      <c r="BK1674" s="17"/>
      <c r="BL1674" s="17"/>
    </row>
    <row r="1675">
      <c r="A1675" s="17"/>
      <c r="B1675" s="17"/>
      <c r="C1675" s="17"/>
      <c r="D1675" s="17"/>
      <c r="E1675" s="17"/>
      <c r="F1675" s="17"/>
      <c r="G1675" s="17"/>
      <c r="H1675" s="356"/>
      <c r="I1675" s="17"/>
      <c r="J1675" s="17"/>
      <c r="K1675" s="17"/>
      <c r="L1675" s="17"/>
      <c r="M1675" s="17"/>
      <c r="N1675" s="17"/>
      <c r="O1675" s="17"/>
      <c r="P1675" s="17"/>
      <c r="Q1675" s="17"/>
      <c r="R1675" s="17"/>
      <c r="S1675" s="17"/>
      <c r="T1675" s="17"/>
      <c r="U1675" s="17"/>
      <c r="V1675" s="17"/>
      <c r="W1675" s="17"/>
      <c r="X1675" s="17"/>
      <c r="Y1675" s="17"/>
      <c r="Z1675" s="17"/>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c r="AV1675" s="17"/>
      <c r="AW1675" s="17"/>
      <c r="AX1675" s="17"/>
      <c r="AY1675" s="17"/>
      <c r="AZ1675" s="17"/>
      <c r="BA1675" s="17"/>
      <c r="BB1675" s="17"/>
      <c r="BC1675" s="17"/>
      <c r="BD1675" s="17"/>
      <c r="BE1675" s="17"/>
      <c r="BF1675" s="17"/>
      <c r="BG1675" s="17"/>
      <c r="BH1675" s="17"/>
      <c r="BI1675" s="17"/>
      <c r="BJ1675" s="17"/>
      <c r="BK1675" s="17"/>
      <c r="BL1675" s="17"/>
    </row>
    <row r="1676">
      <c r="A1676" s="17"/>
      <c r="B1676" s="17"/>
      <c r="C1676" s="17"/>
      <c r="D1676" s="17"/>
      <c r="E1676" s="17"/>
      <c r="F1676" s="17"/>
      <c r="G1676" s="17"/>
      <c r="H1676" s="356"/>
      <c r="I1676" s="17"/>
      <c r="J1676" s="17"/>
      <c r="K1676" s="17"/>
      <c r="L1676" s="17"/>
      <c r="M1676" s="17"/>
      <c r="N1676" s="17"/>
      <c r="O1676" s="17"/>
      <c r="P1676" s="17"/>
      <c r="Q1676" s="17"/>
      <c r="R1676" s="17"/>
      <c r="S1676" s="17"/>
      <c r="T1676" s="17"/>
      <c r="U1676" s="17"/>
      <c r="V1676" s="17"/>
      <c r="W1676" s="17"/>
      <c r="X1676" s="17"/>
      <c r="Y1676" s="17"/>
      <c r="Z1676" s="17"/>
      <c r="AA1676" s="17"/>
      <c r="AB1676" s="17"/>
      <c r="AC1676" s="17"/>
      <c r="AD1676" s="17"/>
      <c r="AE1676" s="17"/>
      <c r="AF1676" s="17"/>
      <c r="AG1676" s="17"/>
      <c r="AH1676" s="17"/>
      <c r="AI1676" s="17"/>
      <c r="AJ1676" s="17"/>
      <c r="AK1676" s="17"/>
      <c r="AL1676" s="17"/>
      <c r="AM1676" s="17"/>
      <c r="AN1676" s="17"/>
      <c r="AO1676" s="17"/>
      <c r="AP1676" s="17"/>
      <c r="AQ1676" s="17"/>
      <c r="AR1676" s="17"/>
      <c r="AS1676" s="17"/>
      <c r="AT1676" s="17"/>
      <c r="AU1676" s="17"/>
      <c r="AV1676" s="17"/>
      <c r="AW1676" s="17"/>
      <c r="AX1676" s="17"/>
      <c r="AY1676" s="17"/>
      <c r="AZ1676" s="17"/>
      <c r="BA1676" s="17"/>
      <c r="BB1676" s="17"/>
      <c r="BC1676" s="17"/>
      <c r="BD1676" s="17"/>
      <c r="BE1676" s="17"/>
      <c r="BF1676" s="17"/>
      <c r="BG1676" s="17"/>
      <c r="BH1676" s="17"/>
      <c r="BI1676" s="17"/>
      <c r="BJ1676" s="17"/>
      <c r="BK1676" s="17"/>
      <c r="BL1676" s="17"/>
    </row>
    <row r="1677">
      <c r="A1677" s="17"/>
      <c r="B1677" s="17"/>
      <c r="C1677" s="17"/>
      <c r="D1677" s="17"/>
      <c r="E1677" s="17"/>
      <c r="F1677" s="17"/>
      <c r="G1677" s="17"/>
      <c r="H1677" s="356"/>
      <c r="I1677" s="17"/>
      <c r="J1677" s="17"/>
      <c r="K1677" s="17"/>
      <c r="L1677" s="17"/>
      <c r="M1677" s="17"/>
      <c r="N1677" s="17"/>
      <c r="O1677" s="17"/>
      <c r="P1677" s="17"/>
      <c r="Q1677" s="17"/>
      <c r="R1677" s="17"/>
      <c r="S1677" s="17"/>
      <c r="T1677" s="17"/>
      <c r="U1677" s="17"/>
      <c r="V1677" s="17"/>
      <c r="W1677" s="17"/>
      <c r="X1677" s="17"/>
      <c r="Y1677" s="17"/>
      <c r="Z1677" s="17"/>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c r="AV1677" s="17"/>
      <c r="AW1677" s="17"/>
      <c r="AX1677" s="17"/>
      <c r="AY1677" s="17"/>
      <c r="AZ1677" s="17"/>
      <c r="BA1677" s="17"/>
      <c r="BB1677" s="17"/>
      <c r="BC1677" s="17"/>
      <c r="BD1677" s="17"/>
      <c r="BE1677" s="17"/>
      <c r="BF1677" s="17"/>
      <c r="BG1677" s="17"/>
      <c r="BH1677" s="17"/>
      <c r="BI1677" s="17"/>
      <c r="BJ1677" s="17"/>
      <c r="BK1677" s="17"/>
      <c r="BL1677" s="17"/>
    </row>
    <row r="1678">
      <c r="A1678" s="17"/>
      <c r="B1678" s="17"/>
      <c r="C1678" s="17"/>
      <c r="D1678" s="17"/>
      <c r="E1678" s="17"/>
      <c r="F1678" s="17"/>
      <c r="G1678" s="17"/>
      <c r="H1678" s="356"/>
      <c r="I1678" s="17"/>
      <c r="J1678" s="17"/>
      <c r="K1678" s="17"/>
      <c r="L1678" s="17"/>
      <c r="M1678" s="17"/>
      <c r="N1678" s="17"/>
      <c r="O1678" s="17"/>
      <c r="P1678" s="17"/>
      <c r="Q1678" s="17"/>
      <c r="R1678" s="17"/>
      <c r="S1678" s="17"/>
      <c r="T1678" s="17"/>
      <c r="U1678" s="17"/>
      <c r="V1678" s="17"/>
      <c r="W1678" s="17"/>
      <c r="X1678" s="17"/>
      <c r="Y1678" s="17"/>
      <c r="Z1678" s="17"/>
      <c r="AA1678" s="17"/>
      <c r="AB1678" s="17"/>
      <c r="AC1678" s="17"/>
      <c r="AD1678" s="17"/>
      <c r="AE1678" s="17"/>
      <c r="AF1678" s="17"/>
      <c r="AG1678" s="17"/>
      <c r="AH1678" s="17"/>
      <c r="AI1678" s="17"/>
      <c r="AJ1678" s="17"/>
      <c r="AK1678" s="17"/>
      <c r="AL1678" s="17"/>
      <c r="AM1678" s="17"/>
      <c r="AN1678" s="17"/>
      <c r="AO1678" s="17"/>
      <c r="AP1678" s="17"/>
      <c r="AQ1678" s="17"/>
      <c r="AR1678" s="17"/>
      <c r="AS1678" s="17"/>
      <c r="AT1678" s="17"/>
      <c r="AU1678" s="17"/>
      <c r="AV1678" s="17"/>
      <c r="AW1678" s="17"/>
      <c r="AX1678" s="17"/>
      <c r="AY1678" s="17"/>
      <c r="AZ1678" s="17"/>
      <c r="BA1678" s="17"/>
      <c r="BB1678" s="17"/>
      <c r="BC1678" s="17"/>
      <c r="BD1678" s="17"/>
      <c r="BE1678" s="17"/>
      <c r="BF1678" s="17"/>
      <c r="BG1678" s="17"/>
      <c r="BH1678" s="17"/>
      <c r="BI1678" s="17"/>
      <c r="BJ1678" s="17"/>
      <c r="BK1678" s="17"/>
      <c r="BL1678" s="17"/>
    </row>
    <row r="1679">
      <c r="A1679" s="17"/>
      <c r="B1679" s="17"/>
      <c r="C1679" s="17"/>
      <c r="D1679" s="17"/>
      <c r="E1679" s="17"/>
      <c r="F1679" s="17"/>
      <c r="G1679" s="17"/>
      <c r="H1679" s="356"/>
      <c r="I1679" s="17"/>
      <c r="J1679" s="17"/>
      <c r="K1679" s="17"/>
      <c r="L1679" s="17"/>
      <c r="M1679" s="17"/>
      <c r="N1679" s="17"/>
      <c r="O1679" s="17"/>
      <c r="P1679" s="17"/>
      <c r="Q1679" s="17"/>
      <c r="R1679" s="17"/>
      <c r="S1679" s="17"/>
      <c r="T1679" s="17"/>
      <c r="U1679" s="17"/>
      <c r="V1679" s="17"/>
      <c r="W1679" s="17"/>
      <c r="X1679" s="17"/>
      <c r="Y1679" s="17"/>
      <c r="Z1679" s="17"/>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c r="AV1679" s="17"/>
      <c r="AW1679" s="17"/>
      <c r="AX1679" s="17"/>
      <c r="AY1679" s="17"/>
      <c r="AZ1679" s="17"/>
      <c r="BA1679" s="17"/>
      <c r="BB1679" s="17"/>
      <c r="BC1679" s="17"/>
      <c r="BD1679" s="17"/>
      <c r="BE1679" s="17"/>
      <c r="BF1679" s="17"/>
      <c r="BG1679" s="17"/>
      <c r="BH1679" s="17"/>
      <c r="BI1679" s="17"/>
      <c r="BJ1679" s="17"/>
      <c r="BK1679" s="17"/>
      <c r="BL1679" s="17"/>
    </row>
    <row r="1680">
      <c r="A1680" s="17"/>
      <c r="B1680" s="17"/>
      <c r="C1680" s="17"/>
      <c r="D1680" s="17"/>
      <c r="E1680" s="17"/>
      <c r="F1680" s="17"/>
      <c r="G1680" s="17"/>
      <c r="H1680" s="356"/>
      <c r="I1680" s="17"/>
      <c r="J1680" s="17"/>
      <c r="K1680" s="17"/>
      <c r="L1680" s="17"/>
      <c r="M1680" s="17"/>
      <c r="N1680" s="17"/>
      <c r="O1680" s="17"/>
      <c r="P1680" s="17"/>
      <c r="Q1680" s="17"/>
      <c r="R1680" s="17"/>
      <c r="S1680" s="17"/>
      <c r="T1680" s="17"/>
      <c r="U1680" s="17"/>
      <c r="V1680" s="17"/>
      <c r="W1680" s="17"/>
      <c r="X1680" s="17"/>
      <c r="Y1680" s="17"/>
      <c r="Z1680" s="17"/>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c r="AV1680" s="17"/>
      <c r="AW1680" s="17"/>
      <c r="AX1680" s="17"/>
      <c r="AY1680" s="17"/>
      <c r="AZ1680" s="17"/>
      <c r="BA1680" s="17"/>
      <c r="BB1680" s="17"/>
      <c r="BC1680" s="17"/>
      <c r="BD1680" s="17"/>
      <c r="BE1680" s="17"/>
      <c r="BF1680" s="17"/>
      <c r="BG1680" s="17"/>
      <c r="BH1680" s="17"/>
      <c r="BI1680" s="17"/>
      <c r="BJ1680" s="17"/>
      <c r="BK1680" s="17"/>
      <c r="BL1680" s="17"/>
    </row>
    <row r="1681">
      <c r="A1681" s="17"/>
      <c r="B1681" s="17"/>
      <c r="C1681" s="17"/>
      <c r="D1681" s="17"/>
      <c r="E1681" s="17"/>
      <c r="F1681" s="17"/>
      <c r="G1681" s="17"/>
      <c r="H1681" s="356"/>
      <c r="I1681" s="17"/>
      <c r="J1681" s="17"/>
      <c r="K1681" s="17"/>
      <c r="L1681" s="17"/>
      <c r="M1681" s="17"/>
      <c r="N1681" s="17"/>
      <c r="O1681" s="17"/>
      <c r="P1681" s="17"/>
      <c r="Q1681" s="17"/>
      <c r="R1681" s="17"/>
      <c r="S1681" s="17"/>
      <c r="T1681" s="17"/>
      <c r="U1681" s="17"/>
      <c r="V1681" s="17"/>
      <c r="W1681" s="17"/>
      <c r="X1681" s="17"/>
      <c r="Y1681" s="17"/>
      <c r="Z1681" s="17"/>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c r="AV1681" s="17"/>
      <c r="AW1681" s="17"/>
      <c r="AX1681" s="17"/>
      <c r="AY1681" s="17"/>
      <c r="AZ1681" s="17"/>
      <c r="BA1681" s="17"/>
      <c r="BB1681" s="17"/>
      <c r="BC1681" s="17"/>
      <c r="BD1681" s="17"/>
      <c r="BE1681" s="17"/>
      <c r="BF1681" s="17"/>
      <c r="BG1681" s="17"/>
      <c r="BH1681" s="17"/>
      <c r="BI1681" s="17"/>
      <c r="BJ1681" s="17"/>
      <c r="BK1681" s="17"/>
      <c r="BL1681" s="17"/>
    </row>
    <row r="1682">
      <c r="A1682" s="17"/>
      <c r="B1682" s="17"/>
      <c r="C1682" s="17"/>
      <c r="D1682" s="17"/>
      <c r="E1682" s="17"/>
      <c r="F1682" s="17"/>
      <c r="G1682" s="17"/>
      <c r="H1682" s="356"/>
      <c r="I1682" s="17"/>
      <c r="J1682" s="17"/>
      <c r="K1682" s="17"/>
      <c r="L1682" s="17"/>
      <c r="M1682" s="17"/>
      <c r="N1682" s="17"/>
      <c r="O1682" s="17"/>
      <c r="P1682" s="17"/>
      <c r="Q1682" s="17"/>
      <c r="R1682" s="17"/>
      <c r="S1682" s="17"/>
      <c r="T1682" s="17"/>
      <c r="U1682" s="17"/>
      <c r="V1682" s="17"/>
      <c r="W1682" s="17"/>
      <c r="X1682" s="17"/>
      <c r="Y1682" s="17"/>
      <c r="Z1682" s="17"/>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c r="AV1682" s="17"/>
      <c r="AW1682" s="17"/>
      <c r="AX1682" s="17"/>
      <c r="AY1682" s="17"/>
      <c r="AZ1682" s="17"/>
      <c r="BA1682" s="17"/>
      <c r="BB1682" s="17"/>
      <c r="BC1682" s="17"/>
      <c r="BD1682" s="17"/>
      <c r="BE1682" s="17"/>
      <c r="BF1682" s="17"/>
      <c r="BG1682" s="17"/>
      <c r="BH1682" s="17"/>
      <c r="BI1682" s="17"/>
      <c r="BJ1682" s="17"/>
      <c r="BK1682" s="17"/>
      <c r="BL1682" s="17"/>
    </row>
    <row r="1683">
      <c r="A1683" s="17"/>
      <c r="B1683" s="17"/>
      <c r="C1683" s="17"/>
      <c r="D1683" s="17"/>
      <c r="E1683" s="17"/>
      <c r="F1683" s="17"/>
      <c r="G1683" s="17"/>
      <c r="H1683" s="356"/>
      <c r="I1683" s="17"/>
      <c r="J1683" s="17"/>
      <c r="K1683" s="17"/>
      <c r="L1683" s="17"/>
      <c r="M1683" s="17"/>
      <c r="N1683" s="17"/>
      <c r="O1683" s="17"/>
      <c r="P1683" s="17"/>
      <c r="Q1683" s="17"/>
      <c r="R1683" s="17"/>
      <c r="S1683" s="17"/>
      <c r="T1683" s="17"/>
      <c r="U1683" s="17"/>
      <c r="V1683" s="17"/>
      <c r="W1683" s="17"/>
      <c r="X1683" s="17"/>
      <c r="Y1683" s="17"/>
      <c r="Z1683" s="17"/>
      <c r="AA1683" s="17"/>
      <c r="AB1683" s="17"/>
      <c r="AC1683" s="17"/>
      <c r="AD1683" s="17"/>
      <c r="AE1683" s="17"/>
      <c r="AF1683" s="17"/>
      <c r="AG1683" s="17"/>
      <c r="AH1683" s="17"/>
      <c r="AI1683" s="17"/>
      <c r="AJ1683" s="17"/>
      <c r="AK1683" s="17"/>
      <c r="AL1683" s="17"/>
      <c r="AM1683" s="17"/>
      <c r="AN1683" s="17"/>
      <c r="AO1683" s="17"/>
      <c r="AP1683" s="17"/>
      <c r="AQ1683" s="17"/>
      <c r="AR1683" s="17"/>
      <c r="AS1683" s="17"/>
      <c r="AT1683" s="17"/>
      <c r="AU1683" s="17"/>
      <c r="AV1683" s="17"/>
      <c r="AW1683" s="17"/>
      <c r="AX1683" s="17"/>
      <c r="AY1683" s="17"/>
      <c r="AZ1683" s="17"/>
      <c r="BA1683" s="17"/>
      <c r="BB1683" s="17"/>
      <c r="BC1683" s="17"/>
      <c r="BD1683" s="17"/>
      <c r="BE1683" s="17"/>
      <c r="BF1683" s="17"/>
      <c r="BG1683" s="17"/>
      <c r="BH1683" s="17"/>
      <c r="BI1683" s="17"/>
      <c r="BJ1683" s="17"/>
      <c r="BK1683" s="17"/>
      <c r="BL1683" s="17"/>
    </row>
    <row r="1684">
      <c r="A1684" s="17"/>
      <c r="B1684" s="17"/>
      <c r="C1684" s="17"/>
      <c r="D1684" s="17"/>
      <c r="E1684" s="17"/>
      <c r="F1684" s="17"/>
      <c r="G1684" s="17"/>
      <c r="H1684" s="356"/>
      <c r="I1684" s="17"/>
      <c r="J1684" s="17"/>
      <c r="K1684" s="17"/>
      <c r="L1684" s="17"/>
      <c r="M1684" s="17"/>
      <c r="N1684" s="17"/>
      <c r="O1684" s="17"/>
      <c r="P1684" s="17"/>
      <c r="Q1684" s="17"/>
      <c r="R1684" s="17"/>
      <c r="S1684" s="17"/>
      <c r="T1684" s="17"/>
      <c r="U1684" s="17"/>
      <c r="V1684" s="17"/>
      <c r="W1684" s="17"/>
      <c r="X1684" s="17"/>
      <c r="Y1684" s="17"/>
      <c r="Z1684" s="17"/>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c r="AV1684" s="17"/>
      <c r="AW1684" s="17"/>
      <c r="AX1684" s="17"/>
      <c r="AY1684" s="17"/>
      <c r="AZ1684" s="17"/>
      <c r="BA1684" s="17"/>
      <c r="BB1684" s="17"/>
      <c r="BC1684" s="17"/>
      <c r="BD1684" s="17"/>
      <c r="BE1684" s="17"/>
      <c r="BF1684" s="17"/>
      <c r="BG1684" s="17"/>
      <c r="BH1684" s="17"/>
      <c r="BI1684" s="17"/>
      <c r="BJ1684" s="17"/>
      <c r="BK1684" s="17"/>
      <c r="BL1684" s="17"/>
    </row>
    <row r="1685">
      <c r="A1685" s="17"/>
      <c r="B1685" s="17"/>
      <c r="C1685" s="17"/>
      <c r="D1685" s="17"/>
      <c r="E1685" s="17"/>
      <c r="F1685" s="17"/>
      <c r="G1685" s="17"/>
      <c r="H1685" s="356"/>
      <c r="I1685" s="17"/>
      <c r="J1685" s="17"/>
      <c r="K1685" s="17"/>
      <c r="L1685" s="17"/>
      <c r="M1685" s="17"/>
      <c r="N1685" s="17"/>
      <c r="O1685" s="17"/>
      <c r="P1685" s="17"/>
      <c r="Q1685" s="17"/>
      <c r="R1685" s="17"/>
      <c r="S1685" s="17"/>
      <c r="T1685" s="17"/>
      <c r="U1685" s="17"/>
      <c r="V1685" s="17"/>
      <c r="W1685" s="17"/>
      <c r="X1685" s="17"/>
      <c r="Y1685" s="17"/>
      <c r="Z1685" s="17"/>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c r="AV1685" s="17"/>
      <c r="AW1685" s="17"/>
      <c r="AX1685" s="17"/>
      <c r="AY1685" s="17"/>
      <c r="AZ1685" s="17"/>
      <c r="BA1685" s="17"/>
      <c r="BB1685" s="17"/>
      <c r="BC1685" s="17"/>
      <c r="BD1685" s="17"/>
      <c r="BE1685" s="17"/>
      <c r="BF1685" s="17"/>
      <c r="BG1685" s="17"/>
      <c r="BH1685" s="17"/>
      <c r="BI1685" s="17"/>
      <c r="BJ1685" s="17"/>
      <c r="BK1685" s="17"/>
      <c r="BL1685" s="17"/>
    </row>
    <row r="1686">
      <c r="A1686" s="17"/>
      <c r="B1686" s="17"/>
      <c r="C1686" s="17"/>
      <c r="D1686" s="17"/>
      <c r="E1686" s="17"/>
      <c r="F1686" s="17"/>
      <c r="G1686" s="17"/>
      <c r="H1686" s="356"/>
      <c r="I1686" s="17"/>
      <c r="J1686" s="17"/>
      <c r="K1686" s="17"/>
      <c r="L1686" s="17"/>
      <c r="M1686" s="17"/>
      <c r="N1686" s="17"/>
      <c r="O1686" s="17"/>
      <c r="P1686" s="17"/>
      <c r="Q1686" s="17"/>
      <c r="R1686" s="17"/>
      <c r="S1686" s="17"/>
      <c r="T1686" s="17"/>
      <c r="U1686" s="17"/>
      <c r="V1686" s="17"/>
      <c r="W1686" s="17"/>
      <c r="X1686" s="17"/>
      <c r="Y1686" s="17"/>
      <c r="Z1686" s="17"/>
      <c r="AA1686" s="17"/>
      <c r="AB1686" s="17"/>
      <c r="AC1686" s="17"/>
      <c r="AD1686" s="17"/>
      <c r="AE1686" s="17"/>
      <c r="AF1686" s="17"/>
      <c r="AG1686" s="17"/>
      <c r="AH1686" s="17"/>
      <c r="AI1686" s="17"/>
      <c r="AJ1686" s="17"/>
      <c r="AK1686" s="17"/>
      <c r="AL1686" s="17"/>
      <c r="AM1686" s="17"/>
      <c r="AN1686" s="17"/>
      <c r="AO1686" s="17"/>
      <c r="AP1686" s="17"/>
      <c r="AQ1686" s="17"/>
      <c r="AR1686" s="17"/>
      <c r="AS1686" s="17"/>
      <c r="AT1686" s="17"/>
      <c r="AU1686" s="17"/>
      <c r="AV1686" s="17"/>
      <c r="AW1686" s="17"/>
      <c r="AX1686" s="17"/>
      <c r="AY1686" s="17"/>
      <c r="AZ1686" s="17"/>
      <c r="BA1686" s="17"/>
      <c r="BB1686" s="17"/>
      <c r="BC1686" s="17"/>
      <c r="BD1686" s="17"/>
      <c r="BE1686" s="17"/>
      <c r="BF1686" s="17"/>
      <c r="BG1686" s="17"/>
      <c r="BH1686" s="17"/>
      <c r="BI1686" s="17"/>
      <c r="BJ1686" s="17"/>
      <c r="BK1686" s="17"/>
      <c r="BL1686" s="17"/>
    </row>
    <row r="1687">
      <c r="A1687" s="17"/>
      <c r="B1687" s="17"/>
      <c r="C1687" s="17"/>
      <c r="D1687" s="17"/>
      <c r="E1687" s="17"/>
      <c r="F1687" s="17"/>
      <c r="G1687" s="17"/>
      <c r="H1687" s="356"/>
      <c r="I1687" s="17"/>
      <c r="J1687" s="17"/>
      <c r="K1687" s="17"/>
      <c r="L1687" s="17"/>
      <c r="M1687" s="17"/>
      <c r="N1687" s="17"/>
      <c r="O1687" s="17"/>
      <c r="P1687" s="17"/>
      <c r="Q1687" s="17"/>
      <c r="R1687" s="17"/>
      <c r="S1687" s="17"/>
      <c r="T1687" s="17"/>
      <c r="U1687" s="17"/>
      <c r="V1687" s="17"/>
      <c r="W1687" s="17"/>
      <c r="X1687" s="17"/>
      <c r="Y1687" s="17"/>
      <c r="Z1687" s="17"/>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c r="AV1687" s="17"/>
      <c r="AW1687" s="17"/>
      <c r="AX1687" s="17"/>
      <c r="AY1687" s="17"/>
      <c r="AZ1687" s="17"/>
      <c r="BA1687" s="17"/>
      <c r="BB1687" s="17"/>
      <c r="BC1687" s="17"/>
      <c r="BD1687" s="17"/>
      <c r="BE1687" s="17"/>
      <c r="BF1687" s="17"/>
      <c r="BG1687" s="17"/>
      <c r="BH1687" s="17"/>
      <c r="BI1687" s="17"/>
      <c r="BJ1687" s="17"/>
      <c r="BK1687" s="17"/>
      <c r="BL1687" s="17"/>
    </row>
    <row r="1688">
      <c r="A1688" s="17"/>
      <c r="B1688" s="17"/>
      <c r="C1688" s="17"/>
      <c r="D1688" s="17"/>
      <c r="E1688" s="17"/>
      <c r="F1688" s="17"/>
      <c r="G1688" s="17"/>
      <c r="H1688" s="356"/>
      <c r="I1688" s="17"/>
      <c r="J1688" s="17"/>
      <c r="K1688" s="17"/>
      <c r="L1688" s="17"/>
      <c r="M1688" s="17"/>
      <c r="N1688" s="17"/>
      <c r="O1688" s="17"/>
      <c r="P1688" s="17"/>
      <c r="Q1688" s="17"/>
      <c r="R1688" s="17"/>
      <c r="S1688" s="17"/>
      <c r="T1688" s="17"/>
      <c r="U1688" s="17"/>
      <c r="V1688" s="17"/>
      <c r="W1688" s="17"/>
      <c r="X1688" s="17"/>
      <c r="Y1688" s="17"/>
      <c r="Z1688" s="17"/>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c r="AV1688" s="17"/>
      <c r="AW1688" s="17"/>
      <c r="AX1688" s="17"/>
      <c r="AY1688" s="17"/>
      <c r="AZ1688" s="17"/>
      <c r="BA1688" s="17"/>
      <c r="BB1688" s="17"/>
      <c r="BC1688" s="17"/>
      <c r="BD1688" s="17"/>
      <c r="BE1688" s="17"/>
      <c r="BF1688" s="17"/>
      <c r="BG1688" s="17"/>
      <c r="BH1688" s="17"/>
      <c r="BI1688" s="17"/>
      <c r="BJ1688" s="17"/>
      <c r="BK1688" s="17"/>
      <c r="BL1688" s="17"/>
    </row>
    <row r="1689">
      <c r="A1689" s="17"/>
      <c r="B1689" s="17"/>
      <c r="C1689" s="17"/>
      <c r="D1689" s="17"/>
      <c r="E1689" s="17"/>
      <c r="F1689" s="17"/>
      <c r="G1689" s="17"/>
      <c r="H1689" s="356"/>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7"/>
      <c r="AW1689" s="17"/>
      <c r="AX1689" s="17"/>
      <c r="AY1689" s="17"/>
      <c r="AZ1689" s="17"/>
      <c r="BA1689" s="17"/>
      <c r="BB1689" s="17"/>
      <c r="BC1689" s="17"/>
      <c r="BD1689" s="17"/>
      <c r="BE1689" s="17"/>
      <c r="BF1689" s="17"/>
      <c r="BG1689" s="17"/>
      <c r="BH1689" s="17"/>
      <c r="BI1689" s="17"/>
      <c r="BJ1689" s="17"/>
      <c r="BK1689" s="17"/>
      <c r="BL1689" s="17"/>
    </row>
    <row r="1690">
      <c r="A1690" s="17"/>
      <c r="B1690" s="17"/>
      <c r="C1690" s="17"/>
      <c r="D1690" s="17"/>
      <c r="E1690" s="17"/>
      <c r="F1690" s="17"/>
      <c r="G1690" s="17"/>
      <c r="H1690" s="356"/>
      <c r="I1690" s="17"/>
      <c r="J1690" s="17"/>
      <c r="K1690" s="17"/>
      <c r="L1690" s="17"/>
      <c r="M1690" s="17"/>
      <c r="N1690" s="17"/>
      <c r="O1690" s="17"/>
      <c r="P1690" s="17"/>
      <c r="Q1690" s="17"/>
      <c r="R1690" s="17"/>
      <c r="S1690" s="17"/>
      <c r="T1690" s="17"/>
      <c r="U1690" s="17"/>
      <c r="V1690" s="17"/>
      <c r="W1690" s="17"/>
      <c r="X1690" s="17"/>
      <c r="Y1690" s="17"/>
      <c r="Z1690" s="17"/>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c r="AV1690" s="17"/>
      <c r="AW1690" s="17"/>
      <c r="AX1690" s="17"/>
      <c r="AY1690" s="17"/>
      <c r="AZ1690" s="17"/>
      <c r="BA1690" s="17"/>
      <c r="BB1690" s="17"/>
      <c r="BC1690" s="17"/>
      <c r="BD1690" s="17"/>
      <c r="BE1690" s="17"/>
      <c r="BF1690" s="17"/>
      <c r="BG1690" s="17"/>
      <c r="BH1690" s="17"/>
      <c r="BI1690" s="17"/>
      <c r="BJ1690" s="17"/>
      <c r="BK1690" s="17"/>
      <c r="BL1690" s="17"/>
    </row>
    <row r="1691">
      <c r="A1691" s="17"/>
      <c r="B1691" s="17"/>
      <c r="C1691" s="17"/>
      <c r="D1691" s="17"/>
      <c r="E1691" s="17"/>
      <c r="F1691" s="17"/>
      <c r="G1691" s="17"/>
      <c r="H1691" s="356"/>
      <c r="I1691" s="17"/>
      <c r="J1691" s="17"/>
      <c r="K1691" s="17"/>
      <c r="L1691" s="17"/>
      <c r="M1691" s="17"/>
      <c r="N1691" s="17"/>
      <c r="O1691" s="17"/>
      <c r="P1691" s="17"/>
      <c r="Q1691" s="17"/>
      <c r="R1691" s="17"/>
      <c r="S1691" s="17"/>
      <c r="T1691" s="17"/>
      <c r="U1691" s="17"/>
      <c r="V1691" s="17"/>
      <c r="W1691" s="17"/>
      <c r="X1691" s="17"/>
      <c r="Y1691" s="17"/>
      <c r="Z1691" s="17"/>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c r="AV1691" s="17"/>
      <c r="AW1691" s="17"/>
      <c r="AX1691" s="17"/>
      <c r="AY1691" s="17"/>
      <c r="AZ1691" s="17"/>
      <c r="BA1691" s="17"/>
      <c r="BB1691" s="17"/>
      <c r="BC1691" s="17"/>
      <c r="BD1691" s="17"/>
      <c r="BE1691" s="17"/>
      <c r="BF1691" s="17"/>
      <c r="BG1691" s="17"/>
      <c r="BH1691" s="17"/>
      <c r="BI1691" s="17"/>
      <c r="BJ1691" s="17"/>
      <c r="BK1691" s="17"/>
      <c r="BL1691" s="17"/>
    </row>
    <row r="1692">
      <c r="A1692" s="17"/>
      <c r="B1692" s="17"/>
      <c r="C1692" s="17"/>
      <c r="D1692" s="17"/>
      <c r="E1692" s="17"/>
      <c r="F1692" s="17"/>
      <c r="G1692" s="17"/>
      <c r="H1692" s="356"/>
      <c r="I1692" s="17"/>
      <c r="J1692" s="17"/>
      <c r="K1692" s="17"/>
      <c r="L1692" s="17"/>
      <c r="M1692" s="17"/>
      <c r="N1692" s="17"/>
      <c r="O1692" s="17"/>
      <c r="P1692" s="17"/>
      <c r="Q1692" s="17"/>
      <c r="R1692" s="17"/>
      <c r="S1692" s="17"/>
      <c r="T1692" s="17"/>
      <c r="U1692" s="17"/>
      <c r="V1692" s="17"/>
      <c r="W1692" s="17"/>
      <c r="X1692" s="17"/>
      <c r="Y1692" s="17"/>
      <c r="Z1692" s="17"/>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c r="AV1692" s="17"/>
      <c r="AW1692" s="17"/>
      <c r="AX1692" s="17"/>
      <c r="AY1692" s="17"/>
      <c r="AZ1692" s="17"/>
      <c r="BA1692" s="17"/>
      <c r="BB1692" s="17"/>
      <c r="BC1692" s="17"/>
      <c r="BD1692" s="17"/>
      <c r="BE1692" s="17"/>
      <c r="BF1692" s="17"/>
      <c r="BG1692" s="17"/>
      <c r="BH1692" s="17"/>
      <c r="BI1692" s="17"/>
      <c r="BJ1692" s="17"/>
      <c r="BK1692" s="17"/>
      <c r="BL1692" s="17"/>
    </row>
    <row r="1693">
      <c r="A1693" s="17"/>
      <c r="B1693" s="17"/>
      <c r="C1693" s="17"/>
      <c r="D1693" s="17"/>
      <c r="E1693" s="17"/>
      <c r="F1693" s="17"/>
      <c r="G1693" s="17"/>
      <c r="H1693" s="356"/>
      <c r="I1693" s="17"/>
      <c r="J1693" s="17"/>
      <c r="K1693" s="17"/>
      <c r="L1693" s="17"/>
      <c r="M1693" s="17"/>
      <c r="N1693" s="17"/>
      <c r="O1693" s="17"/>
      <c r="P1693" s="17"/>
      <c r="Q1693" s="17"/>
      <c r="R1693" s="17"/>
      <c r="S1693" s="17"/>
      <c r="T1693" s="17"/>
      <c r="U1693" s="17"/>
      <c r="V1693" s="17"/>
      <c r="W1693" s="17"/>
      <c r="X1693" s="17"/>
      <c r="Y1693" s="17"/>
      <c r="Z1693" s="17"/>
      <c r="AA1693" s="17"/>
      <c r="AB1693" s="17"/>
      <c r="AC1693" s="17"/>
      <c r="AD1693" s="17"/>
      <c r="AE1693" s="17"/>
      <c r="AF1693" s="17"/>
      <c r="AG1693" s="17"/>
      <c r="AH1693" s="17"/>
      <c r="AI1693" s="17"/>
      <c r="AJ1693" s="17"/>
      <c r="AK1693" s="17"/>
      <c r="AL1693" s="17"/>
      <c r="AM1693" s="17"/>
      <c r="AN1693" s="17"/>
      <c r="AO1693" s="17"/>
      <c r="AP1693" s="17"/>
      <c r="AQ1693" s="17"/>
      <c r="AR1693" s="17"/>
      <c r="AS1693" s="17"/>
      <c r="AT1693" s="17"/>
      <c r="AU1693" s="17"/>
      <c r="AV1693" s="17"/>
      <c r="AW1693" s="17"/>
      <c r="AX1693" s="17"/>
      <c r="AY1693" s="17"/>
      <c r="AZ1693" s="17"/>
      <c r="BA1693" s="17"/>
      <c r="BB1693" s="17"/>
      <c r="BC1693" s="17"/>
      <c r="BD1693" s="17"/>
      <c r="BE1693" s="17"/>
      <c r="BF1693" s="17"/>
      <c r="BG1693" s="17"/>
      <c r="BH1693" s="17"/>
      <c r="BI1693" s="17"/>
      <c r="BJ1693" s="17"/>
      <c r="BK1693" s="17"/>
      <c r="BL1693" s="17"/>
    </row>
    <row r="1694">
      <c r="A1694" s="17"/>
      <c r="B1694" s="17"/>
      <c r="C1694" s="17"/>
      <c r="D1694" s="17"/>
      <c r="E1694" s="17"/>
      <c r="F1694" s="17"/>
      <c r="G1694" s="17"/>
      <c r="H1694" s="356"/>
      <c r="I1694" s="17"/>
      <c r="J1694" s="17"/>
      <c r="K1694" s="17"/>
      <c r="L1694" s="17"/>
      <c r="M1694" s="17"/>
      <c r="N1694" s="17"/>
      <c r="O1694" s="17"/>
      <c r="P1694" s="17"/>
      <c r="Q1694" s="17"/>
      <c r="R1694" s="17"/>
      <c r="S1694" s="17"/>
      <c r="T1694" s="17"/>
      <c r="U1694" s="17"/>
      <c r="V1694" s="17"/>
      <c r="W1694" s="17"/>
      <c r="X1694" s="17"/>
      <c r="Y1694" s="17"/>
      <c r="Z1694" s="17"/>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c r="AV1694" s="17"/>
      <c r="AW1694" s="17"/>
      <c r="AX1694" s="17"/>
      <c r="AY1694" s="17"/>
      <c r="AZ1694" s="17"/>
      <c r="BA1694" s="17"/>
      <c r="BB1694" s="17"/>
      <c r="BC1694" s="17"/>
      <c r="BD1694" s="17"/>
      <c r="BE1694" s="17"/>
      <c r="BF1694" s="17"/>
      <c r="BG1694" s="17"/>
      <c r="BH1694" s="17"/>
      <c r="BI1694" s="17"/>
      <c r="BJ1694" s="17"/>
      <c r="BK1694" s="17"/>
      <c r="BL1694" s="17"/>
    </row>
    <row r="1695">
      <c r="A1695" s="17"/>
      <c r="B1695" s="17"/>
      <c r="C1695" s="17"/>
      <c r="D1695" s="17"/>
      <c r="E1695" s="17"/>
      <c r="F1695" s="17"/>
      <c r="G1695" s="17"/>
      <c r="H1695" s="356"/>
      <c r="I1695" s="17"/>
      <c r="J1695" s="17"/>
      <c r="K1695" s="17"/>
      <c r="L1695" s="17"/>
      <c r="M1695" s="17"/>
      <c r="N1695" s="17"/>
      <c r="O1695" s="17"/>
      <c r="P1695" s="17"/>
      <c r="Q1695" s="17"/>
      <c r="R1695" s="17"/>
      <c r="S1695" s="17"/>
      <c r="T1695" s="17"/>
      <c r="U1695" s="17"/>
      <c r="V1695" s="17"/>
      <c r="W1695" s="17"/>
      <c r="X1695" s="17"/>
      <c r="Y1695" s="17"/>
      <c r="Z1695" s="17"/>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c r="AV1695" s="17"/>
      <c r="AW1695" s="17"/>
      <c r="AX1695" s="17"/>
      <c r="AY1695" s="17"/>
      <c r="AZ1695" s="17"/>
      <c r="BA1695" s="17"/>
      <c r="BB1695" s="17"/>
      <c r="BC1695" s="17"/>
      <c r="BD1695" s="17"/>
      <c r="BE1695" s="17"/>
      <c r="BF1695" s="17"/>
      <c r="BG1695" s="17"/>
      <c r="BH1695" s="17"/>
      <c r="BI1695" s="17"/>
      <c r="BJ1695" s="17"/>
      <c r="BK1695" s="17"/>
      <c r="BL1695" s="17"/>
    </row>
    <row r="1696">
      <c r="A1696" s="17"/>
      <c r="B1696" s="17"/>
      <c r="C1696" s="17"/>
      <c r="D1696" s="17"/>
      <c r="E1696" s="17"/>
      <c r="F1696" s="17"/>
      <c r="G1696" s="17"/>
      <c r="H1696" s="356"/>
      <c r="I1696" s="17"/>
      <c r="J1696" s="17"/>
      <c r="K1696" s="17"/>
      <c r="L1696" s="17"/>
      <c r="M1696" s="17"/>
      <c r="N1696" s="17"/>
      <c r="O1696" s="17"/>
      <c r="P1696" s="17"/>
      <c r="Q1696" s="17"/>
      <c r="R1696" s="17"/>
      <c r="S1696" s="17"/>
      <c r="T1696" s="17"/>
      <c r="U1696" s="17"/>
      <c r="V1696" s="17"/>
      <c r="W1696" s="17"/>
      <c r="X1696" s="17"/>
      <c r="Y1696" s="17"/>
      <c r="Z1696" s="17"/>
      <c r="AA1696" s="17"/>
      <c r="AB1696" s="17"/>
      <c r="AC1696" s="17"/>
      <c r="AD1696" s="17"/>
      <c r="AE1696" s="17"/>
      <c r="AF1696" s="17"/>
      <c r="AG1696" s="17"/>
      <c r="AH1696" s="17"/>
      <c r="AI1696" s="17"/>
      <c r="AJ1696" s="17"/>
      <c r="AK1696" s="17"/>
      <c r="AL1696" s="17"/>
      <c r="AM1696" s="17"/>
      <c r="AN1696" s="17"/>
      <c r="AO1696" s="17"/>
      <c r="AP1696" s="17"/>
      <c r="AQ1696" s="17"/>
      <c r="AR1696" s="17"/>
      <c r="AS1696" s="17"/>
      <c r="AT1696" s="17"/>
      <c r="AU1696" s="17"/>
      <c r="AV1696" s="17"/>
      <c r="AW1696" s="17"/>
      <c r="AX1696" s="17"/>
      <c r="AY1696" s="17"/>
      <c r="AZ1696" s="17"/>
      <c r="BA1696" s="17"/>
      <c r="BB1696" s="17"/>
      <c r="BC1696" s="17"/>
      <c r="BD1696" s="17"/>
      <c r="BE1696" s="17"/>
      <c r="BF1696" s="17"/>
      <c r="BG1696" s="17"/>
      <c r="BH1696" s="17"/>
      <c r="BI1696" s="17"/>
      <c r="BJ1696" s="17"/>
      <c r="BK1696" s="17"/>
      <c r="BL1696" s="17"/>
    </row>
    <row r="1697">
      <c r="A1697" s="17"/>
      <c r="B1697" s="17"/>
      <c r="C1697" s="17"/>
      <c r="D1697" s="17"/>
      <c r="E1697" s="17"/>
      <c r="F1697" s="17"/>
      <c r="G1697" s="17"/>
      <c r="H1697" s="356"/>
      <c r="I1697" s="17"/>
      <c r="J1697" s="17"/>
      <c r="K1697" s="17"/>
      <c r="L1697" s="17"/>
      <c r="M1697" s="17"/>
      <c r="N1697" s="17"/>
      <c r="O1697" s="17"/>
      <c r="P1697" s="17"/>
      <c r="Q1697" s="17"/>
      <c r="R1697" s="17"/>
      <c r="S1697" s="17"/>
      <c r="T1697" s="17"/>
      <c r="U1697" s="17"/>
      <c r="V1697" s="17"/>
      <c r="W1697" s="17"/>
      <c r="X1697" s="17"/>
      <c r="Y1697" s="17"/>
      <c r="Z1697" s="17"/>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c r="AV1697" s="17"/>
      <c r="AW1697" s="17"/>
      <c r="AX1697" s="17"/>
      <c r="AY1697" s="17"/>
      <c r="AZ1697" s="17"/>
      <c r="BA1697" s="17"/>
      <c r="BB1697" s="17"/>
      <c r="BC1697" s="17"/>
      <c r="BD1697" s="17"/>
      <c r="BE1697" s="17"/>
      <c r="BF1697" s="17"/>
      <c r="BG1697" s="17"/>
      <c r="BH1697" s="17"/>
      <c r="BI1697" s="17"/>
      <c r="BJ1697" s="17"/>
      <c r="BK1697" s="17"/>
      <c r="BL1697" s="17"/>
    </row>
    <row r="1698">
      <c r="A1698" s="17"/>
      <c r="B1698" s="17"/>
      <c r="C1698" s="17"/>
      <c r="D1698" s="17"/>
      <c r="E1698" s="17"/>
      <c r="F1698" s="17"/>
      <c r="G1698" s="17"/>
      <c r="H1698" s="356"/>
      <c r="I1698" s="17"/>
      <c r="J1698" s="17"/>
      <c r="K1698" s="17"/>
      <c r="L1698" s="17"/>
      <c r="M1698" s="17"/>
      <c r="N1698" s="17"/>
      <c r="O1698" s="17"/>
      <c r="P1698" s="17"/>
      <c r="Q1698" s="17"/>
      <c r="R1698" s="17"/>
      <c r="S1698" s="17"/>
      <c r="T1698" s="17"/>
      <c r="U1698" s="17"/>
      <c r="V1698" s="17"/>
      <c r="W1698" s="17"/>
      <c r="X1698" s="17"/>
      <c r="Y1698" s="17"/>
      <c r="Z1698" s="17"/>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c r="AV1698" s="17"/>
      <c r="AW1698" s="17"/>
      <c r="AX1698" s="17"/>
      <c r="AY1698" s="17"/>
      <c r="AZ1698" s="17"/>
      <c r="BA1698" s="17"/>
      <c r="BB1698" s="17"/>
      <c r="BC1698" s="17"/>
      <c r="BD1698" s="17"/>
      <c r="BE1698" s="17"/>
      <c r="BF1698" s="17"/>
      <c r="BG1698" s="17"/>
      <c r="BH1698" s="17"/>
      <c r="BI1698" s="17"/>
      <c r="BJ1698" s="17"/>
      <c r="BK1698" s="17"/>
      <c r="BL1698" s="17"/>
    </row>
    <row r="1699">
      <c r="A1699" s="17"/>
      <c r="B1699" s="17"/>
      <c r="C1699" s="17"/>
      <c r="D1699" s="17"/>
      <c r="E1699" s="17"/>
      <c r="F1699" s="17"/>
      <c r="G1699" s="17"/>
      <c r="H1699" s="356"/>
      <c r="I1699" s="17"/>
      <c r="J1699" s="17"/>
      <c r="K1699" s="17"/>
      <c r="L1699" s="17"/>
      <c r="M1699" s="17"/>
      <c r="N1699" s="17"/>
      <c r="O1699" s="17"/>
      <c r="P1699" s="17"/>
      <c r="Q1699" s="17"/>
      <c r="R1699" s="17"/>
      <c r="S1699" s="17"/>
      <c r="T1699" s="17"/>
      <c r="U1699" s="17"/>
      <c r="V1699" s="17"/>
      <c r="W1699" s="17"/>
      <c r="X1699" s="17"/>
      <c r="Y1699" s="17"/>
      <c r="Z1699" s="17"/>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c r="AV1699" s="17"/>
      <c r="AW1699" s="17"/>
      <c r="AX1699" s="17"/>
      <c r="AY1699" s="17"/>
      <c r="AZ1699" s="17"/>
      <c r="BA1699" s="17"/>
      <c r="BB1699" s="17"/>
      <c r="BC1699" s="17"/>
      <c r="BD1699" s="17"/>
      <c r="BE1699" s="17"/>
      <c r="BF1699" s="17"/>
      <c r="BG1699" s="17"/>
      <c r="BH1699" s="17"/>
      <c r="BI1699" s="17"/>
      <c r="BJ1699" s="17"/>
      <c r="BK1699" s="17"/>
      <c r="BL1699" s="17"/>
    </row>
    <row r="1700">
      <c r="A1700" s="17"/>
      <c r="B1700" s="17"/>
      <c r="C1700" s="17"/>
      <c r="D1700" s="17"/>
      <c r="E1700" s="17"/>
      <c r="F1700" s="17"/>
      <c r="G1700" s="17"/>
      <c r="H1700" s="356"/>
      <c r="I1700" s="17"/>
      <c r="J1700" s="17"/>
      <c r="K1700" s="17"/>
      <c r="L1700" s="17"/>
      <c r="M1700" s="17"/>
      <c r="N1700" s="17"/>
      <c r="O1700" s="17"/>
      <c r="P1700" s="17"/>
      <c r="Q1700" s="17"/>
      <c r="R1700" s="17"/>
      <c r="S1700" s="17"/>
      <c r="T1700" s="17"/>
      <c r="U1700" s="17"/>
      <c r="V1700" s="17"/>
      <c r="W1700" s="17"/>
      <c r="X1700" s="17"/>
      <c r="Y1700" s="17"/>
      <c r="Z1700" s="17"/>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c r="AV1700" s="17"/>
      <c r="AW1700" s="17"/>
      <c r="AX1700" s="17"/>
      <c r="AY1700" s="17"/>
      <c r="AZ1700" s="17"/>
      <c r="BA1700" s="17"/>
      <c r="BB1700" s="17"/>
      <c r="BC1700" s="17"/>
      <c r="BD1700" s="17"/>
      <c r="BE1700" s="17"/>
      <c r="BF1700" s="17"/>
      <c r="BG1700" s="17"/>
      <c r="BH1700" s="17"/>
      <c r="BI1700" s="17"/>
      <c r="BJ1700" s="17"/>
      <c r="BK1700" s="17"/>
      <c r="BL1700" s="17"/>
    </row>
    <row r="1701">
      <c r="A1701" s="17"/>
      <c r="B1701" s="17"/>
      <c r="C1701" s="17"/>
      <c r="D1701" s="17"/>
      <c r="E1701" s="17"/>
      <c r="F1701" s="17"/>
      <c r="G1701" s="17"/>
      <c r="H1701" s="356"/>
      <c r="I1701" s="17"/>
      <c r="J1701" s="17"/>
      <c r="K1701" s="17"/>
      <c r="L1701" s="17"/>
      <c r="M1701" s="17"/>
      <c r="N1701" s="17"/>
      <c r="O1701" s="17"/>
      <c r="P1701" s="17"/>
      <c r="Q1701" s="17"/>
      <c r="R1701" s="17"/>
      <c r="S1701" s="17"/>
      <c r="T1701" s="17"/>
      <c r="U1701" s="17"/>
      <c r="V1701" s="17"/>
      <c r="W1701" s="17"/>
      <c r="X1701" s="17"/>
      <c r="Y1701" s="17"/>
      <c r="Z1701" s="17"/>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c r="AV1701" s="17"/>
      <c r="AW1701" s="17"/>
      <c r="AX1701" s="17"/>
      <c r="AY1701" s="17"/>
      <c r="AZ1701" s="17"/>
      <c r="BA1701" s="17"/>
      <c r="BB1701" s="17"/>
      <c r="BC1701" s="17"/>
      <c r="BD1701" s="17"/>
      <c r="BE1701" s="17"/>
      <c r="BF1701" s="17"/>
      <c r="BG1701" s="17"/>
      <c r="BH1701" s="17"/>
      <c r="BI1701" s="17"/>
      <c r="BJ1701" s="17"/>
      <c r="BK1701" s="17"/>
      <c r="BL1701" s="17"/>
    </row>
    <row r="1702">
      <c r="A1702" s="17"/>
      <c r="B1702" s="17"/>
      <c r="C1702" s="17"/>
      <c r="D1702" s="17"/>
      <c r="E1702" s="17"/>
      <c r="F1702" s="17"/>
      <c r="G1702" s="17"/>
      <c r="H1702" s="356"/>
      <c r="I1702" s="17"/>
      <c r="J1702" s="17"/>
      <c r="K1702" s="17"/>
      <c r="L1702" s="17"/>
      <c r="M1702" s="17"/>
      <c r="N1702" s="17"/>
      <c r="O1702" s="17"/>
      <c r="P1702" s="17"/>
      <c r="Q1702" s="17"/>
      <c r="R1702" s="17"/>
      <c r="S1702" s="17"/>
      <c r="T1702" s="17"/>
      <c r="U1702" s="17"/>
      <c r="V1702" s="17"/>
      <c r="W1702" s="17"/>
      <c r="X1702" s="17"/>
      <c r="Y1702" s="17"/>
      <c r="Z1702" s="17"/>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c r="AV1702" s="17"/>
      <c r="AW1702" s="17"/>
      <c r="AX1702" s="17"/>
      <c r="AY1702" s="17"/>
      <c r="AZ1702" s="17"/>
      <c r="BA1702" s="17"/>
      <c r="BB1702" s="17"/>
      <c r="BC1702" s="17"/>
      <c r="BD1702" s="17"/>
      <c r="BE1702" s="17"/>
      <c r="BF1702" s="17"/>
      <c r="BG1702" s="17"/>
      <c r="BH1702" s="17"/>
      <c r="BI1702" s="17"/>
      <c r="BJ1702" s="17"/>
      <c r="BK1702" s="17"/>
      <c r="BL1702" s="17"/>
    </row>
    <row r="1703">
      <c r="A1703" s="17"/>
      <c r="B1703" s="17"/>
      <c r="C1703" s="17"/>
      <c r="D1703" s="17"/>
      <c r="E1703" s="17"/>
      <c r="F1703" s="17"/>
      <c r="G1703" s="17"/>
      <c r="H1703" s="356"/>
      <c r="I1703" s="17"/>
      <c r="J1703" s="17"/>
      <c r="K1703" s="17"/>
      <c r="L1703" s="17"/>
      <c r="M1703" s="17"/>
      <c r="N1703" s="17"/>
      <c r="O1703" s="17"/>
      <c r="P1703" s="17"/>
      <c r="Q1703" s="17"/>
      <c r="R1703" s="17"/>
      <c r="S1703" s="17"/>
      <c r="T1703" s="17"/>
      <c r="U1703" s="17"/>
      <c r="V1703" s="17"/>
      <c r="W1703" s="17"/>
      <c r="X1703" s="17"/>
      <c r="Y1703" s="17"/>
      <c r="Z1703" s="17"/>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c r="AV1703" s="17"/>
      <c r="AW1703" s="17"/>
      <c r="AX1703" s="17"/>
      <c r="AY1703" s="17"/>
      <c r="AZ1703" s="17"/>
      <c r="BA1703" s="17"/>
      <c r="BB1703" s="17"/>
      <c r="BC1703" s="17"/>
      <c r="BD1703" s="17"/>
      <c r="BE1703" s="17"/>
      <c r="BF1703" s="17"/>
      <c r="BG1703" s="17"/>
      <c r="BH1703" s="17"/>
      <c r="BI1703" s="17"/>
      <c r="BJ1703" s="17"/>
      <c r="BK1703" s="17"/>
      <c r="BL1703" s="17"/>
    </row>
    <row r="1704">
      <c r="A1704" s="17"/>
      <c r="B1704" s="17"/>
      <c r="C1704" s="17"/>
      <c r="D1704" s="17"/>
      <c r="E1704" s="17"/>
      <c r="F1704" s="17"/>
      <c r="G1704" s="17"/>
      <c r="H1704" s="356"/>
      <c r="I1704" s="17"/>
      <c r="J1704" s="17"/>
      <c r="K1704" s="17"/>
      <c r="L1704" s="17"/>
      <c r="M1704" s="17"/>
      <c r="N1704" s="17"/>
      <c r="O1704" s="17"/>
      <c r="P1704" s="17"/>
      <c r="Q1704" s="17"/>
      <c r="R1704" s="17"/>
      <c r="S1704" s="17"/>
      <c r="T1704" s="17"/>
      <c r="U1704" s="17"/>
      <c r="V1704" s="17"/>
      <c r="W1704" s="17"/>
      <c r="X1704" s="17"/>
      <c r="Y1704" s="17"/>
      <c r="Z1704" s="17"/>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c r="AV1704" s="17"/>
      <c r="AW1704" s="17"/>
      <c r="AX1704" s="17"/>
      <c r="AY1704" s="17"/>
      <c r="AZ1704" s="17"/>
      <c r="BA1704" s="17"/>
      <c r="BB1704" s="17"/>
      <c r="BC1704" s="17"/>
      <c r="BD1704" s="17"/>
      <c r="BE1704" s="17"/>
      <c r="BF1704" s="17"/>
      <c r="BG1704" s="17"/>
      <c r="BH1704" s="17"/>
      <c r="BI1704" s="17"/>
      <c r="BJ1704" s="17"/>
      <c r="BK1704" s="17"/>
      <c r="BL1704" s="17"/>
    </row>
    <row r="1705">
      <c r="A1705" s="17"/>
      <c r="B1705" s="17"/>
      <c r="C1705" s="17"/>
      <c r="D1705" s="17"/>
      <c r="E1705" s="17"/>
      <c r="F1705" s="17"/>
      <c r="G1705" s="17"/>
      <c r="H1705" s="356"/>
      <c r="I1705" s="17"/>
      <c r="J1705" s="17"/>
      <c r="K1705" s="17"/>
      <c r="L1705" s="17"/>
      <c r="M1705" s="17"/>
      <c r="N1705" s="17"/>
      <c r="O1705" s="17"/>
      <c r="P1705" s="17"/>
      <c r="Q1705" s="17"/>
      <c r="R1705" s="17"/>
      <c r="S1705" s="17"/>
      <c r="T1705" s="17"/>
      <c r="U1705" s="17"/>
      <c r="V1705" s="17"/>
      <c r="W1705" s="17"/>
      <c r="X1705" s="17"/>
      <c r="Y1705" s="17"/>
      <c r="Z1705" s="17"/>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c r="AV1705" s="17"/>
      <c r="AW1705" s="17"/>
      <c r="AX1705" s="17"/>
      <c r="AY1705" s="17"/>
      <c r="AZ1705" s="17"/>
      <c r="BA1705" s="17"/>
      <c r="BB1705" s="17"/>
      <c r="BC1705" s="17"/>
      <c r="BD1705" s="17"/>
      <c r="BE1705" s="17"/>
      <c r="BF1705" s="17"/>
      <c r="BG1705" s="17"/>
      <c r="BH1705" s="17"/>
      <c r="BI1705" s="17"/>
      <c r="BJ1705" s="17"/>
      <c r="BK1705" s="17"/>
      <c r="BL1705" s="17"/>
    </row>
    <row r="1706">
      <c r="A1706" s="17"/>
      <c r="B1706" s="17"/>
      <c r="C1706" s="17"/>
      <c r="D1706" s="17"/>
      <c r="E1706" s="17"/>
      <c r="F1706" s="17"/>
      <c r="G1706" s="17"/>
      <c r="H1706" s="356"/>
      <c r="I1706" s="17"/>
      <c r="J1706" s="17"/>
      <c r="K1706" s="17"/>
      <c r="L1706" s="17"/>
      <c r="M1706" s="17"/>
      <c r="N1706" s="17"/>
      <c r="O1706" s="17"/>
      <c r="P1706" s="17"/>
      <c r="Q1706" s="17"/>
      <c r="R1706" s="17"/>
      <c r="S1706" s="17"/>
      <c r="T1706" s="17"/>
      <c r="U1706" s="17"/>
      <c r="V1706" s="17"/>
      <c r="W1706" s="17"/>
      <c r="X1706" s="17"/>
      <c r="Y1706" s="17"/>
      <c r="Z1706" s="17"/>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c r="AV1706" s="17"/>
      <c r="AW1706" s="17"/>
      <c r="AX1706" s="17"/>
      <c r="AY1706" s="17"/>
      <c r="AZ1706" s="17"/>
      <c r="BA1706" s="17"/>
      <c r="BB1706" s="17"/>
      <c r="BC1706" s="17"/>
      <c r="BD1706" s="17"/>
      <c r="BE1706" s="17"/>
      <c r="BF1706" s="17"/>
      <c r="BG1706" s="17"/>
      <c r="BH1706" s="17"/>
      <c r="BI1706" s="17"/>
      <c r="BJ1706" s="17"/>
      <c r="BK1706" s="17"/>
      <c r="BL1706" s="17"/>
    </row>
    <row r="1707">
      <c r="A1707" s="17"/>
      <c r="B1707" s="17"/>
      <c r="C1707" s="17"/>
      <c r="D1707" s="17"/>
      <c r="E1707" s="17"/>
      <c r="F1707" s="17"/>
      <c r="G1707" s="17"/>
      <c r="H1707" s="356"/>
      <c r="I1707" s="17"/>
      <c r="J1707" s="17"/>
      <c r="K1707" s="17"/>
      <c r="L1707" s="17"/>
      <c r="M1707" s="17"/>
      <c r="N1707" s="17"/>
      <c r="O1707" s="17"/>
      <c r="P1707" s="17"/>
      <c r="Q1707" s="17"/>
      <c r="R1707" s="17"/>
      <c r="S1707" s="17"/>
      <c r="T1707" s="17"/>
      <c r="U1707" s="17"/>
      <c r="V1707" s="17"/>
      <c r="W1707" s="17"/>
      <c r="X1707" s="17"/>
      <c r="Y1707" s="17"/>
      <c r="Z1707" s="17"/>
      <c r="AA1707" s="17"/>
      <c r="AB1707" s="17"/>
      <c r="AC1707" s="17"/>
      <c r="AD1707" s="17"/>
      <c r="AE1707" s="17"/>
      <c r="AF1707" s="17"/>
      <c r="AG1707" s="17"/>
      <c r="AH1707" s="17"/>
      <c r="AI1707" s="17"/>
      <c r="AJ1707" s="17"/>
      <c r="AK1707" s="17"/>
      <c r="AL1707" s="17"/>
      <c r="AM1707" s="17"/>
      <c r="AN1707" s="17"/>
      <c r="AO1707" s="17"/>
      <c r="AP1707" s="17"/>
      <c r="AQ1707" s="17"/>
      <c r="AR1707" s="17"/>
      <c r="AS1707" s="17"/>
      <c r="AT1707" s="17"/>
      <c r="AU1707" s="17"/>
      <c r="AV1707" s="17"/>
      <c r="AW1707" s="17"/>
      <c r="AX1707" s="17"/>
      <c r="AY1707" s="17"/>
      <c r="AZ1707" s="17"/>
      <c r="BA1707" s="17"/>
      <c r="BB1707" s="17"/>
      <c r="BC1707" s="17"/>
      <c r="BD1707" s="17"/>
      <c r="BE1707" s="17"/>
      <c r="BF1707" s="17"/>
      <c r="BG1707" s="17"/>
      <c r="BH1707" s="17"/>
      <c r="BI1707" s="17"/>
      <c r="BJ1707" s="17"/>
      <c r="BK1707" s="17"/>
      <c r="BL1707" s="17"/>
    </row>
    <row r="1708">
      <c r="A1708" s="17"/>
      <c r="B1708" s="17"/>
      <c r="C1708" s="17"/>
      <c r="D1708" s="17"/>
      <c r="E1708" s="17"/>
      <c r="F1708" s="17"/>
      <c r="G1708" s="17"/>
      <c r="H1708" s="356"/>
      <c r="I1708" s="17"/>
      <c r="J1708" s="17"/>
      <c r="K1708" s="17"/>
      <c r="L1708" s="17"/>
      <c r="M1708" s="17"/>
      <c r="N1708" s="17"/>
      <c r="O1708" s="17"/>
      <c r="P1708" s="17"/>
      <c r="Q1708" s="17"/>
      <c r="R1708" s="17"/>
      <c r="S1708" s="17"/>
      <c r="T1708" s="17"/>
      <c r="U1708" s="17"/>
      <c r="V1708" s="17"/>
      <c r="W1708" s="17"/>
      <c r="X1708" s="17"/>
      <c r="Y1708" s="17"/>
      <c r="Z1708" s="17"/>
      <c r="AA1708" s="17"/>
      <c r="AB1708" s="17"/>
      <c r="AC1708" s="17"/>
      <c r="AD1708" s="17"/>
      <c r="AE1708" s="17"/>
      <c r="AF1708" s="17"/>
      <c r="AG1708" s="17"/>
      <c r="AH1708" s="17"/>
      <c r="AI1708" s="17"/>
      <c r="AJ1708" s="17"/>
      <c r="AK1708" s="17"/>
      <c r="AL1708" s="17"/>
      <c r="AM1708" s="17"/>
      <c r="AN1708" s="17"/>
      <c r="AO1708" s="17"/>
      <c r="AP1708" s="17"/>
      <c r="AQ1708" s="17"/>
      <c r="AR1708" s="17"/>
      <c r="AS1708" s="17"/>
      <c r="AT1708" s="17"/>
      <c r="AU1708" s="17"/>
      <c r="AV1708" s="17"/>
      <c r="AW1708" s="17"/>
      <c r="AX1708" s="17"/>
      <c r="AY1708" s="17"/>
      <c r="AZ1708" s="17"/>
      <c r="BA1708" s="17"/>
      <c r="BB1708" s="17"/>
      <c r="BC1708" s="17"/>
      <c r="BD1708" s="17"/>
      <c r="BE1708" s="17"/>
      <c r="BF1708" s="17"/>
      <c r="BG1708" s="17"/>
      <c r="BH1708" s="17"/>
      <c r="BI1708" s="17"/>
      <c r="BJ1708" s="17"/>
      <c r="BK1708" s="17"/>
      <c r="BL1708" s="17"/>
    </row>
    <row r="1709">
      <c r="A1709" s="17"/>
      <c r="B1709" s="17"/>
      <c r="C1709" s="17"/>
      <c r="D1709" s="17"/>
      <c r="E1709" s="17"/>
      <c r="F1709" s="17"/>
      <c r="G1709" s="17"/>
      <c r="H1709" s="356"/>
      <c r="I1709" s="17"/>
      <c r="J1709" s="17"/>
      <c r="K1709" s="17"/>
      <c r="L1709" s="17"/>
      <c r="M1709" s="17"/>
      <c r="N1709" s="17"/>
      <c r="O1709" s="17"/>
      <c r="P1709" s="17"/>
      <c r="Q1709" s="17"/>
      <c r="R1709" s="17"/>
      <c r="S1709" s="17"/>
      <c r="T1709" s="17"/>
      <c r="U1709" s="17"/>
      <c r="V1709" s="17"/>
      <c r="W1709" s="17"/>
      <c r="X1709" s="17"/>
      <c r="Y1709" s="17"/>
      <c r="Z1709" s="17"/>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c r="AV1709" s="17"/>
      <c r="AW1709" s="17"/>
      <c r="AX1709" s="17"/>
      <c r="AY1709" s="17"/>
      <c r="AZ1709" s="17"/>
      <c r="BA1709" s="17"/>
      <c r="BB1709" s="17"/>
      <c r="BC1709" s="17"/>
      <c r="BD1709" s="17"/>
      <c r="BE1709" s="17"/>
      <c r="BF1709" s="17"/>
      <c r="BG1709" s="17"/>
      <c r="BH1709" s="17"/>
      <c r="BI1709" s="17"/>
      <c r="BJ1709" s="17"/>
      <c r="BK1709" s="17"/>
      <c r="BL1709" s="17"/>
    </row>
    <row r="1710">
      <c r="A1710" s="17"/>
      <c r="B1710" s="17"/>
      <c r="C1710" s="17"/>
      <c r="D1710" s="17"/>
      <c r="E1710" s="17"/>
      <c r="F1710" s="17"/>
      <c r="G1710" s="17"/>
      <c r="H1710" s="356"/>
      <c r="I1710" s="17"/>
      <c r="J1710" s="17"/>
      <c r="K1710" s="17"/>
      <c r="L1710" s="17"/>
      <c r="M1710" s="17"/>
      <c r="N1710" s="17"/>
      <c r="O1710" s="17"/>
      <c r="P1710" s="17"/>
      <c r="Q1710" s="17"/>
      <c r="R1710" s="17"/>
      <c r="S1710" s="17"/>
      <c r="T1710" s="17"/>
      <c r="U1710" s="17"/>
      <c r="V1710" s="17"/>
      <c r="W1710" s="17"/>
      <c r="X1710" s="17"/>
      <c r="Y1710" s="17"/>
      <c r="Z1710" s="17"/>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c r="AV1710" s="17"/>
      <c r="AW1710" s="17"/>
      <c r="AX1710" s="17"/>
      <c r="AY1710" s="17"/>
      <c r="AZ1710" s="17"/>
      <c r="BA1710" s="17"/>
      <c r="BB1710" s="17"/>
      <c r="BC1710" s="17"/>
      <c r="BD1710" s="17"/>
      <c r="BE1710" s="17"/>
      <c r="BF1710" s="17"/>
      <c r="BG1710" s="17"/>
      <c r="BH1710" s="17"/>
      <c r="BI1710" s="17"/>
      <c r="BJ1710" s="17"/>
      <c r="BK1710" s="17"/>
      <c r="BL1710" s="17"/>
    </row>
    <row r="1711">
      <c r="A1711" s="17"/>
      <c r="B1711" s="17"/>
      <c r="C1711" s="17"/>
      <c r="D1711" s="17"/>
      <c r="E1711" s="17"/>
      <c r="F1711" s="17"/>
      <c r="G1711" s="17"/>
      <c r="H1711" s="356"/>
      <c r="I1711" s="17"/>
      <c r="J1711" s="17"/>
      <c r="K1711" s="17"/>
      <c r="L1711" s="17"/>
      <c r="M1711" s="17"/>
      <c r="N1711" s="17"/>
      <c r="O1711" s="17"/>
      <c r="P1711" s="17"/>
      <c r="Q1711" s="17"/>
      <c r="R1711" s="17"/>
      <c r="S1711" s="17"/>
      <c r="T1711" s="17"/>
      <c r="U1711" s="17"/>
      <c r="V1711" s="17"/>
      <c r="W1711" s="17"/>
      <c r="X1711" s="17"/>
      <c r="Y1711" s="17"/>
      <c r="Z1711" s="17"/>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c r="AV1711" s="17"/>
      <c r="AW1711" s="17"/>
      <c r="AX1711" s="17"/>
      <c r="AY1711" s="17"/>
      <c r="AZ1711" s="17"/>
      <c r="BA1711" s="17"/>
      <c r="BB1711" s="17"/>
      <c r="BC1711" s="17"/>
      <c r="BD1711" s="17"/>
      <c r="BE1711" s="17"/>
      <c r="BF1711" s="17"/>
      <c r="BG1711" s="17"/>
      <c r="BH1711" s="17"/>
      <c r="BI1711" s="17"/>
      <c r="BJ1711" s="17"/>
      <c r="BK1711" s="17"/>
      <c r="BL1711" s="17"/>
    </row>
    <row r="1712">
      <c r="A1712" s="17"/>
      <c r="B1712" s="17"/>
      <c r="C1712" s="17"/>
      <c r="D1712" s="17"/>
      <c r="E1712" s="17"/>
      <c r="F1712" s="17"/>
      <c r="G1712" s="17"/>
      <c r="H1712" s="356"/>
      <c r="I1712" s="17"/>
      <c r="J1712" s="17"/>
      <c r="K1712" s="17"/>
      <c r="L1712" s="17"/>
      <c r="M1712" s="17"/>
      <c r="N1712" s="17"/>
      <c r="O1712" s="17"/>
      <c r="P1712" s="17"/>
      <c r="Q1712" s="17"/>
      <c r="R1712" s="17"/>
      <c r="S1712" s="17"/>
      <c r="T1712" s="17"/>
      <c r="U1712" s="17"/>
      <c r="V1712" s="17"/>
      <c r="W1712" s="17"/>
      <c r="X1712" s="17"/>
      <c r="Y1712" s="17"/>
      <c r="Z1712" s="17"/>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c r="AV1712" s="17"/>
      <c r="AW1712" s="17"/>
      <c r="AX1712" s="17"/>
      <c r="AY1712" s="17"/>
      <c r="AZ1712" s="17"/>
      <c r="BA1712" s="17"/>
      <c r="BB1712" s="17"/>
      <c r="BC1712" s="17"/>
      <c r="BD1712" s="17"/>
      <c r="BE1712" s="17"/>
      <c r="BF1712" s="17"/>
      <c r="BG1712" s="17"/>
      <c r="BH1712" s="17"/>
      <c r="BI1712" s="17"/>
      <c r="BJ1712" s="17"/>
      <c r="BK1712" s="17"/>
      <c r="BL1712" s="17"/>
    </row>
    <row r="1713">
      <c r="A1713" s="17"/>
      <c r="B1713" s="17"/>
      <c r="C1713" s="17"/>
      <c r="D1713" s="17"/>
      <c r="E1713" s="17"/>
      <c r="F1713" s="17"/>
      <c r="G1713" s="17"/>
      <c r="H1713" s="356"/>
      <c r="I1713" s="17"/>
      <c r="J1713" s="17"/>
      <c r="K1713" s="17"/>
      <c r="L1713" s="17"/>
      <c r="M1713" s="17"/>
      <c r="N1713" s="17"/>
      <c r="O1713" s="17"/>
      <c r="P1713" s="17"/>
      <c r="Q1713" s="17"/>
      <c r="R1713" s="17"/>
      <c r="S1713" s="17"/>
      <c r="T1713" s="17"/>
      <c r="U1713" s="17"/>
      <c r="V1713" s="17"/>
      <c r="W1713" s="17"/>
      <c r="X1713" s="17"/>
      <c r="Y1713" s="17"/>
      <c r="Z1713" s="17"/>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c r="AV1713" s="17"/>
      <c r="AW1713" s="17"/>
      <c r="AX1713" s="17"/>
      <c r="AY1713" s="17"/>
      <c r="AZ1713" s="17"/>
      <c r="BA1713" s="17"/>
      <c r="BB1713" s="17"/>
      <c r="BC1713" s="17"/>
      <c r="BD1713" s="17"/>
      <c r="BE1713" s="17"/>
      <c r="BF1713" s="17"/>
      <c r="BG1713" s="17"/>
      <c r="BH1713" s="17"/>
      <c r="BI1713" s="17"/>
      <c r="BJ1713" s="17"/>
      <c r="BK1713" s="17"/>
      <c r="BL1713" s="17"/>
    </row>
    <row r="1714">
      <c r="A1714" s="17"/>
      <c r="B1714" s="17"/>
      <c r="C1714" s="17"/>
      <c r="D1714" s="17"/>
      <c r="E1714" s="17"/>
      <c r="F1714" s="17"/>
      <c r="G1714" s="17"/>
      <c r="H1714" s="356"/>
      <c r="I1714" s="17"/>
      <c r="J1714" s="17"/>
      <c r="K1714" s="17"/>
      <c r="L1714" s="17"/>
      <c r="M1714" s="17"/>
      <c r="N1714" s="17"/>
      <c r="O1714" s="17"/>
      <c r="P1714" s="17"/>
      <c r="Q1714" s="17"/>
      <c r="R1714" s="17"/>
      <c r="S1714" s="17"/>
      <c r="T1714" s="17"/>
      <c r="U1714" s="17"/>
      <c r="V1714" s="17"/>
      <c r="W1714" s="17"/>
      <c r="X1714" s="17"/>
      <c r="Y1714" s="17"/>
      <c r="Z1714" s="17"/>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c r="AV1714" s="17"/>
      <c r="AW1714" s="17"/>
      <c r="AX1714" s="17"/>
      <c r="AY1714" s="17"/>
      <c r="AZ1714" s="17"/>
      <c r="BA1714" s="17"/>
      <c r="BB1714" s="17"/>
      <c r="BC1714" s="17"/>
      <c r="BD1714" s="17"/>
      <c r="BE1714" s="17"/>
      <c r="BF1714" s="17"/>
      <c r="BG1714" s="17"/>
      <c r="BH1714" s="17"/>
      <c r="BI1714" s="17"/>
      <c r="BJ1714" s="17"/>
      <c r="BK1714" s="17"/>
      <c r="BL1714" s="17"/>
    </row>
    <row r="1715">
      <c r="A1715" s="17"/>
      <c r="B1715" s="17"/>
      <c r="C1715" s="17"/>
      <c r="D1715" s="17"/>
      <c r="E1715" s="17"/>
      <c r="F1715" s="17"/>
      <c r="G1715" s="17"/>
      <c r="H1715" s="356"/>
      <c r="I1715" s="17"/>
      <c r="J1715" s="17"/>
      <c r="K1715" s="17"/>
      <c r="L1715" s="17"/>
      <c r="M1715" s="17"/>
      <c r="N1715" s="17"/>
      <c r="O1715" s="17"/>
      <c r="P1715" s="17"/>
      <c r="Q1715" s="17"/>
      <c r="R1715" s="17"/>
      <c r="S1715" s="17"/>
      <c r="T1715" s="17"/>
      <c r="U1715" s="17"/>
      <c r="V1715" s="17"/>
      <c r="W1715" s="17"/>
      <c r="X1715" s="17"/>
      <c r="Y1715" s="17"/>
      <c r="Z1715" s="17"/>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c r="AV1715" s="17"/>
      <c r="AW1715" s="17"/>
      <c r="AX1715" s="17"/>
      <c r="AY1715" s="17"/>
      <c r="AZ1715" s="17"/>
      <c r="BA1715" s="17"/>
      <c r="BB1715" s="17"/>
      <c r="BC1715" s="17"/>
      <c r="BD1715" s="17"/>
      <c r="BE1715" s="17"/>
      <c r="BF1715" s="17"/>
      <c r="BG1715" s="17"/>
      <c r="BH1715" s="17"/>
      <c r="BI1715" s="17"/>
      <c r="BJ1715" s="17"/>
      <c r="BK1715" s="17"/>
      <c r="BL1715" s="17"/>
    </row>
    <row r="1716">
      <c r="A1716" s="17"/>
      <c r="B1716" s="17"/>
      <c r="C1716" s="17"/>
      <c r="D1716" s="17"/>
      <c r="E1716" s="17"/>
      <c r="F1716" s="17"/>
      <c r="G1716" s="17"/>
      <c r="H1716" s="356"/>
      <c r="I1716" s="17"/>
      <c r="J1716" s="17"/>
      <c r="K1716" s="17"/>
      <c r="L1716" s="17"/>
      <c r="M1716" s="17"/>
      <c r="N1716" s="17"/>
      <c r="O1716" s="17"/>
      <c r="P1716" s="17"/>
      <c r="Q1716" s="17"/>
      <c r="R1716" s="17"/>
      <c r="S1716" s="17"/>
      <c r="T1716" s="17"/>
      <c r="U1716" s="17"/>
      <c r="V1716" s="17"/>
      <c r="W1716" s="17"/>
      <c r="X1716" s="17"/>
      <c r="Y1716" s="17"/>
      <c r="Z1716" s="17"/>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c r="AV1716" s="17"/>
      <c r="AW1716" s="17"/>
      <c r="AX1716" s="17"/>
      <c r="AY1716" s="17"/>
      <c r="AZ1716" s="17"/>
      <c r="BA1716" s="17"/>
      <c r="BB1716" s="17"/>
      <c r="BC1716" s="17"/>
      <c r="BD1716" s="17"/>
      <c r="BE1716" s="17"/>
      <c r="BF1716" s="17"/>
      <c r="BG1716" s="17"/>
      <c r="BH1716" s="17"/>
      <c r="BI1716" s="17"/>
      <c r="BJ1716" s="17"/>
      <c r="BK1716" s="17"/>
      <c r="BL1716" s="17"/>
    </row>
    <row r="1717">
      <c r="A1717" s="17"/>
      <c r="B1717" s="17"/>
      <c r="C1717" s="17"/>
      <c r="D1717" s="17"/>
      <c r="E1717" s="17"/>
      <c r="F1717" s="17"/>
      <c r="G1717" s="17"/>
      <c r="H1717" s="356"/>
      <c r="I1717" s="17"/>
      <c r="J1717" s="17"/>
      <c r="K1717" s="17"/>
      <c r="L1717" s="17"/>
      <c r="M1717" s="17"/>
      <c r="N1717" s="17"/>
      <c r="O1717" s="17"/>
      <c r="P1717" s="17"/>
      <c r="Q1717" s="17"/>
      <c r="R1717" s="17"/>
      <c r="S1717" s="17"/>
      <c r="T1717" s="17"/>
      <c r="U1717" s="17"/>
      <c r="V1717" s="17"/>
      <c r="W1717" s="17"/>
      <c r="X1717" s="17"/>
      <c r="Y1717" s="17"/>
      <c r="Z1717" s="17"/>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c r="AV1717" s="17"/>
      <c r="AW1717" s="17"/>
      <c r="AX1717" s="17"/>
      <c r="AY1717" s="17"/>
      <c r="AZ1717" s="17"/>
      <c r="BA1717" s="17"/>
      <c r="BB1717" s="17"/>
      <c r="BC1717" s="17"/>
      <c r="BD1717" s="17"/>
      <c r="BE1717" s="17"/>
      <c r="BF1717" s="17"/>
      <c r="BG1717" s="17"/>
      <c r="BH1717" s="17"/>
      <c r="BI1717" s="17"/>
      <c r="BJ1717" s="17"/>
      <c r="BK1717" s="17"/>
      <c r="BL1717" s="17"/>
    </row>
    <row r="1718">
      <c r="A1718" s="17"/>
      <c r="B1718" s="17"/>
      <c r="C1718" s="17"/>
      <c r="D1718" s="17"/>
      <c r="E1718" s="17"/>
      <c r="F1718" s="17"/>
      <c r="G1718" s="17"/>
      <c r="H1718" s="356"/>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c r="AV1718" s="17"/>
      <c r="AW1718" s="17"/>
      <c r="AX1718" s="17"/>
      <c r="AY1718" s="17"/>
      <c r="AZ1718" s="17"/>
      <c r="BA1718" s="17"/>
      <c r="BB1718" s="17"/>
      <c r="BC1718" s="17"/>
      <c r="BD1718" s="17"/>
      <c r="BE1718" s="17"/>
      <c r="BF1718" s="17"/>
      <c r="BG1718" s="17"/>
      <c r="BH1718" s="17"/>
      <c r="BI1718" s="17"/>
      <c r="BJ1718" s="17"/>
      <c r="BK1718" s="17"/>
      <c r="BL1718" s="17"/>
    </row>
    <row r="1719">
      <c r="A1719" s="17"/>
      <c r="B1719" s="17"/>
      <c r="C1719" s="17"/>
      <c r="D1719" s="17"/>
      <c r="E1719" s="17"/>
      <c r="F1719" s="17"/>
      <c r="G1719" s="17"/>
      <c r="H1719" s="356"/>
      <c r="I1719" s="17"/>
      <c r="J1719" s="17"/>
      <c r="K1719" s="17"/>
      <c r="L1719" s="17"/>
      <c r="M1719" s="17"/>
      <c r="N1719" s="17"/>
      <c r="O1719" s="17"/>
      <c r="P1719" s="17"/>
      <c r="Q1719" s="17"/>
      <c r="R1719" s="17"/>
      <c r="S1719" s="17"/>
      <c r="T1719" s="17"/>
      <c r="U1719" s="17"/>
      <c r="V1719" s="17"/>
      <c r="W1719" s="17"/>
      <c r="X1719" s="17"/>
      <c r="Y1719" s="17"/>
      <c r="Z1719" s="17"/>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c r="AV1719" s="17"/>
      <c r="AW1719" s="17"/>
      <c r="AX1719" s="17"/>
      <c r="AY1719" s="17"/>
      <c r="AZ1719" s="17"/>
      <c r="BA1719" s="17"/>
      <c r="BB1719" s="17"/>
      <c r="BC1719" s="17"/>
      <c r="BD1719" s="17"/>
      <c r="BE1719" s="17"/>
      <c r="BF1719" s="17"/>
      <c r="BG1719" s="17"/>
      <c r="BH1719" s="17"/>
      <c r="BI1719" s="17"/>
      <c r="BJ1719" s="17"/>
      <c r="BK1719" s="17"/>
      <c r="BL1719" s="17"/>
    </row>
    <row r="1720">
      <c r="A1720" s="17"/>
      <c r="B1720" s="17"/>
      <c r="C1720" s="17"/>
      <c r="D1720" s="17"/>
      <c r="E1720" s="17"/>
      <c r="F1720" s="17"/>
      <c r="G1720" s="17"/>
      <c r="H1720" s="356"/>
      <c r="I1720" s="17"/>
      <c r="J1720" s="17"/>
      <c r="K1720" s="17"/>
      <c r="L1720" s="17"/>
      <c r="M1720" s="17"/>
      <c r="N1720" s="17"/>
      <c r="O1720" s="17"/>
      <c r="P1720" s="17"/>
      <c r="Q1720" s="17"/>
      <c r="R1720" s="17"/>
      <c r="S1720" s="17"/>
      <c r="T1720" s="17"/>
      <c r="U1720" s="17"/>
      <c r="V1720" s="17"/>
      <c r="W1720" s="17"/>
      <c r="X1720" s="17"/>
      <c r="Y1720" s="17"/>
      <c r="Z1720" s="17"/>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c r="AV1720" s="17"/>
      <c r="AW1720" s="17"/>
      <c r="AX1720" s="17"/>
      <c r="AY1720" s="17"/>
      <c r="AZ1720" s="17"/>
      <c r="BA1720" s="17"/>
      <c r="BB1720" s="17"/>
      <c r="BC1720" s="17"/>
      <c r="BD1720" s="17"/>
      <c r="BE1720" s="17"/>
      <c r="BF1720" s="17"/>
      <c r="BG1720" s="17"/>
      <c r="BH1720" s="17"/>
      <c r="BI1720" s="17"/>
      <c r="BJ1720" s="17"/>
      <c r="BK1720" s="17"/>
      <c r="BL1720" s="17"/>
    </row>
    <row r="1721">
      <c r="A1721" s="17"/>
      <c r="B1721" s="17"/>
      <c r="C1721" s="17"/>
      <c r="D1721" s="17"/>
      <c r="E1721" s="17"/>
      <c r="F1721" s="17"/>
      <c r="G1721" s="17"/>
      <c r="H1721" s="356"/>
      <c r="I1721" s="17"/>
      <c r="J1721" s="17"/>
      <c r="K1721" s="17"/>
      <c r="L1721" s="17"/>
      <c r="M1721" s="17"/>
      <c r="N1721" s="17"/>
      <c r="O1721" s="17"/>
      <c r="P1721" s="17"/>
      <c r="Q1721" s="17"/>
      <c r="R1721" s="17"/>
      <c r="S1721" s="17"/>
      <c r="T1721" s="17"/>
      <c r="U1721" s="17"/>
      <c r="V1721" s="17"/>
      <c r="W1721" s="17"/>
      <c r="X1721" s="17"/>
      <c r="Y1721" s="17"/>
      <c r="Z1721" s="17"/>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c r="AV1721" s="17"/>
      <c r="AW1721" s="17"/>
      <c r="AX1721" s="17"/>
      <c r="AY1721" s="17"/>
      <c r="AZ1721" s="17"/>
      <c r="BA1721" s="17"/>
      <c r="BB1721" s="17"/>
      <c r="BC1721" s="17"/>
      <c r="BD1721" s="17"/>
      <c r="BE1721" s="17"/>
      <c r="BF1721" s="17"/>
      <c r="BG1721" s="17"/>
      <c r="BH1721" s="17"/>
      <c r="BI1721" s="17"/>
      <c r="BJ1721" s="17"/>
      <c r="BK1721" s="17"/>
      <c r="BL1721" s="17"/>
    </row>
    <row r="1722">
      <c r="A1722" s="17"/>
      <c r="B1722" s="17"/>
      <c r="C1722" s="17"/>
      <c r="D1722" s="17"/>
      <c r="E1722" s="17"/>
      <c r="F1722" s="17"/>
      <c r="G1722" s="17"/>
      <c r="H1722" s="356"/>
      <c r="I1722" s="17"/>
      <c r="J1722" s="17"/>
      <c r="K1722" s="17"/>
      <c r="L1722" s="17"/>
      <c r="M1722" s="17"/>
      <c r="N1722" s="17"/>
      <c r="O1722" s="17"/>
      <c r="P1722" s="17"/>
      <c r="Q1722" s="17"/>
      <c r="R1722" s="17"/>
      <c r="S1722" s="17"/>
      <c r="T1722" s="17"/>
      <c r="U1722" s="17"/>
      <c r="V1722" s="17"/>
      <c r="W1722" s="17"/>
      <c r="X1722" s="17"/>
      <c r="Y1722" s="17"/>
      <c r="Z1722" s="17"/>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c r="AV1722" s="17"/>
      <c r="AW1722" s="17"/>
      <c r="AX1722" s="17"/>
      <c r="AY1722" s="17"/>
      <c r="AZ1722" s="17"/>
      <c r="BA1722" s="17"/>
      <c r="BB1722" s="17"/>
      <c r="BC1722" s="17"/>
      <c r="BD1722" s="17"/>
      <c r="BE1722" s="17"/>
      <c r="BF1722" s="17"/>
      <c r="BG1722" s="17"/>
      <c r="BH1722" s="17"/>
      <c r="BI1722" s="17"/>
      <c r="BJ1722" s="17"/>
      <c r="BK1722" s="17"/>
      <c r="BL1722" s="17"/>
    </row>
    <row r="1723">
      <c r="A1723" s="17"/>
      <c r="B1723" s="17"/>
      <c r="C1723" s="17"/>
      <c r="D1723" s="17"/>
      <c r="E1723" s="17"/>
      <c r="F1723" s="17"/>
      <c r="G1723" s="17"/>
      <c r="H1723" s="356"/>
      <c r="I1723" s="17"/>
      <c r="J1723" s="17"/>
      <c r="K1723" s="17"/>
      <c r="L1723" s="17"/>
      <c r="M1723" s="17"/>
      <c r="N1723" s="17"/>
      <c r="O1723" s="17"/>
      <c r="P1723" s="17"/>
      <c r="Q1723" s="17"/>
      <c r="R1723" s="17"/>
      <c r="S1723" s="17"/>
      <c r="T1723" s="17"/>
      <c r="U1723" s="17"/>
      <c r="V1723" s="17"/>
      <c r="W1723" s="17"/>
      <c r="X1723" s="17"/>
      <c r="Y1723" s="17"/>
      <c r="Z1723" s="17"/>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c r="AV1723" s="17"/>
      <c r="AW1723" s="17"/>
      <c r="AX1723" s="17"/>
      <c r="AY1723" s="17"/>
      <c r="AZ1723" s="17"/>
      <c r="BA1723" s="17"/>
      <c r="BB1723" s="17"/>
      <c r="BC1723" s="17"/>
      <c r="BD1723" s="17"/>
      <c r="BE1723" s="17"/>
      <c r="BF1723" s="17"/>
      <c r="BG1723" s="17"/>
      <c r="BH1723" s="17"/>
      <c r="BI1723" s="17"/>
      <c r="BJ1723" s="17"/>
      <c r="BK1723" s="17"/>
      <c r="BL1723" s="17"/>
    </row>
    <row r="1724">
      <c r="A1724" s="17"/>
      <c r="B1724" s="17"/>
      <c r="C1724" s="17"/>
      <c r="D1724" s="17"/>
      <c r="E1724" s="17"/>
      <c r="F1724" s="17"/>
      <c r="G1724" s="17"/>
      <c r="H1724" s="356"/>
      <c r="I1724" s="17"/>
      <c r="J1724" s="17"/>
      <c r="K1724" s="17"/>
      <c r="L1724" s="17"/>
      <c r="M1724" s="17"/>
      <c r="N1724" s="17"/>
      <c r="O1724" s="17"/>
      <c r="P1724" s="17"/>
      <c r="Q1724" s="17"/>
      <c r="R1724" s="17"/>
      <c r="S1724" s="17"/>
      <c r="T1724" s="17"/>
      <c r="U1724" s="17"/>
      <c r="V1724" s="17"/>
      <c r="W1724" s="17"/>
      <c r="X1724" s="17"/>
      <c r="Y1724" s="17"/>
      <c r="Z1724" s="17"/>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7"/>
      <c r="AW1724" s="17"/>
      <c r="AX1724" s="17"/>
      <c r="AY1724" s="17"/>
      <c r="AZ1724" s="17"/>
      <c r="BA1724" s="17"/>
      <c r="BB1724" s="17"/>
      <c r="BC1724" s="17"/>
      <c r="BD1724" s="17"/>
      <c r="BE1724" s="17"/>
      <c r="BF1724" s="17"/>
      <c r="BG1724" s="17"/>
      <c r="BH1724" s="17"/>
      <c r="BI1724" s="17"/>
      <c r="BJ1724" s="17"/>
      <c r="BK1724" s="17"/>
      <c r="BL1724" s="17"/>
    </row>
    <row r="1725">
      <c r="A1725" s="17"/>
      <c r="B1725" s="17"/>
      <c r="C1725" s="17"/>
      <c r="D1725" s="17"/>
      <c r="E1725" s="17"/>
      <c r="F1725" s="17"/>
      <c r="G1725" s="17"/>
      <c r="H1725" s="356"/>
      <c r="I1725" s="17"/>
      <c r="J1725" s="17"/>
      <c r="K1725" s="17"/>
      <c r="L1725" s="17"/>
      <c r="M1725" s="17"/>
      <c r="N1725" s="17"/>
      <c r="O1725" s="17"/>
      <c r="P1725" s="17"/>
      <c r="Q1725" s="17"/>
      <c r="R1725" s="17"/>
      <c r="S1725" s="17"/>
      <c r="T1725" s="17"/>
      <c r="U1725" s="17"/>
      <c r="V1725" s="17"/>
      <c r="W1725" s="17"/>
      <c r="X1725" s="17"/>
      <c r="Y1725" s="17"/>
      <c r="Z1725" s="17"/>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7"/>
      <c r="AW1725" s="17"/>
      <c r="AX1725" s="17"/>
      <c r="AY1725" s="17"/>
      <c r="AZ1725" s="17"/>
      <c r="BA1725" s="17"/>
      <c r="BB1725" s="17"/>
      <c r="BC1725" s="17"/>
      <c r="BD1725" s="17"/>
      <c r="BE1725" s="17"/>
      <c r="BF1725" s="17"/>
      <c r="BG1725" s="17"/>
      <c r="BH1725" s="17"/>
      <c r="BI1725" s="17"/>
      <c r="BJ1725" s="17"/>
      <c r="BK1725" s="17"/>
      <c r="BL1725" s="17"/>
    </row>
    <row r="1726">
      <c r="A1726" s="17"/>
      <c r="B1726" s="17"/>
      <c r="C1726" s="17"/>
      <c r="D1726" s="17"/>
      <c r="E1726" s="17"/>
      <c r="F1726" s="17"/>
      <c r="G1726" s="17"/>
      <c r="H1726" s="356"/>
      <c r="I1726" s="17"/>
      <c r="J1726" s="17"/>
      <c r="K1726" s="17"/>
      <c r="L1726" s="17"/>
      <c r="M1726" s="17"/>
      <c r="N1726" s="17"/>
      <c r="O1726" s="17"/>
      <c r="P1726" s="17"/>
      <c r="Q1726" s="17"/>
      <c r="R1726" s="17"/>
      <c r="S1726" s="17"/>
      <c r="T1726" s="17"/>
      <c r="U1726" s="17"/>
      <c r="V1726" s="17"/>
      <c r="W1726" s="17"/>
      <c r="X1726" s="17"/>
      <c r="Y1726" s="17"/>
      <c r="Z1726" s="17"/>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7"/>
      <c r="AW1726" s="17"/>
      <c r="AX1726" s="17"/>
      <c r="AY1726" s="17"/>
      <c r="AZ1726" s="17"/>
      <c r="BA1726" s="17"/>
      <c r="BB1726" s="17"/>
      <c r="BC1726" s="17"/>
      <c r="BD1726" s="17"/>
      <c r="BE1726" s="17"/>
      <c r="BF1726" s="17"/>
      <c r="BG1726" s="17"/>
      <c r="BH1726" s="17"/>
      <c r="BI1726" s="17"/>
      <c r="BJ1726" s="17"/>
      <c r="BK1726" s="17"/>
      <c r="BL1726" s="17"/>
    </row>
    <row r="1727">
      <c r="A1727" s="17"/>
      <c r="B1727" s="17"/>
      <c r="C1727" s="17"/>
      <c r="D1727" s="17"/>
      <c r="E1727" s="17"/>
      <c r="F1727" s="17"/>
      <c r="G1727" s="17"/>
      <c r="H1727" s="356"/>
      <c r="I1727" s="17"/>
      <c r="J1727" s="17"/>
      <c r="K1727" s="17"/>
      <c r="L1727" s="17"/>
      <c r="M1727" s="17"/>
      <c r="N1727" s="17"/>
      <c r="O1727" s="17"/>
      <c r="P1727" s="17"/>
      <c r="Q1727" s="17"/>
      <c r="R1727" s="17"/>
      <c r="S1727" s="17"/>
      <c r="T1727" s="17"/>
      <c r="U1727" s="17"/>
      <c r="V1727" s="17"/>
      <c r="W1727" s="17"/>
      <c r="X1727" s="17"/>
      <c r="Y1727" s="17"/>
      <c r="Z1727" s="17"/>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7"/>
      <c r="AW1727" s="17"/>
      <c r="AX1727" s="17"/>
      <c r="AY1727" s="17"/>
      <c r="AZ1727" s="17"/>
      <c r="BA1727" s="17"/>
      <c r="BB1727" s="17"/>
      <c r="BC1727" s="17"/>
      <c r="BD1727" s="17"/>
      <c r="BE1727" s="17"/>
      <c r="BF1727" s="17"/>
      <c r="BG1727" s="17"/>
      <c r="BH1727" s="17"/>
      <c r="BI1727" s="17"/>
      <c r="BJ1727" s="17"/>
      <c r="BK1727" s="17"/>
      <c r="BL1727" s="17"/>
    </row>
    <row r="1728">
      <c r="A1728" s="17"/>
      <c r="B1728" s="17"/>
      <c r="C1728" s="17"/>
      <c r="D1728" s="17"/>
      <c r="E1728" s="17"/>
      <c r="F1728" s="17"/>
      <c r="G1728" s="17"/>
      <c r="H1728" s="356"/>
      <c r="I1728" s="17"/>
      <c r="J1728" s="17"/>
      <c r="K1728" s="17"/>
      <c r="L1728" s="17"/>
      <c r="M1728" s="17"/>
      <c r="N1728" s="17"/>
      <c r="O1728" s="17"/>
      <c r="P1728" s="17"/>
      <c r="Q1728" s="17"/>
      <c r="R1728" s="17"/>
      <c r="S1728" s="17"/>
      <c r="T1728" s="17"/>
      <c r="U1728" s="17"/>
      <c r="V1728" s="17"/>
      <c r="W1728" s="17"/>
      <c r="X1728" s="17"/>
      <c r="Y1728" s="17"/>
      <c r="Z1728" s="17"/>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c r="AV1728" s="17"/>
      <c r="AW1728" s="17"/>
      <c r="AX1728" s="17"/>
      <c r="AY1728" s="17"/>
      <c r="AZ1728" s="17"/>
      <c r="BA1728" s="17"/>
      <c r="BB1728" s="17"/>
      <c r="BC1728" s="17"/>
      <c r="BD1728" s="17"/>
      <c r="BE1728" s="17"/>
      <c r="BF1728" s="17"/>
      <c r="BG1728" s="17"/>
      <c r="BH1728" s="17"/>
      <c r="BI1728" s="17"/>
      <c r="BJ1728" s="17"/>
      <c r="BK1728" s="17"/>
      <c r="BL1728" s="17"/>
    </row>
    <row r="1729">
      <c r="A1729" s="17"/>
      <c r="B1729" s="17"/>
      <c r="C1729" s="17"/>
      <c r="D1729" s="17"/>
      <c r="E1729" s="17"/>
      <c r="F1729" s="17"/>
      <c r="G1729" s="17"/>
      <c r="H1729" s="356"/>
      <c r="I1729" s="17"/>
      <c r="J1729" s="17"/>
      <c r="K1729" s="17"/>
      <c r="L1729" s="17"/>
      <c r="M1729" s="17"/>
      <c r="N1729" s="17"/>
      <c r="O1729" s="17"/>
      <c r="P1729" s="17"/>
      <c r="Q1729" s="17"/>
      <c r="R1729" s="17"/>
      <c r="S1729" s="17"/>
      <c r="T1729" s="17"/>
      <c r="U1729" s="17"/>
      <c r="V1729" s="17"/>
      <c r="W1729" s="17"/>
      <c r="X1729" s="17"/>
      <c r="Y1729" s="17"/>
      <c r="Z1729" s="17"/>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7"/>
      <c r="AW1729" s="17"/>
      <c r="AX1729" s="17"/>
      <c r="AY1729" s="17"/>
      <c r="AZ1729" s="17"/>
      <c r="BA1729" s="17"/>
      <c r="BB1729" s="17"/>
      <c r="BC1729" s="17"/>
      <c r="BD1729" s="17"/>
      <c r="BE1729" s="17"/>
      <c r="BF1729" s="17"/>
      <c r="BG1729" s="17"/>
      <c r="BH1729" s="17"/>
      <c r="BI1729" s="17"/>
      <c r="BJ1729" s="17"/>
      <c r="BK1729" s="17"/>
      <c r="BL1729" s="17"/>
    </row>
    <row r="1730">
      <c r="A1730" s="17"/>
      <c r="B1730" s="17"/>
      <c r="C1730" s="17"/>
      <c r="D1730" s="17"/>
      <c r="E1730" s="17"/>
      <c r="F1730" s="17"/>
      <c r="G1730" s="17"/>
      <c r="H1730" s="356"/>
      <c r="I1730" s="17"/>
      <c r="J1730" s="17"/>
      <c r="K1730" s="17"/>
      <c r="L1730" s="17"/>
      <c r="M1730" s="17"/>
      <c r="N1730" s="17"/>
      <c r="O1730" s="17"/>
      <c r="P1730" s="17"/>
      <c r="Q1730" s="17"/>
      <c r="R1730" s="17"/>
      <c r="S1730" s="17"/>
      <c r="T1730" s="17"/>
      <c r="U1730" s="17"/>
      <c r="V1730" s="17"/>
      <c r="W1730" s="17"/>
      <c r="X1730" s="17"/>
      <c r="Y1730" s="17"/>
      <c r="Z1730" s="17"/>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7"/>
      <c r="AW1730" s="17"/>
      <c r="AX1730" s="17"/>
      <c r="AY1730" s="17"/>
      <c r="AZ1730" s="17"/>
      <c r="BA1730" s="17"/>
      <c r="BB1730" s="17"/>
      <c r="BC1730" s="17"/>
      <c r="BD1730" s="17"/>
      <c r="BE1730" s="17"/>
      <c r="BF1730" s="17"/>
      <c r="BG1730" s="17"/>
      <c r="BH1730" s="17"/>
      <c r="BI1730" s="17"/>
      <c r="BJ1730" s="17"/>
      <c r="BK1730" s="17"/>
      <c r="BL1730" s="17"/>
    </row>
    <row r="1731">
      <c r="A1731" s="17"/>
      <c r="B1731" s="17"/>
      <c r="C1731" s="17"/>
      <c r="D1731" s="17"/>
      <c r="E1731" s="17"/>
      <c r="F1731" s="17"/>
      <c r="G1731" s="17"/>
      <c r="H1731" s="356"/>
      <c r="I1731" s="17"/>
      <c r="J1731" s="17"/>
      <c r="K1731" s="17"/>
      <c r="L1731" s="17"/>
      <c r="M1731" s="17"/>
      <c r="N1731" s="17"/>
      <c r="O1731" s="17"/>
      <c r="P1731" s="17"/>
      <c r="Q1731" s="17"/>
      <c r="R1731" s="17"/>
      <c r="S1731" s="17"/>
      <c r="T1731" s="17"/>
      <c r="U1731" s="17"/>
      <c r="V1731" s="17"/>
      <c r="W1731" s="17"/>
      <c r="X1731" s="17"/>
      <c r="Y1731" s="17"/>
      <c r="Z1731" s="17"/>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c r="AV1731" s="17"/>
      <c r="AW1731" s="17"/>
      <c r="AX1731" s="17"/>
      <c r="AY1731" s="17"/>
      <c r="AZ1731" s="17"/>
      <c r="BA1731" s="17"/>
      <c r="BB1731" s="17"/>
      <c r="BC1731" s="17"/>
      <c r="BD1731" s="17"/>
      <c r="BE1731" s="17"/>
      <c r="BF1731" s="17"/>
      <c r="BG1731" s="17"/>
      <c r="BH1731" s="17"/>
      <c r="BI1731" s="17"/>
      <c r="BJ1731" s="17"/>
      <c r="BK1731" s="17"/>
      <c r="BL1731" s="17"/>
    </row>
    <row r="1732">
      <c r="A1732" s="17"/>
      <c r="B1732" s="17"/>
      <c r="C1732" s="17"/>
      <c r="D1732" s="17"/>
      <c r="E1732" s="17"/>
      <c r="F1732" s="17"/>
      <c r="G1732" s="17"/>
      <c r="H1732" s="356"/>
      <c r="I1732" s="17"/>
      <c r="J1732" s="17"/>
      <c r="K1732" s="17"/>
      <c r="L1732" s="17"/>
      <c r="M1732" s="17"/>
      <c r="N1732" s="17"/>
      <c r="O1732" s="17"/>
      <c r="P1732" s="17"/>
      <c r="Q1732" s="17"/>
      <c r="R1732" s="17"/>
      <c r="S1732" s="17"/>
      <c r="T1732" s="17"/>
      <c r="U1732" s="17"/>
      <c r="V1732" s="17"/>
      <c r="W1732" s="17"/>
      <c r="X1732" s="17"/>
      <c r="Y1732" s="17"/>
      <c r="Z1732" s="17"/>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c r="AV1732" s="17"/>
      <c r="AW1732" s="17"/>
      <c r="AX1732" s="17"/>
      <c r="AY1732" s="17"/>
      <c r="AZ1732" s="17"/>
      <c r="BA1732" s="17"/>
      <c r="BB1732" s="17"/>
      <c r="BC1732" s="17"/>
      <c r="BD1732" s="17"/>
      <c r="BE1732" s="17"/>
      <c r="BF1732" s="17"/>
      <c r="BG1732" s="17"/>
      <c r="BH1732" s="17"/>
      <c r="BI1732" s="17"/>
      <c r="BJ1732" s="17"/>
      <c r="BK1732" s="17"/>
      <c r="BL1732" s="17"/>
    </row>
    <row r="1733">
      <c r="A1733" s="17"/>
      <c r="B1733" s="17"/>
      <c r="C1733" s="17"/>
      <c r="D1733" s="17"/>
      <c r="E1733" s="17"/>
      <c r="F1733" s="17"/>
      <c r="G1733" s="17"/>
      <c r="H1733" s="356"/>
      <c r="I1733" s="17"/>
      <c r="J1733" s="17"/>
      <c r="K1733" s="17"/>
      <c r="L1733" s="17"/>
      <c r="M1733" s="17"/>
      <c r="N1733" s="17"/>
      <c r="O1733" s="17"/>
      <c r="P1733" s="17"/>
      <c r="Q1733" s="17"/>
      <c r="R1733" s="17"/>
      <c r="S1733" s="17"/>
      <c r="T1733" s="17"/>
      <c r="U1733" s="17"/>
      <c r="V1733" s="17"/>
      <c r="W1733" s="17"/>
      <c r="X1733" s="17"/>
      <c r="Y1733" s="17"/>
      <c r="Z1733" s="17"/>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7"/>
      <c r="AW1733" s="17"/>
      <c r="AX1733" s="17"/>
      <c r="AY1733" s="17"/>
      <c r="AZ1733" s="17"/>
      <c r="BA1733" s="17"/>
      <c r="BB1733" s="17"/>
      <c r="BC1733" s="17"/>
      <c r="BD1733" s="17"/>
      <c r="BE1733" s="17"/>
      <c r="BF1733" s="17"/>
      <c r="BG1733" s="17"/>
      <c r="BH1733" s="17"/>
      <c r="BI1733" s="17"/>
      <c r="BJ1733" s="17"/>
      <c r="BK1733" s="17"/>
      <c r="BL1733" s="17"/>
    </row>
    <row r="1734">
      <c r="A1734" s="17"/>
      <c r="B1734" s="17"/>
      <c r="C1734" s="17"/>
      <c r="D1734" s="17"/>
      <c r="E1734" s="17"/>
      <c r="F1734" s="17"/>
      <c r="G1734" s="17"/>
      <c r="H1734" s="356"/>
      <c r="I1734" s="17"/>
      <c r="J1734" s="17"/>
      <c r="K1734" s="17"/>
      <c r="L1734" s="17"/>
      <c r="M1734" s="17"/>
      <c r="N1734" s="17"/>
      <c r="O1734" s="17"/>
      <c r="P1734" s="17"/>
      <c r="Q1734" s="17"/>
      <c r="R1734" s="17"/>
      <c r="S1734" s="17"/>
      <c r="T1734" s="17"/>
      <c r="U1734" s="17"/>
      <c r="V1734" s="17"/>
      <c r="W1734" s="17"/>
      <c r="X1734" s="17"/>
      <c r="Y1734" s="17"/>
      <c r="Z1734" s="17"/>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7"/>
      <c r="AW1734" s="17"/>
      <c r="AX1734" s="17"/>
      <c r="AY1734" s="17"/>
      <c r="AZ1734" s="17"/>
      <c r="BA1734" s="17"/>
      <c r="BB1734" s="17"/>
      <c r="BC1734" s="17"/>
      <c r="BD1734" s="17"/>
      <c r="BE1734" s="17"/>
      <c r="BF1734" s="17"/>
      <c r="BG1734" s="17"/>
      <c r="BH1734" s="17"/>
      <c r="BI1734" s="17"/>
      <c r="BJ1734" s="17"/>
      <c r="BK1734" s="17"/>
      <c r="BL1734" s="17"/>
    </row>
    <row r="1735">
      <c r="A1735" s="17"/>
      <c r="B1735" s="17"/>
      <c r="C1735" s="17"/>
      <c r="D1735" s="17"/>
      <c r="E1735" s="17"/>
      <c r="F1735" s="17"/>
      <c r="G1735" s="17"/>
      <c r="H1735" s="356"/>
      <c r="I1735" s="17"/>
      <c r="J1735" s="17"/>
      <c r="K1735" s="17"/>
      <c r="L1735" s="17"/>
      <c r="M1735" s="17"/>
      <c r="N1735" s="17"/>
      <c r="O1735" s="17"/>
      <c r="P1735" s="17"/>
      <c r="Q1735" s="17"/>
      <c r="R1735" s="17"/>
      <c r="S1735" s="17"/>
      <c r="T1735" s="17"/>
      <c r="U1735" s="17"/>
      <c r="V1735" s="17"/>
      <c r="W1735" s="17"/>
      <c r="X1735" s="17"/>
      <c r="Y1735" s="17"/>
      <c r="Z1735" s="17"/>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7"/>
      <c r="AW1735" s="17"/>
      <c r="AX1735" s="17"/>
      <c r="AY1735" s="17"/>
      <c r="AZ1735" s="17"/>
      <c r="BA1735" s="17"/>
      <c r="BB1735" s="17"/>
      <c r="BC1735" s="17"/>
      <c r="BD1735" s="17"/>
      <c r="BE1735" s="17"/>
      <c r="BF1735" s="17"/>
      <c r="BG1735" s="17"/>
      <c r="BH1735" s="17"/>
      <c r="BI1735" s="17"/>
      <c r="BJ1735" s="17"/>
      <c r="BK1735" s="17"/>
      <c r="BL1735" s="17"/>
    </row>
    <row r="1736">
      <c r="A1736" s="17"/>
      <c r="B1736" s="17"/>
      <c r="C1736" s="17"/>
      <c r="D1736" s="17"/>
      <c r="E1736" s="17"/>
      <c r="F1736" s="17"/>
      <c r="G1736" s="17"/>
      <c r="H1736" s="356"/>
      <c r="I1736" s="17"/>
      <c r="J1736" s="17"/>
      <c r="K1736" s="17"/>
      <c r="L1736" s="17"/>
      <c r="M1736" s="17"/>
      <c r="N1736" s="17"/>
      <c r="O1736" s="17"/>
      <c r="P1736" s="17"/>
      <c r="Q1736" s="17"/>
      <c r="R1736" s="17"/>
      <c r="S1736" s="17"/>
      <c r="T1736" s="17"/>
      <c r="U1736" s="17"/>
      <c r="V1736" s="17"/>
      <c r="W1736" s="17"/>
      <c r="X1736" s="17"/>
      <c r="Y1736" s="17"/>
      <c r="Z1736" s="17"/>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c r="AV1736" s="17"/>
      <c r="AW1736" s="17"/>
      <c r="AX1736" s="17"/>
      <c r="AY1736" s="17"/>
      <c r="AZ1736" s="17"/>
      <c r="BA1736" s="17"/>
      <c r="BB1736" s="17"/>
      <c r="BC1736" s="17"/>
      <c r="BD1736" s="17"/>
      <c r="BE1736" s="17"/>
      <c r="BF1736" s="17"/>
      <c r="BG1736" s="17"/>
      <c r="BH1736" s="17"/>
      <c r="BI1736" s="17"/>
      <c r="BJ1736" s="17"/>
      <c r="BK1736" s="17"/>
      <c r="BL1736" s="17"/>
    </row>
    <row r="1737">
      <c r="A1737" s="17"/>
      <c r="B1737" s="17"/>
      <c r="C1737" s="17"/>
      <c r="D1737" s="17"/>
      <c r="E1737" s="17"/>
      <c r="F1737" s="17"/>
      <c r="G1737" s="17"/>
      <c r="H1737" s="356"/>
      <c r="I1737" s="17"/>
      <c r="J1737" s="17"/>
      <c r="K1737" s="17"/>
      <c r="L1737" s="17"/>
      <c r="M1737" s="17"/>
      <c r="N1737" s="17"/>
      <c r="O1737" s="17"/>
      <c r="P1737" s="17"/>
      <c r="Q1737" s="17"/>
      <c r="R1737" s="17"/>
      <c r="S1737" s="17"/>
      <c r="T1737" s="17"/>
      <c r="U1737" s="17"/>
      <c r="V1737" s="17"/>
      <c r="W1737" s="17"/>
      <c r="X1737" s="17"/>
      <c r="Y1737" s="17"/>
      <c r="Z1737" s="17"/>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7"/>
      <c r="AW1737" s="17"/>
      <c r="AX1737" s="17"/>
      <c r="AY1737" s="17"/>
      <c r="AZ1737" s="17"/>
      <c r="BA1737" s="17"/>
      <c r="BB1737" s="17"/>
      <c r="BC1737" s="17"/>
      <c r="BD1737" s="17"/>
      <c r="BE1737" s="17"/>
      <c r="BF1737" s="17"/>
      <c r="BG1737" s="17"/>
      <c r="BH1737" s="17"/>
      <c r="BI1737" s="17"/>
      <c r="BJ1737" s="17"/>
      <c r="BK1737" s="17"/>
      <c r="BL1737" s="17"/>
    </row>
    <row r="1738">
      <c r="A1738" s="17"/>
      <c r="B1738" s="17"/>
      <c r="C1738" s="17"/>
      <c r="D1738" s="17"/>
      <c r="E1738" s="17"/>
      <c r="F1738" s="17"/>
      <c r="G1738" s="17"/>
      <c r="H1738" s="356"/>
      <c r="I1738" s="17"/>
      <c r="J1738" s="17"/>
      <c r="K1738" s="17"/>
      <c r="L1738" s="17"/>
      <c r="M1738" s="17"/>
      <c r="N1738" s="17"/>
      <c r="O1738" s="17"/>
      <c r="P1738" s="17"/>
      <c r="Q1738" s="17"/>
      <c r="R1738" s="17"/>
      <c r="S1738" s="17"/>
      <c r="T1738" s="17"/>
      <c r="U1738" s="17"/>
      <c r="V1738" s="17"/>
      <c r="W1738" s="17"/>
      <c r="X1738" s="17"/>
      <c r="Y1738" s="17"/>
      <c r="Z1738" s="17"/>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7"/>
      <c r="AW1738" s="17"/>
      <c r="AX1738" s="17"/>
      <c r="AY1738" s="17"/>
      <c r="AZ1738" s="17"/>
      <c r="BA1738" s="17"/>
      <c r="BB1738" s="17"/>
      <c r="BC1738" s="17"/>
      <c r="BD1738" s="17"/>
      <c r="BE1738" s="17"/>
      <c r="BF1738" s="17"/>
      <c r="BG1738" s="17"/>
      <c r="BH1738" s="17"/>
      <c r="BI1738" s="17"/>
      <c r="BJ1738" s="17"/>
      <c r="BK1738" s="17"/>
      <c r="BL1738" s="17"/>
    </row>
    <row r="1739">
      <c r="A1739" s="17"/>
      <c r="B1739" s="17"/>
      <c r="C1739" s="17"/>
      <c r="D1739" s="17"/>
      <c r="E1739" s="17"/>
      <c r="F1739" s="17"/>
      <c r="G1739" s="17"/>
      <c r="H1739" s="356"/>
      <c r="I1739" s="17"/>
      <c r="J1739" s="17"/>
      <c r="K1739" s="17"/>
      <c r="L1739" s="17"/>
      <c r="M1739" s="17"/>
      <c r="N1739" s="17"/>
      <c r="O1739" s="17"/>
      <c r="P1739" s="17"/>
      <c r="Q1739" s="17"/>
      <c r="R1739" s="17"/>
      <c r="S1739" s="17"/>
      <c r="T1739" s="17"/>
      <c r="U1739" s="17"/>
      <c r="V1739" s="17"/>
      <c r="W1739" s="17"/>
      <c r="X1739" s="17"/>
      <c r="Y1739" s="17"/>
      <c r="Z1739" s="17"/>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7"/>
      <c r="AW1739" s="17"/>
      <c r="AX1739" s="17"/>
      <c r="AY1739" s="17"/>
      <c r="AZ1739" s="17"/>
      <c r="BA1739" s="17"/>
      <c r="BB1739" s="17"/>
      <c r="BC1739" s="17"/>
      <c r="BD1739" s="17"/>
      <c r="BE1739" s="17"/>
      <c r="BF1739" s="17"/>
      <c r="BG1739" s="17"/>
      <c r="BH1739" s="17"/>
      <c r="BI1739" s="17"/>
      <c r="BJ1739" s="17"/>
      <c r="BK1739" s="17"/>
      <c r="BL1739" s="17"/>
    </row>
    <row r="1740">
      <c r="A1740" s="17"/>
      <c r="B1740" s="17"/>
      <c r="C1740" s="17"/>
      <c r="D1740" s="17"/>
      <c r="E1740" s="17"/>
      <c r="F1740" s="17"/>
      <c r="G1740" s="17"/>
      <c r="H1740" s="356"/>
      <c r="I1740" s="17"/>
      <c r="J1740" s="17"/>
      <c r="K1740" s="17"/>
      <c r="L1740" s="17"/>
      <c r="M1740" s="17"/>
      <c r="N1740" s="17"/>
      <c r="O1740" s="17"/>
      <c r="P1740" s="17"/>
      <c r="Q1740" s="17"/>
      <c r="R1740" s="17"/>
      <c r="S1740" s="17"/>
      <c r="T1740" s="17"/>
      <c r="U1740" s="17"/>
      <c r="V1740" s="17"/>
      <c r="W1740" s="17"/>
      <c r="X1740" s="17"/>
      <c r="Y1740" s="17"/>
      <c r="Z1740" s="17"/>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c r="AV1740" s="17"/>
      <c r="AW1740" s="17"/>
      <c r="AX1740" s="17"/>
      <c r="AY1740" s="17"/>
      <c r="AZ1740" s="17"/>
      <c r="BA1740" s="17"/>
      <c r="BB1740" s="17"/>
      <c r="BC1740" s="17"/>
      <c r="BD1740" s="17"/>
      <c r="BE1740" s="17"/>
      <c r="BF1740" s="17"/>
      <c r="BG1740" s="17"/>
      <c r="BH1740" s="17"/>
      <c r="BI1740" s="17"/>
      <c r="BJ1740" s="17"/>
      <c r="BK1740" s="17"/>
      <c r="BL1740" s="17"/>
    </row>
    <row r="1741">
      <c r="A1741" s="17"/>
      <c r="B1741" s="17"/>
      <c r="C1741" s="17"/>
      <c r="D1741" s="17"/>
      <c r="E1741" s="17"/>
      <c r="F1741" s="17"/>
      <c r="G1741" s="17"/>
      <c r="H1741" s="356"/>
      <c r="I1741" s="17"/>
      <c r="J1741" s="17"/>
      <c r="K1741" s="17"/>
      <c r="L1741" s="17"/>
      <c r="M1741" s="17"/>
      <c r="N1741" s="17"/>
      <c r="O1741" s="17"/>
      <c r="P1741" s="17"/>
      <c r="Q1741" s="17"/>
      <c r="R1741" s="17"/>
      <c r="S1741" s="17"/>
      <c r="T1741" s="17"/>
      <c r="U1741" s="17"/>
      <c r="V1741" s="17"/>
      <c r="W1741" s="17"/>
      <c r="X1741" s="17"/>
      <c r="Y1741" s="17"/>
      <c r="Z1741" s="17"/>
      <c r="AA1741" s="17"/>
      <c r="AB1741" s="17"/>
      <c r="AC1741" s="17"/>
      <c r="AD1741" s="17"/>
      <c r="AE1741" s="17"/>
      <c r="AF1741" s="17"/>
      <c r="AG1741" s="17"/>
      <c r="AH1741" s="17"/>
      <c r="AI1741" s="17"/>
      <c r="AJ1741" s="17"/>
      <c r="AK1741" s="17"/>
      <c r="AL1741" s="17"/>
      <c r="AM1741" s="17"/>
      <c r="AN1741" s="17"/>
      <c r="AO1741" s="17"/>
      <c r="AP1741" s="17"/>
      <c r="AQ1741" s="17"/>
      <c r="AR1741" s="17"/>
      <c r="AS1741" s="17"/>
      <c r="AT1741" s="17"/>
      <c r="AU1741" s="17"/>
      <c r="AV1741" s="17"/>
      <c r="AW1741" s="17"/>
      <c r="AX1741" s="17"/>
      <c r="AY1741" s="17"/>
      <c r="AZ1741" s="17"/>
      <c r="BA1741" s="17"/>
      <c r="BB1741" s="17"/>
      <c r="BC1741" s="17"/>
      <c r="BD1741" s="17"/>
      <c r="BE1741" s="17"/>
      <c r="BF1741" s="17"/>
      <c r="BG1741" s="17"/>
      <c r="BH1741" s="17"/>
      <c r="BI1741" s="17"/>
      <c r="BJ1741" s="17"/>
      <c r="BK1741" s="17"/>
      <c r="BL1741" s="17"/>
    </row>
    <row r="1742">
      <c r="A1742" s="17"/>
      <c r="B1742" s="17"/>
      <c r="C1742" s="17"/>
      <c r="D1742" s="17"/>
      <c r="E1742" s="17"/>
      <c r="F1742" s="17"/>
      <c r="G1742" s="17"/>
      <c r="H1742" s="356"/>
      <c r="I1742" s="17"/>
      <c r="J1742" s="17"/>
      <c r="K1742" s="17"/>
      <c r="L1742" s="17"/>
      <c r="M1742" s="17"/>
      <c r="N1742" s="17"/>
      <c r="O1742" s="17"/>
      <c r="P1742" s="17"/>
      <c r="Q1742" s="17"/>
      <c r="R1742" s="17"/>
      <c r="S1742" s="17"/>
      <c r="T1742" s="17"/>
      <c r="U1742" s="17"/>
      <c r="V1742" s="17"/>
      <c r="W1742" s="17"/>
      <c r="X1742" s="17"/>
      <c r="Y1742" s="17"/>
      <c r="Z1742" s="17"/>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c r="AV1742" s="17"/>
      <c r="AW1742" s="17"/>
      <c r="AX1742" s="17"/>
      <c r="AY1742" s="17"/>
      <c r="AZ1742" s="17"/>
      <c r="BA1742" s="17"/>
      <c r="BB1742" s="17"/>
      <c r="BC1742" s="17"/>
      <c r="BD1742" s="17"/>
      <c r="BE1742" s="17"/>
      <c r="BF1742" s="17"/>
      <c r="BG1742" s="17"/>
      <c r="BH1742" s="17"/>
      <c r="BI1742" s="17"/>
      <c r="BJ1742" s="17"/>
      <c r="BK1742" s="17"/>
      <c r="BL1742" s="17"/>
    </row>
    <row r="1743">
      <c r="A1743" s="17"/>
      <c r="B1743" s="17"/>
      <c r="C1743" s="17"/>
      <c r="D1743" s="17"/>
      <c r="E1743" s="17"/>
      <c r="F1743" s="17"/>
      <c r="G1743" s="17"/>
      <c r="H1743" s="356"/>
      <c r="I1743" s="17"/>
      <c r="J1743" s="17"/>
      <c r="K1743" s="17"/>
      <c r="L1743" s="17"/>
      <c r="M1743" s="17"/>
      <c r="N1743" s="17"/>
      <c r="O1743" s="17"/>
      <c r="P1743" s="17"/>
      <c r="Q1743" s="17"/>
      <c r="R1743" s="17"/>
      <c r="S1743" s="17"/>
      <c r="T1743" s="17"/>
      <c r="U1743" s="17"/>
      <c r="V1743" s="17"/>
      <c r="W1743" s="17"/>
      <c r="X1743" s="17"/>
      <c r="Y1743" s="17"/>
      <c r="Z1743" s="17"/>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c r="AV1743" s="17"/>
      <c r="AW1743" s="17"/>
      <c r="AX1743" s="17"/>
      <c r="AY1743" s="17"/>
      <c r="AZ1743" s="17"/>
      <c r="BA1743" s="17"/>
      <c r="BB1743" s="17"/>
      <c r="BC1743" s="17"/>
      <c r="BD1743" s="17"/>
      <c r="BE1743" s="17"/>
      <c r="BF1743" s="17"/>
      <c r="BG1743" s="17"/>
      <c r="BH1743" s="17"/>
      <c r="BI1743" s="17"/>
      <c r="BJ1743" s="17"/>
      <c r="BK1743" s="17"/>
      <c r="BL1743" s="17"/>
    </row>
    <row r="1744">
      <c r="A1744" s="17"/>
      <c r="B1744" s="17"/>
      <c r="C1744" s="17"/>
      <c r="D1744" s="17"/>
      <c r="E1744" s="17"/>
      <c r="F1744" s="17"/>
      <c r="G1744" s="17"/>
      <c r="H1744" s="356"/>
      <c r="I1744" s="17"/>
      <c r="J1744" s="17"/>
      <c r="K1744" s="17"/>
      <c r="L1744" s="17"/>
      <c r="M1744" s="17"/>
      <c r="N1744" s="17"/>
      <c r="O1744" s="17"/>
      <c r="P1744" s="17"/>
      <c r="Q1744" s="17"/>
      <c r="R1744" s="17"/>
      <c r="S1744" s="17"/>
      <c r="T1744" s="17"/>
      <c r="U1744" s="17"/>
      <c r="V1744" s="17"/>
      <c r="W1744" s="17"/>
      <c r="X1744" s="17"/>
      <c r="Y1744" s="17"/>
      <c r="Z1744" s="17"/>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7"/>
      <c r="AW1744" s="17"/>
      <c r="AX1744" s="17"/>
      <c r="AY1744" s="17"/>
      <c r="AZ1744" s="17"/>
      <c r="BA1744" s="17"/>
      <c r="BB1744" s="17"/>
      <c r="BC1744" s="17"/>
      <c r="BD1744" s="17"/>
      <c r="BE1744" s="17"/>
      <c r="BF1744" s="17"/>
      <c r="BG1744" s="17"/>
      <c r="BH1744" s="17"/>
      <c r="BI1744" s="17"/>
      <c r="BJ1744" s="17"/>
      <c r="BK1744" s="17"/>
      <c r="BL1744" s="17"/>
    </row>
    <row r="1745">
      <c r="A1745" s="17"/>
      <c r="B1745" s="17"/>
      <c r="C1745" s="17"/>
      <c r="D1745" s="17"/>
      <c r="E1745" s="17"/>
      <c r="F1745" s="17"/>
      <c r="G1745" s="17"/>
      <c r="H1745" s="356"/>
      <c r="I1745" s="17"/>
      <c r="J1745" s="17"/>
      <c r="K1745" s="17"/>
      <c r="L1745" s="17"/>
      <c r="M1745" s="17"/>
      <c r="N1745" s="17"/>
      <c r="O1745" s="17"/>
      <c r="P1745" s="17"/>
      <c r="Q1745" s="17"/>
      <c r="R1745" s="17"/>
      <c r="S1745" s="17"/>
      <c r="T1745" s="17"/>
      <c r="U1745" s="17"/>
      <c r="V1745" s="17"/>
      <c r="W1745" s="17"/>
      <c r="X1745" s="17"/>
      <c r="Y1745" s="17"/>
      <c r="Z1745" s="17"/>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7"/>
      <c r="AW1745" s="17"/>
      <c r="AX1745" s="17"/>
      <c r="AY1745" s="17"/>
      <c r="AZ1745" s="17"/>
      <c r="BA1745" s="17"/>
      <c r="BB1745" s="17"/>
      <c r="BC1745" s="17"/>
      <c r="BD1745" s="17"/>
      <c r="BE1745" s="17"/>
      <c r="BF1745" s="17"/>
      <c r="BG1745" s="17"/>
      <c r="BH1745" s="17"/>
      <c r="BI1745" s="17"/>
      <c r="BJ1745" s="17"/>
      <c r="BK1745" s="17"/>
      <c r="BL1745" s="17"/>
    </row>
    <row r="1746">
      <c r="A1746" s="17"/>
      <c r="B1746" s="17"/>
      <c r="C1746" s="17"/>
      <c r="D1746" s="17"/>
      <c r="E1746" s="17"/>
      <c r="F1746" s="17"/>
      <c r="G1746" s="17"/>
      <c r="H1746" s="356"/>
      <c r="I1746" s="17"/>
      <c r="J1746" s="17"/>
      <c r="K1746" s="17"/>
      <c r="L1746" s="17"/>
      <c r="M1746" s="17"/>
      <c r="N1746" s="17"/>
      <c r="O1746" s="17"/>
      <c r="P1746" s="17"/>
      <c r="Q1746" s="17"/>
      <c r="R1746" s="17"/>
      <c r="S1746" s="17"/>
      <c r="T1746" s="17"/>
      <c r="U1746" s="17"/>
      <c r="V1746" s="17"/>
      <c r="W1746" s="17"/>
      <c r="X1746" s="17"/>
      <c r="Y1746" s="17"/>
      <c r="Z1746" s="17"/>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7"/>
      <c r="AW1746" s="17"/>
      <c r="AX1746" s="17"/>
      <c r="AY1746" s="17"/>
      <c r="AZ1746" s="17"/>
      <c r="BA1746" s="17"/>
      <c r="BB1746" s="17"/>
      <c r="BC1746" s="17"/>
      <c r="BD1746" s="17"/>
      <c r="BE1746" s="17"/>
      <c r="BF1746" s="17"/>
      <c r="BG1746" s="17"/>
      <c r="BH1746" s="17"/>
      <c r="BI1746" s="17"/>
      <c r="BJ1746" s="17"/>
      <c r="BK1746" s="17"/>
      <c r="BL1746" s="17"/>
    </row>
    <row r="1747">
      <c r="A1747" s="17"/>
      <c r="B1747" s="17"/>
      <c r="C1747" s="17"/>
      <c r="D1747" s="17"/>
      <c r="E1747" s="17"/>
      <c r="F1747" s="17"/>
      <c r="G1747" s="17"/>
      <c r="H1747" s="356"/>
      <c r="I1747" s="17"/>
      <c r="J1747" s="17"/>
      <c r="K1747" s="17"/>
      <c r="L1747" s="17"/>
      <c r="M1747" s="17"/>
      <c r="N1747" s="17"/>
      <c r="O1747" s="17"/>
      <c r="P1747" s="17"/>
      <c r="Q1747" s="17"/>
      <c r="R1747" s="17"/>
      <c r="S1747" s="17"/>
      <c r="T1747" s="17"/>
      <c r="U1747" s="17"/>
      <c r="V1747" s="17"/>
      <c r="W1747" s="17"/>
      <c r="X1747" s="17"/>
      <c r="Y1747" s="17"/>
      <c r="Z1747" s="17"/>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7"/>
      <c r="AW1747" s="17"/>
      <c r="AX1747" s="17"/>
      <c r="AY1747" s="17"/>
      <c r="AZ1747" s="17"/>
      <c r="BA1747" s="17"/>
      <c r="BB1747" s="17"/>
      <c r="BC1747" s="17"/>
      <c r="BD1747" s="17"/>
      <c r="BE1747" s="17"/>
      <c r="BF1747" s="17"/>
      <c r="BG1747" s="17"/>
      <c r="BH1747" s="17"/>
      <c r="BI1747" s="17"/>
      <c r="BJ1747" s="17"/>
      <c r="BK1747" s="17"/>
      <c r="BL1747" s="17"/>
    </row>
    <row r="1748">
      <c r="A1748" s="17"/>
      <c r="B1748" s="17"/>
      <c r="C1748" s="17"/>
      <c r="D1748" s="17"/>
      <c r="E1748" s="17"/>
      <c r="F1748" s="17"/>
      <c r="G1748" s="17"/>
      <c r="H1748" s="356"/>
      <c r="I1748" s="17"/>
      <c r="J1748" s="17"/>
      <c r="K1748" s="17"/>
      <c r="L1748" s="17"/>
      <c r="M1748" s="17"/>
      <c r="N1748" s="17"/>
      <c r="O1748" s="17"/>
      <c r="P1748" s="17"/>
      <c r="Q1748" s="17"/>
      <c r="R1748" s="17"/>
      <c r="S1748" s="17"/>
      <c r="T1748" s="17"/>
      <c r="U1748" s="17"/>
      <c r="V1748" s="17"/>
      <c r="W1748" s="17"/>
      <c r="X1748" s="17"/>
      <c r="Y1748" s="17"/>
      <c r="Z1748" s="17"/>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7"/>
      <c r="AW1748" s="17"/>
      <c r="AX1748" s="17"/>
      <c r="AY1748" s="17"/>
      <c r="AZ1748" s="17"/>
      <c r="BA1748" s="17"/>
      <c r="BB1748" s="17"/>
      <c r="BC1748" s="17"/>
      <c r="BD1748" s="17"/>
      <c r="BE1748" s="17"/>
      <c r="BF1748" s="17"/>
      <c r="BG1748" s="17"/>
      <c r="BH1748" s="17"/>
      <c r="BI1748" s="17"/>
      <c r="BJ1748" s="17"/>
      <c r="BK1748" s="17"/>
      <c r="BL1748" s="17"/>
    </row>
    <row r="1749">
      <c r="A1749" s="17"/>
      <c r="B1749" s="17"/>
      <c r="C1749" s="17"/>
      <c r="D1749" s="17"/>
      <c r="E1749" s="17"/>
      <c r="F1749" s="17"/>
      <c r="G1749" s="17"/>
      <c r="H1749" s="356"/>
      <c r="I1749" s="17"/>
      <c r="J1749" s="17"/>
      <c r="K1749" s="17"/>
      <c r="L1749" s="17"/>
      <c r="M1749" s="17"/>
      <c r="N1749" s="17"/>
      <c r="O1749" s="17"/>
      <c r="P1749" s="17"/>
      <c r="Q1749" s="17"/>
      <c r="R1749" s="17"/>
      <c r="S1749" s="17"/>
      <c r="T1749" s="17"/>
      <c r="U1749" s="17"/>
      <c r="V1749" s="17"/>
      <c r="W1749" s="17"/>
      <c r="X1749" s="17"/>
      <c r="Y1749" s="17"/>
      <c r="Z1749" s="17"/>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c r="AV1749" s="17"/>
      <c r="AW1749" s="17"/>
      <c r="AX1749" s="17"/>
      <c r="AY1749" s="17"/>
      <c r="AZ1749" s="17"/>
      <c r="BA1749" s="17"/>
      <c r="BB1749" s="17"/>
      <c r="BC1749" s="17"/>
      <c r="BD1749" s="17"/>
      <c r="BE1749" s="17"/>
      <c r="BF1749" s="17"/>
      <c r="BG1749" s="17"/>
      <c r="BH1749" s="17"/>
      <c r="BI1749" s="17"/>
      <c r="BJ1749" s="17"/>
      <c r="BK1749" s="17"/>
      <c r="BL1749" s="17"/>
    </row>
    <row r="1750">
      <c r="A1750" s="17"/>
      <c r="B1750" s="17"/>
      <c r="C1750" s="17"/>
      <c r="D1750" s="17"/>
      <c r="E1750" s="17"/>
      <c r="F1750" s="17"/>
      <c r="G1750" s="17"/>
      <c r="H1750" s="356"/>
      <c r="I1750" s="17"/>
      <c r="J1750" s="17"/>
      <c r="K1750" s="17"/>
      <c r="L1750" s="17"/>
      <c r="M1750" s="17"/>
      <c r="N1750" s="17"/>
      <c r="O1750" s="17"/>
      <c r="P1750" s="17"/>
      <c r="Q1750" s="17"/>
      <c r="R1750" s="17"/>
      <c r="S1750" s="17"/>
      <c r="T1750" s="17"/>
      <c r="U1750" s="17"/>
      <c r="V1750" s="17"/>
      <c r="W1750" s="17"/>
      <c r="X1750" s="17"/>
      <c r="Y1750" s="17"/>
      <c r="Z1750" s="17"/>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c r="AV1750" s="17"/>
      <c r="AW1750" s="17"/>
      <c r="AX1750" s="17"/>
      <c r="AY1750" s="17"/>
      <c r="AZ1750" s="17"/>
      <c r="BA1750" s="17"/>
      <c r="BB1750" s="17"/>
      <c r="BC1750" s="17"/>
      <c r="BD1750" s="17"/>
      <c r="BE1750" s="17"/>
      <c r="BF1750" s="17"/>
      <c r="BG1750" s="17"/>
      <c r="BH1750" s="17"/>
      <c r="BI1750" s="17"/>
      <c r="BJ1750" s="17"/>
      <c r="BK1750" s="17"/>
      <c r="BL1750" s="17"/>
    </row>
    <row r="1751">
      <c r="A1751" s="17"/>
      <c r="B1751" s="17"/>
      <c r="C1751" s="17"/>
      <c r="D1751" s="17"/>
      <c r="E1751" s="17"/>
      <c r="F1751" s="17"/>
      <c r="G1751" s="17"/>
      <c r="H1751" s="356"/>
      <c r="I1751" s="17"/>
      <c r="J1751" s="17"/>
      <c r="K1751" s="17"/>
      <c r="L1751" s="17"/>
      <c r="M1751" s="17"/>
      <c r="N1751" s="17"/>
      <c r="O1751" s="17"/>
      <c r="P1751" s="17"/>
      <c r="Q1751" s="17"/>
      <c r="R1751" s="17"/>
      <c r="S1751" s="17"/>
      <c r="T1751" s="17"/>
      <c r="U1751" s="17"/>
      <c r="V1751" s="17"/>
      <c r="W1751" s="17"/>
      <c r="X1751" s="17"/>
      <c r="Y1751" s="17"/>
      <c r="Z1751" s="17"/>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c r="AV1751" s="17"/>
      <c r="AW1751" s="17"/>
      <c r="AX1751" s="17"/>
      <c r="AY1751" s="17"/>
      <c r="AZ1751" s="17"/>
      <c r="BA1751" s="17"/>
      <c r="BB1751" s="17"/>
      <c r="BC1751" s="17"/>
      <c r="BD1751" s="17"/>
      <c r="BE1751" s="17"/>
      <c r="BF1751" s="17"/>
      <c r="BG1751" s="17"/>
      <c r="BH1751" s="17"/>
      <c r="BI1751" s="17"/>
      <c r="BJ1751" s="17"/>
      <c r="BK1751" s="17"/>
      <c r="BL1751" s="17"/>
    </row>
    <row r="1752">
      <c r="A1752" s="17"/>
      <c r="B1752" s="17"/>
      <c r="C1752" s="17"/>
      <c r="D1752" s="17"/>
      <c r="E1752" s="17"/>
      <c r="F1752" s="17"/>
      <c r="G1752" s="17"/>
      <c r="H1752" s="356"/>
      <c r="I1752" s="17"/>
      <c r="J1752" s="17"/>
      <c r="K1752" s="17"/>
      <c r="L1752" s="17"/>
      <c r="M1752" s="17"/>
      <c r="N1752" s="17"/>
      <c r="O1752" s="17"/>
      <c r="P1752" s="17"/>
      <c r="Q1752" s="17"/>
      <c r="R1752" s="17"/>
      <c r="S1752" s="17"/>
      <c r="T1752" s="17"/>
      <c r="U1752" s="17"/>
      <c r="V1752" s="17"/>
      <c r="W1752" s="17"/>
      <c r="X1752" s="17"/>
      <c r="Y1752" s="17"/>
      <c r="Z1752" s="17"/>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7"/>
      <c r="AW1752" s="17"/>
      <c r="AX1752" s="17"/>
      <c r="AY1752" s="17"/>
      <c r="AZ1752" s="17"/>
      <c r="BA1752" s="17"/>
      <c r="BB1752" s="17"/>
      <c r="BC1752" s="17"/>
      <c r="BD1752" s="17"/>
      <c r="BE1752" s="17"/>
      <c r="BF1752" s="17"/>
      <c r="BG1752" s="17"/>
      <c r="BH1752" s="17"/>
      <c r="BI1752" s="17"/>
      <c r="BJ1752" s="17"/>
      <c r="BK1752" s="17"/>
      <c r="BL1752" s="17"/>
    </row>
    <row r="1753">
      <c r="A1753" s="17"/>
      <c r="B1753" s="17"/>
      <c r="C1753" s="17"/>
      <c r="D1753" s="17"/>
      <c r="E1753" s="17"/>
      <c r="F1753" s="17"/>
      <c r="G1753" s="17"/>
      <c r="H1753" s="356"/>
      <c r="I1753" s="17"/>
      <c r="J1753" s="17"/>
      <c r="K1753" s="17"/>
      <c r="L1753" s="17"/>
      <c r="M1753" s="17"/>
      <c r="N1753" s="17"/>
      <c r="O1753" s="17"/>
      <c r="P1753" s="17"/>
      <c r="Q1753" s="17"/>
      <c r="R1753" s="17"/>
      <c r="S1753" s="17"/>
      <c r="T1753" s="17"/>
      <c r="U1753" s="17"/>
      <c r="V1753" s="17"/>
      <c r="W1753" s="17"/>
      <c r="X1753" s="17"/>
      <c r="Y1753" s="17"/>
      <c r="Z1753" s="17"/>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c r="AV1753" s="17"/>
      <c r="AW1753" s="17"/>
      <c r="AX1753" s="17"/>
      <c r="AY1753" s="17"/>
      <c r="AZ1753" s="17"/>
      <c r="BA1753" s="17"/>
      <c r="BB1753" s="17"/>
      <c r="BC1753" s="17"/>
      <c r="BD1753" s="17"/>
      <c r="BE1753" s="17"/>
      <c r="BF1753" s="17"/>
      <c r="BG1753" s="17"/>
      <c r="BH1753" s="17"/>
      <c r="BI1753" s="17"/>
      <c r="BJ1753" s="17"/>
      <c r="BK1753" s="17"/>
      <c r="BL1753" s="17"/>
    </row>
    <row r="1754">
      <c r="A1754" s="17"/>
      <c r="B1754" s="17"/>
      <c r="C1754" s="17"/>
      <c r="D1754" s="17"/>
      <c r="E1754" s="17"/>
      <c r="F1754" s="17"/>
      <c r="G1754" s="17"/>
      <c r="H1754" s="356"/>
      <c r="I1754" s="17"/>
      <c r="J1754" s="17"/>
      <c r="K1754" s="17"/>
      <c r="L1754" s="17"/>
      <c r="M1754" s="17"/>
      <c r="N1754" s="17"/>
      <c r="O1754" s="17"/>
      <c r="P1754" s="17"/>
      <c r="Q1754" s="17"/>
      <c r="R1754" s="17"/>
      <c r="S1754" s="17"/>
      <c r="T1754" s="17"/>
      <c r="U1754" s="17"/>
      <c r="V1754" s="17"/>
      <c r="W1754" s="17"/>
      <c r="X1754" s="17"/>
      <c r="Y1754" s="17"/>
      <c r="Z1754" s="17"/>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c r="AV1754" s="17"/>
      <c r="AW1754" s="17"/>
      <c r="AX1754" s="17"/>
      <c r="AY1754" s="17"/>
      <c r="AZ1754" s="17"/>
      <c r="BA1754" s="17"/>
      <c r="BB1754" s="17"/>
      <c r="BC1754" s="17"/>
      <c r="BD1754" s="17"/>
      <c r="BE1754" s="17"/>
      <c r="BF1754" s="17"/>
      <c r="BG1754" s="17"/>
      <c r="BH1754" s="17"/>
      <c r="BI1754" s="17"/>
      <c r="BJ1754" s="17"/>
      <c r="BK1754" s="17"/>
      <c r="BL1754" s="17"/>
    </row>
    <row r="1755">
      <c r="A1755" s="17"/>
      <c r="B1755" s="17"/>
      <c r="C1755" s="17"/>
      <c r="D1755" s="17"/>
      <c r="E1755" s="17"/>
      <c r="F1755" s="17"/>
      <c r="G1755" s="17"/>
      <c r="H1755" s="356"/>
      <c r="I1755" s="17"/>
      <c r="J1755" s="17"/>
      <c r="K1755" s="17"/>
      <c r="L1755" s="17"/>
      <c r="M1755" s="17"/>
      <c r="N1755" s="17"/>
      <c r="O1755" s="17"/>
      <c r="P1755" s="17"/>
      <c r="Q1755" s="17"/>
      <c r="R1755" s="17"/>
      <c r="S1755" s="17"/>
      <c r="T1755" s="17"/>
      <c r="U1755" s="17"/>
      <c r="V1755" s="17"/>
      <c r="W1755" s="17"/>
      <c r="X1755" s="17"/>
      <c r="Y1755" s="17"/>
      <c r="Z1755" s="17"/>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c r="AV1755" s="17"/>
      <c r="AW1755" s="17"/>
      <c r="AX1755" s="17"/>
      <c r="AY1755" s="17"/>
      <c r="AZ1755" s="17"/>
      <c r="BA1755" s="17"/>
      <c r="BB1755" s="17"/>
      <c r="BC1755" s="17"/>
      <c r="BD1755" s="17"/>
      <c r="BE1755" s="17"/>
      <c r="BF1755" s="17"/>
      <c r="BG1755" s="17"/>
      <c r="BH1755" s="17"/>
      <c r="BI1755" s="17"/>
      <c r="BJ1755" s="17"/>
      <c r="BK1755" s="17"/>
      <c r="BL1755" s="17"/>
    </row>
    <row r="1756">
      <c r="A1756" s="17"/>
      <c r="B1756" s="17"/>
      <c r="C1756" s="17"/>
      <c r="D1756" s="17"/>
      <c r="E1756" s="17"/>
      <c r="F1756" s="17"/>
      <c r="G1756" s="17"/>
      <c r="H1756" s="356"/>
      <c r="I1756" s="17"/>
      <c r="J1756" s="17"/>
      <c r="K1756" s="17"/>
      <c r="L1756" s="17"/>
      <c r="M1756" s="17"/>
      <c r="N1756" s="17"/>
      <c r="O1756" s="17"/>
      <c r="P1756" s="17"/>
      <c r="Q1756" s="17"/>
      <c r="R1756" s="17"/>
      <c r="S1756" s="17"/>
      <c r="T1756" s="17"/>
      <c r="U1756" s="17"/>
      <c r="V1756" s="17"/>
      <c r="W1756" s="17"/>
      <c r="X1756" s="17"/>
      <c r="Y1756" s="17"/>
      <c r="Z1756" s="17"/>
      <c r="AA1756" s="17"/>
      <c r="AB1756" s="17"/>
      <c r="AC1756" s="17"/>
      <c r="AD1756" s="17"/>
      <c r="AE1756" s="17"/>
      <c r="AF1756" s="17"/>
      <c r="AG1756" s="17"/>
      <c r="AH1756" s="17"/>
      <c r="AI1756" s="17"/>
      <c r="AJ1756" s="17"/>
      <c r="AK1756" s="17"/>
      <c r="AL1756" s="17"/>
      <c r="AM1756" s="17"/>
      <c r="AN1756" s="17"/>
      <c r="AO1756" s="17"/>
      <c r="AP1756" s="17"/>
      <c r="AQ1756" s="17"/>
      <c r="AR1756" s="17"/>
      <c r="AS1756" s="17"/>
      <c r="AT1756" s="17"/>
      <c r="AU1756" s="17"/>
      <c r="AV1756" s="17"/>
      <c r="AW1756" s="17"/>
      <c r="AX1756" s="17"/>
      <c r="AY1756" s="17"/>
      <c r="AZ1756" s="17"/>
      <c r="BA1756" s="17"/>
      <c r="BB1756" s="17"/>
      <c r="BC1756" s="17"/>
      <c r="BD1756" s="17"/>
      <c r="BE1756" s="17"/>
      <c r="BF1756" s="17"/>
      <c r="BG1756" s="17"/>
      <c r="BH1756" s="17"/>
      <c r="BI1756" s="17"/>
      <c r="BJ1756" s="17"/>
      <c r="BK1756" s="17"/>
      <c r="BL1756" s="17"/>
    </row>
    <row r="1757">
      <c r="A1757" s="17"/>
      <c r="B1757" s="17"/>
      <c r="C1757" s="17"/>
      <c r="D1757" s="17"/>
      <c r="E1757" s="17"/>
      <c r="F1757" s="17"/>
      <c r="G1757" s="17"/>
      <c r="H1757" s="356"/>
      <c r="I1757" s="17"/>
      <c r="J1757" s="17"/>
      <c r="K1757" s="17"/>
      <c r="L1757" s="17"/>
      <c r="M1757" s="17"/>
      <c r="N1757" s="17"/>
      <c r="O1757" s="17"/>
      <c r="P1757" s="17"/>
      <c r="Q1757" s="17"/>
      <c r="R1757" s="17"/>
      <c r="S1757" s="17"/>
      <c r="T1757" s="17"/>
      <c r="U1757" s="17"/>
      <c r="V1757" s="17"/>
      <c r="W1757" s="17"/>
      <c r="X1757" s="17"/>
      <c r="Y1757" s="17"/>
      <c r="Z1757" s="17"/>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c r="AV1757" s="17"/>
      <c r="AW1757" s="17"/>
      <c r="AX1757" s="17"/>
      <c r="AY1757" s="17"/>
      <c r="AZ1757" s="17"/>
      <c r="BA1757" s="17"/>
      <c r="BB1757" s="17"/>
      <c r="BC1757" s="17"/>
      <c r="BD1757" s="17"/>
      <c r="BE1757" s="17"/>
      <c r="BF1757" s="17"/>
      <c r="BG1757" s="17"/>
      <c r="BH1757" s="17"/>
      <c r="BI1757" s="17"/>
      <c r="BJ1757" s="17"/>
      <c r="BK1757" s="17"/>
      <c r="BL1757" s="17"/>
    </row>
    <row r="1758">
      <c r="A1758" s="17"/>
      <c r="B1758" s="17"/>
      <c r="C1758" s="17"/>
      <c r="D1758" s="17"/>
      <c r="E1758" s="17"/>
      <c r="F1758" s="17"/>
      <c r="G1758" s="17"/>
      <c r="H1758" s="356"/>
      <c r="I1758" s="17"/>
      <c r="J1758" s="17"/>
      <c r="K1758" s="17"/>
      <c r="L1758" s="17"/>
      <c r="M1758" s="17"/>
      <c r="N1758" s="17"/>
      <c r="O1758" s="17"/>
      <c r="P1758" s="17"/>
      <c r="Q1758" s="17"/>
      <c r="R1758" s="17"/>
      <c r="S1758" s="17"/>
      <c r="T1758" s="17"/>
      <c r="U1758" s="17"/>
      <c r="V1758" s="17"/>
      <c r="W1758" s="17"/>
      <c r="X1758" s="17"/>
      <c r="Y1758" s="17"/>
      <c r="Z1758" s="17"/>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7"/>
      <c r="AW1758" s="17"/>
      <c r="AX1758" s="17"/>
      <c r="AY1758" s="17"/>
      <c r="AZ1758" s="17"/>
      <c r="BA1758" s="17"/>
      <c r="BB1758" s="17"/>
      <c r="BC1758" s="17"/>
      <c r="BD1758" s="17"/>
      <c r="BE1758" s="17"/>
      <c r="BF1758" s="17"/>
      <c r="BG1758" s="17"/>
      <c r="BH1758" s="17"/>
      <c r="BI1758" s="17"/>
      <c r="BJ1758" s="17"/>
      <c r="BK1758" s="17"/>
      <c r="BL1758" s="17"/>
    </row>
    <row r="1759">
      <c r="A1759" s="17"/>
      <c r="B1759" s="17"/>
      <c r="C1759" s="17"/>
      <c r="D1759" s="17"/>
      <c r="E1759" s="17"/>
      <c r="F1759" s="17"/>
      <c r="G1759" s="17"/>
      <c r="H1759" s="356"/>
      <c r="I1759" s="17"/>
      <c r="J1759" s="17"/>
      <c r="K1759" s="17"/>
      <c r="L1759" s="17"/>
      <c r="M1759" s="17"/>
      <c r="N1759" s="17"/>
      <c r="O1759" s="17"/>
      <c r="P1759" s="17"/>
      <c r="Q1759" s="17"/>
      <c r="R1759" s="17"/>
      <c r="S1759" s="17"/>
      <c r="T1759" s="17"/>
      <c r="U1759" s="17"/>
      <c r="V1759" s="17"/>
      <c r="W1759" s="17"/>
      <c r="X1759" s="17"/>
      <c r="Y1759" s="17"/>
      <c r="Z1759" s="17"/>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c r="AV1759" s="17"/>
      <c r="AW1759" s="17"/>
      <c r="AX1759" s="17"/>
      <c r="AY1759" s="17"/>
      <c r="AZ1759" s="17"/>
      <c r="BA1759" s="17"/>
      <c r="BB1759" s="17"/>
      <c r="BC1759" s="17"/>
      <c r="BD1759" s="17"/>
      <c r="BE1759" s="17"/>
      <c r="BF1759" s="17"/>
      <c r="BG1759" s="17"/>
      <c r="BH1759" s="17"/>
      <c r="BI1759" s="17"/>
      <c r="BJ1759" s="17"/>
      <c r="BK1759" s="17"/>
      <c r="BL1759" s="17"/>
    </row>
    <row r="1760">
      <c r="A1760" s="17"/>
      <c r="B1760" s="17"/>
      <c r="C1760" s="17"/>
      <c r="D1760" s="17"/>
      <c r="E1760" s="17"/>
      <c r="F1760" s="17"/>
      <c r="G1760" s="17"/>
      <c r="H1760" s="356"/>
      <c r="I1760" s="17"/>
      <c r="J1760" s="17"/>
      <c r="K1760" s="17"/>
      <c r="L1760" s="17"/>
      <c r="M1760" s="17"/>
      <c r="N1760" s="17"/>
      <c r="O1760" s="17"/>
      <c r="P1760" s="17"/>
      <c r="Q1760" s="17"/>
      <c r="R1760" s="17"/>
      <c r="S1760" s="17"/>
      <c r="T1760" s="17"/>
      <c r="U1760" s="17"/>
      <c r="V1760" s="17"/>
      <c r="W1760" s="17"/>
      <c r="X1760" s="17"/>
      <c r="Y1760" s="17"/>
      <c r="Z1760" s="17"/>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c r="AV1760" s="17"/>
      <c r="AW1760" s="17"/>
      <c r="AX1760" s="17"/>
      <c r="AY1760" s="17"/>
      <c r="AZ1760" s="17"/>
      <c r="BA1760" s="17"/>
      <c r="BB1760" s="17"/>
      <c r="BC1760" s="17"/>
      <c r="BD1760" s="17"/>
      <c r="BE1760" s="17"/>
      <c r="BF1760" s="17"/>
      <c r="BG1760" s="17"/>
      <c r="BH1760" s="17"/>
      <c r="BI1760" s="17"/>
      <c r="BJ1760" s="17"/>
      <c r="BK1760" s="17"/>
      <c r="BL1760" s="17"/>
    </row>
    <row r="1761">
      <c r="A1761" s="17"/>
      <c r="B1761" s="17"/>
      <c r="C1761" s="17"/>
      <c r="D1761" s="17"/>
      <c r="E1761" s="17"/>
      <c r="F1761" s="17"/>
      <c r="G1761" s="17"/>
      <c r="H1761" s="356"/>
      <c r="I1761" s="17"/>
      <c r="J1761" s="17"/>
      <c r="K1761" s="17"/>
      <c r="L1761" s="17"/>
      <c r="M1761" s="17"/>
      <c r="N1761" s="17"/>
      <c r="O1761" s="17"/>
      <c r="P1761" s="17"/>
      <c r="Q1761" s="17"/>
      <c r="R1761" s="17"/>
      <c r="S1761" s="17"/>
      <c r="T1761" s="17"/>
      <c r="U1761" s="17"/>
      <c r="V1761" s="17"/>
      <c r="W1761" s="17"/>
      <c r="X1761" s="17"/>
      <c r="Y1761" s="17"/>
      <c r="Z1761" s="17"/>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7"/>
      <c r="AW1761" s="17"/>
      <c r="AX1761" s="17"/>
      <c r="AY1761" s="17"/>
      <c r="AZ1761" s="17"/>
      <c r="BA1761" s="17"/>
      <c r="BB1761" s="17"/>
      <c r="BC1761" s="17"/>
      <c r="BD1761" s="17"/>
      <c r="BE1761" s="17"/>
      <c r="BF1761" s="17"/>
      <c r="BG1761" s="17"/>
      <c r="BH1761" s="17"/>
      <c r="BI1761" s="17"/>
      <c r="BJ1761" s="17"/>
      <c r="BK1761" s="17"/>
      <c r="BL1761" s="17"/>
    </row>
    <row r="1762">
      <c r="A1762" s="17"/>
      <c r="B1762" s="17"/>
      <c r="C1762" s="17"/>
      <c r="D1762" s="17"/>
      <c r="E1762" s="17"/>
      <c r="F1762" s="17"/>
      <c r="G1762" s="17"/>
      <c r="H1762" s="356"/>
      <c r="I1762" s="17"/>
      <c r="J1762" s="17"/>
      <c r="K1762" s="17"/>
      <c r="L1762" s="17"/>
      <c r="M1762" s="17"/>
      <c r="N1762" s="17"/>
      <c r="O1762" s="17"/>
      <c r="P1762" s="17"/>
      <c r="Q1762" s="17"/>
      <c r="R1762" s="17"/>
      <c r="S1762" s="17"/>
      <c r="T1762" s="17"/>
      <c r="U1762" s="17"/>
      <c r="V1762" s="17"/>
      <c r="W1762" s="17"/>
      <c r="X1762" s="17"/>
      <c r="Y1762" s="17"/>
      <c r="Z1762" s="17"/>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7"/>
      <c r="AW1762" s="17"/>
      <c r="AX1762" s="17"/>
      <c r="AY1762" s="17"/>
      <c r="AZ1762" s="17"/>
      <c r="BA1762" s="17"/>
      <c r="BB1762" s="17"/>
      <c r="BC1762" s="17"/>
      <c r="BD1762" s="17"/>
      <c r="BE1762" s="17"/>
      <c r="BF1762" s="17"/>
      <c r="BG1762" s="17"/>
      <c r="BH1762" s="17"/>
      <c r="BI1762" s="17"/>
      <c r="BJ1762" s="17"/>
      <c r="BK1762" s="17"/>
      <c r="BL1762" s="17"/>
    </row>
    <row r="1763">
      <c r="A1763" s="17"/>
      <c r="B1763" s="17"/>
      <c r="C1763" s="17"/>
      <c r="D1763" s="17"/>
      <c r="E1763" s="17"/>
      <c r="F1763" s="17"/>
      <c r="G1763" s="17"/>
      <c r="H1763" s="356"/>
      <c r="I1763" s="17"/>
      <c r="J1763" s="17"/>
      <c r="K1763" s="17"/>
      <c r="L1763" s="17"/>
      <c r="M1763" s="17"/>
      <c r="N1763" s="17"/>
      <c r="O1763" s="17"/>
      <c r="P1763" s="17"/>
      <c r="Q1763" s="17"/>
      <c r="R1763" s="17"/>
      <c r="S1763" s="17"/>
      <c r="T1763" s="17"/>
      <c r="U1763" s="17"/>
      <c r="V1763" s="17"/>
      <c r="W1763" s="17"/>
      <c r="X1763" s="17"/>
      <c r="Y1763" s="17"/>
      <c r="Z1763" s="17"/>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7"/>
      <c r="AW1763" s="17"/>
      <c r="AX1763" s="17"/>
      <c r="AY1763" s="17"/>
      <c r="AZ1763" s="17"/>
      <c r="BA1763" s="17"/>
      <c r="BB1763" s="17"/>
      <c r="BC1763" s="17"/>
      <c r="BD1763" s="17"/>
      <c r="BE1763" s="17"/>
      <c r="BF1763" s="17"/>
      <c r="BG1763" s="17"/>
      <c r="BH1763" s="17"/>
      <c r="BI1763" s="17"/>
      <c r="BJ1763" s="17"/>
      <c r="BK1763" s="17"/>
      <c r="BL1763" s="17"/>
    </row>
    <row r="1764">
      <c r="A1764" s="17"/>
      <c r="B1764" s="17"/>
      <c r="C1764" s="17"/>
      <c r="D1764" s="17"/>
      <c r="E1764" s="17"/>
      <c r="F1764" s="17"/>
      <c r="G1764" s="17"/>
      <c r="H1764" s="356"/>
      <c r="I1764" s="17"/>
      <c r="J1764" s="17"/>
      <c r="K1764" s="17"/>
      <c r="L1764" s="17"/>
      <c r="M1764" s="17"/>
      <c r="N1764" s="17"/>
      <c r="O1764" s="17"/>
      <c r="P1764" s="17"/>
      <c r="Q1764" s="17"/>
      <c r="R1764" s="17"/>
      <c r="S1764" s="17"/>
      <c r="T1764" s="17"/>
      <c r="U1764" s="17"/>
      <c r="V1764" s="17"/>
      <c r="W1764" s="17"/>
      <c r="X1764" s="17"/>
      <c r="Y1764" s="17"/>
      <c r="Z1764" s="17"/>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7"/>
      <c r="AW1764" s="17"/>
      <c r="AX1764" s="17"/>
      <c r="AY1764" s="17"/>
      <c r="AZ1764" s="17"/>
      <c r="BA1764" s="17"/>
      <c r="BB1764" s="17"/>
      <c r="BC1764" s="17"/>
      <c r="BD1764" s="17"/>
      <c r="BE1764" s="17"/>
      <c r="BF1764" s="17"/>
      <c r="BG1764" s="17"/>
      <c r="BH1764" s="17"/>
      <c r="BI1764" s="17"/>
      <c r="BJ1764" s="17"/>
      <c r="BK1764" s="17"/>
      <c r="BL1764" s="17"/>
    </row>
    <row r="1765">
      <c r="A1765" s="17"/>
      <c r="B1765" s="17"/>
      <c r="C1765" s="17"/>
      <c r="D1765" s="17"/>
      <c r="E1765" s="17"/>
      <c r="F1765" s="17"/>
      <c r="G1765" s="17"/>
      <c r="H1765" s="356"/>
      <c r="I1765" s="17"/>
      <c r="J1765" s="17"/>
      <c r="K1765" s="17"/>
      <c r="L1765" s="17"/>
      <c r="M1765" s="17"/>
      <c r="N1765" s="17"/>
      <c r="O1765" s="17"/>
      <c r="P1765" s="17"/>
      <c r="Q1765" s="17"/>
      <c r="R1765" s="17"/>
      <c r="S1765" s="17"/>
      <c r="T1765" s="17"/>
      <c r="U1765" s="17"/>
      <c r="V1765" s="17"/>
      <c r="W1765" s="17"/>
      <c r="X1765" s="17"/>
      <c r="Y1765" s="17"/>
      <c r="Z1765" s="17"/>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c r="AV1765" s="17"/>
      <c r="AW1765" s="17"/>
      <c r="AX1765" s="17"/>
      <c r="AY1765" s="17"/>
      <c r="AZ1765" s="17"/>
      <c r="BA1765" s="17"/>
      <c r="BB1765" s="17"/>
      <c r="BC1765" s="17"/>
      <c r="BD1765" s="17"/>
      <c r="BE1765" s="17"/>
      <c r="BF1765" s="17"/>
      <c r="BG1765" s="17"/>
      <c r="BH1765" s="17"/>
      <c r="BI1765" s="17"/>
      <c r="BJ1765" s="17"/>
      <c r="BK1765" s="17"/>
      <c r="BL1765" s="17"/>
    </row>
    <row r="1766">
      <c r="A1766" s="17"/>
      <c r="B1766" s="17"/>
      <c r="C1766" s="17"/>
      <c r="D1766" s="17"/>
      <c r="E1766" s="17"/>
      <c r="F1766" s="17"/>
      <c r="G1766" s="17"/>
      <c r="H1766" s="356"/>
      <c r="I1766" s="17"/>
      <c r="J1766" s="17"/>
      <c r="K1766" s="17"/>
      <c r="L1766" s="17"/>
      <c r="M1766" s="17"/>
      <c r="N1766" s="17"/>
      <c r="O1766" s="17"/>
      <c r="P1766" s="17"/>
      <c r="Q1766" s="17"/>
      <c r="R1766" s="17"/>
      <c r="S1766" s="17"/>
      <c r="T1766" s="17"/>
      <c r="U1766" s="17"/>
      <c r="V1766" s="17"/>
      <c r="W1766" s="17"/>
      <c r="X1766" s="17"/>
      <c r="Y1766" s="17"/>
      <c r="Z1766" s="17"/>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c r="AV1766" s="17"/>
      <c r="AW1766" s="17"/>
      <c r="AX1766" s="17"/>
      <c r="AY1766" s="17"/>
      <c r="AZ1766" s="17"/>
      <c r="BA1766" s="17"/>
      <c r="BB1766" s="17"/>
      <c r="BC1766" s="17"/>
      <c r="BD1766" s="17"/>
      <c r="BE1766" s="17"/>
      <c r="BF1766" s="17"/>
      <c r="BG1766" s="17"/>
      <c r="BH1766" s="17"/>
      <c r="BI1766" s="17"/>
      <c r="BJ1766" s="17"/>
      <c r="BK1766" s="17"/>
      <c r="BL1766" s="17"/>
    </row>
    <row r="1767">
      <c r="A1767" s="17"/>
      <c r="B1767" s="17"/>
      <c r="C1767" s="17"/>
      <c r="D1767" s="17"/>
      <c r="E1767" s="17"/>
      <c r="F1767" s="17"/>
      <c r="G1767" s="17"/>
      <c r="H1767" s="356"/>
      <c r="I1767" s="17"/>
      <c r="J1767" s="17"/>
      <c r="K1767" s="17"/>
      <c r="L1767" s="17"/>
      <c r="M1767" s="17"/>
      <c r="N1767" s="17"/>
      <c r="O1767" s="17"/>
      <c r="P1767" s="17"/>
      <c r="Q1767" s="17"/>
      <c r="R1767" s="17"/>
      <c r="S1767" s="17"/>
      <c r="T1767" s="17"/>
      <c r="U1767" s="17"/>
      <c r="V1767" s="17"/>
      <c r="W1767" s="17"/>
      <c r="X1767" s="17"/>
      <c r="Y1767" s="17"/>
      <c r="Z1767" s="17"/>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7"/>
      <c r="AW1767" s="17"/>
      <c r="AX1767" s="17"/>
      <c r="AY1767" s="17"/>
      <c r="AZ1767" s="17"/>
      <c r="BA1767" s="17"/>
      <c r="BB1767" s="17"/>
      <c r="BC1767" s="17"/>
      <c r="BD1767" s="17"/>
      <c r="BE1767" s="17"/>
      <c r="BF1767" s="17"/>
      <c r="BG1767" s="17"/>
      <c r="BH1767" s="17"/>
      <c r="BI1767" s="17"/>
      <c r="BJ1767" s="17"/>
      <c r="BK1767" s="17"/>
      <c r="BL1767" s="17"/>
    </row>
    <row r="1768">
      <c r="A1768" s="17"/>
      <c r="B1768" s="17"/>
      <c r="C1768" s="17"/>
      <c r="D1768" s="17"/>
      <c r="E1768" s="17"/>
      <c r="F1768" s="17"/>
      <c r="G1768" s="17"/>
      <c r="H1768" s="356"/>
      <c r="I1768" s="17"/>
      <c r="J1768" s="17"/>
      <c r="K1768" s="17"/>
      <c r="L1768" s="17"/>
      <c r="M1768" s="17"/>
      <c r="N1768" s="17"/>
      <c r="O1768" s="17"/>
      <c r="P1768" s="17"/>
      <c r="Q1768" s="17"/>
      <c r="R1768" s="17"/>
      <c r="S1768" s="17"/>
      <c r="T1768" s="17"/>
      <c r="U1768" s="17"/>
      <c r="V1768" s="17"/>
      <c r="W1768" s="17"/>
      <c r="X1768" s="17"/>
      <c r="Y1768" s="17"/>
      <c r="Z1768" s="17"/>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7"/>
      <c r="AW1768" s="17"/>
      <c r="AX1768" s="17"/>
      <c r="AY1768" s="17"/>
      <c r="AZ1768" s="17"/>
      <c r="BA1768" s="17"/>
      <c r="BB1768" s="17"/>
      <c r="BC1768" s="17"/>
      <c r="BD1768" s="17"/>
      <c r="BE1768" s="17"/>
      <c r="BF1768" s="17"/>
      <c r="BG1768" s="17"/>
      <c r="BH1768" s="17"/>
      <c r="BI1768" s="17"/>
      <c r="BJ1768" s="17"/>
      <c r="BK1768" s="17"/>
      <c r="BL1768" s="17"/>
    </row>
    <row r="1769">
      <c r="A1769" s="17"/>
      <c r="B1769" s="17"/>
      <c r="C1769" s="17"/>
      <c r="D1769" s="17"/>
      <c r="E1769" s="17"/>
      <c r="F1769" s="17"/>
      <c r="G1769" s="17"/>
      <c r="H1769" s="356"/>
      <c r="I1769" s="17"/>
      <c r="J1769" s="17"/>
      <c r="K1769" s="17"/>
      <c r="L1769" s="17"/>
      <c r="M1769" s="17"/>
      <c r="N1769" s="17"/>
      <c r="O1769" s="17"/>
      <c r="P1769" s="17"/>
      <c r="Q1769" s="17"/>
      <c r="R1769" s="17"/>
      <c r="S1769" s="17"/>
      <c r="T1769" s="17"/>
      <c r="U1769" s="17"/>
      <c r="V1769" s="17"/>
      <c r="W1769" s="17"/>
      <c r="X1769" s="17"/>
      <c r="Y1769" s="17"/>
      <c r="Z1769" s="17"/>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7"/>
      <c r="AW1769" s="17"/>
      <c r="AX1769" s="17"/>
      <c r="AY1769" s="17"/>
      <c r="AZ1769" s="17"/>
      <c r="BA1769" s="17"/>
      <c r="BB1769" s="17"/>
      <c r="BC1769" s="17"/>
      <c r="BD1769" s="17"/>
      <c r="BE1769" s="17"/>
      <c r="BF1769" s="17"/>
      <c r="BG1769" s="17"/>
      <c r="BH1769" s="17"/>
      <c r="BI1769" s="17"/>
      <c r="BJ1769" s="17"/>
      <c r="BK1769" s="17"/>
      <c r="BL1769" s="17"/>
    </row>
    <row r="1770">
      <c r="A1770" s="17"/>
      <c r="B1770" s="17"/>
      <c r="C1770" s="17"/>
      <c r="D1770" s="17"/>
      <c r="E1770" s="17"/>
      <c r="F1770" s="17"/>
      <c r="G1770" s="17"/>
      <c r="H1770" s="356"/>
      <c r="I1770" s="17"/>
      <c r="J1770" s="17"/>
      <c r="K1770" s="17"/>
      <c r="L1770" s="17"/>
      <c r="M1770" s="17"/>
      <c r="N1770" s="17"/>
      <c r="O1770" s="17"/>
      <c r="P1770" s="17"/>
      <c r="Q1770" s="17"/>
      <c r="R1770" s="17"/>
      <c r="S1770" s="17"/>
      <c r="T1770" s="17"/>
      <c r="U1770" s="17"/>
      <c r="V1770" s="17"/>
      <c r="W1770" s="17"/>
      <c r="X1770" s="17"/>
      <c r="Y1770" s="17"/>
      <c r="Z1770" s="17"/>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7"/>
      <c r="AW1770" s="17"/>
      <c r="AX1770" s="17"/>
      <c r="AY1770" s="17"/>
      <c r="AZ1770" s="17"/>
      <c r="BA1770" s="17"/>
      <c r="BB1770" s="17"/>
      <c r="BC1770" s="17"/>
      <c r="BD1770" s="17"/>
      <c r="BE1770" s="17"/>
      <c r="BF1770" s="17"/>
      <c r="BG1770" s="17"/>
      <c r="BH1770" s="17"/>
      <c r="BI1770" s="17"/>
      <c r="BJ1770" s="17"/>
      <c r="BK1770" s="17"/>
      <c r="BL1770" s="17"/>
    </row>
    <row r="1771">
      <c r="A1771" s="17"/>
      <c r="B1771" s="17"/>
      <c r="C1771" s="17"/>
      <c r="D1771" s="17"/>
      <c r="E1771" s="17"/>
      <c r="F1771" s="17"/>
      <c r="G1771" s="17"/>
      <c r="H1771" s="356"/>
      <c r="I1771" s="17"/>
      <c r="J1771" s="17"/>
      <c r="K1771" s="17"/>
      <c r="L1771" s="17"/>
      <c r="M1771" s="17"/>
      <c r="N1771" s="17"/>
      <c r="O1771" s="17"/>
      <c r="P1771" s="17"/>
      <c r="Q1771" s="17"/>
      <c r="R1771" s="17"/>
      <c r="S1771" s="17"/>
      <c r="T1771" s="17"/>
      <c r="U1771" s="17"/>
      <c r="V1771" s="17"/>
      <c r="W1771" s="17"/>
      <c r="X1771" s="17"/>
      <c r="Y1771" s="17"/>
      <c r="Z1771" s="17"/>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7"/>
      <c r="AW1771" s="17"/>
      <c r="AX1771" s="17"/>
      <c r="AY1771" s="17"/>
      <c r="AZ1771" s="17"/>
      <c r="BA1771" s="17"/>
      <c r="BB1771" s="17"/>
      <c r="BC1771" s="17"/>
      <c r="BD1771" s="17"/>
      <c r="BE1771" s="17"/>
      <c r="BF1771" s="17"/>
      <c r="BG1771" s="17"/>
      <c r="BH1771" s="17"/>
      <c r="BI1771" s="17"/>
      <c r="BJ1771" s="17"/>
      <c r="BK1771" s="17"/>
      <c r="BL1771" s="17"/>
    </row>
    <row r="1772">
      <c r="A1772" s="17"/>
      <c r="B1772" s="17"/>
      <c r="C1772" s="17"/>
      <c r="D1772" s="17"/>
      <c r="E1772" s="17"/>
      <c r="F1772" s="17"/>
      <c r="G1772" s="17"/>
      <c r="H1772" s="356"/>
      <c r="I1772" s="17"/>
      <c r="J1772" s="17"/>
      <c r="K1772" s="17"/>
      <c r="L1772" s="17"/>
      <c r="M1772" s="17"/>
      <c r="N1772" s="17"/>
      <c r="O1772" s="17"/>
      <c r="P1772" s="17"/>
      <c r="Q1772" s="17"/>
      <c r="R1772" s="17"/>
      <c r="S1772" s="17"/>
      <c r="T1772" s="17"/>
      <c r="U1772" s="17"/>
      <c r="V1772" s="17"/>
      <c r="W1772" s="17"/>
      <c r="X1772" s="17"/>
      <c r="Y1772" s="17"/>
      <c r="Z1772" s="17"/>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7"/>
      <c r="AW1772" s="17"/>
      <c r="AX1772" s="17"/>
      <c r="AY1772" s="17"/>
      <c r="AZ1772" s="17"/>
      <c r="BA1772" s="17"/>
      <c r="BB1772" s="17"/>
      <c r="BC1772" s="17"/>
      <c r="BD1772" s="17"/>
      <c r="BE1772" s="17"/>
      <c r="BF1772" s="17"/>
      <c r="BG1772" s="17"/>
      <c r="BH1772" s="17"/>
      <c r="BI1772" s="17"/>
      <c r="BJ1772" s="17"/>
      <c r="BK1772" s="17"/>
      <c r="BL1772" s="17"/>
    </row>
    <row r="1773">
      <c r="A1773" s="17"/>
      <c r="B1773" s="17"/>
      <c r="C1773" s="17"/>
      <c r="D1773" s="17"/>
      <c r="E1773" s="17"/>
      <c r="F1773" s="17"/>
      <c r="G1773" s="17"/>
      <c r="H1773" s="356"/>
      <c r="I1773" s="17"/>
      <c r="J1773" s="17"/>
      <c r="K1773" s="17"/>
      <c r="L1773" s="17"/>
      <c r="M1773" s="17"/>
      <c r="N1773" s="17"/>
      <c r="O1773" s="17"/>
      <c r="P1773" s="17"/>
      <c r="Q1773" s="17"/>
      <c r="R1773" s="17"/>
      <c r="S1773" s="17"/>
      <c r="T1773" s="17"/>
      <c r="U1773" s="17"/>
      <c r="V1773" s="17"/>
      <c r="W1773" s="17"/>
      <c r="X1773" s="17"/>
      <c r="Y1773" s="17"/>
      <c r="Z1773" s="17"/>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7"/>
      <c r="AW1773" s="17"/>
      <c r="AX1773" s="17"/>
      <c r="AY1773" s="17"/>
      <c r="AZ1773" s="17"/>
      <c r="BA1773" s="17"/>
      <c r="BB1773" s="17"/>
      <c r="BC1773" s="17"/>
      <c r="BD1773" s="17"/>
      <c r="BE1773" s="17"/>
      <c r="BF1773" s="17"/>
      <c r="BG1773" s="17"/>
      <c r="BH1773" s="17"/>
      <c r="BI1773" s="17"/>
      <c r="BJ1773" s="17"/>
      <c r="BK1773" s="17"/>
      <c r="BL1773" s="17"/>
    </row>
    <row r="1774">
      <c r="A1774" s="17"/>
      <c r="B1774" s="17"/>
      <c r="C1774" s="17"/>
      <c r="D1774" s="17"/>
      <c r="E1774" s="17"/>
      <c r="F1774" s="17"/>
      <c r="G1774" s="17"/>
      <c r="H1774" s="356"/>
      <c r="I1774" s="17"/>
      <c r="J1774" s="17"/>
      <c r="K1774" s="17"/>
      <c r="L1774" s="17"/>
      <c r="M1774" s="17"/>
      <c r="N1774" s="17"/>
      <c r="O1774" s="17"/>
      <c r="P1774" s="17"/>
      <c r="Q1774" s="17"/>
      <c r="R1774" s="17"/>
      <c r="S1774" s="17"/>
      <c r="T1774" s="17"/>
      <c r="U1774" s="17"/>
      <c r="V1774" s="17"/>
      <c r="W1774" s="17"/>
      <c r="X1774" s="17"/>
      <c r="Y1774" s="17"/>
      <c r="Z1774" s="17"/>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7"/>
      <c r="AW1774" s="17"/>
      <c r="AX1774" s="17"/>
      <c r="AY1774" s="17"/>
      <c r="AZ1774" s="17"/>
      <c r="BA1774" s="17"/>
      <c r="BB1774" s="17"/>
      <c r="BC1774" s="17"/>
      <c r="BD1774" s="17"/>
      <c r="BE1774" s="17"/>
      <c r="BF1774" s="17"/>
      <c r="BG1774" s="17"/>
      <c r="BH1774" s="17"/>
      <c r="BI1774" s="17"/>
      <c r="BJ1774" s="17"/>
      <c r="BK1774" s="17"/>
      <c r="BL1774" s="17"/>
    </row>
    <row r="1775">
      <c r="A1775" s="17"/>
      <c r="B1775" s="17"/>
      <c r="C1775" s="17"/>
      <c r="D1775" s="17"/>
      <c r="E1775" s="17"/>
      <c r="F1775" s="17"/>
      <c r="G1775" s="17"/>
      <c r="H1775" s="356"/>
      <c r="I1775" s="17"/>
      <c r="J1775" s="17"/>
      <c r="K1775" s="17"/>
      <c r="L1775" s="17"/>
      <c r="M1775" s="17"/>
      <c r="N1775" s="17"/>
      <c r="O1775" s="17"/>
      <c r="P1775" s="17"/>
      <c r="Q1775" s="17"/>
      <c r="R1775" s="17"/>
      <c r="S1775" s="17"/>
      <c r="T1775" s="17"/>
      <c r="U1775" s="17"/>
      <c r="V1775" s="17"/>
      <c r="W1775" s="17"/>
      <c r="X1775" s="17"/>
      <c r="Y1775" s="17"/>
      <c r="Z1775" s="17"/>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7"/>
      <c r="AW1775" s="17"/>
      <c r="AX1775" s="17"/>
      <c r="AY1775" s="17"/>
      <c r="AZ1775" s="17"/>
      <c r="BA1775" s="17"/>
      <c r="BB1775" s="17"/>
      <c r="BC1775" s="17"/>
      <c r="BD1775" s="17"/>
      <c r="BE1775" s="17"/>
      <c r="BF1775" s="17"/>
      <c r="BG1775" s="17"/>
      <c r="BH1775" s="17"/>
      <c r="BI1775" s="17"/>
      <c r="BJ1775" s="17"/>
      <c r="BK1775" s="17"/>
      <c r="BL1775" s="17"/>
    </row>
    <row r="1776">
      <c r="A1776" s="17"/>
      <c r="B1776" s="17"/>
      <c r="C1776" s="17"/>
      <c r="D1776" s="17"/>
      <c r="E1776" s="17"/>
      <c r="F1776" s="17"/>
      <c r="G1776" s="17"/>
      <c r="H1776" s="356"/>
      <c r="I1776" s="17"/>
      <c r="J1776" s="17"/>
      <c r="K1776" s="17"/>
      <c r="L1776" s="17"/>
      <c r="M1776" s="17"/>
      <c r="N1776" s="17"/>
      <c r="O1776" s="17"/>
      <c r="P1776" s="17"/>
      <c r="Q1776" s="17"/>
      <c r="R1776" s="17"/>
      <c r="S1776" s="17"/>
      <c r="T1776" s="17"/>
      <c r="U1776" s="17"/>
      <c r="V1776" s="17"/>
      <c r="W1776" s="17"/>
      <c r="X1776" s="17"/>
      <c r="Y1776" s="17"/>
      <c r="Z1776" s="17"/>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7"/>
      <c r="AW1776" s="17"/>
      <c r="AX1776" s="17"/>
      <c r="AY1776" s="17"/>
      <c r="AZ1776" s="17"/>
      <c r="BA1776" s="17"/>
      <c r="BB1776" s="17"/>
      <c r="BC1776" s="17"/>
      <c r="BD1776" s="17"/>
      <c r="BE1776" s="17"/>
      <c r="BF1776" s="17"/>
      <c r="BG1776" s="17"/>
      <c r="BH1776" s="17"/>
      <c r="BI1776" s="17"/>
      <c r="BJ1776" s="17"/>
      <c r="BK1776" s="17"/>
      <c r="BL1776" s="17"/>
    </row>
    <row r="1777">
      <c r="A1777" s="17"/>
      <c r="B1777" s="17"/>
      <c r="C1777" s="17"/>
      <c r="D1777" s="17"/>
      <c r="E1777" s="17"/>
      <c r="F1777" s="17"/>
      <c r="G1777" s="17"/>
      <c r="H1777" s="356"/>
      <c r="I1777" s="17"/>
      <c r="J1777" s="17"/>
      <c r="K1777" s="17"/>
      <c r="L1777" s="17"/>
      <c r="M1777" s="17"/>
      <c r="N1777" s="17"/>
      <c r="O1777" s="17"/>
      <c r="P1777" s="17"/>
      <c r="Q1777" s="17"/>
      <c r="R1777" s="17"/>
      <c r="S1777" s="17"/>
      <c r="T1777" s="17"/>
      <c r="U1777" s="17"/>
      <c r="V1777" s="17"/>
      <c r="W1777" s="17"/>
      <c r="X1777" s="17"/>
      <c r="Y1777" s="17"/>
      <c r="Z1777" s="17"/>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7"/>
      <c r="AW1777" s="17"/>
      <c r="AX1777" s="17"/>
      <c r="AY1777" s="17"/>
      <c r="AZ1777" s="17"/>
      <c r="BA1777" s="17"/>
      <c r="BB1777" s="17"/>
      <c r="BC1777" s="17"/>
      <c r="BD1777" s="17"/>
      <c r="BE1777" s="17"/>
      <c r="BF1777" s="17"/>
      <c r="BG1777" s="17"/>
      <c r="BH1777" s="17"/>
      <c r="BI1777" s="17"/>
      <c r="BJ1777" s="17"/>
      <c r="BK1777" s="17"/>
      <c r="BL1777" s="17"/>
    </row>
    <row r="1778">
      <c r="A1778" s="17"/>
      <c r="B1778" s="17"/>
      <c r="C1778" s="17"/>
      <c r="D1778" s="17"/>
      <c r="E1778" s="17"/>
      <c r="F1778" s="17"/>
      <c r="G1778" s="17"/>
      <c r="H1778" s="356"/>
      <c r="I1778" s="17"/>
      <c r="J1778" s="17"/>
      <c r="K1778" s="17"/>
      <c r="L1778" s="17"/>
      <c r="M1778" s="17"/>
      <c r="N1778" s="17"/>
      <c r="O1778" s="17"/>
      <c r="P1778" s="17"/>
      <c r="Q1778" s="17"/>
      <c r="R1778" s="17"/>
      <c r="S1778" s="17"/>
      <c r="T1778" s="17"/>
      <c r="U1778" s="17"/>
      <c r="V1778" s="17"/>
      <c r="W1778" s="17"/>
      <c r="X1778" s="17"/>
      <c r="Y1778" s="17"/>
      <c r="Z1778" s="17"/>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7"/>
      <c r="AW1778" s="17"/>
      <c r="AX1778" s="17"/>
      <c r="AY1778" s="17"/>
      <c r="AZ1778" s="17"/>
      <c r="BA1778" s="17"/>
      <c r="BB1778" s="17"/>
      <c r="BC1778" s="17"/>
      <c r="BD1778" s="17"/>
      <c r="BE1778" s="17"/>
      <c r="BF1778" s="17"/>
      <c r="BG1778" s="17"/>
      <c r="BH1778" s="17"/>
      <c r="BI1778" s="17"/>
      <c r="BJ1778" s="17"/>
      <c r="BK1778" s="17"/>
      <c r="BL1778" s="17"/>
    </row>
    <row r="1779">
      <c r="A1779" s="17"/>
      <c r="B1779" s="17"/>
      <c r="C1779" s="17"/>
      <c r="D1779" s="17"/>
      <c r="E1779" s="17"/>
      <c r="F1779" s="17"/>
      <c r="G1779" s="17"/>
      <c r="H1779" s="356"/>
      <c r="I1779" s="17"/>
      <c r="J1779" s="17"/>
      <c r="K1779" s="17"/>
      <c r="L1779" s="17"/>
      <c r="M1779" s="17"/>
      <c r="N1779" s="17"/>
      <c r="O1779" s="17"/>
      <c r="P1779" s="17"/>
      <c r="Q1779" s="17"/>
      <c r="R1779" s="17"/>
      <c r="S1779" s="17"/>
      <c r="T1779" s="17"/>
      <c r="U1779" s="17"/>
      <c r="V1779" s="17"/>
      <c r="W1779" s="17"/>
      <c r="X1779" s="17"/>
      <c r="Y1779" s="17"/>
      <c r="Z1779" s="17"/>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7"/>
      <c r="AW1779" s="17"/>
      <c r="AX1779" s="17"/>
      <c r="AY1779" s="17"/>
      <c r="AZ1779" s="17"/>
      <c r="BA1779" s="17"/>
      <c r="BB1779" s="17"/>
      <c r="BC1779" s="17"/>
      <c r="BD1779" s="17"/>
      <c r="BE1779" s="17"/>
      <c r="BF1779" s="17"/>
      <c r="BG1779" s="17"/>
      <c r="BH1779" s="17"/>
      <c r="BI1779" s="17"/>
      <c r="BJ1779" s="17"/>
      <c r="BK1779" s="17"/>
      <c r="BL1779" s="17"/>
    </row>
    <row r="1780">
      <c r="A1780" s="17"/>
      <c r="B1780" s="17"/>
      <c r="C1780" s="17"/>
      <c r="D1780" s="17"/>
      <c r="E1780" s="17"/>
      <c r="F1780" s="17"/>
      <c r="G1780" s="17"/>
      <c r="H1780" s="356"/>
      <c r="I1780" s="17"/>
      <c r="J1780" s="17"/>
      <c r="K1780" s="17"/>
      <c r="L1780" s="17"/>
      <c r="M1780" s="17"/>
      <c r="N1780" s="17"/>
      <c r="O1780" s="17"/>
      <c r="P1780" s="17"/>
      <c r="Q1780" s="17"/>
      <c r="R1780" s="17"/>
      <c r="S1780" s="17"/>
      <c r="T1780" s="17"/>
      <c r="U1780" s="17"/>
      <c r="V1780" s="17"/>
      <c r="W1780" s="17"/>
      <c r="X1780" s="17"/>
      <c r="Y1780" s="17"/>
      <c r="Z1780" s="17"/>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7"/>
      <c r="AW1780" s="17"/>
      <c r="AX1780" s="17"/>
      <c r="AY1780" s="17"/>
      <c r="AZ1780" s="17"/>
      <c r="BA1780" s="17"/>
      <c r="BB1780" s="17"/>
      <c r="BC1780" s="17"/>
      <c r="BD1780" s="17"/>
      <c r="BE1780" s="17"/>
      <c r="BF1780" s="17"/>
      <c r="BG1780" s="17"/>
      <c r="BH1780" s="17"/>
      <c r="BI1780" s="17"/>
      <c r="BJ1780" s="17"/>
      <c r="BK1780" s="17"/>
      <c r="BL1780" s="17"/>
    </row>
    <row r="1781">
      <c r="A1781" s="17"/>
      <c r="B1781" s="17"/>
      <c r="C1781" s="17"/>
      <c r="D1781" s="17"/>
      <c r="E1781" s="17"/>
      <c r="F1781" s="17"/>
      <c r="G1781" s="17"/>
      <c r="H1781" s="356"/>
      <c r="I1781" s="17"/>
      <c r="J1781" s="17"/>
      <c r="K1781" s="17"/>
      <c r="L1781" s="17"/>
      <c r="M1781" s="17"/>
      <c r="N1781" s="17"/>
      <c r="O1781" s="17"/>
      <c r="P1781" s="17"/>
      <c r="Q1781" s="17"/>
      <c r="R1781" s="17"/>
      <c r="S1781" s="17"/>
      <c r="T1781" s="17"/>
      <c r="U1781" s="17"/>
      <c r="V1781" s="17"/>
      <c r="W1781" s="17"/>
      <c r="X1781" s="17"/>
      <c r="Y1781" s="17"/>
      <c r="Z1781" s="17"/>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7"/>
      <c r="AW1781" s="17"/>
      <c r="AX1781" s="17"/>
      <c r="AY1781" s="17"/>
      <c r="AZ1781" s="17"/>
      <c r="BA1781" s="17"/>
      <c r="BB1781" s="17"/>
      <c r="BC1781" s="17"/>
      <c r="BD1781" s="17"/>
      <c r="BE1781" s="17"/>
      <c r="BF1781" s="17"/>
      <c r="BG1781" s="17"/>
      <c r="BH1781" s="17"/>
      <c r="BI1781" s="17"/>
      <c r="BJ1781" s="17"/>
      <c r="BK1781" s="17"/>
      <c r="BL1781" s="17"/>
    </row>
    <row r="1782">
      <c r="A1782" s="17"/>
      <c r="B1782" s="17"/>
      <c r="C1782" s="17"/>
      <c r="D1782" s="17"/>
      <c r="E1782" s="17"/>
      <c r="F1782" s="17"/>
      <c r="G1782" s="17"/>
      <c r="H1782" s="356"/>
      <c r="I1782" s="17"/>
      <c r="J1782" s="17"/>
      <c r="K1782" s="17"/>
      <c r="L1782" s="17"/>
      <c r="M1782" s="17"/>
      <c r="N1782" s="17"/>
      <c r="O1782" s="17"/>
      <c r="P1782" s="17"/>
      <c r="Q1782" s="17"/>
      <c r="R1782" s="17"/>
      <c r="S1782" s="17"/>
      <c r="T1782" s="17"/>
      <c r="U1782" s="17"/>
      <c r="V1782" s="17"/>
      <c r="W1782" s="17"/>
      <c r="X1782" s="17"/>
      <c r="Y1782" s="17"/>
      <c r="Z1782" s="17"/>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7"/>
      <c r="AW1782" s="17"/>
      <c r="AX1782" s="17"/>
      <c r="AY1782" s="17"/>
      <c r="AZ1782" s="17"/>
      <c r="BA1782" s="17"/>
      <c r="BB1782" s="17"/>
      <c r="BC1782" s="17"/>
      <c r="BD1782" s="17"/>
      <c r="BE1782" s="17"/>
      <c r="BF1782" s="17"/>
      <c r="BG1782" s="17"/>
      <c r="BH1782" s="17"/>
      <c r="BI1782" s="17"/>
      <c r="BJ1782" s="17"/>
      <c r="BK1782" s="17"/>
      <c r="BL1782" s="17"/>
    </row>
    <row r="1783">
      <c r="A1783" s="17"/>
      <c r="B1783" s="17"/>
      <c r="C1783" s="17"/>
      <c r="D1783" s="17"/>
      <c r="E1783" s="17"/>
      <c r="F1783" s="17"/>
      <c r="G1783" s="17"/>
      <c r="H1783" s="356"/>
      <c r="I1783" s="17"/>
      <c r="J1783" s="17"/>
      <c r="K1783" s="17"/>
      <c r="L1783" s="17"/>
      <c r="M1783" s="17"/>
      <c r="N1783" s="17"/>
      <c r="O1783" s="17"/>
      <c r="P1783" s="17"/>
      <c r="Q1783" s="17"/>
      <c r="R1783" s="17"/>
      <c r="S1783" s="17"/>
      <c r="T1783" s="17"/>
      <c r="U1783" s="17"/>
      <c r="V1783" s="17"/>
      <c r="W1783" s="17"/>
      <c r="X1783" s="17"/>
      <c r="Y1783" s="17"/>
      <c r="Z1783" s="17"/>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7"/>
      <c r="AW1783" s="17"/>
      <c r="AX1783" s="17"/>
      <c r="AY1783" s="17"/>
      <c r="AZ1783" s="17"/>
      <c r="BA1783" s="17"/>
      <c r="BB1783" s="17"/>
      <c r="BC1783" s="17"/>
      <c r="BD1783" s="17"/>
      <c r="BE1783" s="17"/>
      <c r="BF1783" s="17"/>
      <c r="BG1783" s="17"/>
      <c r="BH1783" s="17"/>
      <c r="BI1783" s="17"/>
      <c r="BJ1783" s="17"/>
      <c r="BK1783" s="17"/>
      <c r="BL1783" s="17"/>
    </row>
    <row r="1784">
      <c r="A1784" s="17"/>
      <c r="B1784" s="17"/>
      <c r="C1784" s="17"/>
      <c r="D1784" s="17"/>
      <c r="E1784" s="17"/>
      <c r="F1784" s="17"/>
      <c r="G1784" s="17"/>
      <c r="H1784" s="356"/>
      <c r="I1784" s="17"/>
      <c r="J1784" s="17"/>
      <c r="K1784" s="17"/>
      <c r="L1784" s="17"/>
      <c r="M1784" s="17"/>
      <c r="N1784" s="17"/>
      <c r="O1784" s="17"/>
      <c r="P1784" s="17"/>
      <c r="Q1784" s="17"/>
      <c r="R1784" s="17"/>
      <c r="S1784" s="17"/>
      <c r="T1784" s="17"/>
      <c r="U1784" s="17"/>
      <c r="V1784" s="17"/>
      <c r="W1784" s="17"/>
      <c r="X1784" s="17"/>
      <c r="Y1784" s="17"/>
      <c r="Z1784" s="17"/>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7"/>
      <c r="AW1784" s="17"/>
      <c r="AX1784" s="17"/>
      <c r="AY1784" s="17"/>
      <c r="AZ1784" s="17"/>
      <c r="BA1784" s="17"/>
      <c r="BB1784" s="17"/>
      <c r="BC1784" s="17"/>
      <c r="BD1784" s="17"/>
      <c r="BE1784" s="17"/>
      <c r="BF1784" s="17"/>
      <c r="BG1784" s="17"/>
      <c r="BH1784" s="17"/>
      <c r="BI1784" s="17"/>
      <c r="BJ1784" s="17"/>
      <c r="BK1784" s="17"/>
      <c r="BL1784" s="17"/>
    </row>
    <row r="1785">
      <c r="A1785" s="17"/>
      <c r="B1785" s="17"/>
      <c r="C1785" s="17"/>
      <c r="D1785" s="17"/>
      <c r="E1785" s="17"/>
      <c r="F1785" s="17"/>
      <c r="G1785" s="17"/>
      <c r="H1785" s="356"/>
      <c r="I1785" s="17"/>
      <c r="J1785" s="17"/>
      <c r="K1785" s="17"/>
      <c r="L1785" s="17"/>
      <c r="M1785" s="17"/>
      <c r="N1785" s="17"/>
      <c r="O1785" s="17"/>
      <c r="P1785" s="17"/>
      <c r="Q1785" s="17"/>
      <c r="R1785" s="17"/>
      <c r="S1785" s="17"/>
      <c r="T1785" s="17"/>
      <c r="U1785" s="17"/>
      <c r="V1785" s="17"/>
      <c r="W1785" s="17"/>
      <c r="X1785" s="17"/>
      <c r="Y1785" s="17"/>
      <c r="Z1785" s="17"/>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7"/>
      <c r="AW1785" s="17"/>
      <c r="AX1785" s="17"/>
      <c r="AY1785" s="17"/>
      <c r="AZ1785" s="17"/>
      <c r="BA1785" s="17"/>
      <c r="BB1785" s="17"/>
      <c r="BC1785" s="17"/>
      <c r="BD1785" s="17"/>
      <c r="BE1785" s="17"/>
      <c r="BF1785" s="17"/>
      <c r="BG1785" s="17"/>
      <c r="BH1785" s="17"/>
      <c r="BI1785" s="17"/>
      <c r="BJ1785" s="17"/>
      <c r="BK1785" s="17"/>
      <c r="BL1785" s="17"/>
    </row>
    <row r="1786">
      <c r="A1786" s="17"/>
      <c r="B1786" s="17"/>
      <c r="C1786" s="17"/>
      <c r="D1786" s="17"/>
      <c r="E1786" s="17"/>
      <c r="F1786" s="17"/>
      <c r="G1786" s="17"/>
      <c r="H1786" s="356"/>
      <c r="I1786" s="17"/>
      <c r="J1786" s="17"/>
      <c r="K1786" s="17"/>
      <c r="L1786" s="17"/>
      <c r="M1786" s="17"/>
      <c r="N1786" s="17"/>
      <c r="O1786" s="17"/>
      <c r="P1786" s="17"/>
      <c r="Q1786" s="17"/>
      <c r="R1786" s="17"/>
      <c r="S1786" s="17"/>
      <c r="T1786" s="17"/>
      <c r="U1786" s="17"/>
      <c r="V1786" s="17"/>
      <c r="W1786" s="17"/>
      <c r="X1786" s="17"/>
      <c r="Y1786" s="17"/>
      <c r="Z1786" s="17"/>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7"/>
      <c r="AW1786" s="17"/>
      <c r="AX1786" s="17"/>
      <c r="AY1786" s="17"/>
      <c r="AZ1786" s="17"/>
      <c r="BA1786" s="17"/>
      <c r="BB1786" s="17"/>
      <c r="BC1786" s="17"/>
      <c r="BD1786" s="17"/>
      <c r="BE1786" s="17"/>
      <c r="BF1786" s="17"/>
      <c r="BG1786" s="17"/>
      <c r="BH1786" s="17"/>
      <c r="BI1786" s="17"/>
      <c r="BJ1786" s="17"/>
      <c r="BK1786" s="17"/>
      <c r="BL1786" s="17"/>
    </row>
    <row r="1787">
      <c r="A1787" s="17"/>
      <c r="B1787" s="17"/>
      <c r="C1787" s="17"/>
      <c r="D1787" s="17"/>
      <c r="E1787" s="17"/>
      <c r="F1787" s="17"/>
      <c r="G1787" s="17"/>
      <c r="H1787" s="356"/>
      <c r="I1787" s="17"/>
      <c r="J1787" s="17"/>
      <c r="K1787" s="17"/>
      <c r="L1787" s="17"/>
      <c r="M1787" s="17"/>
      <c r="N1787" s="17"/>
      <c r="O1787" s="17"/>
      <c r="P1787" s="17"/>
      <c r="Q1787" s="17"/>
      <c r="R1787" s="17"/>
      <c r="S1787" s="17"/>
      <c r="T1787" s="17"/>
      <c r="U1787" s="17"/>
      <c r="V1787" s="17"/>
      <c r="W1787" s="17"/>
      <c r="X1787" s="17"/>
      <c r="Y1787" s="17"/>
      <c r="Z1787" s="17"/>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7"/>
      <c r="AW1787" s="17"/>
      <c r="AX1787" s="17"/>
      <c r="AY1787" s="17"/>
      <c r="AZ1787" s="17"/>
      <c r="BA1787" s="17"/>
      <c r="BB1787" s="17"/>
      <c r="BC1787" s="17"/>
      <c r="BD1787" s="17"/>
      <c r="BE1787" s="17"/>
      <c r="BF1787" s="17"/>
      <c r="BG1787" s="17"/>
      <c r="BH1787" s="17"/>
      <c r="BI1787" s="17"/>
      <c r="BJ1787" s="17"/>
      <c r="BK1787" s="17"/>
      <c r="BL1787" s="17"/>
    </row>
    <row r="1788">
      <c r="A1788" s="17"/>
      <c r="B1788" s="17"/>
      <c r="C1788" s="17"/>
      <c r="D1788" s="17"/>
      <c r="E1788" s="17"/>
      <c r="F1788" s="17"/>
      <c r="G1788" s="17"/>
      <c r="H1788" s="356"/>
      <c r="I1788" s="17"/>
      <c r="J1788" s="17"/>
      <c r="K1788" s="17"/>
      <c r="L1788" s="17"/>
      <c r="M1788" s="17"/>
      <c r="N1788" s="17"/>
      <c r="O1788" s="17"/>
      <c r="P1788" s="17"/>
      <c r="Q1788" s="17"/>
      <c r="R1788" s="17"/>
      <c r="S1788" s="17"/>
      <c r="T1788" s="17"/>
      <c r="U1788" s="17"/>
      <c r="V1788" s="17"/>
      <c r="W1788" s="17"/>
      <c r="X1788" s="17"/>
      <c r="Y1788" s="17"/>
      <c r="Z1788" s="17"/>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7"/>
      <c r="AW1788" s="17"/>
      <c r="AX1788" s="17"/>
      <c r="AY1788" s="17"/>
      <c r="AZ1788" s="17"/>
      <c r="BA1788" s="17"/>
      <c r="BB1788" s="17"/>
      <c r="BC1788" s="17"/>
      <c r="BD1788" s="17"/>
      <c r="BE1788" s="17"/>
      <c r="BF1788" s="17"/>
      <c r="BG1788" s="17"/>
      <c r="BH1788" s="17"/>
      <c r="BI1788" s="17"/>
      <c r="BJ1788" s="17"/>
      <c r="BK1788" s="17"/>
      <c r="BL1788" s="17"/>
    </row>
    <row r="1789">
      <c r="A1789" s="17"/>
      <c r="B1789" s="17"/>
      <c r="C1789" s="17"/>
      <c r="D1789" s="17"/>
      <c r="E1789" s="17"/>
      <c r="F1789" s="17"/>
      <c r="G1789" s="17"/>
      <c r="H1789" s="356"/>
      <c r="I1789" s="17"/>
      <c r="J1789" s="17"/>
      <c r="K1789" s="17"/>
      <c r="L1789" s="17"/>
      <c r="M1789" s="17"/>
      <c r="N1789" s="17"/>
      <c r="O1789" s="17"/>
      <c r="P1789" s="17"/>
      <c r="Q1789" s="17"/>
      <c r="R1789" s="17"/>
      <c r="S1789" s="17"/>
      <c r="T1789" s="17"/>
      <c r="U1789" s="17"/>
      <c r="V1789" s="17"/>
      <c r="W1789" s="17"/>
      <c r="X1789" s="17"/>
      <c r="Y1789" s="17"/>
      <c r="Z1789" s="17"/>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7"/>
      <c r="AW1789" s="17"/>
      <c r="AX1789" s="17"/>
      <c r="AY1789" s="17"/>
      <c r="AZ1789" s="17"/>
      <c r="BA1789" s="17"/>
      <c r="BB1789" s="17"/>
      <c r="BC1789" s="17"/>
      <c r="BD1789" s="17"/>
      <c r="BE1789" s="17"/>
      <c r="BF1789" s="17"/>
      <c r="BG1789" s="17"/>
      <c r="BH1789" s="17"/>
      <c r="BI1789" s="17"/>
      <c r="BJ1789" s="17"/>
      <c r="BK1789" s="17"/>
      <c r="BL1789" s="17"/>
    </row>
    <row r="1790">
      <c r="A1790" s="17"/>
      <c r="B1790" s="17"/>
      <c r="C1790" s="17"/>
      <c r="D1790" s="17"/>
      <c r="E1790" s="17"/>
      <c r="F1790" s="17"/>
      <c r="G1790" s="17"/>
      <c r="H1790" s="356"/>
      <c r="I1790" s="17"/>
      <c r="J1790" s="17"/>
      <c r="K1790" s="17"/>
      <c r="L1790" s="17"/>
      <c r="M1790" s="17"/>
      <c r="N1790" s="17"/>
      <c r="O1790" s="17"/>
      <c r="P1790" s="17"/>
      <c r="Q1790" s="17"/>
      <c r="R1790" s="17"/>
      <c r="S1790" s="17"/>
      <c r="T1790" s="17"/>
      <c r="U1790" s="17"/>
      <c r="V1790" s="17"/>
      <c r="W1790" s="17"/>
      <c r="X1790" s="17"/>
      <c r="Y1790" s="17"/>
      <c r="Z1790" s="17"/>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7"/>
      <c r="AW1790" s="17"/>
      <c r="AX1790" s="17"/>
      <c r="AY1790" s="17"/>
      <c r="AZ1790" s="17"/>
      <c r="BA1790" s="17"/>
      <c r="BB1790" s="17"/>
      <c r="BC1790" s="17"/>
      <c r="BD1790" s="17"/>
      <c r="BE1790" s="17"/>
      <c r="BF1790" s="17"/>
      <c r="BG1790" s="17"/>
      <c r="BH1790" s="17"/>
      <c r="BI1790" s="17"/>
      <c r="BJ1790" s="17"/>
      <c r="BK1790" s="17"/>
      <c r="BL1790" s="17"/>
    </row>
    <row r="1791">
      <c r="A1791" s="17"/>
      <c r="B1791" s="17"/>
      <c r="C1791" s="17"/>
      <c r="D1791" s="17"/>
      <c r="E1791" s="17"/>
      <c r="F1791" s="17"/>
      <c r="G1791" s="17"/>
      <c r="H1791" s="356"/>
      <c r="I1791" s="17"/>
      <c r="J1791" s="17"/>
      <c r="K1791" s="17"/>
      <c r="L1791" s="17"/>
      <c r="M1791" s="17"/>
      <c r="N1791" s="17"/>
      <c r="O1791" s="17"/>
      <c r="P1791" s="17"/>
      <c r="Q1791" s="17"/>
      <c r="R1791" s="17"/>
      <c r="S1791" s="17"/>
      <c r="T1791" s="17"/>
      <c r="U1791" s="17"/>
      <c r="V1791" s="17"/>
      <c r="W1791" s="17"/>
      <c r="X1791" s="17"/>
      <c r="Y1791" s="17"/>
      <c r="Z1791" s="17"/>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7"/>
      <c r="AW1791" s="17"/>
      <c r="AX1791" s="17"/>
      <c r="AY1791" s="17"/>
      <c r="AZ1791" s="17"/>
      <c r="BA1791" s="17"/>
      <c r="BB1791" s="17"/>
      <c r="BC1791" s="17"/>
      <c r="BD1791" s="17"/>
      <c r="BE1791" s="17"/>
      <c r="BF1791" s="17"/>
      <c r="BG1791" s="17"/>
      <c r="BH1791" s="17"/>
      <c r="BI1791" s="17"/>
      <c r="BJ1791" s="17"/>
      <c r="BK1791" s="17"/>
      <c r="BL1791" s="17"/>
    </row>
    <row r="1792">
      <c r="A1792" s="17"/>
      <c r="B1792" s="17"/>
      <c r="C1792" s="17"/>
      <c r="D1792" s="17"/>
      <c r="E1792" s="17"/>
      <c r="F1792" s="17"/>
      <c r="G1792" s="17"/>
      <c r="H1792" s="356"/>
      <c r="I1792" s="17"/>
      <c r="J1792" s="17"/>
      <c r="K1792" s="17"/>
      <c r="L1792" s="17"/>
      <c r="M1792" s="17"/>
      <c r="N1792" s="17"/>
      <c r="O1792" s="17"/>
      <c r="P1792" s="17"/>
      <c r="Q1792" s="17"/>
      <c r="R1792" s="17"/>
      <c r="S1792" s="17"/>
      <c r="T1792" s="17"/>
      <c r="U1792" s="17"/>
      <c r="V1792" s="17"/>
      <c r="W1792" s="17"/>
      <c r="X1792" s="17"/>
      <c r="Y1792" s="17"/>
      <c r="Z1792" s="17"/>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c r="AV1792" s="17"/>
      <c r="AW1792" s="17"/>
      <c r="AX1792" s="17"/>
      <c r="AY1792" s="17"/>
      <c r="AZ1792" s="17"/>
      <c r="BA1792" s="17"/>
      <c r="BB1792" s="17"/>
      <c r="BC1792" s="17"/>
      <c r="BD1792" s="17"/>
      <c r="BE1792" s="17"/>
      <c r="BF1792" s="17"/>
      <c r="BG1792" s="17"/>
      <c r="BH1792" s="17"/>
      <c r="BI1792" s="17"/>
      <c r="BJ1792" s="17"/>
      <c r="BK1792" s="17"/>
      <c r="BL1792" s="17"/>
    </row>
    <row r="1793">
      <c r="A1793" s="17"/>
      <c r="B1793" s="17"/>
      <c r="C1793" s="17"/>
      <c r="D1793" s="17"/>
      <c r="E1793" s="17"/>
      <c r="F1793" s="17"/>
      <c r="G1793" s="17"/>
      <c r="H1793" s="356"/>
      <c r="I1793" s="17"/>
      <c r="J1793" s="17"/>
      <c r="K1793" s="17"/>
      <c r="L1793" s="17"/>
      <c r="M1793" s="17"/>
      <c r="N1793" s="17"/>
      <c r="O1793" s="17"/>
      <c r="P1793" s="17"/>
      <c r="Q1793" s="17"/>
      <c r="R1793" s="17"/>
      <c r="S1793" s="17"/>
      <c r="T1793" s="17"/>
      <c r="U1793" s="17"/>
      <c r="V1793" s="17"/>
      <c r="W1793" s="17"/>
      <c r="X1793" s="17"/>
      <c r="Y1793" s="17"/>
      <c r="Z1793" s="17"/>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7"/>
      <c r="AW1793" s="17"/>
      <c r="AX1793" s="17"/>
      <c r="AY1793" s="17"/>
      <c r="AZ1793" s="17"/>
      <c r="BA1793" s="17"/>
      <c r="BB1793" s="17"/>
      <c r="BC1793" s="17"/>
      <c r="BD1793" s="17"/>
      <c r="BE1793" s="17"/>
      <c r="BF1793" s="17"/>
      <c r="BG1793" s="17"/>
      <c r="BH1793" s="17"/>
      <c r="BI1793" s="17"/>
      <c r="BJ1793" s="17"/>
      <c r="BK1793" s="17"/>
      <c r="BL1793" s="17"/>
    </row>
    <row r="1794">
      <c r="A1794" s="17"/>
      <c r="B1794" s="17"/>
      <c r="C1794" s="17"/>
      <c r="D1794" s="17"/>
      <c r="E1794" s="17"/>
      <c r="F1794" s="17"/>
      <c r="G1794" s="17"/>
      <c r="H1794" s="356"/>
      <c r="I1794" s="17"/>
      <c r="J1794" s="17"/>
      <c r="K1794" s="17"/>
      <c r="L1794" s="17"/>
      <c r="M1794" s="17"/>
      <c r="N1794" s="17"/>
      <c r="O1794" s="17"/>
      <c r="P1794" s="17"/>
      <c r="Q1794" s="17"/>
      <c r="R1794" s="17"/>
      <c r="S1794" s="17"/>
      <c r="T1794" s="17"/>
      <c r="U1794" s="17"/>
      <c r="V1794" s="17"/>
      <c r="W1794" s="17"/>
      <c r="X1794" s="17"/>
      <c r="Y1794" s="17"/>
      <c r="Z1794" s="17"/>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7"/>
      <c r="AW1794" s="17"/>
      <c r="AX1794" s="17"/>
      <c r="AY1794" s="17"/>
      <c r="AZ1794" s="17"/>
      <c r="BA1794" s="17"/>
      <c r="BB1794" s="17"/>
      <c r="BC1794" s="17"/>
      <c r="BD1794" s="17"/>
      <c r="BE1794" s="17"/>
      <c r="BF1794" s="17"/>
      <c r="BG1794" s="17"/>
      <c r="BH1794" s="17"/>
      <c r="BI1794" s="17"/>
      <c r="BJ1794" s="17"/>
      <c r="BK1794" s="17"/>
      <c r="BL1794" s="17"/>
    </row>
    <row r="1795">
      <c r="A1795" s="17"/>
      <c r="B1795" s="17"/>
      <c r="C1795" s="17"/>
      <c r="D1795" s="17"/>
      <c r="E1795" s="17"/>
      <c r="F1795" s="17"/>
      <c r="G1795" s="17"/>
      <c r="H1795" s="356"/>
      <c r="I1795" s="17"/>
      <c r="J1795" s="17"/>
      <c r="K1795" s="17"/>
      <c r="L1795" s="17"/>
      <c r="M1795" s="17"/>
      <c r="N1795" s="17"/>
      <c r="O1795" s="17"/>
      <c r="P1795" s="17"/>
      <c r="Q1795" s="17"/>
      <c r="R1795" s="17"/>
      <c r="S1795" s="17"/>
      <c r="T1795" s="17"/>
      <c r="U1795" s="17"/>
      <c r="V1795" s="17"/>
      <c r="W1795" s="17"/>
      <c r="X1795" s="17"/>
      <c r="Y1795" s="17"/>
      <c r="Z1795" s="17"/>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7"/>
      <c r="AW1795" s="17"/>
      <c r="AX1795" s="17"/>
      <c r="AY1795" s="17"/>
      <c r="AZ1795" s="17"/>
      <c r="BA1795" s="17"/>
      <c r="BB1795" s="17"/>
      <c r="BC1795" s="17"/>
      <c r="BD1795" s="17"/>
      <c r="BE1795" s="17"/>
      <c r="BF1795" s="17"/>
      <c r="BG1795" s="17"/>
      <c r="BH1795" s="17"/>
      <c r="BI1795" s="17"/>
      <c r="BJ1795" s="17"/>
      <c r="BK1795" s="17"/>
      <c r="BL1795" s="17"/>
    </row>
    <row r="1796">
      <c r="A1796" s="17"/>
      <c r="B1796" s="17"/>
      <c r="C1796" s="17"/>
      <c r="D1796" s="17"/>
      <c r="E1796" s="17"/>
      <c r="F1796" s="17"/>
      <c r="G1796" s="17"/>
      <c r="H1796" s="356"/>
      <c r="I1796" s="17"/>
      <c r="J1796" s="17"/>
      <c r="K1796" s="17"/>
      <c r="L1796" s="17"/>
      <c r="M1796" s="17"/>
      <c r="N1796" s="17"/>
      <c r="O1796" s="17"/>
      <c r="P1796" s="17"/>
      <c r="Q1796" s="17"/>
      <c r="R1796" s="17"/>
      <c r="S1796" s="17"/>
      <c r="T1796" s="17"/>
      <c r="U1796" s="17"/>
      <c r="V1796" s="17"/>
      <c r="W1796" s="17"/>
      <c r="X1796" s="17"/>
      <c r="Y1796" s="17"/>
      <c r="Z1796" s="17"/>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7"/>
      <c r="AW1796" s="17"/>
      <c r="AX1796" s="17"/>
      <c r="AY1796" s="17"/>
      <c r="AZ1796" s="17"/>
      <c r="BA1796" s="17"/>
      <c r="BB1796" s="17"/>
      <c r="BC1796" s="17"/>
      <c r="BD1796" s="17"/>
      <c r="BE1796" s="17"/>
      <c r="BF1796" s="17"/>
      <c r="BG1796" s="17"/>
      <c r="BH1796" s="17"/>
      <c r="BI1796" s="17"/>
      <c r="BJ1796" s="17"/>
      <c r="BK1796" s="17"/>
      <c r="BL1796" s="17"/>
    </row>
    <row r="1797">
      <c r="A1797" s="17"/>
      <c r="B1797" s="17"/>
      <c r="C1797" s="17"/>
      <c r="D1797" s="17"/>
      <c r="E1797" s="17"/>
      <c r="F1797" s="17"/>
      <c r="G1797" s="17"/>
      <c r="H1797" s="356"/>
      <c r="I1797" s="17"/>
      <c r="J1797" s="17"/>
      <c r="K1797" s="17"/>
      <c r="L1797" s="17"/>
      <c r="M1797" s="17"/>
      <c r="N1797" s="17"/>
      <c r="O1797" s="17"/>
      <c r="P1797" s="17"/>
      <c r="Q1797" s="17"/>
      <c r="R1797" s="17"/>
      <c r="S1797" s="17"/>
      <c r="T1797" s="17"/>
      <c r="U1797" s="17"/>
      <c r="V1797" s="17"/>
      <c r="W1797" s="17"/>
      <c r="X1797" s="17"/>
      <c r="Y1797" s="17"/>
      <c r="Z1797" s="17"/>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7"/>
      <c r="AW1797" s="17"/>
      <c r="AX1797" s="17"/>
      <c r="AY1797" s="17"/>
      <c r="AZ1797" s="17"/>
      <c r="BA1797" s="17"/>
      <c r="BB1797" s="17"/>
      <c r="BC1797" s="17"/>
      <c r="BD1797" s="17"/>
      <c r="BE1797" s="17"/>
      <c r="BF1797" s="17"/>
      <c r="BG1797" s="17"/>
      <c r="BH1797" s="17"/>
      <c r="BI1797" s="17"/>
      <c r="BJ1797" s="17"/>
      <c r="BK1797" s="17"/>
      <c r="BL1797" s="17"/>
    </row>
    <row r="1798">
      <c r="A1798" s="17"/>
      <c r="B1798" s="17"/>
      <c r="C1798" s="17"/>
      <c r="D1798" s="17"/>
      <c r="E1798" s="17"/>
      <c r="F1798" s="17"/>
      <c r="G1798" s="17"/>
      <c r="H1798" s="356"/>
      <c r="I1798" s="17"/>
      <c r="J1798" s="17"/>
      <c r="K1798" s="17"/>
      <c r="L1798" s="17"/>
      <c r="M1798" s="17"/>
      <c r="N1798" s="17"/>
      <c r="O1798" s="17"/>
      <c r="P1798" s="17"/>
      <c r="Q1798" s="17"/>
      <c r="R1798" s="17"/>
      <c r="S1798" s="17"/>
      <c r="T1798" s="17"/>
      <c r="U1798" s="17"/>
      <c r="V1798" s="17"/>
      <c r="W1798" s="17"/>
      <c r="X1798" s="17"/>
      <c r="Y1798" s="17"/>
      <c r="Z1798" s="17"/>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c r="AV1798" s="17"/>
      <c r="AW1798" s="17"/>
      <c r="AX1798" s="17"/>
      <c r="AY1798" s="17"/>
      <c r="AZ1798" s="17"/>
      <c r="BA1798" s="17"/>
      <c r="BB1798" s="17"/>
      <c r="BC1798" s="17"/>
      <c r="BD1798" s="17"/>
      <c r="BE1798" s="17"/>
      <c r="BF1798" s="17"/>
      <c r="BG1798" s="17"/>
      <c r="BH1798" s="17"/>
      <c r="BI1798" s="17"/>
      <c r="BJ1798" s="17"/>
      <c r="BK1798" s="17"/>
      <c r="BL1798" s="17"/>
    </row>
    <row r="1799">
      <c r="A1799" s="17"/>
      <c r="B1799" s="17"/>
      <c r="C1799" s="17"/>
      <c r="D1799" s="17"/>
      <c r="E1799" s="17"/>
      <c r="F1799" s="17"/>
      <c r="G1799" s="17"/>
      <c r="H1799" s="356"/>
      <c r="I1799" s="17"/>
      <c r="J1799" s="17"/>
      <c r="K1799" s="17"/>
      <c r="L1799" s="17"/>
      <c r="M1799" s="17"/>
      <c r="N1799" s="17"/>
      <c r="O1799" s="17"/>
      <c r="P1799" s="17"/>
      <c r="Q1799" s="17"/>
      <c r="R1799" s="17"/>
      <c r="S1799" s="17"/>
      <c r="T1799" s="17"/>
      <c r="U1799" s="17"/>
      <c r="V1799" s="17"/>
      <c r="W1799" s="17"/>
      <c r="X1799" s="17"/>
      <c r="Y1799" s="17"/>
      <c r="Z1799" s="17"/>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c r="AV1799" s="17"/>
      <c r="AW1799" s="17"/>
      <c r="AX1799" s="17"/>
      <c r="AY1799" s="17"/>
      <c r="AZ1799" s="17"/>
      <c r="BA1799" s="17"/>
      <c r="BB1799" s="17"/>
      <c r="BC1799" s="17"/>
      <c r="BD1799" s="17"/>
      <c r="BE1799" s="17"/>
      <c r="BF1799" s="17"/>
      <c r="BG1799" s="17"/>
      <c r="BH1799" s="17"/>
      <c r="BI1799" s="17"/>
      <c r="BJ1799" s="17"/>
      <c r="BK1799" s="17"/>
      <c r="BL1799" s="17"/>
    </row>
    <row r="1800">
      <c r="A1800" s="17"/>
      <c r="B1800" s="17"/>
      <c r="C1800" s="17"/>
      <c r="D1800" s="17"/>
      <c r="E1800" s="17"/>
      <c r="F1800" s="17"/>
      <c r="G1800" s="17"/>
      <c r="H1800" s="356"/>
      <c r="I1800" s="17"/>
      <c r="J1800" s="17"/>
      <c r="K1800" s="17"/>
      <c r="L1800" s="17"/>
      <c r="M1800" s="17"/>
      <c r="N1800" s="17"/>
      <c r="O1800" s="17"/>
      <c r="P1800" s="17"/>
      <c r="Q1800" s="17"/>
      <c r="R1800" s="17"/>
      <c r="S1800" s="17"/>
      <c r="T1800" s="17"/>
      <c r="U1800" s="17"/>
      <c r="V1800" s="17"/>
      <c r="W1800" s="17"/>
      <c r="X1800" s="17"/>
      <c r="Y1800" s="17"/>
      <c r="Z1800" s="17"/>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c r="AV1800" s="17"/>
      <c r="AW1800" s="17"/>
      <c r="AX1800" s="17"/>
      <c r="AY1800" s="17"/>
      <c r="AZ1800" s="17"/>
      <c r="BA1800" s="17"/>
      <c r="BB1800" s="17"/>
      <c r="BC1800" s="17"/>
      <c r="BD1800" s="17"/>
      <c r="BE1800" s="17"/>
      <c r="BF1800" s="17"/>
      <c r="BG1800" s="17"/>
      <c r="BH1800" s="17"/>
      <c r="BI1800" s="17"/>
      <c r="BJ1800" s="17"/>
      <c r="BK1800" s="17"/>
      <c r="BL1800" s="17"/>
    </row>
    <row r="1801">
      <c r="A1801" s="17"/>
      <c r="B1801" s="17"/>
      <c r="C1801" s="17"/>
      <c r="D1801" s="17"/>
      <c r="E1801" s="17"/>
      <c r="F1801" s="17"/>
      <c r="G1801" s="17"/>
      <c r="H1801" s="356"/>
      <c r="I1801" s="17"/>
      <c r="J1801" s="17"/>
      <c r="K1801" s="17"/>
      <c r="L1801" s="17"/>
      <c r="M1801" s="17"/>
      <c r="N1801" s="17"/>
      <c r="O1801" s="17"/>
      <c r="P1801" s="17"/>
      <c r="Q1801" s="17"/>
      <c r="R1801" s="17"/>
      <c r="S1801" s="17"/>
      <c r="T1801" s="17"/>
      <c r="U1801" s="17"/>
      <c r="V1801" s="17"/>
      <c r="W1801" s="17"/>
      <c r="X1801" s="17"/>
      <c r="Y1801" s="17"/>
      <c r="Z1801" s="17"/>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c r="AV1801" s="17"/>
      <c r="AW1801" s="17"/>
      <c r="AX1801" s="17"/>
      <c r="AY1801" s="17"/>
      <c r="AZ1801" s="17"/>
      <c r="BA1801" s="17"/>
      <c r="BB1801" s="17"/>
      <c r="BC1801" s="17"/>
      <c r="BD1801" s="17"/>
      <c r="BE1801" s="17"/>
      <c r="BF1801" s="17"/>
      <c r="BG1801" s="17"/>
      <c r="BH1801" s="17"/>
      <c r="BI1801" s="17"/>
      <c r="BJ1801" s="17"/>
      <c r="BK1801" s="17"/>
      <c r="BL1801" s="17"/>
    </row>
    <row r="1802">
      <c r="A1802" s="17"/>
      <c r="B1802" s="17"/>
      <c r="C1802" s="17"/>
      <c r="D1802" s="17"/>
      <c r="E1802" s="17"/>
      <c r="F1802" s="17"/>
      <c r="G1802" s="17"/>
      <c r="H1802" s="356"/>
      <c r="I1802" s="17"/>
      <c r="J1802" s="17"/>
      <c r="K1802" s="17"/>
      <c r="L1802" s="17"/>
      <c r="M1802" s="17"/>
      <c r="N1802" s="17"/>
      <c r="O1802" s="17"/>
      <c r="P1802" s="17"/>
      <c r="Q1802" s="17"/>
      <c r="R1802" s="17"/>
      <c r="S1802" s="17"/>
      <c r="T1802" s="17"/>
      <c r="U1802" s="17"/>
      <c r="V1802" s="17"/>
      <c r="W1802" s="17"/>
      <c r="X1802" s="17"/>
      <c r="Y1802" s="17"/>
      <c r="Z1802" s="17"/>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c r="AV1802" s="17"/>
      <c r="AW1802" s="17"/>
      <c r="AX1802" s="17"/>
      <c r="AY1802" s="17"/>
      <c r="AZ1802" s="17"/>
      <c r="BA1802" s="17"/>
      <c r="BB1802" s="17"/>
      <c r="BC1802" s="17"/>
      <c r="BD1802" s="17"/>
      <c r="BE1802" s="17"/>
      <c r="BF1802" s="17"/>
      <c r="BG1802" s="17"/>
      <c r="BH1802" s="17"/>
      <c r="BI1802" s="17"/>
      <c r="BJ1802" s="17"/>
      <c r="BK1802" s="17"/>
      <c r="BL1802" s="17"/>
    </row>
    <row r="1803">
      <c r="A1803" s="17"/>
      <c r="B1803" s="17"/>
      <c r="C1803" s="17"/>
      <c r="D1803" s="17"/>
      <c r="E1803" s="17"/>
      <c r="F1803" s="17"/>
      <c r="G1803" s="17"/>
      <c r="H1803" s="356"/>
      <c r="I1803" s="17"/>
      <c r="J1803" s="17"/>
      <c r="K1803" s="17"/>
      <c r="L1803" s="17"/>
      <c r="M1803" s="17"/>
      <c r="N1803" s="17"/>
      <c r="O1803" s="17"/>
      <c r="P1803" s="17"/>
      <c r="Q1803" s="17"/>
      <c r="R1803" s="17"/>
      <c r="S1803" s="17"/>
      <c r="T1803" s="17"/>
      <c r="U1803" s="17"/>
      <c r="V1803" s="17"/>
      <c r="W1803" s="17"/>
      <c r="X1803" s="17"/>
      <c r="Y1803" s="17"/>
      <c r="Z1803" s="17"/>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c r="AV1803" s="17"/>
      <c r="AW1803" s="17"/>
      <c r="AX1803" s="17"/>
      <c r="AY1803" s="17"/>
      <c r="AZ1803" s="17"/>
      <c r="BA1803" s="17"/>
      <c r="BB1803" s="17"/>
      <c r="BC1803" s="17"/>
      <c r="BD1803" s="17"/>
      <c r="BE1803" s="17"/>
      <c r="BF1803" s="17"/>
      <c r="BG1803" s="17"/>
      <c r="BH1803" s="17"/>
      <c r="BI1803" s="17"/>
      <c r="BJ1803" s="17"/>
      <c r="BK1803" s="17"/>
      <c r="BL1803" s="17"/>
    </row>
    <row r="1804">
      <c r="A1804" s="17"/>
      <c r="B1804" s="17"/>
      <c r="C1804" s="17"/>
      <c r="D1804" s="17"/>
      <c r="E1804" s="17"/>
      <c r="F1804" s="17"/>
      <c r="G1804" s="17"/>
      <c r="H1804" s="356"/>
      <c r="I1804" s="17"/>
      <c r="J1804" s="17"/>
      <c r="K1804" s="17"/>
      <c r="L1804" s="17"/>
      <c r="M1804" s="17"/>
      <c r="N1804" s="17"/>
      <c r="O1804" s="17"/>
      <c r="P1804" s="17"/>
      <c r="Q1804" s="17"/>
      <c r="R1804" s="17"/>
      <c r="S1804" s="17"/>
      <c r="T1804" s="17"/>
      <c r="U1804" s="17"/>
      <c r="V1804" s="17"/>
      <c r="W1804" s="17"/>
      <c r="X1804" s="17"/>
      <c r="Y1804" s="17"/>
      <c r="Z1804" s="17"/>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c r="AV1804" s="17"/>
      <c r="AW1804" s="17"/>
      <c r="AX1804" s="17"/>
      <c r="AY1804" s="17"/>
      <c r="AZ1804" s="17"/>
      <c r="BA1804" s="17"/>
      <c r="BB1804" s="17"/>
      <c r="BC1804" s="17"/>
      <c r="BD1804" s="17"/>
      <c r="BE1804" s="17"/>
      <c r="BF1804" s="17"/>
      <c r="BG1804" s="17"/>
      <c r="BH1804" s="17"/>
      <c r="BI1804" s="17"/>
      <c r="BJ1804" s="17"/>
      <c r="BK1804" s="17"/>
      <c r="BL1804" s="17"/>
    </row>
    <row r="1805">
      <c r="A1805" s="17"/>
      <c r="B1805" s="17"/>
      <c r="C1805" s="17"/>
      <c r="D1805" s="17"/>
      <c r="E1805" s="17"/>
      <c r="F1805" s="17"/>
      <c r="G1805" s="17"/>
      <c r="H1805" s="356"/>
      <c r="I1805" s="17"/>
      <c r="J1805" s="17"/>
      <c r="K1805" s="17"/>
      <c r="L1805" s="17"/>
      <c r="M1805" s="17"/>
      <c r="N1805" s="17"/>
      <c r="O1805" s="17"/>
      <c r="P1805" s="17"/>
      <c r="Q1805" s="17"/>
      <c r="R1805" s="17"/>
      <c r="S1805" s="17"/>
      <c r="T1805" s="17"/>
      <c r="U1805" s="17"/>
      <c r="V1805" s="17"/>
      <c r="W1805" s="17"/>
      <c r="X1805" s="17"/>
      <c r="Y1805" s="17"/>
      <c r="Z1805" s="17"/>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c r="AV1805" s="17"/>
      <c r="AW1805" s="17"/>
      <c r="AX1805" s="17"/>
      <c r="AY1805" s="17"/>
      <c r="AZ1805" s="17"/>
      <c r="BA1805" s="17"/>
      <c r="BB1805" s="17"/>
      <c r="BC1805" s="17"/>
      <c r="BD1805" s="17"/>
      <c r="BE1805" s="17"/>
      <c r="BF1805" s="17"/>
      <c r="BG1805" s="17"/>
      <c r="BH1805" s="17"/>
      <c r="BI1805" s="17"/>
      <c r="BJ1805" s="17"/>
      <c r="BK1805" s="17"/>
      <c r="BL1805" s="17"/>
    </row>
    <row r="1806">
      <c r="A1806" s="17"/>
      <c r="B1806" s="17"/>
      <c r="C1806" s="17"/>
      <c r="D1806" s="17"/>
      <c r="E1806" s="17"/>
      <c r="F1806" s="17"/>
      <c r="G1806" s="17"/>
      <c r="H1806" s="356"/>
      <c r="I1806" s="17"/>
      <c r="J1806" s="17"/>
      <c r="K1806" s="17"/>
      <c r="L1806" s="17"/>
      <c r="M1806" s="17"/>
      <c r="N1806" s="17"/>
      <c r="O1806" s="17"/>
      <c r="P1806" s="17"/>
      <c r="Q1806" s="17"/>
      <c r="R1806" s="17"/>
      <c r="S1806" s="17"/>
      <c r="T1806" s="17"/>
      <c r="U1806" s="17"/>
      <c r="V1806" s="17"/>
      <c r="W1806" s="17"/>
      <c r="X1806" s="17"/>
      <c r="Y1806" s="17"/>
      <c r="Z1806" s="17"/>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c r="AV1806" s="17"/>
      <c r="AW1806" s="17"/>
      <c r="AX1806" s="17"/>
      <c r="AY1806" s="17"/>
      <c r="AZ1806" s="17"/>
      <c r="BA1806" s="17"/>
      <c r="BB1806" s="17"/>
      <c r="BC1806" s="17"/>
      <c r="BD1806" s="17"/>
      <c r="BE1806" s="17"/>
      <c r="BF1806" s="17"/>
      <c r="BG1806" s="17"/>
      <c r="BH1806" s="17"/>
      <c r="BI1806" s="17"/>
      <c r="BJ1806" s="17"/>
      <c r="BK1806" s="17"/>
      <c r="BL1806" s="17"/>
    </row>
    <row r="1807">
      <c r="A1807" s="17"/>
      <c r="B1807" s="17"/>
      <c r="C1807" s="17"/>
      <c r="D1807" s="17"/>
      <c r="E1807" s="17"/>
      <c r="F1807" s="17"/>
      <c r="G1807" s="17"/>
      <c r="H1807" s="356"/>
      <c r="I1807" s="17"/>
      <c r="J1807" s="17"/>
      <c r="K1807" s="17"/>
      <c r="L1807" s="17"/>
      <c r="M1807" s="17"/>
      <c r="N1807" s="17"/>
      <c r="O1807" s="17"/>
      <c r="P1807" s="17"/>
      <c r="Q1807" s="17"/>
      <c r="R1807" s="17"/>
      <c r="S1807" s="17"/>
      <c r="T1807" s="17"/>
      <c r="U1807" s="17"/>
      <c r="V1807" s="17"/>
      <c r="W1807" s="17"/>
      <c r="X1807" s="17"/>
      <c r="Y1807" s="17"/>
      <c r="Z1807" s="17"/>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c r="AV1807" s="17"/>
      <c r="AW1807" s="17"/>
      <c r="AX1807" s="17"/>
      <c r="AY1807" s="17"/>
      <c r="AZ1807" s="17"/>
      <c r="BA1807" s="17"/>
      <c r="BB1807" s="17"/>
      <c r="BC1807" s="17"/>
      <c r="BD1807" s="17"/>
      <c r="BE1807" s="17"/>
      <c r="BF1807" s="17"/>
      <c r="BG1807" s="17"/>
      <c r="BH1807" s="17"/>
      <c r="BI1807" s="17"/>
      <c r="BJ1807" s="17"/>
      <c r="BK1807" s="17"/>
      <c r="BL1807" s="17"/>
    </row>
    <row r="1808">
      <c r="A1808" s="17"/>
      <c r="B1808" s="17"/>
      <c r="C1808" s="17"/>
      <c r="D1808" s="17"/>
      <c r="E1808" s="17"/>
      <c r="F1808" s="17"/>
      <c r="G1808" s="17"/>
      <c r="H1808" s="356"/>
      <c r="I1808" s="17"/>
      <c r="J1808" s="17"/>
      <c r="K1808" s="17"/>
      <c r="L1808" s="17"/>
      <c r="M1808" s="17"/>
      <c r="N1808" s="17"/>
      <c r="O1808" s="17"/>
      <c r="P1808" s="17"/>
      <c r="Q1808" s="17"/>
      <c r="R1808" s="17"/>
      <c r="S1808" s="17"/>
      <c r="T1808" s="17"/>
      <c r="U1808" s="17"/>
      <c r="V1808" s="17"/>
      <c r="W1808" s="17"/>
      <c r="X1808" s="17"/>
      <c r="Y1808" s="17"/>
      <c r="Z1808" s="17"/>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7"/>
      <c r="AW1808" s="17"/>
      <c r="AX1808" s="17"/>
      <c r="AY1808" s="17"/>
      <c r="AZ1808" s="17"/>
      <c r="BA1808" s="17"/>
      <c r="BB1808" s="17"/>
      <c r="BC1808" s="17"/>
      <c r="BD1808" s="17"/>
      <c r="BE1808" s="17"/>
      <c r="BF1808" s="17"/>
      <c r="BG1808" s="17"/>
      <c r="BH1808" s="17"/>
      <c r="BI1808" s="17"/>
      <c r="BJ1808" s="17"/>
      <c r="BK1808" s="17"/>
      <c r="BL1808" s="17"/>
    </row>
    <row r="1809">
      <c r="A1809" s="17"/>
      <c r="B1809" s="17"/>
      <c r="C1809" s="17"/>
      <c r="D1809" s="17"/>
      <c r="E1809" s="17"/>
      <c r="F1809" s="17"/>
      <c r="G1809" s="17"/>
      <c r="H1809" s="356"/>
      <c r="I1809" s="17"/>
      <c r="J1809" s="17"/>
      <c r="K1809" s="17"/>
      <c r="L1809" s="17"/>
      <c r="M1809" s="17"/>
      <c r="N1809" s="17"/>
      <c r="O1809" s="17"/>
      <c r="P1809" s="17"/>
      <c r="Q1809" s="17"/>
      <c r="R1809" s="17"/>
      <c r="S1809" s="17"/>
      <c r="T1809" s="17"/>
      <c r="U1809" s="17"/>
      <c r="V1809" s="17"/>
      <c r="W1809" s="17"/>
      <c r="X1809" s="17"/>
      <c r="Y1809" s="17"/>
      <c r="Z1809" s="17"/>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7"/>
      <c r="AW1809" s="17"/>
      <c r="AX1809" s="17"/>
      <c r="AY1809" s="17"/>
      <c r="AZ1809" s="17"/>
      <c r="BA1809" s="17"/>
      <c r="BB1809" s="17"/>
      <c r="BC1809" s="17"/>
      <c r="BD1809" s="17"/>
      <c r="BE1809" s="17"/>
      <c r="BF1809" s="17"/>
      <c r="BG1809" s="17"/>
      <c r="BH1809" s="17"/>
      <c r="BI1809" s="17"/>
      <c r="BJ1809" s="17"/>
      <c r="BK1809" s="17"/>
      <c r="BL1809" s="17"/>
    </row>
    <row r="1810">
      <c r="A1810" s="17"/>
      <c r="B1810" s="17"/>
      <c r="C1810" s="17"/>
      <c r="D1810" s="17"/>
      <c r="E1810" s="17"/>
      <c r="F1810" s="17"/>
      <c r="G1810" s="17"/>
      <c r="H1810" s="356"/>
      <c r="I1810" s="17"/>
      <c r="J1810" s="17"/>
      <c r="K1810" s="17"/>
      <c r="L1810" s="17"/>
      <c r="M1810" s="17"/>
      <c r="N1810" s="17"/>
      <c r="O1810" s="17"/>
      <c r="P1810" s="17"/>
      <c r="Q1810" s="17"/>
      <c r="R1810" s="17"/>
      <c r="S1810" s="17"/>
      <c r="T1810" s="17"/>
      <c r="U1810" s="17"/>
      <c r="V1810" s="17"/>
      <c r="W1810" s="17"/>
      <c r="X1810" s="17"/>
      <c r="Y1810" s="17"/>
      <c r="Z1810" s="17"/>
      <c r="AA1810" s="17"/>
      <c r="AB1810" s="17"/>
      <c r="AC1810" s="17"/>
      <c r="AD1810" s="17"/>
      <c r="AE1810" s="17"/>
      <c r="AF1810" s="17"/>
      <c r="AG1810" s="17"/>
      <c r="AH1810" s="17"/>
      <c r="AI1810" s="17"/>
      <c r="AJ1810" s="17"/>
      <c r="AK1810" s="17"/>
      <c r="AL1810" s="17"/>
      <c r="AM1810" s="17"/>
      <c r="AN1810" s="17"/>
      <c r="AO1810" s="17"/>
      <c r="AP1810" s="17"/>
      <c r="AQ1810" s="17"/>
      <c r="AR1810" s="17"/>
      <c r="AS1810" s="17"/>
      <c r="AT1810" s="17"/>
      <c r="AU1810" s="17"/>
      <c r="AV1810" s="17"/>
      <c r="AW1810" s="17"/>
      <c r="AX1810" s="17"/>
      <c r="AY1810" s="17"/>
      <c r="AZ1810" s="17"/>
      <c r="BA1810" s="17"/>
      <c r="BB1810" s="17"/>
      <c r="BC1810" s="17"/>
      <c r="BD1810" s="17"/>
      <c r="BE1810" s="17"/>
      <c r="BF1810" s="17"/>
      <c r="BG1810" s="17"/>
      <c r="BH1810" s="17"/>
      <c r="BI1810" s="17"/>
      <c r="BJ1810" s="17"/>
      <c r="BK1810" s="17"/>
      <c r="BL1810" s="17"/>
    </row>
    <row r="1811">
      <c r="A1811" s="17"/>
      <c r="B1811" s="17"/>
      <c r="C1811" s="17"/>
      <c r="D1811" s="17"/>
      <c r="E1811" s="17"/>
      <c r="F1811" s="17"/>
      <c r="G1811" s="17"/>
      <c r="H1811" s="356"/>
      <c r="I1811" s="17"/>
      <c r="J1811" s="17"/>
      <c r="K1811" s="17"/>
      <c r="L1811" s="17"/>
      <c r="M1811" s="17"/>
      <c r="N1811" s="17"/>
      <c r="O1811" s="17"/>
      <c r="P1811" s="17"/>
      <c r="Q1811" s="17"/>
      <c r="R1811" s="17"/>
      <c r="S1811" s="17"/>
      <c r="T1811" s="17"/>
      <c r="U1811" s="17"/>
      <c r="V1811" s="17"/>
      <c r="W1811" s="17"/>
      <c r="X1811" s="17"/>
      <c r="Y1811" s="17"/>
      <c r="Z1811" s="17"/>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c r="AV1811" s="17"/>
      <c r="AW1811" s="17"/>
      <c r="AX1811" s="17"/>
      <c r="AY1811" s="17"/>
      <c r="AZ1811" s="17"/>
      <c r="BA1811" s="17"/>
      <c r="BB1811" s="17"/>
      <c r="BC1811" s="17"/>
      <c r="BD1811" s="17"/>
      <c r="BE1811" s="17"/>
      <c r="BF1811" s="17"/>
      <c r="BG1811" s="17"/>
      <c r="BH1811" s="17"/>
      <c r="BI1811" s="17"/>
      <c r="BJ1811" s="17"/>
      <c r="BK1811" s="17"/>
      <c r="BL1811" s="17"/>
    </row>
    <row r="1812">
      <c r="A1812" s="17"/>
      <c r="B1812" s="17"/>
      <c r="C1812" s="17"/>
      <c r="D1812" s="17"/>
      <c r="E1812" s="17"/>
      <c r="F1812" s="17"/>
      <c r="G1812" s="17"/>
      <c r="H1812" s="356"/>
      <c r="I1812" s="17"/>
      <c r="J1812" s="17"/>
      <c r="K1812" s="17"/>
      <c r="L1812" s="17"/>
      <c r="M1812" s="17"/>
      <c r="N1812" s="17"/>
      <c r="O1812" s="17"/>
      <c r="P1812" s="17"/>
      <c r="Q1812" s="17"/>
      <c r="R1812" s="17"/>
      <c r="S1812" s="17"/>
      <c r="T1812" s="17"/>
      <c r="U1812" s="17"/>
      <c r="V1812" s="17"/>
      <c r="W1812" s="17"/>
      <c r="X1812" s="17"/>
      <c r="Y1812" s="17"/>
      <c r="Z1812" s="17"/>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c r="AV1812" s="17"/>
      <c r="AW1812" s="17"/>
      <c r="AX1812" s="17"/>
      <c r="AY1812" s="17"/>
      <c r="AZ1812" s="17"/>
      <c r="BA1812" s="17"/>
      <c r="BB1812" s="17"/>
      <c r="BC1812" s="17"/>
      <c r="BD1812" s="17"/>
      <c r="BE1812" s="17"/>
      <c r="BF1812" s="17"/>
      <c r="BG1812" s="17"/>
      <c r="BH1812" s="17"/>
      <c r="BI1812" s="17"/>
      <c r="BJ1812" s="17"/>
      <c r="BK1812" s="17"/>
      <c r="BL1812" s="17"/>
    </row>
    <row r="1813">
      <c r="A1813" s="17"/>
      <c r="B1813" s="17"/>
      <c r="C1813" s="17"/>
      <c r="D1813" s="17"/>
      <c r="E1813" s="17"/>
      <c r="F1813" s="17"/>
      <c r="G1813" s="17"/>
      <c r="H1813" s="356"/>
      <c r="I1813" s="17"/>
      <c r="J1813" s="17"/>
      <c r="K1813" s="17"/>
      <c r="L1813" s="17"/>
      <c r="M1813" s="17"/>
      <c r="N1813" s="17"/>
      <c r="O1813" s="17"/>
      <c r="P1813" s="17"/>
      <c r="Q1813" s="17"/>
      <c r="R1813" s="17"/>
      <c r="S1813" s="17"/>
      <c r="T1813" s="17"/>
      <c r="U1813" s="17"/>
      <c r="V1813" s="17"/>
      <c r="W1813" s="17"/>
      <c r="X1813" s="17"/>
      <c r="Y1813" s="17"/>
      <c r="Z1813" s="17"/>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c r="AV1813" s="17"/>
      <c r="AW1813" s="17"/>
      <c r="AX1813" s="17"/>
      <c r="AY1813" s="17"/>
      <c r="AZ1813" s="17"/>
      <c r="BA1813" s="17"/>
      <c r="BB1813" s="17"/>
      <c r="BC1813" s="17"/>
      <c r="BD1813" s="17"/>
      <c r="BE1813" s="17"/>
      <c r="BF1813" s="17"/>
      <c r="BG1813" s="17"/>
      <c r="BH1813" s="17"/>
      <c r="BI1813" s="17"/>
      <c r="BJ1813" s="17"/>
      <c r="BK1813" s="17"/>
      <c r="BL1813" s="17"/>
    </row>
    <row r="1814">
      <c r="A1814" s="17"/>
      <c r="B1814" s="17"/>
      <c r="C1814" s="17"/>
      <c r="D1814" s="17"/>
      <c r="E1814" s="17"/>
      <c r="F1814" s="17"/>
      <c r="G1814" s="17"/>
      <c r="H1814" s="356"/>
      <c r="I1814" s="17"/>
      <c r="J1814" s="17"/>
      <c r="K1814" s="17"/>
      <c r="L1814" s="17"/>
      <c r="M1814" s="17"/>
      <c r="N1814" s="17"/>
      <c r="O1814" s="17"/>
      <c r="P1814" s="17"/>
      <c r="Q1814" s="17"/>
      <c r="R1814" s="17"/>
      <c r="S1814" s="17"/>
      <c r="T1814" s="17"/>
      <c r="U1814" s="17"/>
      <c r="V1814" s="17"/>
      <c r="W1814" s="17"/>
      <c r="X1814" s="17"/>
      <c r="Y1814" s="17"/>
      <c r="Z1814" s="17"/>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c r="AV1814" s="17"/>
      <c r="AW1814" s="17"/>
      <c r="AX1814" s="17"/>
      <c r="AY1814" s="17"/>
      <c r="AZ1814" s="17"/>
      <c r="BA1814" s="17"/>
      <c r="BB1814" s="17"/>
      <c r="BC1814" s="17"/>
      <c r="BD1814" s="17"/>
      <c r="BE1814" s="17"/>
      <c r="BF1814" s="17"/>
      <c r="BG1814" s="17"/>
      <c r="BH1814" s="17"/>
      <c r="BI1814" s="17"/>
      <c r="BJ1814" s="17"/>
      <c r="BK1814" s="17"/>
      <c r="BL1814" s="17"/>
    </row>
    <row r="1815">
      <c r="A1815" s="17"/>
      <c r="B1815" s="17"/>
      <c r="C1815" s="17"/>
      <c r="D1815" s="17"/>
      <c r="E1815" s="17"/>
      <c r="F1815" s="17"/>
      <c r="G1815" s="17"/>
      <c r="H1815" s="356"/>
      <c r="I1815" s="17"/>
      <c r="J1815" s="17"/>
      <c r="K1815" s="17"/>
      <c r="L1815" s="17"/>
      <c r="M1815" s="17"/>
      <c r="N1815" s="17"/>
      <c r="O1815" s="17"/>
      <c r="P1815" s="17"/>
      <c r="Q1815" s="17"/>
      <c r="R1815" s="17"/>
      <c r="S1815" s="17"/>
      <c r="T1815" s="17"/>
      <c r="U1815" s="17"/>
      <c r="V1815" s="17"/>
      <c r="W1815" s="17"/>
      <c r="X1815" s="17"/>
      <c r="Y1815" s="17"/>
      <c r="Z1815" s="17"/>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7"/>
      <c r="AW1815" s="17"/>
      <c r="AX1815" s="17"/>
      <c r="AY1815" s="17"/>
      <c r="AZ1815" s="17"/>
      <c r="BA1815" s="17"/>
      <c r="BB1815" s="17"/>
      <c r="BC1815" s="17"/>
      <c r="BD1815" s="17"/>
      <c r="BE1815" s="17"/>
      <c r="BF1815" s="17"/>
      <c r="BG1815" s="17"/>
      <c r="BH1815" s="17"/>
      <c r="BI1815" s="17"/>
      <c r="BJ1815" s="17"/>
      <c r="BK1815" s="17"/>
      <c r="BL1815" s="17"/>
    </row>
    <row r="1816">
      <c r="A1816" s="17"/>
      <c r="B1816" s="17"/>
      <c r="C1816" s="17"/>
      <c r="D1816" s="17"/>
      <c r="E1816" s="17"/>
      <c r="F1816" s="17"/>
      <c r="G1816" s="17"/>
      <c r="H1816" s="356"/>
      <c r="I1816" s="17"/>
      <c r="J1816" s="17"/>
      <c r="K1816" s="17"/>
      <c r="L1816" s="17"/>
      <c r="M1816" s="17"/>
      <c r="N1816" s="17"/>
      <c r="O1816" s="17"/>
      <c r="P1816" s="17"/>
      <c r="Q1816" s="17"/>
      <c r="R1816" s="17"/>
      <c r="S1816" s="17"/>
      <c r="T1816" s="17"/>
      <c r="U1816" s="17"/>
      <c r="V1816" s="17"/>
      <c r="W1816" s="17"/>
      <c r="X1816" s="17"/>
      <c r="Y1816" s="17"/>
      <c r="Z1816" s="17"/>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7"/>
      <c r="AW1816" s="17"/>
      <c r="AX1816" s="17"/>
      <c r="AY1816" s="17"/>
      <c r="AZ1816" s="17"/>
      <c r="BA1816" s="17"/>
      <c r="BB1816" s="17"/>
      <c r="BC1816" s="17"/>
      <c r="BD1816" s="17"/>
      <c r="BE1816" s="17"/>
      <c r="BF1816" s="17"/>
      <c r="BG1816" s="17"/>
      <c r="BH1816" s="17"/>
      <c r="BI1816" s="17"/>
      <c r="BJ1816" s="17"/>
      <c r="BK1816" s="17"/>
      <c r="BL1816" s="17"/>
    </row>
    <row r="1817">
      <c r="A1817" s="17"/>
      <c r="B1817" s="17"/>
      <c r="C1817" s="17"/>
      <c r="D1817" s="17"/>
      <c r="E1817" s="17"/>
      <c r="F1817" s="17"/>
      <c r="G1817" s="17"/>
      <c r="H1817" s="356"/>
      <c r="I1817" s="17"/>
      <c r="J1817" s="17"/>
      <c r="K1817" s="17"/>
      <c r="L1817" s="17"/>
      <c r="M1817" s="17"/>
      <c r="N1817" s="17"/>
      <c r="O1817" s="17"/>
      <c r="P1817" s="17"/>
      <c r="Q1817" s="17"/>
      <c r="R1817" s="17"/>
      <c r="S1817" s="17"/>
      <c r="T1817" s="17"/>
      <c r="U1817" s="17"/>
      <c r="V1817" s="17"/>
      <c r="W1817" s="17"/>
      <c r="X1817" s="17"/>
      <c r="Y1817" s="17"/>
      <c r="Z1817" s="17"/>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7"/>
      <c r="AW1817" s="17"/>
      <c r="AX1817" s="17"/>
      <c r="AY1817" s="17"/>
      <c r="AZ1817" s="17"/>
      <c r="BA1817" s="17"/>
      <c r="BB1817" s="17"/>
      <c r="BC1817" s="17"/>
      <c r="BD1817" s="17"/>
      <c r="BE1817" s="17"/>
      <c r="BF1817" s="17"/>
      <c r="BG1817" s="17"/>
      <c r="BH1817" s="17"/>
      <c r="BI1817" s="17"/>
      <c r="BJ1817" s="17"/>
      <c r="BK1817" s="17"/>
      <c r="BL1817" s="17"/>
    </row>
    <row r="1818">
      <c r="A1818" s="17"/>
      <c r="B1818" s="17"/>
      <c r="C1818" s="17"/>
      <c r="D1818" s="17"/>
      <c r="E1818" s="17"/>
      <c r="F1818" s="17"/>
      <c r="G1818" s="17"/>
      <c r="H1818" s="356"/>
      <c r="I1818" s="17"/>
      <c r="J1818" s="17"/>
      <c r="K1818" s="17"/>
      <c r="L1818" s="17"/>
      <c r="M1818" s="17"/>
      <c r="N1818" s="17"/>
      <c r="O1818" s="17"/>
      <c r="P1818" s="17"/>
      <c r="Q1818" s="17"/>
      <c r="R1818" s="17"/>
      <c r="S1818" s="17"/>
      <c r="T1818" s="17"/>
      <c r="U1818" s="17"/>
      <c r="V1818" s="17"/>
      <c r="W1818" s="17"/>
      <c r="X1818" s="17"/>
      <c r="Y1818" s="17"/>
      <c r="Z1818" s="17"/>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7"/>
      <c r="AW1818" s="17"/>
      <c r="AX1818" s="17"/>
      <c r="AY1818" s="17"/>
      <c r="AZ1818" s="17"/>
      <c r="BA1818" s="17"/>
      <c r="BB1818" s="17"/>
      <c r="BC1818" s="17"/>
      <c r="BD1818" s="17"/>
      <c r="BE1818" s="17"/>
      <c r="BF1818" s="17"/>
      <c r="BG1818" s="17"/>
      <c r="BH1818" s="17"/>
      <c r="BI1818" s="17"/>
      <c r="BJ1818" s="17"/>
      <c r="BK1818" s="17"/>
      <c r="BL1818" s="17"/>
    </row>
    <row r="1819">
      <c r="A1819" s="17"/>
      <c r="B1819" s="17"/>
      <c r="C1819" s="17"/>
      <c r="D1819" s="17"/>
      <c r="E1819" s="17"/>
      <c r="F1819" s="17"/>
      <c r="G1819" s="17"/>
      <c r="H1819" s="356"/>
      <c r="I1819" s="17"/>
      <c r="J1819" s="17"/>
      <c r="K1819" s="17"/>
      <c r="L1819" s="17"/>
      <c r="M1819" s="17"/>
      <c r="N1819" s="17"/>
      <c r="O1819" s="17"/>
      <c r="P1819" s="17"/>
      <c r="Q1819" s="17"/>
      <c r="R1819" s="17"/>
      <c r="S1819" s="17"/>
      <c r="T1819" s="17"/>
      <c r="U1819" s="17"/>
      <c r="V1819" s="17"/>
      <c r="W1819" s="17"/>
      <c r="X1819" s="17"/>
      <c r="Y1819" s="17"/>
      <c r="Z1819" s="17"/>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c r="AV1819" s="17"/>
      <c r="AW1819" s="17"/>
      <c r="AX1819" s="17"/>
      <c r="AY1819" s="17"/>
      <c r="AZ1819" s="17"/>
      <c r="BA1819" s="17"/>
      <c r="BB1819" s="17"/>
      <c r="BC1819" s="17"/>
      <c r="BD1819" s="17"/>
      <c r="BE1819" s="17"/>
      <c r="BF1819" s="17"/>
      <c r="BG1819" s="17"/>
      <c r="BH1819" s="17"/>
      <c r="BI1819" s="17"/>
      <c r="BJ1819" s="17"/>
      <c r="BK1819" s="17"/>
      <c r="BL1819" s="17"/>
    </row>
    <row r="1820">
      <c r="A1820" s="17"/>
      <c r="B1820" s="17"/>
      <c r="C1820" s="17"/>
      <c r="D1820" s="17"/>
      <c r="E1820" s="17"/>
      <c r="F1820" s="17"/>
      <c r="G1820" s="17"/>
      <c r="H1820" s="356"/>
      <c r="I1820" s="17"/>
      <c r="J1820" s="17"/>
      <c r="K1820" s="17"/>
      <c r="L1820" s="17"/>
      <c r="M1820" s="17"/>
      <c r="N1820" s="17"/>
      <c r="O1820" s="17"/>
      <c r="P1820" s="17"/>
      <c r="Q1820" s="17"/>
      <c r="R1820" s="17"/>
      <c r="S1820" s="17"/>
      <c r="T1820" s="17"/>
      <c r="U1820" s="17"/>
      <c r="V1820" s="17"/>
      <c r="W1820" s="17"/>
      <c r="X1820" s="17"/>
      <c r="Y1820" s="17"/>
      <c r="Z1820" s="17"/>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c r="AV1820" s="17"/>
      <c r="AW1820" s="17"/>
      <c r="AX1820" s="17"/>
      <c r="AY1820" s="17"/>
      <c r="AZ1820" s="17"/>
      <c r="BA1820" s="17"/>
      <c r="BB1820" s="17"/>
      <c r="BC1820" s="17"/>
      <c r="BD1820" s="17"/>
      <c r="BE1820" s="17"/>
      <c r="BF1820" s="17"/>
      <c r="BG1820" s="17"/>
      <c r="BH1820" s="17"/>
      <c r="BI1820" s="17"/>
      <c r="BJ1820" s="17"/>
      <c r="BK1820" s="17"/>
      <c r="BL1820" s="17"/>
    </row>
    <row r="1821">
      <c r="A1821" s="17"/>
      <c r="B1821" s="17"/>
      <c r="C1821" s="17"/>
      <c r="D1821" s="17"/>
      <c r="E1821" s="17"/>
      <c r="F1821" s="17"/>
      <c r="G1821" s="17"/>
      <c r="H1821" s="356"/>
      <c r="I1821" s="17"/>
      <c r="J1821" s="17"/>
      <c r="K1821" s="17"/>
      <c r="L1821" s="17"/>
      <c r="M1821" s="17"/>
      <c r="N1821" s="17"/>
      <c r="O1821" s="17"/>
      <c r="P1821" s="17"/>
      <c r="Q1821" s="17"/>
      <c r="R1821" s="17"/>
      <c r="S1821" s="17"/>
      <c r="T1821" s="17"/>
      <c r="U1821" s="17"/>
      <c r="V1821" s="17"/>
      <c r="W1821" s="17"/>
      <c r="X1821" s="17"/>
      <c r="Y1821" s="17"/>
      <c r="Z1821" s="17"/>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7"/>
      <c r="AW1821" s="17"/>
      <c r="AX1821" s="17"/>
      <c r="AY1821" s="17"/>
      <c r="AZ1821" s="17"/>
      <c r="BA1821" s="17"/>
      <c r="BB1821" s="17"/>
      <c r="BC1821" s="17"/>
      <c r="BD1821" s="17"/>
      <c r="BE1821" s="17"/>
      <c r="BF1821" s="17"/>
      <c r="BG1821" s="17"/>
      <c r="BH1821" s="17"/>
      <c r="BI1821" s="17"/>
      <c r="BJ1821" s="17"/>
      <c r="BK1821" s="17"/>
      <c r="BL1821" s="17"/>
    </row>
    <row r="1822">
      <c r="A1822" s="17"/>
      <c r="B1822" s="17"/>
      <c r="C1822" s="17"/>
      <c r="D1822" s="17"/>
      <c r="E1822" s="17"/>
      <c r="F1822" s="17"/>
      <c r="G1822" s="17"/>
      <c r="H1822" s="356"/>
      <c r="I1822" s="17"/>
      <c r="J1822" s="17"/>
      <c r="K1822" s="17"/>
      <c r="L1822" s="17"/>
      <c r="M1822" s="17"/>
      <c r="N1822" s="17"/>
      <c r="O1822" s="17"/>
      <c r="P1822" s="17"/>
      <c r="Q1822" s="17"/>
      <c r="R1822" s="17"/>
      <c r="S1822" s="17"/>
      <c r="T1822" s="17"/>
      <c r="U1822" s="17"/>
      <c r="V1822" s="17"/>
      <c r="W1822" s="17"/>
      <c r="X1822" s="17"/>
      <c r="Y1822" s="17"/>
      <c r="Z1822" s="17"/>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7"/>
      <c r="AW1822" s="17"/>
      <c r="AX1822" s="17"/>
      <c r="AY1822" s="17"/>
      <c r="AZ1822" s="17"/>
      <c r="BA1822" s="17"/>
      <c r="BB1822" s="17"/>
      <c r="BC1822" s="17"/>
      <c r="BD1822" s="17"/>
      <c r="BE1822" s="17"/>
      <c r="BF1822" s="17"/>
      <c r="BG1822" s="17"/>
      <c r="BH1822" s="17"/>
      <c r="BI1822" s="17"/>
      <c r="BJ1822" s="17"/>
      <c r="BK1822" s="17"/>
      <c r="BL1822" s="17"/>
    </row>
    <row r="1823">
      <c r="A1823" s="17"/>
      <c r="B1823" s="17"/>
      <c r="C1823" s="17"/>
      <c r="D1823" s="17"/>
      <c r="E1823" s="17"/>
      <c r="F1823" s="17"/>
      <c r="G1823" s="17"/>
      <c r="H1823" s="356"/>
      <c r="I1823" s="17"/>
      <c r="J1823" s="17"/>
      <c r="K1823" s="17"/>
      <c r="L1823" s="17"/>
      <c r="M1823" s="17"/>
      <c r="N1823" s="17"/>
      <c r="O1823" s="17"/>
      <c r="P1823" s="17"/>
      <c r="Q1823" s="17"/>
      <c r="R1823" s="17"/>
      <c r="S1823" s="17"/>
      <c r="T1823" s="17"/>
      <c r="U1823" s="17"/>
      <c r="V1823" s="17"/>
      <c r="W1823" s="17"/>
      <c r="X1823" s="17"/>
      <c r="Y1823" s="17"/>
      <c r="Z1823" s="17"/>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c r="AV1823" s="17"/>
      <c r="AW1823" s="17"/>
      <c r="AX1823" s="17"/>
      <c r="AY1823" s="17"/>
      <c r="AZ1823" s="17"/>
      <c r="BA1823" s="17"/>
      <c r="BB1823" s="17"/>
      <c r="BC1823" s="17"/>
      <c r="BD1823" s="17"/>
      <c r="BE1823" s="17"/>
      <c r="BF1823" s="17"/>
      <c r="BG1823" s="17"/>
      <c r="BH1823" s="17"/>
      <c r="BI1823" s="17"/>
      <c r="BJ1823" s="17"/>
      <c r="BK1823" s="17"/>
      <c r="BL1823" s="17"/>
    </row>
    <row r="1824">
      <c r="A1824" s="17"/>
      <c r="B1824" s="17"/>
      <c r="C1824" s="17"/>
      <c r="D1824" s="17"/>
      <c r="E1824" s="17"/>
      <c r="F1824" s="17"/>
      <c r="G1824" s="17"/>
      <c r="H1824" s="356"/>
      <c r="I1824" s="17"/>
      <c r="J1824" s="17"/>
      <c r="K1824" s="17"/>
      <c r="L1824" s="17"/>
      <c r="M1824" s="17"/>
      <c r="N1824" s="17"/>
      <c r="O1824" s="17"/>
      <c r="P1824" s="17"/>
      <c r="Q1824" s="17"/>
      <c r="R1824" s="17"/>
      <c r="S1824" s="17"/>
      <c r="T1824" s="17"/>
      <c r="U1824" s="17"/>
      <c r="V1824" s="17"/>
      <c r="W1824" s="17"/>
      <c r="X1824" s="17"/>
      <c r="Y1824" s="17"/>
      <c r="Z1824" s="17"/>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c r="AV1824" s="17"/>
      <c r="AW1824" s="17"/>
      <c r="AX1824" s="17"/>
      <c r="AY1824" s="17"/>
      <c r="AZ1824" s="17"/>
      <c r="BA1824" s="17"/>
      <c r="BB1824" s="17"/>
      <c r="BC1824" s="17"/>
      <c r="BD1824" s="17"/>
      <c r="BE1824" s="17"/>
      <c r="BF1824" s="17"/>
      <c r="BG1824" s="17"/>
      <c r="BH1824" s="17"/>
      <c r="BI1824" s="17"/>
      <c r="BJ1824" s="17"/>
      <c r="BK1824" s="17"/>
      <c r="BL1824" s="17"/>
    </row>
    <row r="1825">
      <c r="A1825" s="17"/>
      <c r="B1825" s="17"/>
      <c r="C1825" s="17"/>
      <c r="D1825" s="17"/>
      <c r="E1825" s="17"/>
      <c r="F1825" s="17"/>
      <c r="G1825" s="17"/>
      <c r="H1825" s="356"/>
      <c r="I1825" s="17"/>
      <c r="J1825" s="17"/>
      <c r="K1825" s="17"/>
      <c r="L1825" s="17"/>
      <c r="M1825" s="17"/>
      <c r="N1825" s="17"/>
      <c r="O1825" s="17"/>
      <c r="P1825" s="17"/>
      <c r="Q1825" s="17"/>
      <c r="R1825" s="17"/>
      <c r="S1825" s="17"/>
      <c r="T1825" s="17"/>
      <c r="U1825" s="17"/>
      <c r="V1825" s="17"/>
      <c r="W1825" s="17"/>
      <c r="X1825" s="17"/>
      <c r="Y1825" s="17"/>
      <c r="Z1825" s="17"/>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c r="AV1825" s="17"/>
      <c r="AW1825" s="17"/>
      <c r="AX1825" s="17"/>
      <c r="AY1825" s="17"/>
      <c r="AZ1825" s="17"/>
      <c r="BA1825" s="17"/>
      <c r="BB1825" s="17"/>
      <c r="BC1825" s="17"/>
      <c r="BD1825" s="17"/>
      <c r="BE1825" s="17"/>
      <c r="BF1825" s="17"/>
      <c r="BG1825" s="17"/>
      <c r="BH1825" s="17"/>
      <c r="BI1825" s="17"/>
      <c r="BJ1825" s="17"/>
      <c r="BK1825" s="17"/>
      <c r="BL1825" s="17"/>
    </row>
    <row r="1826">
      <c r="A1826" s="17"/>
      <c r="B1826" s="17"/>
      <c r="C1826" s="17"/>
      <c r="D1826" s="17"/>
      <c r="E1826" s="17"/>
      <c r="F1826" s="17"/>
      <c r="G1826" s="17"/>
      <c r="H1826" s="356"/>
      <c r="I1826" s="17"/>
      <c r="J1826" s="17"/>
      <c r="K1826" s="17"/>
      <c r="L1826" s="17"/>
      <c r="M1826" s="17"/>
      <c r="N1826" s="17"/>
      <c r="O1826" s="17"/>
      <c r="P1826" s="17"/>
      <c r="Q1826" s="17"/>
      <c r="R1826" s="17"/>
      <c r="S1826" s="17"/>
      <c r="T1826" s="17"/>
      <c r="U1826" s="17"/>
      <c r="V1826" s="17"/>
      <c r="W1826" s="17"/>
      <c r="X1826" s="17"/>
      <c r="Y1826" s="17"/>
      <c r="Z1826" s="17"/>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c r="AV1826" s="17"/>
      <c r="AW1826" s="17"/>
      <c r="AX1826" s="17"/>
      <c r="AY1826" s="17"/>
      <c r="AZ1826" s="17"/>
      <c r="BA1826" s="17"/>
      <c r="BB1826" s="17"/>
      <c r="BC1826" s="17"/>
      <c r="BD1826" s="17"/>
      <c r="BE1826" s="17"/>
      <c r="BF1826" s="17"/>
      <c r="BG1826" s="17"/>
      <c r="BH1826" s="17"/>
      <c r="BI1826" s="17"/>
      <c r="BJ1826" s="17"/>
      <c r="BK1826" s="17"/>
      <c r="BL1826" s="17"/>
    </row>
    <row r="1827">
      <c r="A1827" s="17"/>
      <c r="B1827" s="17"/>
      <c r="C1827" s="17"/>
      <c r="D1827" s="17"/>
      <c r="E1827" s="17"/>
      <c r="F1827" s="17"/>
      <c r="G1827" s="17"/>
      <c r="H1827" s="356"/>
      <c r="I1827" s="17"/>
      <c r="J1827" s="17"/>
      <c r="K1827" s="17"/>
      <c r="L1827" s="17"/>
      <c r="M1827" s="17"/>
      <c r="N1827" s="17"/>
      <c r="O1827" s="17"/>
      <c r="P1827" s="17"/>
      <c r="Q1827" s="17"/>
      <c r="R1827" s="17"/>
      <c r="S1827" s="17"/>
      <c r="T1827" s="17"/>
      <c r="U1827" s="17"/>
      <c r="V1827" s="17"/>
      <c r="W1827" s="17"/>
      <c r="X1827" s="17"/>
      <c r="Y1827" s="17"/>
      <c r="Z1827" s="17"/>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7"/>
      <c r="AW1827" s="17"/>
      <c r="AX1827" s="17"/>
      <c r="AY1827" s="17"/>
      <c r="AZ1827" s="17"/>
      <c r="BA1827" s="17"/>
      <c r="BB1827" s="17"/>
      <c r="BC1827" s="17"/>
      <c r="BD1827" s="17"/>
      <c r="BE1827" s="17"/>
      <c r="BF1827" s="17"/>
      <c r="BG1827" s="17"/>
      <c r="BH1827" s="17"/>
      <c r="BI1827" s="17"/>
      <c r="BJ1827" s="17"/>
      <c r="BK1827" s="17"/>
      <c r="BL1827" s="17"/>
    </row>
    <row r="1828">
      <c r="A1828" s="17"/>
      <c r="B1828" s="17"/>
      <c r="C1828" s="17"/>
      <c r="D1828" s="17"/>
      <c r="E1828" s="17"/>
      <c r="F1828" s="17"/>
      <c r="G1828" s="17"/>
      <c r="H1828" s="356"/>
      <c r="I1828" s="17"/>
      <c r="J1828" s="17"/>
      <c r="K1828" s="17"/>
      <c r="L1828" s="17"/>
      <c r="M1828" s="17"/>
      <c r="N1828" s="17"/>
      <c r="O1828" s="17"/>
      <c r="P1828" s="17"/>
      <c r="Q1828" s="17"/>
      <c r="R1828" s="17"/>
      <c r="S1828" s="17"/>
      <c r="T1828" s="17"/>
      <c r="U1828" s="17"/>
      <c r="V1828" s="17"/>
      <c r="W1828" s="17"/>
      <c r="X1828" s="17"/>
      <c r="Y1828" s="17"/>
      <c r="Z1828" s="17"/>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c r="AV1828" s="17"/>
      <c r="AW1828" s="17"/>
      <c r="AX1828" s="17"/>
      <c r="AY1828" s="17"/>
      <c r="AZ1828" s="17"/>
      <c r="BA1828" s="17"/>
      <c r="BB1828" s="17"/>
      <c r="BC1828" s="17"/>
      <c r="BD1828" s="17"/>
      <c r="BE1828" s="17"/>
      <c r="BF1828" s="17"/>
      <c r="BG1828" s="17"/>
      <c r="BH1828" s="17"/>
      <c r="BI1828" s="17"/>
      <c r="BJ1828" s="17"/>
      <c r="BK1828" s="17"/>
      <c r="BL1828" s="17"/>
    </row>
    <row r="1829">
      <c r="A1829" s="17"/>
      <c r="B1829" s="17"/>
      <c r="C1829" s="17"/>
      <c r="D1829" s="17"/>
      <c r="E1829" s="17"/>
      <c r="F1829" s="17"/>
      <c r="G1829" s="17"/>
      <c r="H1829" s="356"/>
      <c r="I1829" s="17"/>
      <c r="J1829" s="17"/>
      <c r="K1829" s="17"/>
      <c r="L1829" s="17"/>
      <c r="M1829" s="17"/>
      <c r="N1829" s="17"/>
      <c r="O1829" s="17"/>
      <c r="P1829" s="17"/>
      <c r="Q1829" s="17"/>
      <c r="R1829" s="17"/>
      <c r="S1829" s="17"/>
      <c r="T1829" s="17"/>
      <c r="U1829" s="17"/>
      <c r="V1829" s="17"/>
      <c r="W1829" s="17"/>
      <c r="X1829" s="17"/>
      <c r="Y1829" s="17"/>
      <c r="Z1829" s="17"/>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c r="AV1829" s="17"/>
      <c r="AW1829" s="17"/>
      <c r="AX1829" s="17"/>
      <c r="AY1829" s="17"/>
      <c r="AZ1829" s="17"/>
      <c r="BA1829" s="17"/>
      <c r="BB1829" s="17"/>
      <c r="BC1829" s="17"/>
      <c r="BD1829" s="17"/>
      <c r="BE1829" s="17"/>
      <c r="BF1829" s="17"/>
      <c r="BG1829" s="17"/>
      <c r="BH1829" s="17"/>
      <c r="BI1829" s="17"/>
      <c r="BJ1829" s="17"/>
      <c r="BK1829" s="17"/>
      <c r="BL1829" s="17"/>
    </row>
    <row r="1830">
      <c r="A1830" s="17"/>
      <c r="B1830" s="17"/>
      <c r="C1830" s="17"/>
      <c r="D1830" s="17"/>
      <c r="E1830" s="17"/>
      <c r="F1830" s="17"/>
      <c r="G1830" s="17"/>
      <c r="H1830" s="356"/>
      <c r="I1830" s="17"/>
      <c r="J1830" s="17"/>
      <c r="K1830" s="17"/>
      <c r="L1830" s="17"/>
      <c r="M1830" s="17"/>
      <c r="N1830" s="17"/>
      <c r="O1830" s="17"/>
      <c r="P1830" s="17"/>
      <c r="Q1830" s="17"/>
      <c r="R1830" s="17"/>
      <c r="S1830" s="17"/>
      <c r="T1830" s="17"/>
      <c r="U1830" s="17"/>
      <c r="V1830" s="17"/>
      <c r="W1830" s="17"/>
      <c r="X1830" s="17"/>
      <c r="Y1830" s="17"/>
      <c r="Z1830" s="17"/>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c r="AV1830" s="17"/>
      <c r="AW1830" s="17"/>
      <c r="AX1830" s="17"/>
      <c r="AY1830" s="17"/>
      <c r="AZ1830" s="17"/>
      <c r="BA1830" s="17"/>
      <c r="BB1830" s="17"/>
      <c r="BC1830" s="17"/>
      <c r="BD1830" s="17"/>
      <c r="BE1830" s="17"/>
      <c r="BF1830" s="17"/>
      <c r="BG1830" s="17"/>
      <c r="BH1830" s="17"/>
      <c r="BI1830" s="17"/>
      <c r="BJ1830" s="17"/>
      <c r="BK1830" s="17"/>
      <c r="BL1830" s="17"/>
    </row>
    <row r="1831">
      <c r="A1831" s="17"/>
      <c r="B1831" s="17"/>
      <c r="C1831" s="17"/>
      <c r="D1831" s="17"/>
      <c r="E1831" s="17"/>
      <c r="F1831" s="17"/>
      <c r="G1831" s="17"/>
      <c r="H1831" s="356"/>
      <c r="I1831" s="17"/>
      <c r="J1831" s="17"/>
      <c r="K1831" s="17"/>
      <c r="L1831" s="17"/>
      <c r="M1831" s="17"/>
      <c r="N1831" s="17"/>
      <c r="O1831" s="17"/>
      <c r="P1831" s="17"/>
      <c r="Q1831" s="17"/>
      <c r="R1831" s="17"/>
      <c r="S1831" s="17"/>
      <c r="T1831" s="17"/>
      <c r="U1831" s="17"/>
      <c r="V1831" s="17"/>
      <c r="W1831" s="17"/>
      <c r="X1831" s="17"/>
      <c r="Y1831" s="17"/>
      <c r="Z1831" s="17"/>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c r="AV1831" s="17"/>
      <c r="AW1831" s="17"/>
      <c r="AX1831" s="17"/>
      <c r="AY1831" s="17"/>
      <c r="AZ1831" s="17"/>
      <c r="BA1831" s="17"/>
      <c r="BB1831" s="17"/>
      <c r="BC1831" s="17"/>
      <c r="BD1831" s="17"/>
      <c r="BE1831" s="17"/>
      <c r="BF1831" s="17"/>
      <c r="BG1831" s="17"/>
      <c r="BH1831" s="17"/>
      <c r="BI1831" s="17"/>
      <c r="BJ1831" s="17"/>
      <c r="BK1831" s="17"/>
      <c r="BL1831" s="17"/>
    </row>
    <row r="1832">
      <c r="A1832" s="17"/>
      <c r="B1832" s="17"/>
      <c r="C1832" s="17"/>
      <c r="D1832" s="17"/>
      <c r="E1832" s="17"/>
      <c r="F1832" s="17"/>
      <c r="G1832" s="17"/>
      <c r="H1832" s="356"/>
      <c r="I1832" s="17"/>
      <c r="J1832" s="17"/>
      <c r="K1832" s="17"/>
      <c r="L1832" s="17"/>
      <c r="M1832" s="17"/>
      <c r="N1832" s="17"/>
      <c r="O1832" s="17"/>
      <c r="P1832" s="17"/>
      <c r="Q1832" s="17"/>
      <c r="R1832" s="17"/>
      <c r="S1832" s="17"/>
      <c r="T1832" s="17"/>
      <c r="U1832" s="17"/>
      <c r="V1832" s="17"/>
      <c r="W1832" s="17"/>
      <c r="X1832" s="17"/>
      <c r="Y1832" s="17"/>
      <c r="Z1832" s="17"/>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7"/>
      <c r="AW1832" s="17"/>
      <c r="AX1832" s="17"/>
      <c r="AY1832" s="17"/>
      <c r="AZ1832" s="17"/>
      <c r="BA1832" s="17"/>
      <c r="BB1832" s="17"/>
      <c r="BC1832" s="17"/>
      <c r="BD1832" s="17"/>
      <c r="BE1832" s="17"/>
      <c r="BF1832" s="17"/>
      <c r="BG1832" s="17"/>
      <c r="BH1832" s="17"/>
      <c r="BI1832" s="17"/>
      <c r="BJ1832" s="17"/>
      <c r="BK1832" s="17"/>
      <c r="BL1832" s="17"/>
    </row>
    <row r="1833">
      <c r="A1833" s="17"/>
      <c r="B1833" s="17"/>
      <c r="C1833" s="17"/>
      <c r="D1833" s="17"/>
      <c r="E1833" s="17"/>
      <c r="F1833" s="17"/>
      <c r="G1833" s="17"/>
      <c r="H1833" s="356"/>
      <c r="I1833" s="17"/>
      <c r="J1833" s="17"/>
      <c r="K1833" s="17"/>
      <c r="L1833" s="17"/>
      <c r="M1833" s="17"/>
      <c r="N1833" s="17"/>
      <c r="O1833" s="17"/>
      <c r="P1833" s="17"/>
      <c r="Q1833" s="17"/>
      <c r="R1833" s="17"/>
      <c r="S1833" s="17"/>
      <c r="T1833" s="17"/>
      <c r="U1833" s="17"/>
      <c r="V1833" s="17"/>
      <c r="W1833" s="17"/>
      <c r="X1833" s="17"/>
      <c r="Y1833" s="17"/>
      <c r="Z1833" s="17"/>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c r="AV1833" s="17"/>
      <c r="AW1833" s="17"/>
      <c r="AX1833" s="17"/>
      <c r="AY1833" s="17"/>
      <c r="AZ1833" s="17"/>
      <c r="BA1833" s="17"/>
      <c r="BB1833" s="17"/>
      <c r="BC1833" s="17"/>
      <c r="BD1833" s="17"/>
      <c r="BE1833" s="17"/>
      <c r="BF1833" s="17"/>
      <c r="BG1833" s="17"/>
      <c r="BH1833" s="17"/>
      <c r="BI1833" s="17"/>
      <c r="BJ1833" s="17"/>
      <c r="BK1833" s="17"/>
      <c r="BL1833" s="17"/>
    </row>
    <row r="1834">
      <c r="A1834" s="17"/>
      <c r="B1834" s="17"/>
      <c r="C1834" s="17"/>
      <c r="D1834" s="17"/>
      <c r="E1834" s="17"/>
      <c r="F1834" s="17"/>
      <c r="G1834" s="17"/>
      <c r="H1834" s="356"/>
      <c r="I1834" s="17"/>
      <c r="J1834" s="17"/>
      <c r="K1834" s="17"/>
      <c r="L1834" s="17"/>
      <c r="M1834" s="17"/>
      <c r="N1834" s="17"/>
      <c r="O1834" s="17"/>
      <c r="P1834" s="17"/>
      <c r="Q1834" s="17"/>
      <c r="R1834" s="17"/>
      <c r="S1834" s="17"/>
      <c r="T1834" s="17"/>
      <c r="U1834" s="17"/>
      <c r="V1834" s="17"/>
      <c r="W1834" s="17"/>
      <c r="X1834" s="17"/>
      <c r="Y1834" s="17"/>
      <c r="Z1834" s="17"/>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7"/>
      <c r="AW1834" s="17"/>
      <c r="AX1834" s="17"/>
      <c r="AY1834" s="17"/>
      <c r="AZ1834" s="17"/>
      <c r="BA1834" s="17"/>
      <c r="BB1834" s="17"/>
      <c r="BC1834" s="17"/>
      <c r="BD1834" s="17"/>
      <c r="BE1834" s="17"/>
      <c r="BF1834" s="17"/>
      <c r="BG1834" s="17"/>
      <c r="BH1834" s="17"/>
      <c r="BI1834" s="17"/>
      <c r="BJ1834" s="17"/>
      <c r="BK1834" s="17"/>
      <c r="BL1834" s="17"/>
    </row>
    <row r="1835">
      <c r="A1835" s="17"/>
      <c r="B1835" s="17"/>
      <c r="C1835" s="17"/>
      <c r="D1835" s="17"/>
      <c r="E1835" s="17"/>
      <c r="F1835" s="17"/>
      <c r="G1835" s="17"/>
      <c r="H1835" s="356"/>
      <c r="I1835" s="17"/>
      <c r="J1835" s="17"/>
      <c r="K1835" s="17"/>
      <c r="L1835" s="17"/>
      <c r="M1835" s="17"/>
      <c r="N1835" s="17"/>
      <c r="O1835" s="17"/>
      <c r="P1835" s="17"/>
      <c r="Q1835" s="17"/>
      <c r="R1835" s="17"/>
      <c r="S1835" s="17"/>
      <c r="T1835" s="17"/>
      <c r="U1835" s="17"/>
      <c r="V1835" s="17"/>
      <c r="W1835" s="17"/>
      <c r="X1835" s="17"/>
      <c r="Y1835" s="17"/>
      <c r="Z1835" s="17"/>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c r="AV1835" s="17"/>
      <c r="AW1835" s="17"/>
      <c r="AX1835" s="17"/>
      <c r="AY1835" s="17"/>
      <c r="AZ1835" s="17"/>
      <c r="BA1835" s="17"/>
      <c r="BB1835" s="17"/>
      <c r="BC1835" s="17"/>
      <c r="BD1835" s="17"/>
      <c r="BE1835" s="17"/>
      <c r="BF1835" s="17"/>
      <c r="BG1835" s="17"/>
      <c r="BH1835" s="17"/>
      <c r="BI1835" s="17"/>
      <c r="BJ1835" s="17"/>
      <c r="BK1835" s="17"/>
      <c r="BL1835" s="17"/>
    </row>
    <row r="1836">
      <c r="A1836" s="17"/>
      <c r="B1836" s="17"/>
      <c r="C1836" s="17"/>
      <c r="D1836" s="17"/>
      <c r="E1836" s="17"/>
      <c r="F1836" s="17"/>
      <c r="G1836" s="17"/>
      <c r="H1836" s="356"/>
      <c r="I1836" s="17"/>
      <c r="J1836" s="17"/>
      <c r="K1836" s="17"/>
      <c r="L1836" s="17"/>
      <c r="M1836" s="17"/>
      <c r="N1836" s="17"/>
      <c r="O1836" s="17"/>
      <c r="P1836" s="17"/>
      <c r="Q1836" s="17"/>
      <c r="R1836" s="17"/>
      <c r="S1836" s="17"/>
      <c r="T1836" s="17"/>
      <c r="U1836" s="17"/>
      <c r="V1836" s="17"/>
      <c r="W1836" s="17"/>
      <c r="X1836" s="17"/>
      <c r="Y1836" s="17"/>
      <c r="Z1836" s="17"/>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c r="AV1836" s="17"/>
      <c r="AW1836" s="17"/>
      <c r="AX1836" s="17"/>
      <c r="AY1836" s="17"/>
      <c r="AZ1836" s="17"/>
      <c r="BA1836" s="17"/>
      <c r="BB1836" s="17"/>
      <c r="BC1836" s="17"/>
      <c r="BD1836" s="17"/>
      <c r="BE1836" s="17"/>
      <c r="BF1836" s="17"/>
      <c r="BG1836" s="17"/>
      <c r="BH1836" s="17"/>
      <c r="BI1836" s="17"/>
      <c r="BJ1836" s="17"/>
      <c r="BK1836" s="17"/>
      <c r="BL1836" s="17"/>
    </row>
    <row r="1837">
      <c r="A1837" s="17"/>
      <c r="B1837" s="17"/>
      <c r="C1837" s="17"/>
      <c r="D1837" s="17"/>
      <c r="E1837" s="17"/>
      <c r="F1837" s="17"/>
      <c r="G1837" s="17"/>
      <c r="H1837" s="356"/>
      <c r="I1837" s="17"/>
      <c r="J1837" s="17"/>
      <c r="K1837" s="17"/>
      <c r="L1837" s="17"/>
      <c r="M1837" s="17"/>
      <c r="N1837" s="17"/>
      <c r="O1837" s="17"/>
      <c r="P1837" s="17"/>
      <c r="Q1837" s="17"/>
      <c r="R1837" s="17"/>
      <c r="S1837" s="17"/>
      <c r="T1837" s="17"/>
      <c r="U1837" s="17"/>
      <c r="V1837" s="17"/>
      <c r="W1837" s="17"/>
      <c r="X1837" s="17"/>
      <c r="Y1837" s="17"/>
      <c r="Z1837" s="17"/>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7"/>
      <c r="AW1837" s="17"/>
      <c r="AX1837" s="17"/>
      <c r="AY1837" s="17"/>
      <c r="AZ1837" s="17"/>
      <c r="BA1837" s="17"/>
      <c r="BB1837" s="17"/>
      <c r="BC1837" s="17"/>
      <c r="BD1837" s="17"/>
      <c r="BE1837" s="17"/>
      <c r="BF1837" s="17"/>
      <c r="BG1837" s="17"/>
      <c r="BH1837" s="17"/>
      <c r="BI1837" s="17"/>
      <c r="BJ1837" s="17"/>
      <c r="BK1837" s="17"/>
      <c r="BL1837" s="17"/>
    </row>
    <row r="1838">
      <c r="A1838" s="17"/>
      <c r="B1838" s="17"/>
      <c r="C1838" s="17"/>
      <c r="D1838" s="17"/>
      <c r="E1838" s="17"/>
      <c r="F1838" s="17"/>
      <c r="G1838" s="17"/>
      <c r="H1838" s="356"/>
      <c r="I1838" s="17"/>
      <c r="J1838" s="17"/>
      <c r="K1838" s="17"/>
      <c r="L1838" s="17"/>
      <c r="M1838" s="17"/>
      <c r="N1838" s="17"/>
      <c r="O1838" s="17"/>
      <c r="P1838" s="17"/>
      <c r="Q1838" s="17"/>
      <c r="R1838" s="17"/>
      <c r="S1838" s="17"/>
      <c r="T1838" s="17"/>
      <c r="U1838" s="17"/>
      <c r="V1838" s="17"/>
      <c r="W1838" s="17"/>
      <c r="X1838" s="17"/>
      <c r="Y1838" s="17"/>
      <c r="Z1838" s="17"/>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7"/>
      <c r="AW1838" s="17"/>
      <c r="AX1838" s="17"/>
      <c r="AY1838" s="17"/>
      <c r="AZ1838" s="17"/>
      <c r="BA1838" s="17"/>
      <c r="BB1838" s="17"/>
      <c r="BC1838" s="17"/>
      <c r="BD1838" s="17"/>
      <c r="BE1838" s="17"/>
      <c r="BF1838" s="17"/>
      <c r="BG1838" s="17"/>
      <c r="BH1838" s="17"/>
      <c r="BI1838" s="17"/>
      <c r="BJ1838" s="17"/>
      <c r="BK1838" s="17"/>
      <c r="BL1838" s="17"/>
    </row>
    <row r="1839">
      <c r="A1839" s="17"/>
      <c r="B1839" s="17"/>
      <c r="C1839" s="17"/>
      <c r="D1839" s="17"/>
      <c r="E1839" s="17"/>
      <c r="F1839" s="17"/>
      <c r="G1839" s="17"/>
      <c r="H1839" s="356"/>
      <c r="I1839" s="17"/>
      <c r="J1839" s="17"/>
      <c r="K1839" s="17"/>
      <c r="L1839" s="17"/>
      <c r="M1839" s="17"/>
      <c r="N1839" s="17"/>
      <c r="O1839" s="17"/>
      <c r="P1839" s="17"/>
      <c r="Q1839" s="17"/>
      <c r="R1839" s="17"/>
      <c r="S1839" s="17"/>
      <c r="T1839" s="17"/>
      <c r="U1839" s="17"/>
      <c r="V1839" s="17"/>
      <c r="W1839" s="17"/>
      <c r="X1839" s="17"/>
      <c r="Y1839" s="17"/>
      <c r="Z1839" s="17"/>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c r="AV1839" s="17"/>
      <c r="AW1839" s="17"/>
      <c r="AX1839" s="17"/>
      <c r="AY1839" s="17"/>
      <c r="AZ1839" s="17"/>
      <c r="BA1839" s="17"/>
      <c r="BB1839" s="17"/>
      <c r="BC1839" s="17"/>
      <c r="BD1839" s="17"/>
      <c r="BE1839" s="17"/>
      <c r="BF1839" s="17"/>
      <c r="BG1839" s="17"/>
      <c r="BH1839" s="17"/>
      <c r="BI1839" s="17"/>
      <c r="BJ1839" s="17"/>
      <c r="BK1839" s="17"/>
      <c r="BL1839" s="17"/>
    </row>
    <row r="1840">
      <c r="A1840" s="17"/>
      <c r="B1840" s="17"/>
      <c r="C1840" s="17"/>
      <c r="D1840" s="17"/>
      <c r="E1840" s="17"/>
      <c r="F1840" s="17"/>
      <c r="G1840" s="17"/>
      <c r="H1840" s="356"/>
      <c r="I1840" s="17"/>
      <c r="J1840" s="17"/>
      <c r="K1840" s="17"/>
      <c r="L1840" s="17"/>
      <c r="M1840" s="17"/>
      <c r="N1840" s="17"/>
      <c r="O1840" s="17"/>
      <c r="P1840" s="17"/>
      <c r="Q1840" s="17"/>
      <c r="R1840" s="17"/>
      <c r="S1840" s="17"/>
      <c r="T1840" s="17"/>
      <c r="U1840" s="17"/>
      <c r="V1840" s="17"/>
      <c r="W1840" s="17"/>
      <c r="X1840" s="17"/>
      <c r="Y1840" s="17"/>
      <c r="Z1840" s="17"/>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7"/>
      <c r="AW1840" s="17"/>
      <c r="AX1840" s="17"/>
      <c r="AY1840" s="17"/>
      <c r="AZ1840" s="17"/>
      <c r="BA1840" s="17"/>
      <c r="BB1840" s="17"/>
      <c r="BC1840" s="17"/>
      <c r="BD1840" s="17"/>
      <c r="BE1840" s="17"/>
      <c r="BF1840" s="17"/>
      <c r="BG1840" s="17"/>
      <c r="BH1840" s="17"/>
      <c r="BI1840" s="17"/>
      <c r="BJ1840" s="17"/>
      <c r="BK1840" s="17"/>
      <c r="BL1840" s="17"/>
    </row>
    <row r="1841">
      <c r="A1841" s="17"/>
      <c r="B1841" s="17"/>
      <c r="C1841" s="17"/>
      <c r="D1841" s="17"/>
      <c r="E1841" s="17"/>
      <c r="F1841" s="17"/>
      <c r="G1841" s="17"/>
      <c r="H1841" s="356"/>
      <c r="I1841" s="17"/>
      <c r="J1841" s="17"/>
      <c r="K1841" s="17"/>
      <c r="L1841" s="17"/>
      <c r="M1841" s="17"/>
      <c r="N1841" s="17"/>
      <c r="O1841" s="17"/>
      <c r="P1841" s="17"/>
      <c r="Q1841" s="17"/>
      <c r="R1841" s="17"/>
      <c r="S1841" s="17"/>
      <c r="T1841" s="17"/>
      <c r="U1841" s="17"/>
      <c r="V1841" s="17"/>
      <c r="W1841" s="17"/>
      <c r="X1841" s="17"/>
      <c r="Y1841" s="17"/>
      <c r="Z1841" s="17"/>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7"/>
      <c r="AW1841" s="17"/>
      <c r="AX1841" s="17"/>
      <c r="AY1841" s="17"/>
      <c r="AZ1841" s="17"/>
      <c r="BA1841" s="17"/>
      <c r="BB1841" s="17"/>
      <c r="BC1841" s="17"/>
      <c r="BD1841" s="17"/>
      <c r="BE1841" s="17"/>
      <c r="BF1841" s="17"/>
      <c r="BG1841" s="17"/>
      <c r="BH1841" s="17"/>
      <c r="BI1841" s="17"/>
      <c r="BJ1841" s="17"/>
      <c r="BK1841" s="17"/>
      <c r="BL1841" s="17"/>
    </row>
    <row r="1842">
      <c r="A1842" s="17"/>
      <c r="B1842" s="17"/>
      <c r="C1842" s="17"/>
      <c r="D1842" s="17"/>
      <c r="E1842" s="17"/>
      <c r="F1842" s="17"/>
      <c r="G1842" s="17"/>
      <c r="H1842" s="356"/>
      <c r="I1842" s="17"/>
      <c r="J1842" s="17"/>
      <c r="K1842" s="17"/>
      <c r="L1842" s="17"/>
      <c r="M1842" s="17"/>
      <c r="N1842" s="17"/>
      <c r="O1842" s="17"/>
      <c r="P1842" s="17"/>
      <c r="Q1842" s="17"/>
      <c r="R1842" s="17"/>
      <c r="S1842" s="17"/>
      <c r="T1842" s="17"/>
      <c r="U1842" s="17"/>
      <c r="V1842" s="17"/>
      <c r="W1842" s="17"/>
      <c r="X1842" s="17"/>
      <c r="Y1842" s="17"/>
      <c r="Z1842" s="17"/>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c r="AV1842" s="17"/>
      <c r="AW1842" s="17"/>
      <c r="AX1842" s="17"/>
      <c r="AY1842" s="17"/>
      <c r="AZ1842" s="17"/>
      <c r="BA1842" s="17"/>
      <c r="BB1842" s="17"/>
      <c r="BC1842" s="17"/>
      <c r="BD1842" s="17"/>
      <c r="BE1842" s="17"/>
      <c r="BF1842" s="17"/>
      <c r="BG1842" s="17"/>
      <c r="BH1842" s="17"/>
      <c r="BI1842" s="17"/>
      <c r="BJ1842" s="17"/>
      <c r="BK1842" s="17"/>
      <c r="BL1842" s="17"/>
    </row>
    <row r="1843">
      <c r="A1843" s="17"/>
      <c r="B1843" s="17"/>
      <c r="C1843" s="17"/>
      <c r="D1843" s="17"/>
      <c r="E1843" s="17"/>
      <c r="F1843" s="17"/>
      <c r="G1843" s="17"/>
      <c r="H1843" s="356"/>
      <c r="I1843" s="17"/>
      <c r="J1843" s="17"/>
      <c r="K1843" s="17"/>
      <c r="L1843" s="17"/>
      <c r="M1843" s="17"/>
      <c r="N1843" s="17"/>
      <c r="O1843" s="17"/>
      <c r="P1843" s="17"/>
      <c r="Q1843" s="17"/>
      <c r="R1843" s="17"/>
      <c r="S1843" s="17"/>
      <c r="T1843" s="17"/>
      <c r="U1843" s="17"/>
      <c r="V1843" s="17"/>
      <c r="W1843" s="17"/>
      <c r="X1843" s="17"/>
      <c r="Y1843" s="17"/>
      <c r="Z1843" s="17"/>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7"/>
      <c r="AW1843" s="17"/>
      <c r="AX1843" s="17"/>
      <c r="AY1843" s="17"/>
      <c r="AZ1843" s="17"/>
      <c r="BA1843" s="17"/>
      <c r="BB1843" s="17"/>
      <c r="BC1843" s="17"/>
      <c r="BD1843" s="17"/>
      <c r="BE1843" s="17"/>
      <c r="BF1843" s="17"/>
      <c r="BG1843" s="17"/>
      <c r="BH1843" s="17"/>
      <c r="BI1843" s="17"/>
      <c r="BJ1843" s="17"/>
      <c r="BK1843" s="17"/>
      <c r="BL1843" s="17"/>
    </row>
    <row r="1844">
      <c r="A1844" s="17"/>
      <c r="B1844" s="17"/>
      <c r="C1844" s="17"/>
      <c r="D1844" s="17"/>
      <c r="E1844" s="17"/>
      <c r="F1844" s="17"/>
      <c r="G1844" s="17"/>
      <c r="H1844" s="356"/>
      <c r="I1844" s="17"/>
      <c r="J1844" s="17"/>
      <c r="K1844" s="17"/>
      <c r="L1844" s="17"/>
      <c r="M1844" s="17"/>
      <c r="N1844" s="17"/>
      <c r="O1844" s="17"/>
      <c r="P1844" s="17"/>
      <c r="Q1844" s="17"/>
      <c r="R1844" s="17"/>
      <c r="S1844" s="17"/>
      <c r="T1844" s="17"/>
      <c r="U1844" s="17"/>
      <c r="V1844" s="17"/>
      <c r="W1844" s="17"/>
      <c r="X1844" s="17"/>
      <c r="Y1844" s="17"/>
      <c r="Z1844" s="17"/>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7"/>
      <c r="AW1844" s="17"/>
      <c r="AX1844" s="17"/>
      <c r="AY1844" s="17"/>
      <c r="AZ1844" s="17"/>
      <c r="BA1844" s="17"/>
      <c r="BB1844" s="17"/>
      <c r="BC1844" s="17"/>
      <c r="BD1844" s="17"/>
      <c r="BE1844" s="17"/>
      <c r="BF1844" s="17"/>
      <c r="BG1844" s="17"/>
      <c r="BH1844" s="17"/>
      <c r="BI1844" s="17"/>
      <c r="BJ1844" s="17"/>
      <c r="BK1844" s="17"/>
      <c r="BL1844" s="17"/>
    </row>
    <row r="1845">
      <c r="A1845" s="17"/>
      <c r="B1845" s="17"/>
      <c r="C1845" s="17"/>
      <c r="D1845" s="17"/>
      <c r="E1845" s="17"/>
      <c r="F1845" s="17"/>
      <c r="G1845" s="17"/>
      <c r="H1845" s="356"/>
      <c r="I1845" s="17"/>
      <c r="J1845" s="17"/>
      <c r="K1845" s="17"/>
      <c r="L1845" s="17"/>
      <c r="M1845" s="17"/>
      <c r="N1845" s="17"/>
      <c r="O1845" s="17"/>
      <c r="P1845" s="17"/>
      <c r="Q1845" s="17"/>
      <c r="R1845" s="17"/>
      <c r="S1845" s="17"/>
      <c r="T1845" s="17"/>
      <c r="U1845" s="17"/>
      <c r="V1845" s="17"/>
      <c r="W1845" s="17"/>
      <c r="X1845" s="17"/>
      <c r="Y1845" s="17"/>
      <c r="Z1845" s="17"/>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7"/>
      <c r="AW1845" s="17"/>
      <c r="AX1845" s="17"/>
      <c r="AY1845" s="17"/>
      <c r="AZ1845" s="17"/>
      <c r="BA1845" s="17"/>
      <c r="BB1845" s="17"/>
      <c r="BC1845" s="17"/>
      <c r="BD1845" s="17"/>
      <c r="BE1845" s="17"/>
      <c r="BF1845" s="17"/>
      <c r="BG1845" s="17"/>
      <c r="BH1845" s="17"/>
      <c r="BI1845" s="17"/>
      <c r="BJ1845" s="17"/>
      <c r="BK1845" s="17"/>
      <c r="BL1845" s="17"/>
    </row>
    <row r="1846">
      <c r="A1846" s="17"/>
      <c r="B1846" s="17"/>
      <c r="C1846" s="17"/>
      <c r="D1846" s="17"/>
      <c r="E1846" s="17"/>
      <c r="F1846" s="17"/>
      <c r="G1846" s="17"/>
      <c r="H1846" s="356"/>
      <c r="I1846" s="17"/>
      <c r="J1846" s="17"/>
      <c r="K1846" s="17"/>
      <c r="L1846" s="17"/>
      <c r="M1846" s="17"/>
      <c r="N1846" s="17"/>
      <c r="O1846" s="17"/>
      <c r="P1846" s="17"/>
      <c r="Q1846" s="17"/>
      <c r="R1846" s="17"/>
      <c r="S1846" s="17"/>
      <c r="T1846" s="17"/>
      <c r="U1846" s="17"/>
      <c r="V1846" s="17"/>
      <c r="W1846" s="17"/>
      <c r="X1846" s="17"/>
      <c r="Y1846" s="17"/>
      <c r="Z1846" s="17"/>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7"/>
      <c r="AW1846" s="17"/>
      <c r="AX1846" s="17"/>
      <c r="AY1846" s="17"/>
      <c r="AZ1846" s="17"/>
      <c r="BA1846" s="17"/>
      <c r="BB1846" s="17"/>
      <c r="BC1846" s="17"/>
      <c r="BD1846" s="17"/>
      <c r="BE1846" s="17"/>
      <c r="BF1846" s="17"/>
      <c r="BG1846" s="17"/>
      <c r="BH1846" s="17"/>
      <c r="BI1846" s="17"/>
      <c r="BJ1846" s="17"/>
      <c r="BK1846" s="17"/>
      <c r="BL1846" s="17"/>
    </row>
    <row r="1847">
      <c r="A1847" s="17"/>
      <c r="B1847" s="17"/>
      <c r="C1847" s="17"/>
      <c r="D1847" s="17"/>
      <c r="E1847" s="17"/>
      <c r="F1847" s="17"/>
      <c r="G1847" s="17"/>
      <c r="H1847" s="356"/>
      <c r="I1847" s="17"/>
      <c r="J1847" s="17"/>
      <c r="K1847" s="17"/>
      <c r="L1847" s="17"/>
      <c r="M1847" s="17"/>
      <c r="N1847" s="17"/>
      <c r="O1847" s="17"/>
      <c r="P1847" s="17"/>
      <c r="Q1847" s="17"/>
      <c r="R1847" s="17"/>
      <c r="S1847" s="17"/>
      <c r="T1847" s="17"/>
      <c r="U1847" s="17"/>
      <c r="V1847" s="17"/>
      <c r="W1847" s="17"/>
      <c r="X1847" s="17"/>
      <c r="Y1847" s="17"/>
      <c r="Z1847" s="17"/>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c r="AV1847" s="17"/>
      <c r="AW1847" s="17"/>
      <c r="AX1847" s="17"/>
      <c r="AY1847" s="17"/>
      <c r="AZ1847" s="17"/>
      <c r="BA1847" s="17"/>
      <c r="BB1847" s="17"/>
      <c r="BC1847" s="17"/>
      <c r="BD1847" s="17"/>
      <c r="BE1847" s="17"/>
      <c r="BF1847" s="17"/>
      <c r="BG1847" s="17"/>
      <c r="BH1847" s="17"/>
      <c r="BI1847" s="17"/>
      <c r="BJ1847" s="17"/>
      <c r="BK1847" s="17"/>
      <c r="BL1847" s="17"/>
    </row>
    <row r="1848">
      <c r="A1848" s="17"/>
      <c r="B1848" s="17"/>
      <c r="C1848" s="17"/>
      <c r="D1848" s="17"/>
      <c r="E1848" s="17"/>
      <c r="F1848" s="17"/>
      <c r="G1848" s="17"/>
      <c r="H1848" s="356"/>
      <c r="I1848" s="17"/>
      <c r="J1848" s="17"/>
      <c r="K1848" s="17"/>
      <c r="L1848" s="17"/>
      <c r="M1848" s="17"/>
      <c r="N1848" s="17"/>
      <c r="O1848" s="17"/>
      <c r="P1848" s="17"/>
      <c r="Q1848" s="17"/>
      <c r="R1848" s="17"/>
      <c r="S1848" s="17"/>
      <c r="T1848" s="17"/>
      <c r="U1848" s="17"/>
      <c r="V1848" s="17"/>
      <c r="W1848" s="17"/>
      <c r="X1848" s="17"/>
      <c r="Y1848" s="17"/>
      <c r="Z1848" s="17"/>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c r="AV1848" s="17"/>
      <c r="AW1848" s="17"/>
      <c r="AX1848" s="17"/>
      <c r="AY1848" s="17"/>
      <c r="AZ1848" s="17"/>
      <c r="BA1848" s="17"/>
      <c r="BB1848" s="17"/>
      <c r="BC1848" s="17"/>
      <c r="BD1848" s="17"/>
      <c r="BE1848" s="17"/>
      <c r="BF1848" s="17"/>
      <c r="BG1848" s="17"/>
      <c r="BH1848" s="17"/>
      <c r="BI1848" s="17"/>
      <c r="BJ1848" s="17"/>
      <c r="BK1848" s="17"/>
      <c r="BL1848" s="17"/>
    </row>
    <row r="1849">
      <c r="A1849" s="17"/>
      <c r="B1849" s="17"/>
      <c r="C1849" s="17"/>
      <c r="D1849" s="17"/>
      <c r="E1849" s="17"/>
      <c r="F1849" s="17"/>
      <c r="G1849" s="17"/>
      <c r="H1849" s="356"/>
      <c r="I1849" s="17"/>
      <c r="J1849" s="17"/>
      <c r="K1849" s="17"/>
      <c r="L1849" s="17"/>
      <c r="M1849" s="17"/>
      <c r="N1849" s="17"/>
      <c r="O1849" s="17"/>
      <c r="P1849" s="17"/>
      <c r="Q1849" s="17"/>
      <c r="R1849" s="17"/>
      <c r="S1849" s="17"/>
      <c r="T1849" s="17"/>
      <c r="U1849" s="17"/>
      <c r="V1849" s="17"/>
      <c r="W1849" s="17"/>
      <c r="X1849" s="17"/>
      <c r="Y1849" s="17"/>
      <c r="Z1849" s="17"/>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c r="AV1849" s="17"/>
      <c r="AW1849" s="17"/>
      <c r="AX1849" s="17"/>
      <c r="AY1849" s="17"/>
      <c r="AZ1849" s="17"/>
      <c r="BA1849" s="17"/>
      <c r="BB1849" s="17"/>
      <c r="BC1849" s="17"/>
      <c r="BD1849" s="17"/>
      <c r="BE1849" s="17"/>
      <c r="BF1849" s="17"/>
      <c r="BG1849" s="17"/>
      <c r="BH1849" s="17"/>
      <c r="BI1849" s="17"/>
      <c r="BJ1849" s="17"/>
      <c r="BK1849" s="17"/>
      <c r="BL1849" s="17"/>
    </row>
    <row r="1850">
      <c r="A1850" s="17"/>
      <c r="B1850" s="17"/>
      <c r="C1850" s="17"/>
      <c r="D1850" s="17"/>
      <c r="E1850" s="17"/>
      <c r="F1850" s="17"/>
      <c r="G1850" s="17"/>
      <c r="H1850" s="356"/>
      <c r="I1850" s="17"/>
      <c r="J1850" s="17"/>
      <c r="K1850" s="17"/>
      <c r="L1850" s="17"/>
      <c r="M1850" s="17"/>
      <c r="N1850" s="17"/>
      <c r="O1850" s="17"/>
      <c r="P1850" s="17"/>
      <c r="Q1850" s="17"/>
      <c r="R1850" s="17"/>
      <c r="S1850" s="17"/>
      <c r="T1850" s="17"/>
      <c r="U1850" s="17"/>
      <c r="V1850" s="17"/>
      <c r="W1850" s="17"/>
      <c r="X1850" s="17"/>
      <c r="Y1850" s="17"/>
      <c r="Z1850" s="17"/>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c r="AV1850" s="17"/>
      <c r="AW1850" s="17"/>
      <c r="AX1850" s="17"/>
      <c r="AY1850" s="17"/>
      <c r="AZ1850" s="17"/>
      <c r="BA1850" s="17"/>
      <c r="BB1850" s="17"/>
      <c r="BC1850" s="17"/>
      <c r="BD1850" s="17"/>
      <c r="BE1850" s="17"/>
      <c r="BF1850" s="17"/>
      <c r="BG1850" s="17"/>
      <c r="BH1850" s="17"/>
      <c r="BI1850" s="17"/>
      <c r="BJ1850" s="17"/>
      <c r="BK1850" s="17"/>
      <c r="BL1850" s="17"/>
    </row>
    <row r="1851">
      <c r="A1851" s="17"/>
      <c r="B1851" s="17"/>
      <c r="C1851" s="17"/>
      <c r="D1851" s="17"/>
      <c r="E1851" s="17"/>
      <c r="F1851" s="17"/>
      <c r="G1851" s="17"/>
      <c r="H1851" s="356"/>
      <c r="I1851" s="17"/>
      <c r="J1851" s="17"/>
      <c r="K1851" s="17"/>
      <c r="L1851" s="17"/>
      <c r="M1851" s="17"/>
      <c r="N1851" s="17"/>
      <c r="O1851" s="17"/>
      <c r="P1851" s="17"/>
      <c r="Q1851" s="17"/>
      <c r="R1851" s="17"/>
      <c r="S1851" s="17"/>
      <c r="T1851" s="17"/>
      <c r="U1851" s="17"/>
      <c r="V1851" s="17"/>
      <c r="W1851" s="17"/>
      <c r="X1851" s="17"/>
      <c r="Y1851" s="17"/>
      <c r="Z1851" s="17"/>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7"/>
      <c r="AW1851" s="17"/>
      <c r="AX1851" s="17"/>
      <c r="AY1851" s="17"/>
      <c r="AZ1851" s="17"/>
      <c r="BA1851" s="17"/>
      <c r="BB1851" s="17"/>
      <c r="BC1851" s="17"/>
      <c r="BD1851" s="17"/>
      <c r="BE1851" s="17"/>
      <c r="BF1851" s="17"/>
      <c r="BG1851" s="17"/>
      <c r="BH1851" s="17"/>
      <c r="BI1851" s="17"/>
      <c r="BJ1851" s="17"/>
      <c r="BK1851" s="17"/>
      <c r="BL1851" s="17"/>
    </row>
    <row r="1852">
      <c r="A1852" s="17"/>
      <c r="B1852" s="17"/>
      <c r="C1852" s="17"/>
      <c r="D1852" s="17"/>
      <c r="E1852" s="17"/>
      <c r="F1852" s="17"/>
      <c r="G1852" s="17"/>
      <c r="H1852" s="356"/>
      <c r="I1852" s="17"/>
      <c r="J1852" s="17"/>
      <c r="K1852" s="17"/>
      <c r="L1852" s="17"/>
      <c r="M1852" s="17"/>
      <c r="N1852" s="17"/>
      <c r="O1852" s="17"/>
      <c r="P1852" s="17"/>
      <c r="Q1852" s="17"/>
      <c r="R1852" s="17"/>
      <c r="S1852" s="17"/>
      <c r="T1852" s="17"/>
      <c r="U1852" s="17"/>
      <c r="V1852" s="17"/>
      <c r="W1852" s="17"/>
      <c r="X1852" s="17"/>
      <c r="Y1852" s="17"/>
      <c r="Z1852" s="17"/>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7"/>
      <c r="AW1852" s="17"/>
      <c r="AX1852" s="17"/>
      <c r="AY1852" s="17"/>
      <c r="AZ1852" s="17"/>
      <c r="BA1852" s="17"/>
      <c r="BB1852" s="17"/>
      <c r="BC1852" s="17"/>
      <c r="BD1852" s="17"/>
      <c r="BE1852" s="17"/>
      <c r="BF1852" s="17"/>
      <c r="BG1852" s="17"/>
      <c r="BH1852" s="17"/>
      <c r="BI1852" s="17"/>
      <c r="BJ1852" s="17"/>
      <c r="BK1852" s="17"/>
      <c r="BL1852" s="17"/>
    </row>
    <row r="1853">
      <c r="A1853" s="17"/>
      <c r="B1853" s="17"/>
      <c r="C1853" s="17"/>
      <c r="D1853" s="17"/>
      <c r="E1853" s="17"/>
      <c r="F1853" s="17"/>
      <c r="G1853" s="17"/>
      <c r="H1853" s="356"/>
      <c r="I1853" s="17"/>
      <c r="J1853" s="17"/>
      <c r="K1853" s="17"/>
      <c r="L1853" s="17"/>
      <c r="M1853" s="17"/>
      <c r="N1853" s="17"/>
      <c r="O1853" s="17"/>
      <c r="P1853" s="17"/>
      <c r="Q1853" s="17"/>
      <c r="R1853" s="17"/>
      <c r="S1853" s="17"/>
      <c r="T1853" s="17"/>
      <c r="U1853" s="17"/>
      <c r="V1853" s="17"/>
      <c r="W1853" s="17"/>
      <c r="X1853" s="17"/>
      <c r="Y1853" s="17"/>
      <c r="Z1853" s="17"/>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7"/>
      <c r="AW1853" s="17"/>
      <c r="AX1853" s="17"/>
      <c r="AY1853" s="17"/>
      <c r="AZ1853" s="17"/>
      <c r="BA1853" s="17"/>
      <c r="BB1853" s="17"/>
      <c r="BC1853" s="17"/>
      <c r="BD1853" s="17"/>
      <c r="BE1853" s="17"/>
      <c r="BF1853" s="17"/>
      <c r="BG1853" s="17"/>
      <c r="BH1853" s="17"/>
      <c r="BI1853" s="17"/>
      <c r="BJ1853" s="17"/>
      <c r="BK1853" s="17"/>
      <c r="BL1853" s="17"/>
    </row>
    <row r="1854">
      <c r="A1854" s="17"/>
      <c r="B1854" s="17"/>
      <c r="C1854" s="17"/>
      <c r="D1854" s="17"/>
      <c r="E1854" s="17"/>
      <c r="F1854" s="17"/>
      <c r="G1854" s="17"/>
      <c r="H1854" s="356"/>
      <c r="I1854" s="17"/>
      <c r="J1854" s="17"/>
      <c r="K1854" s="17"/>
      <c r="L1854" s="17"/>
      <c r="M1854" s="17"/>
      <c r="N1854" s="17"/>
      <c r="O1854" s="17"/>
      <c r="P1854" s="17"/>
      <c r="Q1854" s="17"/>
      <c r="R1854" s="17"/>
      <c r="S1854" s="17"/>
      <c r="T1854" s="17"/>
      <c r="U1854" s="17"/>
      <c r="V1854" s="17"/>
      <c r="W1854" s="17"/>
      <c r="X1854" s="17"/>
      <c r="Y1854" s="17"/>
      <c r="Z1854" s="17"/>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7"/>
      <c r="AW1854" s="17"/>
      <c r="AX1854" s="17"/>
      <c r="AY1854" s="17"/>
      <c r="AZ1854" s="17"/>
      <c r="BA1854" s="17"/>
      <c r="BB1854" s="17"/>
      <c r="BC1854" s="17"/>
      <c r="BD1854" s="17"/>
      <c r="BE1854" s="17"/>
      <c r="BF1854" s="17"/>
      <c r="BG1854" s="17"/>
      <c r="BH1854" s="17"/>
      <c r="BI1854" s="17"/>
      <c r="BJ1854" s="17"/>
      <c r="BK1854" s="17"/>
      <c r="BL1854" s="17"/>
    </row>
    <row r="1855">
      <c r="A1855" s="17"/>
      <c r="B1855" s="17"/>
      <c r="C1855" s="17"/>
      <c r="D1855" s="17"/>
      <c r="E1855" s="17"/>
      <c r="F1855" s="17"/>
      <c r="G1855" s="17"/>
      <c r="H1855" s="356"/>
      <c r="I1855" s="17"/>
      <c r="J1855" s="17"/>
      <c r="K1855" s="17"/>
      <c r="L1855" s="17"/>
      <c r="M1855" s="17"/>
      <c r="N1855" s="17"/>
      <c r="O1855" s="17"/>
      <c r="P1855" s="17"/>
      <c r="Q1855" s="17"/>
      <c r="R1855" s="17"/>
      <c r="S1855" s="17"/>
      <c r="T1855" s="17"/>
      <c r="U1855" s="17"/>
      <c r="V1855" s="17"/>
      <c r="W1855" s="17"/>
      <c r="X1855" s="17"/>
      <c r="Y1855" s="17"/>
      <c r="Z1855" s="17"/>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7"/>
      <c r="AW1855" s="17"/>
      <c r="AX1855" s="17"/>
      <c r="AY1855" s="17"/>
      <c r="AZ1855" s="17"/>
      <c r="BA1855" s="17"/>
      <c r="BB1855" s="17"/>
      <c r="BC1855" s="17"/>
      <c r="BD1855" s="17"/>
      <c r="BE1855" s="17"/>
      <c r="BF1855" s="17"/>
      <c r="BG1855" s="17"/>
      <c r="BH1855" s="17"/>
      <c r="BI1855" s="17"/>
      <c r="BJ1855" s="17"/>
      <c r="BK1855" s="17"/>
      <c r="BL1855" s="17"/>
    </row>
    <row r="1856">
      <c r="A1856" s="17"/>
      <c r="B1856" s="17"/>
      <c r="C1856" s="17"/>
      <c r="D1856" s="17"/>
      <c r="E1856" s="17"/>
      <c r="F1856" s="17"/>
      <c r="G1856" s="17"/>
      <c r="H1856" s="356"/>
      <c r="I1856" s="17"/>
      <c r="J1856" s="17"/>
      <c r="K1856" s="17"/>
      <c r="L1856" s="17"/>
      <c r="M1856" s="17"/>
      <c r="N1856" s="17"/>
      <c r="O1856" s="17"/>
      <c r="P1856" s="17"/>
      <c r="Q1856" s="17"/>
      <c r="R1856" s="17"/>
      <c r="S1856" s="17"/>
      <c r="T1856" s="17"/>
      <c r="U1856" s="17"/>
      <c r="V1856" s="17"/>
      <c r="W1856" s="17"/>
      <c r="X1856" s="17"/>
      <c r="Y1856" s="17"/>
      <c r="Z1856" s="17"/>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7"/>
      <c r="AW1856" s="17"/>
      <c r="AX1856" s="17"/>
      <c r="AY1856" s="17"/>
      <c r="AZ1856" s="17"/>
      <c r="BA1856" s="17"/>
      <c r="BB1856" s="17"/>
      <c r="BC1856" s="17"/>
      <c r="BD1856" s="17"/>
      <c r="BE1856" s="17"/>
      <c r="BF1856" s="17"/>
      <c r="BG1856" s="17"/>
      <c r="BH1856" s="17"/>
      <c r="BI1856" s="17"/>
      <c r="BJ1856" s="17"/>
      <c r="BK1856" s="17"/>
      <c r="BL1856" s="17"/>
    </row>
    <row r="1857">
      <c r="A1857" s="17"/>
      <c r="B1857" s="17"/>
      <c r="C1857" s="17"/>
      <c r="D1857" s="17"/>
      <c r="E1857" s="17"/>
      <c r="F1857" s="17"/>
      <c r="G1857" s="17"/>
      <c r="H1857" s="356"/>
      <c r="I1857" s="17"/>
      <c r="J1857" s="17"/>
      <c r="K1857" s="17"/>
      <c r="L1857" s="17"/>
      <c r="M1857" s="17"/>
      <c r="N1857" s="17"/>
      <c r="O1857" s="17"/>
      <c r="P1857" s="17"/>
      <c r="Q1857" s="17"/>
      <c r="R1857" s="17"/>
      <c r="S1857" s="17"/>
      <c r="T1857" s="17"/>
      <c r="U1857" s="17"/>
      <c r="V1857" s="17"/>
      <c r="W1857" s="17"/>
      <c r="X1857" s="17"/>
      <c r="Y1857" s="17"/>
      <c r="Z1857" s="17"/>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c r="AV1857" s="17"/>
      <c r="AW1857" s="17"/>
      <c r="AX1857" s="17"/>
      <c r="AY1857" s="17"/>
      <c r="AZ1857" s="17"/>
      <c r="BA1857" s="17"/>
      <c r="BB1857" s="17"/>
      <c r="BC1857" s="17"/>
      <c r="BD1857" s="17"/>
      <c r="BE1857" s="17"/>
      <c r="BF1857" s="17"/>
      <c r="BG1857" s="17"/>
      <c r="BH1857" s="17"/>
      <c r="BI1857" s="17"/>
      <c r="BJ1857" s="17"/>
      <c r="BK1857" s="17"/>
      <c r="BL1857" s="17"/>
    </row>
    <row r="1858">
      <c r="A1858" s="17"/>
      <c r="B1858" s="17"/>
      <c r="C1858" s="17"/>
      <c r="D1858" s="17"/>
      <c r="E1858" s="17"/>
      <c r="F1858" s="17"/>
      <c r="G1858" s="17"/>
      <c r="H1858" s="356"/>
      <c r="I1858" s="17"/>
      <c r="J1858" s="17"/>
      <c r="K1858" s="17"/>
      <c r="L1858" s="17"/>
      <c r="M1858" s="17"/>
      <c r="N1858" s="17"/>
      <c r="O1858" s="17"/>
      <c r="P1858" s="17"/>
      <c r="Q1858" s="17"/>
      <c r="R1858" s="17"/>
      <c r="S1858" s="17"/>
      <c r="T1858" s="17"/>
      <c r="U1858" s="17"/>
      <c r="V1858" s="17"/>
      <c r="W1858" s="17"/>
      <c r="X1858" s="17"/>
      <c r="Y1858" s="17"/>
      <c r="Z1858" s="17"/>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7"/>
      <c r="AW1858" s="17"/>
      <c r="AX1858" s="17"/>
      <c r="AY1858" s="17"/>
      <c r="AZ1858" s="17"/>
      <c r="BA1858" s="17"/>
      <c r="BB1858" s="17"/>
      <c r="BC1858" s="17"/>
      <c r="BD1858" s="17"/>
      <c r="BE1858" s="17"/>
      <c r="BF1858" s="17"/>
      <c r="BG1858" s="17"/>
      <c r="BH1858" s="17"/>
      <c r="BI1858" s="17"/>
      <c r="BJ1858" s="17"/>
      <c r="BK1858" s="17"/>
      <c r="BL1858" s="17"/>
    </row>
    <row r="1859">
      <c r="A1859" s="17"/>
      <c r="B1859" s="17"/>
      <c r="C1859" s="17"/>
      <c r="D1859" s="17"/>
      <c r="E1859" s="17"/>
      <c r="F1859" s="17"/>
      <c r="G1859" s="17"/>
      <c r="H1859" s="356"/>
      <c r="I1859" s="17"/>
      <c r="J1859" s="17"/>
      <c r="K1859" s="17"/>
      <c r="L1859" s="17"/>
      <c r="M1859" s="17"/>
      <c r="N1859" s="17"/>
      <c r="O1859" s="17"/>
      <c r="P1859" s="17"/>
      <c r="Q1859" s="17"/>
      <c r="R1859" s="17"/>
      <c r="S1859" s="17"/>
      <c r="T1859" s="17"/>
      <c r="U1859" s="17"/>
      <c r="V1859" s="17"/>
      <c r="W1859" s="17"/>
      <c r="X1859" s="17"/>
      <c r="Y1859" s="17"/>
      <c r="Z1859" s="17"/>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7"/>
      <c r="AW1859" s="17"/>
      <c r="AX1859" s="17"/>
      <c r="AY1859" s="17"/>
      <c r="AZ1859" s="17"/>
      <c r="BA1859" s="17"/>
      <c r="BB1859" s="17"/>
      <c r="BC1859" s="17"/>
      <c r="BD1859" s="17"/>
      <c r="BE1859" s="17"/>
      <c r="BF1859" s="17"/>
      <c r="BG1859" s="17"/>
      <c r="BH1859" s="17"/>
      <c r="BI1859" s="17"/>
      <c r="BJ1859" s="17"/>
      <c r="BK1859" s="17"/>
      <c r="BL1859" s="17"/>
    </row>
    <row r="1860">
      <c r="A1860" s="17"/>
      <c r="B1860" s="17"/>
      <c r="C1860" s="17"/>
      <c r="D1860" s="17"/>
      <c r="E1860" s="17"/>
      <c r="F1860" s="17"/>
      <c r="G1860" s="17"/>
      <c r="H1860" s="356"/>
      <c r="I1860" s="17"/>
      <c r="J1860" s="17"/>
      <c r="K1860" s="17"/>
      <c r="L1860" s="17"/>
      <c r="M1860" s="17"/>
      <c r="N1860" s="17"/>
      <c r="O1860" s="17"/>
      <c r="P1860" s="17"/>
      <c r="Q1860" s="17"/>
      <c r="R1860" s="17"/>
      <c r="S1860" s="17"/>
      <c r="T1860" s="17"/>
      <c r="U1860" s="17"/>
      <c r="V1860" s="17"/>
      <c r="W1860" s="17"/>
      <c r="X1860" s="17"/>
      <c r="Y1860" s="17"/>
      <c r="Z1860" s="17"/>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c r="AV1860" s="17"/>
      <c r="AW1860" s="17"/>
      <c r="AX1860" s="17"/>
      <c r="AY1860" s="17"/>
      <c r="AZ1860" s="17"/>
      <c r="BA1860" s="17"/>
      <c r="BB1860" s="17"/>
      <c r="BC1860" s="17"/>
      <c r="BD1860" s="17"/>
      <c r="BE1860" s="17"/>
      <c r="BF1860" s="17"/>
      <c r="BG1860" s="17"/>
      <c r="BH1860" s="17"/>
      <c r="BI1860" s="17"/>
      <c r="BJ1860" s="17"/>
      <c r="BK1860" s="17"/>
      <c r="BL1860" s="17"/>
    </row>
    <row r="1861">
      <c r="A1861" s="17"/>
      <c r="B1861" s="17"/>
      <c r="C1861" s="17"/>
      <c r="D1861" s="17"/>
      <c r="E1861" s="17"/>
      <c r="F1861" s="17"/>
      <c r="G1861" s="17"/>
      <c r="H1861" s="356"/>
      <c r="I1861" s="17"/>
      <c r="J1861" s="17"/>
      <c r="K1861" s="17"/>
      <c r="L1861" s="17"/>
      <c r="M1861" s="17"/>
      <c r="N1861" s="17"/>
      <c r="O1861" s="17"/>
      <c r="P1861" s="17"/>
      <c r="Q1861" s="17"/>
      <c r="R1861" s="17"/>
      <c r="S1861" s="17"/>
      <c r="T1861" s="17"/>
      <c r="U1861" s="17"/>
      <c r="V1861" s="17"/>
      <c r="W1861" s="17"/>
      <c r="X1861" s="17"/>
      <c r="Y1861" s="17"/>
      <c r="Z1861" s="17"/>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7"/>
      <c r="AW1861" s="17"/>
      <c r="AX1861" s="17"/>
      <c r="AY1861" s="17"/>
      <c r="AZ1861" s="17"/>
      <c r="BA1861" s="17"/>
      <c r="BB1861" s="17"/>
      <c r="BC1861" s="17"/>
      <c r="BD1861" s="17"/>
      <c r="BE1861" s="17"/>
      <c r="BF1861" s="17"/>
      <c r="BG1861" s="17"/>
      <c r="BH1861" s="17"/>
      <c r="BI1861" s="17"/>
      <c r="BJ1861" s="17"/>
      <c r="BK1861" s="17"/>
      <c r="BL1861" s="17"/>
    </row>
    <row r="1862">
      <c r="A1862" s="17"/>
      <c r="B1862" s="17"/>
      <c r="C1862" s="17"/>
      <c r="D1862" s="17"/>
      <c r="E1862" s="17"/>
      <c r="F1862" s="17"/>
      <c r="G1862" s="17"/>
      <c r="H1862" s="356"/>
      <c r="I1862" s="17"/>
      <c r="J1862" s="17"/>
      <c r="K1862" s="17"/>
      <c r="L1862" s="17"/>
      <c r="M1862" s="17"/>
      <c r="N1862" s="17"/>
      <c r="O1862" s="17"/>
      <c r="P1862" s="17"/>
      <c r="Q1862" s="17"/>
      <c r="R1862" s="17"/>
      <c r="S1862" s="17"/>
      <c r="T1862" s="17"/>
      <c r="U1862" s="17"/>
      <c r="V1862" s="17"/>
      <c r="W1862" s="17"/>
      <c r="X1862" s="17"/>
      <c r="Y1862" s="17"/>
      <c r="Z1862" s="17"/>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7"/>
      <c r="AW1862" s="17"/>
      <c r="AX1862" s="17"/>
      <c r="AY1862" s="17"/>
      <c r="AZ1862" s="17"/>
      <c r="BA1862" s="17"/>
      <c r="BB1862" s="17"/>
      <c r="BC1862" s="17"/>
      <c r="BD1862" s="17"/>
      <c r="BE1862" s="17"/>
      <c r="BF1862" s="17"/>
      <c r="BG1862" s="17"/>
      <c r="BH1862" s="17"/>
      <c r="BI1862" s="17"/>
      <c r="BJ1862" s="17"/>
      <c r="BK1862" s="17"/>
      <c r="BL1862" s="17"/>
    </row>
    <row r="1863">
      <c r="A1863" s="17"/>
      <c r="B1863" s="17"/>
      <c r="C1863" s="17"/>
      <c r="D1863" s="17"/>
      <c r="E1863" s="17"/>
      <c r="F1863" s="17"/>
      <c r="G1863" s="17"/>
      <c r="H1863" s="356"/>
      <c r="I1863" s="17"/>
      <c r="J1863" s="17"/>
      <c r="K1863" s="17"/>
      <c r="L1863" s="17"/>
      <c r="M1863" s="17"/>
      <c r="N1863" s="17"/>
      <c r="O1863" s="17"/>
      <c r="P1863" s="17"/>
      <c r="Q1863" s="17"/>
      <c r="R1863" s="17"/>
      <c r="S1863" s="17"/>
      <c r="T1863" s="17"/>
      <c r="U1863" s="17"/>
      <c r="V1863" s="17"/>
      <c r="W1863" s="17"/>
      <c r="X1863" s="17"/>
      <c r="Y1863" s="17"/>
      <c r="Z1863" s="17"/>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c r="AV1863" s="17"/>
      <c r="AW1863" s="17"/>
      <c r="AX1863" s="17"/>
      <c r="AY1863" s="17"/>
      <c r="AZ1863" s="17"/>
      <c r="BA1863" s="17"/>
      <c r="BB1863" s="17"/>
      <c r="BC1863" s="17"/>
      <c r="BD1863" s="17"/>
      <c r="BE1863" s="17"/>
      <c r="BF1863" s="17"/>
      <c r="BG1863" s="17"/>
      <c r="BH1863" s="17"/>
      <c r="BI1863" s="17"/>
      <c r="BJ1863" s="17"/>
      <c r="BK1863" s="17"/>
      <c r="BL1863" s="17"/>
    </row>
    <row r="1864">
      <c r="A1864" s="17"/>
      <c r="B1864" s="17"/>
      <c r="C1864" s="17"/>
      <c r="D1864" s="17"/>
      <c r="E1864" s="17"/>
      <c r="F1864" s="17"/>
      <c r="G1864" s="17"/>
      <c r="H1864" s="356"/>
      <c r="I1864" s="17"/>
      <c r="J1864" s="17"/>
      <c r="K1864" s="17"/>
      <c r="L1864" s="17"/>
      <c r="M1864" s="17"/>
      <c r="N1864" s="17"/>
      <c r="O1864" s="17"/>
      <c r="P1864" s="17"/>
      <c r="Q1864" s="17"/>
      <c r="R1864" s="17"/>
      <c r="S1864" s="17"/>
      <c r="T1864" s="17"/>
      <c r="U1864" s="17"/>
      <c r="V1864" s="17"/>
      <c r="W1864" s="17"/>
      <c r="X1864" s="17"/>
      <c r="Y1864" s="17"/>
      <c r="Z1864" s="17"/>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c r="AV1864" s="17"/>
      <c r="AW1864" s="17"/>
      <c r="AX1864" s="17"/>
      <c r="AY1864" s="17"/>
      <c r="AZ1864" s="17"/>
      <c r="BA1864" s="17"/>
      <c r="BB1864" s="17"/>
      <c r="BC1864" s="17"/>
      <c r="BD1864" s="17"/>
      <c r="BE1864" s="17"/>
      <c r="BF1864" s="17"/>
      <c r="BG1864" s="17"/>
      <c r="BH1864" s="17"/>
      <c r="BI1864" s="17"/>
      <c r="BJ1864" s="17"/>
      <c r="BK1864" s="17"/>
      <c r="BL1864" s="17"/>
    </row>
    <row r="1865">
      <c r="A1865" s="17"/>
      <c r="B1865" s="17"/>
      <c r="C1865" s="17"/>
      <c r="D1865" s="17"/>
      <c r="E1865" s="17"/>
      <c r="F1865" s="17"/>
      <c r="G1865" s="17"/>
      <c r="H1865" s="356"/>
      <c r="I1865" s="17"/>
      <c r="J1865" s="17"/>
      <c r="K1865" s="17"/>
      <c r="L1865" s="17"/>
      <c r="M1865" s="17"/>
      <c r="N1865" s="17"/>
      <c r="O1865" s="17"/>
      <c r="P1865" s="17"/>
      <c r="Q1865" s="17"/>
      <c r="R1865" s="17"/>
      <c r="S1865" s="17"/>
      <c r="T1865" s="17"/>
      <c r="U1865" s="17"/>
      <c r="V1865" s="17"/>
      <c r="W1865" s="17"/>
      <c r="X1865" s="17"/>
      <c r="Y1865" s="17"/>
      <c r="Z1865" s="17"/>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c r="AV1865" s="17"/>
      <c r="AW1865" s="17"/>
      <c r="AX1865" s="17"/>
      <c r="AY1865" s="17"/>
      <c r="AZ1865" s="17"/>
      <c r="BA1865" s="17"/>
      <c r="BB1865" s="17"/>
      <c r="BC1865" s="17"/>
      <c r="BD1865" s="17"/>
      <c r="BE1865" s="17"/>
      <c r="BF1865" s="17"/>
      <c r="BG1865" s="17"/>
      <c r="BH1865" s="17"/>
      <c r="BI1865" s="17"/>
      <c r="BJ1865" s="17"/>
      <c r="BK1865" s="17"/>
      <c r="BL1865" s="17"/>
    </row>
    <row r="1866">
      <c r="A1866" s="17"/>
      <c r="B1866" s="17"/>
      <c r="C1866" s="17"/>
      <c r="D1866" s="17"/>
      <c r="E1866" s="17"/>
      <c r="F1866" s="17"/>
      <c r="G1866" s="17"/>
      <c r="H1866" s="356"/>
      <c r="I1866" s="17"/>
      <c r="J1866" s="17"/>
      <c r="K1866" s="17"/>
      <c r="L1866" s="17"/>
      <c r="M1866" s="17"/>
      <c r="N1866" s="17"/>
      <c r="O1866" s="17"/>
      <c r="P1866" s="17"/>
      <c r="Q1866" s="17"/>
      <c r="R1866" s="17"/>
      <c r="S1866" s="17"/>
      <c r="T1866" s="17"/>
      <c r="U1866" s="17"/>
      <c r="V1866" s="17"/>
      <c r="W1866" s="17"/>
      <c r="X1866" s="17"/>
      <c r="Y1866" s="17"/>
      <c r="Z1866" s="17"/>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7"/>
      <c r="AW1866" s="17"/>
      <c r="AX1866" s="17"/>
      <c r="AY1866" s="17"/>
      <c r="AZ1866" s="17"/>
      <c r="BA1866" s="17"/>
      <c r="BB1866" s="17"/>
      <c r="BC1866" s="17"/>
      <c r="BD1866" s="17"/>
      <c r="BE1866" s="17"/>
      <c r="BF1866" s="17"/>
      <c r="BG1866" s="17"/>
      <c r="BH1866" s="17"/>
      <c r="BI1866" s="17"/>
      <c r="BJ1866" s="17"/>
      <c r="BK1866" s="17"/>
      <c r="BL1866" s="17"/>
    </row>
    <row r="1867">
      <c r="A1867" s="17"/>
      <c r="B1867" s="17"/>
      <c r="C1867" s="17"/>
      <c r="D1867" s="17"/>
      <c r="E1867" s="17"/>
      <c r="F1867" s="17"/>
      <c r="G1867" s="17"/>
      <c r="H1867" s="356"/>
      <c r="I1867" s="17"/>
      <c r="J1867" s="17"/>
      <c r="K1867" s="17"/>
      <c r="L1867" s="17"/>
      <c r="M1867" s="17"/>
      <c r="N1867" s="17"/>
      <c r="O1867" s="17"/>
      <c r="P1867" s="17"/>
      <c r="Q1867" s="17"/>
      <c r="R1867" s="17"/>
      <c r="S1867" s="17"/>
      <c r="T1867" s="17"/>
      <c r="U1867" s="17"/>
      <c r="V1867" s="17"/>
      <c r="W1867" s="17"/>
      <c r="X1867" s="17"/>
      <c r="Y1867" s="17"/>
      <c r="Z1867" s="17"/>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c r="AV1867" s="17"/>
      <c r="AW1867" s="17"/>
      <c r="AX1867" s="17"/>
      <c r="AY1867" s="17"/>
      <c r="AZ1867" s="17"/>
      <c r="BA1867" s="17"/>
      <c r="BB1867" s="17"/>
      <c r="BC1867" s="17"/>
      <c r="BD1867" s="17"/>
      <c r="BE1867" s="17"/>
      <c r="BF1867" s="17"/>
      <c r="BG1867" s="17"/>
      <c r="BH1867" s="17"/>
      <c r="BI1867" s="17"/>
      <c r="BJ1867" s="17"/>
      <c r="BK1867" s="17"/>
      <c r="BL1867" s="17"/>
    </row>
    <row r="1868">
      <c r="A1868" s="17"/>
      <c r="B1868" s="17"/>
      <c r="C1868" s="17"/>
      <c r="D1868" s="17"/>
      <c r="E1868" s="17"/>
      <c r="F1868" s="17"/>
      <c r="G1868" s="17"/>
      <c r="H1868" s="356"/>
      <c r="I1868" s="17"/>
      <c r="J1868" s="17"/>
      <c r="K1868" s="17"/>
      <c r="L1868" s="17"/>
      <c r="M1868" s="17"/>
      <c r="N1868" s="17"/>
      <c r="O1868" s="17"/>
      <c r="P1868" s="17"/>
      <c r="Q1868" s="17"/>
      <c r="R1868" s="17"/>
      <c r="S1868" s="17"/>
      <c r="T1868" s="17"/>
      <c r="U1868" s="17"/>
      <c r="V1868" s="17"/>
      <c r="W1868" s="17"/>
      <c r="X1868" s="17"/>
      <c r="Y1868" s="17"/>
      <c r="Z1868" s="17"/>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7"/>
      <c r="AW1868" s="17"/>
      <c r="AX1868" s="17"/>
      <c r="AY1868" s="17"/>
      <c r="AZ1868" s="17"/>
      <c r="BA1868" s="17"/>
      <c r="BB1868" s="17"/>
      <c r="BC1868" s="17"/>
      <c r="BD1868" s="17"/>
      <c r="BE1868" s="17"/>
      <c r="BF1868" s="17"/>
      <c r="BG1868" s="17"/>
      <c r="BH1868" s="17"/>
      <c r="BI1868" s="17"/>
      <c r="BJ1868" s="17"/>
      <c r="BK1868" s="17"/>
      <c r="BL1868" s="17"/>
    </row>
    <row r="1869">
      <c r="A1869" s="17"/>
      <c r="B1869" s="17"/>
      <c r="C1869" s="17"/>
      <c r="D1869" s="17"/>
      <c r="E1869" s="17"/>
      <c r="F1869" s="17"/>
      <c r="G1869" s="17"/>
      <c r="H1869" s="356"/>
      <c r="I1869" s="17"/>
      <c r="J1869" s="17"/>
      <c r="K1869" s="17"/>
      <c r="L1869" s="17"/>
      <c r="M1869" s="17"/>
      <c r="N1869" s="17"/>
      <c r="O1869" s="17"/>
      <c r="P1869" s="17"/>
      <c r="Q1869" s="17"/>
      <c r="R1869" s="17"/>
      <c r="S1869" s="17"/>
      <c r="T1869" s="17"/>
      <c r="U1869" s="17"/>
      <c r="V1869" s="17"/>
      <c r="W1869" s="17"/>
      <c r="X1869" s="17"/>
      <c r="Y1869" s="17"/>
      <c r="Z1869" s="17"/>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7"/>
      <c r="AW1869" s="17"/>
      <c r="AX1869" s="17"/>
      <c r="AY1869" s="17"/>
      <c r="AZ1869" s="17"/>
      <c r="BA1869" s="17"/>
      <c r="BB1869" s="17"/>
      <c r="BC1869" s="17"/>
      <c r="BD1869" s="17"/>
      <c r="BE1869" s="17"/>
      <c r="BF1869" s="17"/>
      <c r="BG1869" s="17"/>
      <c r="BH1869" s="17"/>
      <c r="BI1869" s="17"/>
      <c r="BJ1869" s="17"/>
      <c r="BK1869" s="17"/>
      <c r="BL1869" s="17"/>
    </row>
    <row r="1870">
      <c r="A1870" s="17"/>
      <c r="B1870" s="17"/>
      <c r="C1870" s="17"/>
      <c r="D1870" s="17"/>
      <c r="E1870" s="17"/>
      <c r="F1870" s="17"/>
      <c r="G1870" s="17"/>
      <c r="H1870" s="356"/>
      <c r="I1870" s="17"/>
      <c r="J1870" s="17"/>
      <c r="K1870" s="17"/>
      <c r="L1870" s="17"/>
      <c r="M1870" s="17"/>
      <c r="N1870" s="17"/>
      <c r="O1870" s="17"/>
      <c r="P1870" s="17"/>
      <c r="Q1870" s="17"/>
      <c r="R1870" s="17"/>
      <c r="S1870" s="17"/>
      <c r="T1870" s="17"/>
      <c r="U1870" s="17"/>
      <c r="V1870" s="17"/>
      <c r="W1870" s="17"/>
      <c r="X1870" s="17"/>
      <c r="Y1870" s="17"/>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c r="BA1870" s="17"/>
      <c r="BB1870" s="17"/>
      <c r="BC1870" s="17"/>
      <c r="BD1870" s="17"/>
      <c r="BE1870" s="17"/>
      <c r="BF1870" s="17"/>
      <c r="BG1870" s="17"/>
      <c r="BH1870" s="17"/>
      <c r="BI1870" s="17"/>
      <c r="BJ1870" s="17"/>
      <c r="BK1870" s="17"/>
      <c r="BL1870" s="17"/>
    </row>
    <row r="1871">
      <c r="A1871" s="17"/>
      <c r="B1871" s="17"/>
      <c r="C1871" s="17"/>
      <c r="D1871" s="17"/>
      <c r="E1871" s="17"/>
      <c r="F1871" s="17"/>
      <c r="G1871" s="17"/>
      <c r="H1871" s="356"/>
      <c r="I1871" s="17"/>
      <c r="J1871" s="17"/>
      <c r="K1871" s="17"/>
      <c r="L1871" s="17"/>
      <c r="M1871" s="17"/>
      <c r="N1871" s="17"/>
      <c r="O1871" s="17"/>
      <c r="P1871" s="17"/>
      <c r="Q1871" s="17"/>
      <c r="R1871" s="17"/>
      <c r="S1871" s="17"/>
      <c r="T1871" s="17"/>
      <c r="U1871" s="17"/>
      <c r="V1871" s="17"/>
      <c r="W1871" s="17"/>
      <c r="X1871" s="17"/>
      <c r="Y1871" s="17"/>
      <c r="Z1871" s="17"/>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c r="AV1871" s="17"/>
      <c r="AW1871" s="17"/>
      <c r="AX1871" s="17"/>
      <c r="AY1871" s="17"/>
      <c r="AZ1871" s="17"/>
      <c r="BA1871" s="17"/>
      <c r="BB1871" s="17"/>
      <c r="BC1871" s="17"/>
      <c r="BD1871" s="17"/>
      <c r="BE1871" s="17"/>
      <c r="BF1871" s="17"/>
      <c r="BG1871" s="17"/>
      <c r="BH1871" s="17"/>
      <c r="BI1871" s="17"/>
      <c r="BJ1871" s="17"/>
      <c r="BK1871" s="17"/>
      <c r="BL1871" s="17"/>
    </row>
    <row r="1872">
      <c r="A1872" s="17"/>
      <c r="B1872" s="17"/>
      <c r="C1872" s="17"/>
      <c r="D1872" s="17"/>
      <c r="E1872" s="17"/>
      <c r="F1872" s="17"/>
      <c r="G1872" s="17"/>
      <c r="H1872" s="356"/>
      <c r="I1872" s="17"/>
      <c r="J1872" s="17"/>
      <c r="K1872" s="17"/>
      <c r="L1872" s="17"/>
      <c r="M1872" s="17"/>
      <c r="N1872" s="17"/>
      <c r="O1872" s="17"/>
      <c r="P1872" s="17"/>
      <c r="Q1872" s="17"/>
      <c r="R1872" s="17"/>
      <c r="S1872" s="17"/>
      <c r="T1872" s="17"/>
      <c r="U1872" s="17"/>
      <c r="V1872" s="17"/>
      <c r="W1872" s="17"/>
      <c r="X1872" s="17"/>
      <c r="Y1872" s="17"/>
      <c r="Z1872" s="17"/>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7"/>
      <c r="AW1872" s="17"/>
      <c r="AX1872" s="17"/>
      <c r="AY1872" s="17"/>
      <c r="AZ1872" s="17"/>
      <c r="BA1872" s="17"/>
      <c r="BB1872" s="17"/>
      <c r="BC1872" s="17"/>
      <c r="BD1872" s="17"/>
      <c r="BE1872" s="17"/>
      <c r="BF1872" s="17"/>
      <c r="BG1872" s="17"/>
      <c r="BH1872" s="17"/>
      <c r="BI1872" s="17"/>
      <c r="BJ1872" s="17"/>
      <c r="BK1872" s="17"/>
      <c r="BL1872" s="17"/>
    </row>
    <row r="1873">
      <c r="A1873" s="17"/>
      <c r="B1873" s="17"/>
      <c r="C1873" s="17"/>
      <c r="D1873" s="17"/>
      <c r="E1873" s="17"/>
      <c r="F1873" s="17"/>
      <c r="G1873" s="17"/>
      <c r="H1873" s="356"/>
      <c r="I1873" s="17"/>
      <c r="J1873" s="17"/>
      <c r="K1873" s="17"/>
      <c r="L1873" s="17"/>
      <c r="M1873" s="17"/>
      <c r="N1873" s="17"/>
      <c r="O1873" s="17"/>
      <c r="P1873" s="17"/>
      <c r="Q1873" s="17"/>
      <c r="R1873" s="17"/>
      <c r="S1873" s="17"/>
      <c r="T1873" s="17"/>
      <c r="U1873" s="17"/>
      <c r="V1873" s="17"/>
      <c r="W1873" s="17"/>
      <c r="X1873" s="17"/>
      <c r="Y1873" s="17"/>
      <c r="Z1873" s="17"/>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c r="AV1873" s="17"/>
      <c r="AW1873" s="17"/>
      <c r="AX1873" s="17"/>
      <c r="AY1873" s="17"/>
      <c r="AZ1873" s="17"/>
      <c r="BA1873" s="17"/>
      <c r="BB1873" s="17"/>
      <c r="BC1873" s="17"/>
      <c r="BD1873" s="17"/>
      <c r="BE1873" s="17"/>
      <c r="BF1873" s="17"/>
      <c r="BG1873" s="17"/>
      <c r="BH1873" s="17"/>
      <c r="BI1873" s="17"/>
      <c r="BJ1873" s="17"/>
      <c r="BK1873" s="17"/>
      <c r="BL1873" s="17"/>
    </row>
    <row r="1874">
      <c r="A1874" s="17"/>
      <c r="B1874" s="17"/>
      <c r="C1874" s="17"/>
      <c r="D1874" s="17"/>
      <c r="E1874" s="17"/>
      <c r="F1874" s="17"/>
      <c r="G1874" s="17"/>
      <c r="H1874" s="356"/>
      <c r="I1874" s="17"/>
      <c r="J1874" s="17"/>
      <c r="K1874" s="17"/>
      <c r="L1874" s="17"/>
      <c r="M1874" s="17"/>
      <c r="N1874" s="17"/>
      <c r="O1874" s="17"/>
      <c r="P1874" s="17"/>
      <c r="Q1874" s="17"/>
      <c r="R1874" s="17"/>
      <c r="S1874" s="17"/>
      <c r="T1874" s="17"/>
      <c r="U1874" s="17"/>
      <c r="V1874" s="17"/>
      <c r="W1874" s="17"/>
      <c r="X1874" s="17"/>
      <c r="Y1874" s="17"/>
      <c r="Z1874" s="17"/>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7"/>
      <c r="AW1874" s="17"/>
      <c r="AX1874" s="17"/>
      <c r="AY1874" s="17"/>
      <c r="AZ1874" s="17"/>
      <c r="BA1874" s="17"/>
      <c r="BB1874" s="17"/>
      <c r="BC1874" s="17"/>
      <c r="BD1874" s="17"/>
      <c r="BE1874" s="17"/>
      <c r="BF1874" s="17"/>
      <c r="BG1874" s="17"/>
      <c r="BH1874" s="17"/>
      <c r="BI1874" s="17"/>
      <c r="BJ1874" s="17"/>
      <c r="BK1874" s="17"/>
      <c r="BL1874" s="17"/>
    </row>
    <row r="1875">
      <c r="A1875" s="17"/>
      <c r="B1875" s="17"/>
      <c r="C1875" s="17"/>
      <c r="D1875" s="17"/>
      <c r="E1875" s="17"/>
      <c r="F1875" s="17"/>
      <c r="G1875" s="17"/>
      <c r="H1875" s="356"/>
      <c r="I1875" s="17"/>
      <c r="J1875" s="17"/>
      <c r="K1875" s="17"/>
      <c r="L1875" s="17"/>
      <c r="M1875" s="17"/>
      <c r="N1875" s="17"/>
      <c r="O1875" s="17"/>
      <c r="P1875" s="17"/>
      <c r="Q1875" s="17"/>
      <c r="R1875" s="17"/>
      <c r="S1875" s="17"/>
      <c r="T1875" s="17"/>
      <c r="U1875" s="17"/>
      <c r="V1875" s="17"/>
      <c r="W1875" s="17"/>
      <c r="X1875" s="17"/>
      <c r="Y1875" s="17"/>
      <c r="Z1875" s="17"/>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7"/>
      <c r="AW1875" s="17"/>
      <c r="AX1875" s="17"/>
      <c r="AY1875" s="17"/>
      <c r="AZ1875" s="17"/>
      <c r="BA1875" s="17"/>
      <c r="BB1875" s="17"/>
      <c r="BC1875" s="17"/>
      <c r="BD1875" s="17"/>
      <c r="BE1875" s="17"/>
      <c r="BF1875" s="17"/>
      <c r="BG1875" s="17"/>
      <c r="BH1875" s="17"/>
      <c r="BI1875" s="17"/>
      <c r="BJ1875" s="17"/>
      <c r="BK1875" s="17"/>
      <c r="BL1875" s="17"/>
    </row>
    <row r="1876">
      <c r="A1876" s="17"/>
      <c r="B1876" s="17"/>
      <c r="C1876" s="17"/>
      <c r="D1876" s="17"/>
      <c r="E1876" s="17"/>
      <c r="F1876" s="17"/>
      <c r="G1876" s="17"/>
      <c r="H1876" s="356"/>
      <c r="I1876" s="17"/>
      <c r="J1876" s="17"/>
      <c r="K1876" s="17"/>
      <c r="L1876" s="17"/>
      <c r="M1876" s="17"/>
      <c r="N1876" s="17"/>
      <c r="O1876" s="17"/>
      <c r="P1876" s="17"/>
      <c r="Q1876" s="17"/>
      <c r="R1876" s="17"/>
      <c r="S1876" s="17"/>
      <c r="T1876" s="17"/>
      <c r="U1876" s="17"/>
      <c r="V1876" s="17"/>
      <c r="W1876" s="17"/>
      <c r="X1876" s="17"/>
      <c r="Y1876" s="17"/>
      <c r="Z1876" s="17"/>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7"/>
      <c r="AW1876" s="17"/>
      <c r="AX1876" s="17"/>
      <c r="AY1876" s="17"/>
      <c r="AZ1876" s="17"/>
      <c r="BA1876" s="17"/>
      <c r="BB1876" s="17"/>
      <c r="BC1876" s="17"/>
      <c r="BD1876" s="17"/>
      <c r="BE1876" s="17"/>
      <c r="BF1876" s="17"/>
      <c r="BG1876" s="17"/>
      <c r="BH1876" s="17"/>
      <c r="BI1876" s="17"/>
      <c r="BJ1876" s="17"/>
      <c r="BK1876" s="17"/>
      <c r="BL1876" s="17"/>
    </row>
    <row r="1877">
      <c r="A1877" s="17"/>
      <c r="B1877" s="17"/>
      <c r="C1877" s="17"/>
      <c r="D1877" s="17"/>
      <c r="E1877" s="17"/>
      <c r="F1877" s="17"/>
      <c r="G1877" s="17"/>
      <c r="H1877" s="356"/>
      <c r="I1877" s="17"/>
      <c r="J1877" s="17"/>
      <c r="K1877" s="17"/>
      <c r="L1877" s="17"/>
      <c r="M1877" s="17"/>
      <c r="N1877" s="17"/>
      <c r="O1877" s="17"/>
      <c r="P1877" s="17"/>
      <c r="Q1877" s="17"/>
      <c r="R1877" s="17"/>
      <c r="S1877" s="17"/>
      <c r="T1877" s="17"/>
      <c r="U1877" s="17"/>
      <c r="V1877" s="17"/>
      <c r="W1877" s="17"/>
      <c r="X1877" s="17"/>
      <c r="Y1877" s="17"/>
      <c r="Z1877" s="17"/>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7"/>
      <c r="AW1877" s="17"/>
      <c r="AX1877" s="17"/>
      <c r="AY1877" s="17"/>
      <c r="AZ1877" s="17"/>
      <c r="BA1877" s="17"/>
      <c r="BB1877" s="17"/>
      <c r="BC1877" s="17"/>
      <c r="BD1877" s="17"/>
      <c r="BE1877" s="17"/>
      <c r="BF1877" s="17"/>
      <c r="BG1877" s="17"/>
      <c r="BH1877" s="17"/>
      <c r="BI1877" s="17"/>
      <c r="BJ1877" s="17"/>
      <c r="BK1877" s="17"/>
      <c r="BL1877" s="17"/>
    </row>
    <row r="1878">
      <c r="A1878" s="17"/>
      <c r="B1878" s="17"/>
      <c r="C1878" s="17"/>
      <c r="D1878" s="17"/>
      <c r="E1878" s="17"/>
      <c r="F1878" s="17"/>
      <c r="G1878" s="17"/>
      <c r="H1878" s="356"/>
      <c r="I1878" s="17"/>
      <c r="J1878" s="17"/>
      <c r="K1878" s="17"/>
      <c r="L1878" s="17"/>
      <c r="M1878" s="17"/>
      <c r="N1878" s="17"/>
      <c r="O1878" s="17"/>
      <c r="P1878" s="17"/>
      <c r="Q1878" s="17"/>
      <c r="R1878" s="17"/>
      <c r="S1878" s="17"/>
      <c r="T1878" s="17"/>
      <c r="U1878" s="17"/>
      <c r="V1878" s="17"/>
      <c r="W1878" s="17"/>
      <c r="X1878" s="17"/>
      <c r="Y1878" s="17"/>
      <c r="Z1878" s="17"/>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7"/>
      <c r="AW1878" s="17"/>
      <c r="AX1878" s="17"/>
      <c r="AY1878" s="17"/>
      <c r="AZ1878" s="17"/>
      <c r="BA1878" s="17"/>
      <c r="BB1878" s="17"/>
      <c r="BC1878" s="17"/>
      <c r="BD1878" s="17"/>
      <c r="BE1878" s="17"/>
      <c r="BF1878" s="17"/>
      <c r="BG1878" s="17"/>
      <c r="BH1878" s="17"/>
      <c r="BI1878" s="17"/>
      <c r="BJ1878" s="17"/>
      <c r="BK1878" s="17"/>
      <c r="BL1878" s="17"/>
    </row>
    <row r="1879">
      <c r="A1879" s="17"/>
      <c r="B1879" s="17"/>
      <c r="C1879" s="17"/>
      <c r="D1879" s="17"/>
      <c r="E1879" s="17"/>
      <c r="F1879" s="17"/>
      <c r="G1879" s="17"/>
      <c r="H1879" s="356"/>
      <c r="I1879" s="17"/>
      <c r="J1879" s="17"/>
      <c r="K1879" s="17"/>
      <c r="L1879" s="17"/>
      <c r="M1879" s="17"/>
      <c r="N1879" s="17"/>
      <c r="O1879" s="17"/>
      <c r="P1879" s="17"/>
      <c r="Q1879" s="17"/>
      <c r="R1879" s="17"/>
      <c r="S1879" s="17"/>
      <c r="T1879" s="17"/>
      <c r="U1879" s="17"/>
      <c r="V1879" s="17"/>
      <c r="W1879" s="17"/>
      <c r="X1879" s="17"/>
      <c r="Y1879" s="17"/>
      <c r="Z1879" s="17"/>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c r="AV1879" s="17"/>
      <c r="AW1879" s="17"/>
      <c r="AX1879" s="17"/>
      <c r="AY1879" s="17"/>
      <c r="AZ1879" s="17"/>
      <c r="BA1879" s="17"/>
      <c r="BB1879" s="17"/>
      <c r="BC1879" s="17"/>
      <c r="BD1879" s="17"/>
      <c r="BE1879" s="17"/>
      <c r="BF1879" s="17"/>
      <c r="BG1879" s="17"/>
      <c r="BH1879" s="17"/>
      <c r="BI1879" s="17"/>
      <c r="BJ1879" s="17"/>
      <c r="BK1879" s="17"/>
      <c r="BL1879" s="17"/>
    </row>
    <row r="1880">
      <c r="A1880" s="17"/>
      <c r="B1880" s="17"/>
      <c r="C1880" s="17"/>
      <c r="D1880" s="17"/>
      <c r="E1880" s="17"/>
      <c r="F1880" s="17"/>
      <c r="G1880" s="17"/>
      <c r="H1880" s="356"/>
      <c r="I1880" s="17"/>
      <c r="J1880" s="17"/>
      <c r="K1880" s="17"/>
      <c r="L1880" s="17"/>
      <c r="M1880" s="17"/>
      <c r="N1880" s="17"/>
      <c r="O1880" s="17"/>
      <c r="P1880" s="17"/>
      <c r="Q1880" s="17"/>
      <c r="R1880" s="17"/>
      <c r="S1880" s="17"/>
      <c r="T1880" s="17"/>
      <c r="U1880" s="17"/>
      <c r="V1880" s="17"/>
      <c r="W1880" s="17"/>
      <c r="X1880" s="17"/>
      <c r="Y1880" s="17"/>
      <c r="Z1880" s="17"/>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c r="AV1880" s="17"/>
      <c r="AW1880" s="17"/>
      <c r="AX1880" s="17"/>
      <c r="AY1880" s="17"/>
      <c r="AZ1880" s="17"/>
      <c r="BA1880" s="17"/>
      <c r="BB1880" s="17"/>
      <c r="BC1880" s="17"/>
      <c r="BD1880" s="17"/>
      <c r="BE1880" s="17"/>
      <c r="BF1880" s="17"/>
      <c r="BG1880" s="17"/>
      <c r="BH1880" s="17"/>
      <c r="BI1880" s="17"/>
      <c r="BJ1880" s="17"/>
      <c r="BK1880" s="17"/>
      <c r="BL1880" s="17"/>
    </row>
    <row r="1881">
      <c r="A1881" s="17"/>
      <c r="B1881" s="17"/>
      <c r="C1881" s="17"/>
      <c r="D1881" s="17"/>
      <c r="E1881" s="17"/>
      <c r="F1881" s="17"/>
      <c r="G1881" s="17"/>
      <c r="H1881" s="356"/>
      <c r="I1881" s="17"/>
      <c r="J1881" s="17"/>
      <c r="K1881" s="17"/>
      <c r="L1881" s="17"/>
      <c r="M1881" s="17"/>
      <c r="N1881" s="17"/>
      <c r="O1881" s="17"/>
      <c r="P1881" s="17"/>
      <c r="Q1881" s="17"/>
      <c r="R1881" s="17"/>
      <c r="S1881" s="17"/>
      <c r="T1881" s="17"/>
      <c r="U1881" s="17"/>
      <c r="V1881" s="17"/>
      <c r="W1881" s="17"/>
      <c r="X1881" s="17"/>
      <c r="Y1881" s="17"/>
      <c r="Z1881" s="17"/>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7"/>
      <c r="AW1881" s="17"/>
      <c r="AX1881" s="17"/>
      <c r="AY1881" s="17"/>
      <c r="AZ1881" s="17"/>
      <c r="BA1881" s="17"/>
      <c r="BB1881" s="17"/>
      <c r="BC1881" s="17"/>
      <c r="BD1881" s="17"/>
      <c r="BE1881" s="17"/>
      <c r="BF1881" s="17"/>
      <c r="BG1881" s="17"/>
      <c r="BH1881" s="17"/>
      <c r="BI1881" s="17"/>
      <c r="BJ1881" s="17"/>
      <c r="BK1881" s="17"/>
      <c r="BL1881" s="17"/>
    </row>
    <row r="1882">
      <c r="A1882" s="17"/>
      <c r="B1882" s="17"/>
      <c r="C1882" s="17"/>
      <c r="D1882" s="17"/>
      <c r="E1882" s="17"/>
      <c r="F1882" s="17"/>
      <c r="G1882" s="17"/>
      <c r="H1882" s="356"/>
      <c r="I1882" s="17"/>
      <c r="J1882" s="17"/>
      <c r="K1882" s="17"/>
      <c r="L1882" s="17"/>
      <c r="M1882" s="17"/>
      <c r="N1882" s="17"/>
      <c r="O1882" s="17"/>
      <c r="P1882" s="17"/>
      <c r="Q1882" s="17"/>
      <c r="R1882" s="17"/>
      <c r="S1882" s="17"/>
      <c r="T1882" s="17"/>
      <c r="U1882" s="17"/>
      <c r="V1882" s="17"/>
      <c r="W1882" s="17"/>
      <c r="X1882" s="17"/>
      <c r="Y1882" s="17"/>
      <c r="Z1882" s="17"/>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c r="AV1882" s="17"/>
      <c r="AW1882" s="17"/>
      <c r="AX1882" s="17"/>
      <c r="AY1882" s="17"/>
      <c r="AZ1882" s="17"/>
      <c r="BA1882" s="17"/>
      <c r="BB1882" s="17"/>
      <c r="BC1882" s="17"/>
      <c r="BD1882" s="17"/>
      <c r="BE1882" s="17"/>
      <c r="BF1882" s="17"/>
      <c r="BG1882" s="17"/>
      <c r="BH1882" s="17"/>
      <c r="BI1882" s="17"/>
      <c r="BJ1882" s="17"/>
      <c r="BK1882" s="17"/>
      <c r="BL1882" s="17"/>
    </row>
    <row r="1883">
      <c r="A1883" s="17"/>
      <c r="B1883" s="17"/>
      <c r="C1883" s="17"/>
      <c r="D1883" s="17"/>
      <c r="E1883" s="17"/>
      <c r="F1883" s="17"/>
      <c r="G1883" s="17"/>
      <c r="H1883" s="356"/>
      <c r="I1883" s="17"/>
      <c r="J1883" s="17"/>
      <c r="K1883" s="17"/>
      <c r="L1883" s="17"/>
      <c r="M1883" s="17"/>
      <c r="N1883" s="17"/>
      <c r="O1883" s="17"/>
      <c r="P1883" s="17"/>
      <c r="Q1883" s="17"/>
      <c r="R1883" s="17"/>
      <c r="S1883" s="17"/>
      <c r="T1883" s="17"/>
      <c r="U1883" s="17"/>
      <c r="V1883" s="17"/>
      <c r="W1883" s="17"/>
      <c r="X1883" s="17"/>
      <c r="Y1883" s="17"/>
      <c r="Z1883" s="17"/>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c r="AV1883" s="17"/>
      <c r="AW1883" s="17"/>
      <c r="AX1883" s="17"/>
      <c r="AY1883" s="17"/>
      <c r="AZ1883" s="17"/>
      <c r="BA1883" s="17"/>
      <c r="BB1883" s="17"/>
      <c r="BC1883" s="17"/>
      <c r="BD1883" s="17"/>
      <c r="BE1883" s="17"/>
      <c r="BF1883" s="17"/>
      <c r="BG1883" s="17"/>
      <c r="BH1883" s="17"/>
      <c r="BI1883" s="17"/>
      <c r="BJ1883" s="17"/>
      <c r="BK1883" s="17"/>
      <c r="BL1883" s="17"/>
    </row>
    <row r="1884">
      <c r="A1884" s="17"/>
      <c r="B1884" s="17"/>
      <c r="C1884" s="17"/>
      <c r="D1884" s="17"/>
      <c r="E1884" s="17"/>
      <c r="F1884" s="17"/>
      <c r="G1884" s="17"/>
      <c r="H1884" s="356"/>
      <c r="I1884" s="17"/>
      <c r="J1884" s="17"/>
      <c r="K1884" s="17"/>
      <c r="L1884" s="17"/>
      <c r="M1884" s="17"/>
      <c r="N1884" s="17"/>
      <c r="O1884" s="17"/>
      <c r="P1884" s="17"/>
      <c r="Q1884" s="17"/>
      <c r="R1884" s="17"/>
      <c r="S1884" s="17"/>
      <c r="T1884" s="17"/>
      <c r="U1884" s="17"/>
      <c r="V1884" s="17"/>
      <c r="W1884" s="17"/>
      <c r="X1884" s="17"/>
      <c r="Y1884" s="17"/>
      <c r="Z1884" s="17"/>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c r="AV1884" s="17"/>
      <c r="AW1884" s="17"/>
      <c r="AX1884" s="17"/>
      <c r="AY1884" s="17"/>
      <c r="AZ1884" s="17"/>
      <c r="BA1884" s="17"/>
      <c r="BB1884" s="17"/>
      <c r="BC1884" s="17"/>
      <c r="BD1884" s="17"/>
      <c r="BE1884" s="17"/>
      <c r="BF1884" s="17"/>
      <c r="BG1884" s="17"/>
      <c r="BH1884" s="17"/>
      <c r="BI1884" s="17"/>
      <c r="BJ1884" s="17"/>
      <c r="BK1884" s="17"/>
      <c r="BL1884" s="17"/>
    </row>
    <row r="1885">
      <c r="A1885" s="17"/>
      <c r="B1885" s="17"/>
      <c r="C1885" s="17"/>
      <c r="D1885" s="17"/>
      <c r="E1885" s="17"/>
      <c r="F1885" s="17"/>
      <c r="G1885" s="17"/>
      <c r="H1885" s="356"/>
      <c r="I1885" s="17"/>
      <c r="J1885" s="17"/>
      <c r="K1885" s="17"/>
      <c r="L1885" s="17"/>
      <c r="M1885" s="17"/>
      <c r="N1885" s="17"/>
      <c r="O1885" s="17"/>
      <c r="P1885" s="17"/>
      <c r="Q1885" s="17"/>
      <c r="R1885" s="17"/>
      <c r="S1885" s="17"/>
      <c r="T1885" s="17"/>
      <c r="U1885" s="17"/>
      <c r="V1885" s="17"/>
      <c r="W1885" s="17"/>
      <c r="X1885" s="17"/>
      <c r="Y1885" s="17"/>
      <c r="Z1885" s="17"/>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c r="AV1885" s="17"/>
      <c r="AW1885" s="17"/>
      <c r="AX1885" s="17"/>
      <c r="AY1885" s="17"/>
      <c r="AZ1885" s="17"/>
      <c r="BA1885" s="17"/>
      <c r="BB1885" s="17"/>
      <c r="BC1885" s="17"/>
      <c r="BD1885" s="17"/>
      <c r="BE1885" s="17"/>
      <c r="BF1885" s="17"/>
      <c r="BG1885" s="17"/>
      <c r="BH1885" s="17"/>
      <c r="BI1885" s="17"/>
      <c r="BJ1885" s="17"/>
      <c r="BK1885" s="17"/>
      <c r="BL1885" s="17"/>
    </row>
    <row r="1886">
      <c r="A1886" s="17"/>
      <c r="B1886" s="17"/>
      <c r="C1886" s="17"/>
      <c r="D1886" s="17"/>
      <c r="E1886" s="17"/>
      <c r="F1886" s="17"/>
      <c r="G1886" s="17"/>
      <c r="H1886" s="356"/>
      <c r="I1886" s="17"/>
      <c r="J1886" s="17"/>
      <c r="K1886" s="17"/>
      <c r="L1886" s="17"/>
      <c r="M1886" s="17"/>
      <c r="N1886" s="17"/>
      <c r="O1886" s="17"/>
      <c r="P1886" s="17"/>
      <c r="Q1886" s="17"/>
      <c r="R1886" s="17"/>
      <c r="S1886" s="17"/>
      <c r="T1886" s="17"/>
      <c r="U1886" s="17"/>
      <c r="V1886" s="17"/>
      <c r="W1886" s="17"/>
      <c r="X1886" s="17"/>
      <c r="Y1886" s="17"/>
      <c r="Z1886" s="17"/>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c r="AV1886" s="17"/>
      <c r="AW1886" s="17"/>
      <c r="AX1886" s="17"/>
      <c r="AY1886" s="17"/>
      <c r="AZ1886" s="17"/>
      <c r="BA1886" s="17"/>
      <c r="BB1886" s="17"/>
      <c r="BC1886" s="17"/>
      <c r="BD1886" s="17"/>
      <c r="BE1886" s="17"/>
      <c r="BF1886" s="17"/>
      <c r="BG1886" s="17"/>
      <c r="BH1886" s="17"/>
      <c r="BI1886" s="17"/>
      <c r="BJ1886" s="17"/>
      <c r="BK1886" s="17"/>
      <c r="BL1886" s="17"/>
    </row>
    <row r="1887">
      <c r="A1887" s="17"/>
      <c r="B1887" s="17"/>
      <c r="C1887" s="17"/>
      <c r="D1887" s="17"/>
      <c r="E1887" s="17"/>
      <c r="F1887" s="17"/>
      <c r="G1887" s="17"/>
      <c r="H1887" s="356"/>
      <c r="I1887" s="17"/>
      <c r="J1887" s="17"/>
      <c r="K1887" s="17"/>
      <c r="L1887" s="17"/>
      <c r="M1887" s="17"/>
      <c r="N1887" s="17"/>
      <c r="O1887" s="17"/>
      <c r="P1887" s="17"/>
      <c r="Q1887" s="17"/>
      <c r="R1887" s="17"/>
      <c r="S1887" s="17"/>
      <c r="T1887" s="17"/>
      <c r="U1887" s="17"/>
      <c r="V1887" s="17"/>
      <c r="W1887" s="17"/>
      <c r="X1887" s="17"/>
      <c r="Y1887" s="17"/>
      <c r="Z1887" s="17"/>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c r="AV1887" s="17"/>
      <c r="AW1887" s="17"/>
      <c r="AX1887" s="17"/>
      <c r="AY1887" s="17"/>
      <c r="AZ1887" s="17"/>
      <c r="BA1887" s="17"/>
      <c r="BB1887" s="17"/>
      <c r="BC1887" s="17"/>
      <c r="BD1887" s="17"/>
      <c r="BE1887" s="17"/>
      <c r="BF1887" s="17"/>
      <c r="BG1887" s="17"/>
      <c r="BH1887" s="17"/>
      <c r="BI1887" s="17"/>
      <c r="BJ1887" s="17"/>
      <c r="BK1887" s="17"/>
      <c r="BL1887" s="17"/>
    </row>
    <row r="1888">
      <c r="A1888" s="17"/>
      <c r="B1888" s="17"/>
      <c r="C1888" s="17"/>
      <c r="D1888" s="17"/>
      <c r="E1888" s="17"/>
      <c r="F1888" s="17"/>
      <c r="G1888" s="17"/>
      <c r="H1888" s="356"/>
      <c r="I1888" s="17"/>
      <c r="J1888" s="17"/>
      <c r="K1888" s="17"/>
      <c r="L1888" s="17"/>
      <c r="M1888" s="17"/>
      <c r="N1888" s="17"/>
      <c r="O1888" s="17"/>
      <c r="P1888" s="17"/>
      <c r="Q1888" s="17"/>
      <c r="R1888" s="17"/>
      <c r="S1888" s="17"/>
      <c r="T1888" s="17"/>
      <c r="U1888" s="17"/>
      <c r="V1888" s="17"/>
      <c r="W1888" s="17"/>
      <c r="X1888" s="17"/>
      <c r="Y1888" s="17"/>
      <c r="Z1888" s="17"/>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c r="AV1888" s="17"/>
      <c r="AW1888" s="17"/>
      <c r="AX1888" s="17"/>
      <c r="AY1888" s="17"/>
      <c r="AZ1888" s="17"/>
      <c r="BA1888" s="17"/>
      <c r="BB1888" s="17"/>
      <c r="BC1888" s="17"/>
      <c r="BD1888" s="17"/>
      <c r="BE1888" s="17"/>
      <c r="BF1888" s="17"/>
      <c r="BG1888" s="17"/>
      <c r="BH1888" s="17"/>
      <c r="BI1888" s="17"/>
      <c r="BJ1888" s="17"/>
      <c r="BK1888" s="17"/>
      <c r="BL1888" s="17"/>
    </row>
    <row r="1889">
      <c r="A1889" s="17"/>
      <c r="B1889" s="17"/>
      <c r="C1889" s="17"/>
      <c r="D1889" s="17"/>
      <c r="E1889" s="17"/>
      <c r="F1889" s="17"/>
      <c r="G1889" s="17"/>
      <c r="H1889" s="356"/>
      <c r="I1889" s="17"/>
      <c r="J1889" s="17"/>
      <c r="K1889" s="17"/>
      <c r="L1889" s="17"/>
      <c r="M1889" s="17"/>
      <c r="N1889" s="17"/>
      <c r="O1889" s="17"/>
      <c r="P1889" s="17"/>
      <c r="Q1889" s="17"/>
      <c r="R1889" s="17"/>
      <c r="S1889" s="17"/>
      <c r="T1889" s="17"/>
      <c r="U1889" s="17"/>
      <c r="V1889" s="17"/>
      <c r="W1889" s="17"/>
      <c r="X1889" s="17"/>
      <c r="Y1889" s="17"/>
      <c r="Z1889" s="17"/>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c r="AV1889" s="17"/>
      <c r="AW1889" s="17"/>
      <c r="AX1889" s="17"/>
      <c r="AY1889" s="17"/>
      <c r="AZ1889" s="17"/>
      <c r="BA1889" s="17"/>
      <c r="BB1889" s="17"/>
      <c r="BC1889" s="17"/>
      <c r="BD1889" s="17"/>
      <c r="BE1889" s="17"/>
      <c r="BF1889" s="17"/>
      <c r="BG1889" s="17"/>
      <c r="BH1889" s="17"/>
      <c r="BI1889" s="17"/>
      <c r="BJ1889" s="17"/>
      <c r="BK1889" s="17"/>
      <c r="BL1889" s="17"/>
    </row>
    <row r="1890">
      <c r="A1890" s="17"/>
      <c r="B1890" s="17"/>
      <c r="C1890" s="17"/>
      <c r="D1890" s="17"/>
      <c r="E1890" s="17"/>
      <c r="F1890" s="17"/>
      <c r="G1890" s="17"/>
      <c r="H1890" s="356"/>
      <c r="I1890" s="17"/>
      <c r="J1890" s="17"/>
      <c r="K1890" s="17"/>
      <c r="L1890" s="17"/>
      <c r="M1890" s="17"/>
      <c r="N1890" s="17"/>
      <c r="O1890" s="17"/>
      <c r="P1890" s="17"/>
      <c r="Q1890" s="17"/>
      <c r="R1890" s="17"/>
      <c r="S1890" s="17"/>
      <c r="T1890" s="17"/>
      <c r="U1890" s="17"/>
      <c r="V1890" s="17"/>
      <c r="W1890" s="17"/>
      <c r="X1890" s="17"/>
      <c r="Y1890" s="17"/>
      <c r="Z1890" s="17"/>
      <c r="AA1890" s="17"/>
      <c r="AB1890" s="17"/>
      <c r="AC1890" s="17"/>
      <c r="AD1890" s="17"/>
      <c r="AE1890" s="17"/>
      <c r="AF1890" s="17"/>
      <c r="AG1890" s="17"/>
      <c r="AH1890" s="17"/>
      <c r="AI1890" s="17"/>
      <c r="AJ1890" s="17"/>
      <c r="AK1890" s="17"/>
      <c r="AL1890" s="17"/>
      <c r="AM1890" s="17"/>
      <c r="AN1890" s="17"/>
      <c r="AO1890" s="17"/>
      <c r="AP1890" s="17"/>
      <c r="AQ1890" s="17"/>
      <c r="AR1890" s="17"/>
      <c r="AS1890" s="17"/>
      <c r="AT1890" s="17"/>
      <c r="AU1890" s="17"/>
      <c r="AV1890" s="17"/>
      <c r="AW1890" s="17"/>
      <c r="AX1890" s="17"/>
      <c r="AY1890" s="17"/>
      <c r="AZ1890" s="17"/>
      <c r="BA1890" s="17"/>
      <c r="BB1890" s="17"/>
      <c r="BC1890" s="17"/>
      <c r="BD1890" s="17"/>
      <c r="BE1890" s="17"/>
      <c r="BF1890" s="17"/>
      <c r="BG1890" s="17"/>
      <c r="BH1890" s="17"/>
      <c r="BI1890" s="17"/>
      <c r="BJ1890" s="17"/>
      <c r="BK1890" s="17"/>
      <c r="BL1890" s="17"/>
    </row>
    <row r="1891">
      <c r="A1891" s="17"/>
      <c r="B1891" s="17"/>
      <c r="C1891" s="17"/>
      <c r="D1891" s="17"/>
      <c r="E1891" s="17"/>
      <c r="F1891" s="17"/>
      <c r="G1891" s="17"/>
      <c r="H1891" s="356"/>
      <c r="I1891" s="17"/>
      <c r="J1891" s="17"/>
      <c r="K1891" s="17"/>
      <c r="L1891" s="17"/>
      <c r="M1891" s="17"/>
      <c r="N1891" s="17"/>
      <c r="O1891" s="17"/>
      <c r="P1891" s="17"/>
      <c r="Q1891" s="17"/>
      <c r="R1891" s="17"/>
      <c r="S1891" s="17"/>
      <c r="T1891" s="17"/>
      <c r="U1891" s="17"/>
      <c r="V1891" s="17"/>
      <c r="W1891" s="17"/>
      <c r="X1891" s="17"/>
      <c r="Y1891" s="17"/>
      <c r="Z1891" s="17"/>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c r="AV1891" s="17"/>
      <c r="AW1891" s="17"/>
      <c r="AX1891" s="17"/>
      <c r="AY1891" s="17"/>
      <c r="AZ1891" s="17"/>
      <c r="BA1891" s="17"/>
      <c r="BB1891" s="17"/>
      <c r="BC1891" s="17"/>
      <c r="BD1891" s="17"/>
      <c r="BE1891" s="17"/>
      <c r="BF1891" s="17"/>
      <c r="BG1891" s="17"/>
      <c r="BH1891" s="17"/>
      <c r="BI1891" s="17"/>
      <c r="BJ1891" s="17"/>
      <c r="BK1891" s="17"/>
      <c r="BL1891" s="17"/>
    </row>
    <row r="1892">
      <c r="A1892" s="17"/>
      <c r="B1892" s="17"/>
      <c r="C1892" s="17"/>
      <c r="D1892" s="17"/>
      <c r="E1892" s="17"/>
      <c r="F1892" s="17"/>
      <c r="G1892" s="17"/>
      <c r="H1892" s="356"/>
      <c r="I1892" s="17"/>
      <c r="J1892" s="17"/>
      <c r="K1892" s="17"/>
      <c r="L1892" s="17"/>
      <c r="M1892" s="17"/>
      <c r="N1892" s="17"/>
      <c r="O1892" s="17"/>
      <c r="P1892" s="17"/>
      <c r="Q1892" s="17"/>
      <c r="R1892" s="17"/>
      <c r="S1892" s="17"/>
      <c r="T1892" s="17"/>
      <c r="U1892" s="17"/>
      <c r="V1892" s="17"/>
      <c r="W1892" s="17"/>
      <c r="X1892" s="17"/>
      <c r="Y1892" s="17"/>
      <c r="Z1892" s="17"/>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c r="AV1892" s="17"/>
      <c r="AW1892" s="17"/>
      <c r="AX1892" s="17"/>
      <c r="AY1892" s="17"/>
      <c r="AZ1892" s="17"/>
      <c r="BA1892" s="17"/>
      <c r="BB1892" s="17"/>
      <c r="BC1892" s="17"/>
      <c r="BD1892" s="17"/>
      <c r="BE1892" s="17"/>
      <c r="BF1892" s="17"/>
      <c r="BG1892" s="17"/>
      <c r="BH1892" s="17"/>
      <c r="BI1892" s="17"/>
      <c r="BJ1892" s="17"/>
      <c r="BK1892" s="17"/>
      <c r="BL1892" s="17"/>
    </row>
    <row r="1893">
      <c r="A1893" s="17"/>
      <c r="B1893" s="17"/>
      <c r="C1893" s="17"/>
      <c r="D1893" s="17"/>
      <c r="E1893" s="17"/>
      <c r="F1893" s="17"/>
      <c r="G1893" s="17"/>
      <c r="H1893" s="356"/>
      <c r="I1893" s="17"/>
      <c r="J1893" s="17"/>
      <c r="K1893" s="17"/>
      <c r="L1893" s="17"/>
      <c r="M1893" s="17"/>
      <c r="N1893" s="17"/>
      <c r="O1893" s="17"/>
      <c r="P1893" s="17"/>
      <c r="Q1893" s="17"/>
      <c r="R1893" s="17"/>
      <c r="S1893" s="17"/>
      <c r="T1893" s="17"/>
      <c r="U1893" s="17"/>
      <c r="V1893" s="17"/>
      <c r="W1893" s="17"/>
      <c r="X1893" s="17"/>
      <c r="Y1893" s="17"/>
      <c r="Z1893" s="17"/>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c r="AV1893" s="17"/>
      <c r="AW1893" s="17"/>
      <c r="AX1893" s="17"/>
      <c r="AY1893" s="17"/>
      <c r="AZ1893" s="17"/>
      <c r="BA1893" s="17"/>
      <c r="BB1893" s="17"/>
      <c r="BC1893" s="17"/>
      <c r="BD1893" s="17"/>
      <c r="BE1893" s="17"/>
      <c r="BF1893" s="17"/>
      <c r="BG1893" s="17"/>
      <c r="BH1893" s="17"/>
      <c r="BI1893" s="17"/>
      <c r="BJ1893" s="17"/>
      <c r="BK1893" s="17"/>
      <c r="BL1893" s="17"/>
    </row>
    <row r="1894">
      <c r="A1894" s="17"/>
      <c r="B1894" s="17"/>
      <c r="C1894" s="17"/>
      <c r="D1894" s="17"/>
      <c r="E1894" s="17"/>
      <c r="F1894" s="17"/>
      <c r="G1894" s="17"/>
      <c r="H1894" s="356"/>
      <c r="I1894" s="17"/>
      <c r="J1894" s="17"/>
      <c r="K1894" s="17"/>
      <c r="L1894" s="17"/>
      <c r="M1894" s="17"/>
      <c r="N1894" s="17"/>
      <c r="O1894" s="17"/>
      <c r="P1894" s="17"/>
      <c r="Q1894" s="17"/>
      <c r="R1894" s="17"/>
      <c r="S1894" s="17"/>
      <c r="T1894" s="17"/>
      <c r="U1894" s="17"/>
      <c r="V1894" s="17"/>
      <c r="W1894" s="17"/>
      <c r="X1894" s="17"/>
      <c r="Y1894" s="17"/>
      <c r="Z1894" s="17"/>
      <c r="AA1894" s="17"/>
      <c r="AB1894" s="17"/>
      <c r="AC1894" s="17"/>
      <c r="AD1894" s="17"/>
      <c r="AE1894" s="17"/>
      <c r="AF1894" s="17"/>
      <c r="AG1894" s="17"/>
      <c r="AH1894" s="17"/>
      <c r="AI1894" s="17"/>
      <c r="AJ1894" s="17"/>
      <c r="AK1894" s="17"/>
      <c r="AL1894" s="17"/>
      <c r="AM1894" s="17"/>
      <c r="AN1894" s="17"/>
      <c r="AO1894" s="17"/>
      <c r="AP1894" s="17"/>
      <c r="AQ1894" s="17"/>
      <c r="AR1894" s="17"/>
      <c r="AS1894" s="17"/>
      <c r="AT1894" s="17"/>
      <c r="AU1894" s="17"/>
      <c r="AV1894" s="17"/>
      <c r="AW1894" s="17"/>
      <c r="AX1894" s="17"/>
      <c r="AY1894" s="17"/>
      <c r="AZ1894" s="17"/>
      <c r="BA1894" s="17"/>
      <c r="BB1894" s="17"/>
      <c r="BC1894" s="17"/>
      <c r="BD1894" s="17"/>
      <c r="BE1894" s="17"/>
      <c r="BF1894" s="17"/>
      <c r="BG1894" s="17"/>
      <c r="BH1894" s="17"/>
      <c r="BI1894" s="17"/>
      <c r="BJ1894" s="17"/>
      <c r="BK1894" s="17"/>
      <c r="BL1894" s="17"/>
    </row>
    <row r="1895">
      <c r="A1895" s="17"/>
      <c r="B1895" s="17"/>
      <c r="C1895" s="17"/>
      <c r="D1895" s="17"/>
      <c r="E1895" s="17"/>
      <c r="F1895" s="17"/>
      <c r="G1895" s="17"/>
      <c r="H1895" s="356"/>
      <c r="I1895" s="17"/>
      <c r="J1895" s="17"/>
      <c r="K1895" s="17"/>
      <c r="L1895" s="17"/>
      <c r="M1895" s="17"/>
      <c r="N1895" s="17"/>
      <c r="O1895" s="17"/>
      <c r="P1895" s="17"/>
      <c r="Q1895" s="17"/>
      <c r="R1895" s="17"/>
      <c r="S1895" s="17"/>
      <c r="T1895" s="17"/>
      <c r="U1895" s="17"/>
      <c r="V1895" s="17"/>
      <c r="W1895" s="17"/>
      <c r="X1895" s="17"/>
      <c r="Y1895" s="17"/>
      <c r="Z1895" s="17"/>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c r="AV1895" s="17"/>
      <c r="AW1895" s="17"/>
      <c r="AX1895" s="17"/>
      <c r="AY1895" s="17"/>
      <c r="AZ1895" s="17"/>
      <c r="BA1895" s="17"/>
      <c r="BB1895" s="17"/>
      <c r="BC1895" s="17"/>
      <c r="BD1895" s="17"/>
      <c r="BE1895" s="17"/>
      <c r="BF1895" s="17"/>
      <c r="BG1895" s="17"/>
      <c r="BH1895" s="17"/>
      <c r="BI1895" s="17"/>
      <c r="BJ1895" s="17"/>
      <c r="BK1895" s="17"/>
      <c r="BL1895" s="17"/>
    </row>
    <row r="1896">
      <c r="A1896" s="17"/>
      <c r="B1896" s="17"/>
      <c r="C1896" s="17"/>
      <c r="D1896" s="17"/>
      <c r="E1896" s="17"/>
      <c r="F1896" s="17"/>
      <c r="G1896" s="17"/>
      <c r="H1896" s="356"/>
      <c r="I1896" s="17"/>
      <c r="J1896" s="17"/>
      <c r="K1896" s="17"/>
      <c r="L1896" s="17"/>
      <c r="M1896" s="17"/>
      <c r="N1896" s="17"/>
      <c r="O1896" s="17"/>
      <c r="P1896" s="17"/>
      <c r="Q1896" s="17"/>
      <c r="R1896" s="17"/>
      <c r="S1896" s="17"/>
      <c r="T1896" s="17"/>
      <c r="U1896" s="17"/>
      <c r="V1896" s="17"/>
      <c r="W1896" s="17"/>
      <c r="X1896" s="17"/>
      <c r="Y1896" s="17"/>
      <c r="Z1896" s="17"/>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c r="AV1896" s="17"/>
      <c r="AW1896" s="17"/>
      <c r="AX1896" s="17"/>
      <c r="AY1896" s="17"/>
      <c r="AZ1896" s="17"/>
      <c r="BA1896" s="17"/>
      <c r="BB1896" s="17"/>
      <c r="BC1896" s="17"/>
      <c r="BD1896" s="17"/>
      <c r="BE1896" s="17"/>
      <c r="BF1896" s="17"/>
      <c r="BG1896" s="17"/>
      <c r="BH1896" s="17"/>
      <c r="BI1896" s="17"/>
      <c r="BJ1896" s="17"/>
      <c r="BK1896" s="17"/>
      <c r="BL1896" s="17"/>
    </row>
    <row r="1897">
      <c r="A1897" s="17"/>
      <c r="B1897" s="17"/>
      <c r="C1897" s="17"/>
      <c r="D1897" s="17"/>
      <c r="E1897" s="17"/>
      <c r="F1897" s="17"/>
      <c r="G1897" s="17"/>
      <c r="H1897" s="356"/>
      <c r="I1897" s="17"/>
      <c r="J1897" s="17"/>
      <c r="K1897" s="17"/>
      <c r="L1897" s="17"/>
      <c r="M1897" s="17"/>
      <c r="N1897" s="17"/>
      <c r="O1897" s="17"/>
      <c r="P1897" s="17"/>
      <c r="Q1897" s="17"/>
      <c r="R1897" s="17"/>
      <c r="S1897" s="17"/>
      <c r="T1897" s="17"/>
      <c r="U1897" s="17"/>
      <c r="V1897" s="17"/>
      <c r="W1897" s="17"/>
      <c r="X1897" s="17"/>
      <c r="Y1897" s="17"/>
      <c r="Z1897" s="17"/>
      <c r="AA1897" s="17"/>
      <c r="AB1897" s="17"/>
      <c r="AC1897" s="17"/>
      <c r="AD1897" s="17"/>
      <c r="AE1897" s="17"/>
      <c r="AF1897" s="17"/>
      <c r="AG1897" s="17"/>
      <c r="AH1897" s="17"/>
      <c r="AI1897" s="17"/>
      <c r="AJ1897" s="17"/>
      <c r="AK1897" s="17"/>
      <c r="AL1897" s="17"/>
      <c r="AM1897" s="17"/>
      <c r="AN1897" s="17"/>
      <c r="AO1897" s="17"/>
      <c r="AP1897" s="17"/>
      <c r="AQ1897" s="17"/>
      <c r="AR1897" s="17"/>
      <c r="AS1897" s="17"/>
      <c r="AT1897" s="17"/>
      <c r="AU1897" s="17"/>
      <c r="AV1897" s="17"/>
      <c r="AW1897" s="17"/>
      <c r="AX1897" s="17"/>
      <c r="AY1897" s="17"/>
      <c r="AZ1897" s="17"/>
      <c r="BA1897" s="17"/>
      <c r="BB1897" s="17"/>
      <c r="BC1897" s="17"/>
      <c r="BD1897" s="17"/>
      <c r="BE1897" s="17"/>
      <c r="BF1897" s="17"/>
      <c r="BG1897" s="17"/>
      <c r="BH1897" s="17"/>
      <c r="BI1897" s="17"/>
      <c r="BJ1897" s="17"/>
      <c r="BK1897" s="17"/>
      <c r="BL1897" s="17"/>
    </row>
    <row r="1898">
      <c r="A1898" s="17"/>
      <c r="B1898" s="17"/>
      <c r="C1898" s="17"/>
      <c r="D1898" s="17"/>
      <c r="E1898" s="17"/>
      <c r="F1898" s="17"/>
      <c r="G1898" s="17"/>
      <c r="H1898" s="356"/>
      <c r="I1898" s="17"/>
      <c r="J1898" s="17"/>
      <c r="K1898" s="17"/>
      <c r="L1898" s="17"/>
      <c r="M1898" s="17"/>
      <c r="N1898" s="17"/>
      <c r="O1898" s="17"/>
      <c r="P1898" s="17"/>
      <c r="Q1898" s="17"/>
      <c r="R1898" s="17"/>
      <c r="S1898" s="17"/>
      <c r="T1898" s="17"/>
      <c r="U1898" s="17"/>
      <c r="V1898" s="17"/>
      <c r="W1898" s="17"/>
      <c r="X1898" s="17"/>
      <c r="Y1898" s="17"/>
      <c r="Z1898" s="17"/>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c r="AV1898" s="17"/>
      <c r="AW1898" s="17"/>
      <c r="AX1898" s="17"/>
      <c r="AY1898" s="17"/>
      <c r="AZ1898" s="17"/>
      <c r="BA1898" s="17"/>
      <c r="BB1898" s="17"/>
      <c r="BC1898" s="17"/>
      <c r="BD1898" s="17"/>
      <c r="BE1898" s="17"/>
      <c r="BF1898" s="17"/>
      <c r="BG1898" s="17"/>
      <c r="BH1898" s="17"/>
      <c r="BI1898" s="17"/>
      <c r="BJ1898" s="17"/>
      <c r="BK1898" s="17"/>
      <c r="BL1898" s="17"/>
    </row>
    <row r="1899">
      <c r="A1899" s="17"/>
      <c r="B1899" s="17"/>
      <c r="C1899" s="17"/>
      <c r="D1899" s="17"/>
      <c r="E1899" s="17"/>
      <c r="F1899" s="17"/>
      <c r="G1899" s="17"/>
      <c r="H1899" s="356"/>
      <c r="I1899" s="17"/>
      <c r="J1899" s="17"/>
      <c r="K1899" s="17"/>
      <c r="L1899" s="17"/>
      <c r="M1899" s="17"/>
      <c r="N1899" s="17"/>
      <c r="O1899" s="17"/>
      <c r="P1899" s="17"/>
      <c r="Q1899" s="17"/>
      <c r="R1899" s="17"/>
      <c r="S1899" s="17"/>
      <c r="T1899" s="17"/>
      <c r="U1899" s="17"/>
      <c r="V1899" s="17"/>
      <c r="W1899" s="17"/>
      <c r="X1899" s="17"/>
      <c r="Y1899" s="17"/>
      <c r="Z1899" s="17"/>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c r="AV1899" s="17"/>
      <c r="AW1899" s="17"/>
      <c r="AX1899" s="17"/>
      <c r="AY1899" s="17"/>
      <c r="AZ1899" s="17"/>
      <c r="BA1899" s="17"/>
      <c r="BB1899" s="17"/>
      <c r="BC1899" s="17"/>
      <c r="BD1899" s="17"/>
      <c r="BE1899" s="17"/>
      <c r="BF1899" s="17"/>
      <c r="BG1899" s="17"/>
      <c r="BH1899" s="17"/>
      <c r="BI1899" s="17"/>
      <c r="BJ1899" s="17"/>
      <c r="BK1899" s="17"/>
      <c r="BL1899" s="17"/>
    </row>
    <row r="1900">
      <c r="A1900" s="17"/>
      <c r="B1900" s="17"/>
      <c r="C1900" s="17"/>
      <c r="D1900" s="17"/>
      <c r="E1900" s="17"/>
      <c r="F1900" s="17"/>
      <c r="G1900" s="17"/>
      <c r="H1900" s="356"/>
      <c r="I1900" s="17"/>
      <c r="J1900" s="17"/>
      <c r="K1900" s="17"/>
      <c r="L1900" s="17"/>
      <c r="M1900" s="17"/>
      <c r="N1900" s="17"/>
      <c r="O1900" s="17"/>
      <c r="P1900" s="17"/>
      <c r="Q1900" s="17"/>
      <c r="R1900" s="17"/>
      <c r="S1900" s="17"/>
      <c r="T1900" s="17"/>
      <c r="U1900" s="17"/>
      <c r="V1900" s="17"/>
      <c r="W1900" s="17"/>
      <c r="X1900" s="17"/>
      <c r="Y1900" s="17"/>
      <c r="Z1900" s="17"/>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c r="AV1900" s="17"/>
      <c r="AW1900" s="17"/>
      <c r="AX1900" s="17"/>
      <c r="AY1900" s="17"/>
      <c r="AZ1900" s="17"/>
      <c r="BA1900" s="17"/>
      <c r="BB1900" s="17"/>
      <c r="BC1900" s="17"/>
      <c r="BD1900" s="17"/>
      <c r="BE1900" s="17"/>
      <c r="BF1900" s="17"/>
      <c r="BG1900" s="17"/>
      <c r="BH1900" s="17"/>
      <c r="BI1900" s="17"/>
      <c r="BJ1900" s="17"/>
      <c r="BK1900" s="17"/>
      <c r="BL1900" s="17"/>
    </row>
    <row r="1901">
      <c r="A1901" s="17"/>
      <c r="B1901" s="17"/>
      <c r="C1901" s="17"/>
      <c r="D1901" s="17"/>
      <c r="E1901" s="17"/>
      <c r="F1901" s="17"/>
      <c r="G1901" s="17"/>
      <c r="H1901" s="356"/>
      <c r="I1901" s="17"/>
      <c r="J1901" s="17"/>
      <c r="K1901" s="17"/>
      <c r="L1901" s="17"/>
      <c r="M1901" s="17"/>
      <c r="N1901" s="17"/>
      <c r="O1901" s="17"/>
      <c r="P1901" s="17"/>
      <c r="Q1901" s="17"/>
      <c r="R1901" s="17"/>
      <c r="S1901" s="17"/>
      <c r="T1901" s="17"/>
      <c r="U1901" s="17"/>
      <c r="V1901" s="17"/>
      <c r="W1901" s="17"/>
      <c r="X1901" s="17"/>
      <c r="Y1901" s="17"/>
      <c r="Z1901" s="17"/>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c r="AV1901" s="17"/>
      <c r="AW1901" s="17"/>
      <c r="AX1901" s="17"/>
      <c r="AY1901" s="17"/>
      <c r="AZ1901" s="17"/>
      <c r="BA1901" s="17"/>
      <c r="BB1901" s="17"/>
      <c r="BC1901" s="17"/>
      <c r="BD1901" s="17"/>
      <c r="BE1901" s="17"/>
      <c r="BF1901" s="17"/>
      <c r="BG1901" s="17"/>
      <c r="BH1901" s="17"/>
      <c r="BI1901" s="17"/>
      <c r="BJ1901" s="17"/>
      <c r="BK1901" s="17"/>
      <c r="BL1901" s="17"/>
    </row>
    <row r="1902">
      <c r="A1902" s="17"/>
      <c r="B1902" s="17"/>
      <c r="C1902" s="17"/>
      <c r="D1902" s="17"/>
      <c r="E1902" s="17"/>
      <c r="F1902" s="17"/>
      <c r="G1902" s="17"/>
      <c r="H1902" s="356"/>
      <c r="I1902" s="17"/>
      <c r="J1902" s="17"/>
      <c r="K1902" s="17"/>
      <c r="L1902" s="17"/>
      <c r="M1902" s="17"/>
      <c r="N1902" s="17"/>
      <c r="O1902" s="17"/>
      <c r="P1902" s="17"/>
      <c r="Q1902" s="17"/>
      <c r="R1902" s="17"/>
      <c r="S1902" s="17"/>
      <c r="T1902" s="17"/>
      <c r="U1902" s="17"/>
      <c r="V1902" s="17"/>
      <c r="W1902" s="17"/>
      <c r="X1902" s="17"/>
      <c r="Y1902" s="17"/>
      <c r="Z1902" s="17"/>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c r="AV1902" s="17"/>
      <c r="AW1902" s="17"/>
      <c r="AX1902" s="17"/>
      <c r="AY1902" s="17"/>
      <c r="AZ1902" s="17"/>
      <c r="BA1902" s="17"/>
      <c r="BB1902" s="17"/>
      <c r="BC1902" s="17"/>
      <c r="BD1902" s="17"/>
      <c r="BE1902" s="17"/>
      <c r="BF1902" s="17"/>
      <c r="BG1902" s="17"/>
      <c r="BH1902" s="17"/>
      <c r="BI1902" s="17"/>
      <c r="BJ1902" s="17"/>
      <c r="BK1902" s="17"/>
      <c r="BL1902" s="17"/>
    </row>
    <row r="1903">
      <c r="A1903" s="17"/>
      <c r="B1903" s="17"/>
      <c r="C1903" s="17"/>
      <c r="D1903" s="17"/>
      <c r="E1903" s="17"/>
      <c r="F1903" s="17"/>
      <c r="G1903" s="17"/>
      <c r="H1903" s="356"/>
      <c r="I1903" s="17"/>
      <c r="J1903" s="17"/>
      <c r="K1903" s="17"/>
      <c r="L1903" s="17"/>
      <c r="M1903" s="17"/>
      <c r="N1903" s="17"/>
      <c r="O1903" s="17"/>
      <c r="P1903" s="17"/>
      <c r="Q1903" s="17"/>
      <c r="R1903" s="17"/>
      <c r="S1903" s="17"/>
      <c r="T1903" s="17"/>
      <c r="U1903" s="17"/>
      <c r="V1903" s="17"/>
      <c r="W1903" s="17"/>
      <c r="X1903" s="17"/>
      <c r="Y1903" s="17"/>
      <c r="Z1903" s="17"/>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c r="AV1903" s="17"/>
      <c r="AW1903" s="17"/>
      <c r="AX1903" s="17"/>
      <c r="AY1903" s="17"/>
      <c r="AZ1903" s="17"/>
      <c r="BA1903" s="17"/>
      <c r="BB1903" s="17"/>
      <c r="BC1903" s="17"/>
      <c r="BD1903" s="17"/>
      <c r="BE1903" s="17"/>
      <c r="BF1903" s="17"/>
      <c r="BG1903" s="17"/>
      <c r="BH1903" s="17"/>
      <c r="BI1903" s="17"/>
      <c r="BJ1903" s="17"/>
      <c r="BK1903" s="17"/>
      <c r="BL1903" s="17"/>
    </row>
    <row r="1904">
      <c r="A1904" s="17"/>
      <c r="B1904" s="17"/>
      <c r="C1904" s="17"/>
      <c r="D1904" s="17"/>
      <c r="E1904" s="17"/>
      <c r="F1904" s="17"/>
      <c r="G1904" s="17"/>
      <c r="H1904" s="356"/>
      <c r="I1904" s="17"/>
      <c r="J1904" s="17"/>
      <c r="K1904" s="17"/>
      <c r="L1904" s="17"/>
      <c r="M1904" s="17"/>
      <c r="N1904" s="17"/>
      <c r="O1904" s="17"/>
      <c r="P1904" s="17"/>
      <c r="Q1904" s="17"/>
      <c r="R1904" s="17"/>
      <c r="S1904" s="17"/>
      <c r="T1904" s="17"/>
      <c r="U1904" s="17"/>
      <c r="V1904" s="17"/>
      <c r="W1904" s="17"/>
      <c r="X1904" s="17"/>
      <c r="Y1904" s="17"/>
      <c r="Z1904" s="17"/>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c r="AV1904" s="17"/>
      <c r="AW1904" s="17"/>
      <c r="AX1904" s="17"/>
      <c r="AY1904" s="17"/>
      <c r="AZ1904" s="17"/>
      <c r="BA1904" s="17"/>
      <c r="BB1904" s="17"/>
      <c r="BC1904" s="17"/>
      <c r="BD1904" s="17"/>
      <c r="BE1904" s="17"/>
      <c r="BF1904" s="17"/>
      <c r="BG1904" s="17"/>
      <c r="BH1904" s="17"/>
      <c r="BI1904" s="17"/>
      <c r="BJ1904" s="17"/>
      <c r="BK1904" s="17"/>
      <c r="BL1904" s="17"/>
    </row>
    <row r="1905">
      <c r="A1905" s="17"/>
      <c r="B1905" s="17"/>
      <c r="C1905" s="17"/>
      <c r="D1905" s="17"/>
      <c r="E1905" s="17"/>
      <c r="F1905" s="17"/>
      <c r="G1905" s="17"/>
      <c r="H1905" s="356"/>
      <c r="I1905" s="17"/>
      <c r="J1905" s="17"/>
      <c r="K1905" s="17"/>
      <c r="L1905" s="17"/>
      <c r="M1905" s="17"/>
      <c r="N1905" s="17"/>
      <c r="O1905" s="17"/>
      <c r="P1905" s="17"/>
      <c r="Q1905" s="17"/>
      <c r="R1905" s="17"/>
      <c r="S1905" s="17"/>
      <c r="T1905" s="17"/>
      <c r="U1905" s="17"/>
      <c r="V1905" s="17"/>
      <c r="W1905" s="17"/>
      <c r="X1905" s="17"/>
      <c r="Y1905" s="17"/>
      <c r="Z1905" s="17"/>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c r="AV1905" s="17"/>
      <c r="AW1905" s="17"/>
      <c r="AX1905" s="17"/>
      <c r="AY1905" s="17"/>
      <c r="AZ1905" s="17"/>
      <c r="BA1905" s="17"/>
      <c r="BB1905" s="17"/>
      <c r="BC1905" s="17"/>
      <c r="BD1905" s="17"/>
      <c r="BE1905" s="17"/>
      <c r="BF1905" s="17"/>
      <c r="BG1905" s="17"/>
      <c r="BH1905" s="17"/>
      <c r="BI1905" s="17"/>
      <c r="BJ1905" s="17"/>
      <c r="BK1905" s="17"/>
      <c r="BL1905" s="17"/>
    </row>
    <row r="1906">
      <c r="A1906" s="17"/>
      <c r="B1906" s="17"/>
      <c r="C1906" s="17"/>
      <c r="D1906" s="17"/>
      <c r="E1906" s="17"/>
      <c r="F1906" s="17"/>
      <c r="G1906" s="17"/>
      <c r="H1906" s="356"/>
      <c r="I1906" s="17"/>
      <c r="J1906" s="17"/>
      <c r="K1906" s="17"/>
      <c r="L1906" s="17"/>
      <c r="M1906" s="17"/>
      <c r="N1906" s="17"/>
      <c r="O1906" s="17"/>
      <c r="P1906" s="17"/>
      <c r="Q1906" s="17"/>
      <c r="R1906" s="17"/>
      <c r="S1906" s="17"/>
      <c r="T1906" s="17"/>
      <c r="U1906" s="17"/>
      <c r="V1906" s="17"/>
      <c r="W1906" s="17"/>
      <c r="X1906" s="17"/>
      <c r="Y1906" s="17"/>
      <c r="Z1906" s="17"/>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c r="AV1906" s="17"/>
      <c r="AW1906" s="17"/>
      <c r="AX1906" s="17"/>
      <c r="AY1906" s="17"/>
      <c r="AZ1906" s="17"/>
      <c r="BA1906" s="17"/>
      <c r="BB1906" s="17"/>
      <c r="BC1906" s="17"/>
      <c r="BD1906" s="17"/>
      <c r="BE1906" s="17"/>
      <c r="BF1906" s="17"/>
      <c r="BG1906" s="17"/>
      <c r="BH1906" s="17"/>
      <c r="BI1906" s="17"/>
      <c r="BJ1906" s="17"/>
      <c r="BK1906" s="17"/>
      <c r="BL1906" s="17"/>
    </row>
    <row r="1907">
      <c r="A1907" s="17"/>
      <c r="B1907" s="17"/>
      <c r="C1907" s="17"/>
      <c r="D1907" s="17"/>
      <c r="E1907" s="17"/>
      <c r="F1907" s="17"/>
      <c r="G1907" s="17"/>
      <c r="H1907" s="356"/>
      <c r="I1907" s="17"/>
      <c r="J1907" s="17"/>
      <c r="K1907" s="17"/>
      <c r="L1907" s="17"/>
      <c r="M1907" s="17"/>
      <c r="N1907" s="17"/>
      <c r="O1907" s="17"/>
      <c r="P1907" s="17"/>
      <c r="Q1907" s="17"/>
      <c r="R1907" s="17"/>
      <c r="S1907" s="17"/>
      <c r="T1907" s="17"/>
      <c r="U1907" s="17"/>
      <c r="V1907" s="17"/>
      <c r="W1907" s="17"/>
      <c r="X1907" s="17"/>
      <c r="Y1907" s="17"/>
      <c r="Z1907" s="17"/>
      <c r="AA1907" s="17"/>
      <c r="AB1907" s="17"/>
      <c r="AC1907" s="17"/>
      <c r="AD1907" s="17"/>
      <c r="AE1907" s="17"/>
      <c r="AF1907" s="17"/>
      <c r="AG1907" s="17"/>
      <c r="AH1907" s="17"/>
      <c r="AI1907" s="17"/>
      <c r="AJ1907" s="17"/>
      <c r="AK1907" s="17"/>
      <c r="AL1907" s="17"/>
      <c r="AM1907" s="17"/>
      <c r="AN1907" s="17"/>
      <c r="AO1907" s="17"/>
      <c r="AP1907" s="17"/>
      <c r="AQ1907" s="17"/>
      <c r="AR1907" s="17"/>
      <c r="AS1907" s="17"/>
      <c r="AT1907" s="17"/>
      <c r="AU1907" s="17"/>
      <c r="AV1907" s="17"/>
      <c r="AW1907" s="17"/>
      <c r="AX1907" s="17"/>
      <c r="AY1907" s="17"/>
      <c r="AZ1907" s="17"/>
      <c r="BA1907" s="17"/>
      <c r="BB1907" s="17"/>
      <c r="BC1907" s="17"/>
      <c r="BD1907" s="17"/>
      <c r="BE1907" s="17"/>
      <c r="BF1907" s="17"/>
      <c r="BG1907" s="17"/>
      <c r="BH1907" s="17"/>
      <c r="BI1907" s="17"/>
      <c r="BJ1907" s="17"/>
      <c r="BK1907" s="17"/>
      <c r="BL1907" s="17"/>
    </row>
    <row r="1908">
      <c r="A1908" s="17"/>
      <c r="B1908" s="17"/>
      <c r="C1908" s="17"/>
      <c r="D1908" s="17"/>
      <c r="E1908" s="17"/>
      <c r="F1908" s="17"/>
      <c r="G1908" s="17"/>
      <c r="H1908" s="356"/>
      <c r="I1908" s="17"/>
      <c r="J1908" s="17"/>
      <c r="K1908" s="17"/>
      <c r="L1908" s="17"/>
      <c r="M1908" s="17"/>
      <c r="N1908" s="17"/>
      <c r="O1908" s="17"/>
      <c r="P1908" s="17"/>
      <c r="Q1908" s="17"/>
      <c r="R1908" s="17"/>
      <c r="S1908" s="17"/>
      <c r="T1908" s="17"/>
      <c r="U1908" s="17"/>
      <c r="V1908" s="17"/>
      <c r="W1908" s="17"/>
      <c r="X1908" s="17"/>
      <c r="Y1908" s="17"/>
      <c r="Z1908" s="17"/>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c r="AV1908" s="17"/>
      <c r="AW1908" s="17"/>
      <c r="AX1908" s="17"/>
      <c r="AY1908" s="17"/>
      <c r="AZ1908" s="17"/>
      <c r="BA1908" s="17"/>
      <c r="BB1908" s="17"/>
      <c r="BC1908" s="17"/>
      <c r="BD1908" s="17"/>
      <c r="BE1908" s="17"/>
      <c r="BF1908" s="17"/>
      <c r="BG1908" s="17"/>
      <c r="BH1908" s="17"/>
      <c r="BI1908" s="17"/>
      <c r="BJ1908" s="17"/>
      <c r="BK1908" s="17"/>
      <c r="BL1908" s="17"/>
    </row>
    <row r="1909">
      <c r="A1909" s="17"/>
      <c r="B1909" s="17"/>
      <c r="C1909" s="17"/>
      <c r="D1909" s="17"/>
      <c r="E1909" s="17"/>
      <c r="F1909" s="17"/>
      <c r="G1909" s="17"/>
      <c r="H1909" s="356"/>
      <c r="I1909" s="17"/>
      <c r="J1909" s="17"/>
      <c r="K1909" s="17"/>
      <c r="L1909" s="17"/>
      <c r="M1909" s="17"/>
      <c r="N1909" s="17"/>
      <c r="O1909" s="17"/>
      <c r="P1909" s="17"/>
      <c r="Q1909" s="17"/>
      <c r="R1909" s="17"/>
      <c r="S1909" s="17"/>
      <c r="T1909" s="17"/>
      <c r="U1909" s="17"/>
      <c r="V1909" s="17"/>
      <c r="W1909" s="17"/>
      <c r="X1909" s="17"/>
      <c r="Y1909" s="17"/>
      <c r="Z1909" s="17"/>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c r="AV1909" s="17"/>
      <c r="AW1909" s="17"/>
      <c r="AX1909" s="17"/>
      <c r="AY1909" s="17"/>
      <c r="AZ1909" s="17"/>
      <c r="BA1909" s="17"/>
      <c r="BB1909" s="17"/>
      <c r="BC1909" s="17"/>
      <c r="BD1909" s="17"/>
      <c r="BE1909" s="17"/>
      <c r="BF1909" s="17"/>
      <c r="BG1909" s="17"/>
      <c r="BH1909" s="17"/>
      <c r="BI1909" s="17"/>
      <c r="BJ1909" s="17"/>
      <c r="BK1909" s="17"/>
      <c r="BL1909" s="17"/>
    </row>
    <row r="1910">
      <c r="A1910" s="17"/>
      <c r="B1910" s="17"/>
      <c r="C1910" s="17"/>
      <c r="D1910" s="17"/>
      <c r="E1910" s="17"/>
      <c r="F1910" s="17"/>
      <c r="G1910" s="17"/>
      <c r="H1910" s="356"/>
      <c r="I1910" s="17"/>
      <c r="J1910" s="17"/>
      <c r="K1910" s="17"/>
      <c r="L1910" s="17"/>
      <c r="M1910" s="17"/>
      <c r="N1910" s="17"/>
      <c r="O1910" s="17"/>
      <c r="P1910" s="17"/>
      <c r="Q1910" s="17"/>
      <c r="R1910" s="17"/>
      <c r="S1910" s="17"/>
      <c r="T1910" s="17"/>
      <c r="U1910" s="17"/>
      <c r="V1910" s="17"/>
      <c r="W1910" s="17"/>
      <c r="X1910" s="17"/>
      <c r="Y1910" s="17"/>
      <c r="Z1910" s="17"/>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c r="AV1910" s="17"/>
      <c r="AW1910" s="17"/>
      <c r="AX1910" s="17"/>
      <c r="AY1910" s="17"/>
      <c r="AZ1910" s="17"/>
      <c r="BA1910" s="17"/>
      <c r="BB1910" s="17"/>
      <c r="BC1910" s="17"/>
      <c r="BD1910" s="17"/>
      <c r="BE1910" s="17"/>
      <c r="BF1910" s="17"/>
      <c r="BG1910" s="17"/>
      <c r="BH1910" s="17"/>
      <c r="BI1910" s="17"/>
      <c r="BJ1910" s="17"/>
      <c r="BK1910" s="17"/>
      <c r="BL1910" s="17"/>
    </row>
    <row r="1911">
      <c r="A1911" s="17"/>
      <c r="B1911" s="17"/>
      <c r="C1911" s="17"/>
      <c r="D1911" s="17"/>
      <c r="E1911" s="17"/>
      <c r="F1911" s="17"/>
      <c r="G1911" s="17"/>
      <c r="H1911" s="356"/>
      <c r="I1911" s="17"/>
      <c r="J1911" s="17"/>
      <c r="K1911" s="17"/>
      <c r="L1911" s="17"/>
      <c r="M1911" s="17"/>
      <c r="N1911" s="17"/>
      <c r="O1911" s="17"/>
      <c r="P1911" s="17"/>
      <c r="Q1911" s="17"/>
      <c r="R1911" s="17"/>
      <c r="S1911" s="17"/>
      <c r="T1911" s="17"/>
      <c r="U1911" s="17"/>
      <c r="V1911" s="17"/>
      <c r="W1911" s="17"/>
      <c r="X1911" s="17"/>
      <c r="Y1911" s="17"/>
      <c r="Z1911" s="17"/>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c r="AV1911" s="17"/>
      <c r="AW1911" s="17"/>
      <c r="AX1911" s="17"/>
      <c r="AY1911" s="17"/>
      <c r="AZ1911" s="17"/>
      <c r="BA1911" s="17"/>
      <c r="BB1911" s="17"/>
      <c r="BC1911" s="17"/>
      <c r="BD1911" s="17"/>
      <c r="BE1911" s="17"/>
      <c r="BF1911" s="17"/>
      <c r="BG1911" s="17"/>
      <c r="BH1911" s="17"/>
      <c r="BI1911" s="17"/>
      <c r="BJ1911" s="17"/>
      <c r="BK1911" s="17"/>
      <c r="BL1911" s="17"/>
    </row>
    <row r="1912">
      <c r="A1912" s="17"/>
      <c r="B1912" s="17"/>
      <c r="C1912" s="17"/>
      <c r="D1912" s="17"/>
      <c r="E1912" s="17"/>
      <c r="F1912" s="17"/>
      <c r="G1912" s="17"/>
      <c r="H1912" s="356"/>
      <c r="I1912" s="17"/>
      <c r="J1912" s="17"/>
      <c r="K1912" s="17"/>
      <c r="L1912" s="17"/>
      <c r="M1912" s="17"/>
      <c r="N1912" s="17"/>
      <c r="O1912" s="17"/>
      <c r="P1912" s="17"/>
      <c r="Q1912" s="17"/>
      <c r="R1912" s="17"/>
      <c r="S1912" s="17"/>
      <c r="T1912" s="17"/>
      <c r="U1912" s="17"/>
      <c r="V1912" s="17"/>
      <c r="W1912" s="17"/>
      <c r="X1912" s="17"/>
      <c r="Y1912" s="17"/>
      <c r="Z1912" s="17"/>
      <c r="AA1912" s="17"/>
      <c r="AB1912" s="17"/>
      <c r="AC1912" s="17"/>
      <c r="AD1912" s="17"/>
      <c r="AE1912" s="17"/>
      <c r="AF1912" s="17"/>
      <c r="AG1912" s="17"/>
      <c r="AH1912" s="17"/>
      <c r="AI1912" s="17"/>
      <c r="AJ1912" s="17"/>
      <c r="AK1912" s="17"/>
      <c r="AL1912" s="17"/>
      <c r="AM1912" s="17"/>
      <c r="AN1912" s="17"/>
      <c r="AO1912" s="17"/>
      <c r="AP1912" s="17"/>
      <c r="AQ1912" s="17"/>
      <c r="AR1912" s="17"/>
      <c r="AS1912" s="17"/>
      <c r="AT1912" s="17"/>
      <c r="AU1912" s="17"/>
      <c r="AV1912" s="17"/>
      <c r="AW1912" s="17"/>
      <c r="AX1912" s="17"/>
      <c r="AY1912" s="17"/>
      <c r="AZ1912" s="17"/>
      <c r="BA1912" s="17"/>
      <c r="BB1912" s="17"/>
      <c r="BC1912" s="17"/>
      <c r="BD1912" s="17"/>
      <c r="BE1912" s="17"/>
      <c r="BF1912" s="17"/>
      <c r="BG1912" s="17"/>
      <c r="BH1912" s="17"/>
      <c r="BI1912" s="17"/>
      <c r="BJ1912" s="17"/>
      <c r="BK1912" s="17"/>
      <c r="BL1912" s="17"/>
    </row>
    <row r="1913">
      <c r="A1913" s="17"/>
      <c r="B1913" s="17"/>
      <c r="C1913" s="17"/>
      <c r="D1913" s="17"/>
      <c r="E1913" s="17"/>
      <c r="F1913" s="17"/>
      <c r="G1913" s="17"/>
      <c r="H1913" s="356"/>
      <c r="I1913" s="17"/>
      <c r="J1913" s="17"/>
      <c r="K1913" s="17"/>
      <c r="L1913" s="17"/>
      <c r="M1913" s="17"/>
      <c r="N1913" s="17"/>
      <c r="O1913" s="17"/>
      <c r="P1913" s="17"/>
      <c r="Q1913" s="17"/>
      <c r="R1913" s="17"/>
      <c r="S1913" s="17"/>
      <c r="T1913" s="17"/>
      <c r="U1913" s="17"/>
      <c r="V1913" s="17"/>
      <c r="W1913" s="17"/>
      <c r="X1913" s="17"/>
      <c r="Y1913" s="17"/>
      <c r="Z1913" s="17"/>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c r="AV1913" s="17"/>
      <c r="AW1913" s="17"/>
      <c r="AX1913" s="17"/>
      <c r="AY1913" s="17"/>
      <c r="AZ1913" s="17"/>
      <c r="BA1913" s="17"/>
      <c r="BB1913" s="17"/>
      <c r="BC1913" s="17"/>
      <c r="BD1913" s="17"/>
      <c r="BE1913" s="17"/>
      <c r="BF1913" s="17"/>
      <c r="BG1913" s="17"/>
      <c r="BH1913" s="17"/>
      <c r="BI1913" s="17"/>
      <c r="BJ1913" s="17"/>
      <c r="BK1913" s="17"/>
      <c r="BL1913" s="17"/>
    </row>
    <row r="1914">
      <c r="A1914" s="17"/>
      <c r="B1914" s="17"/>
      <c r="C1914" s="17"/>
      <c r="D1914" s="17"/>
      <c r="E1914" s="17"/>
      <c r="F1914" s="17"/>
      <c r="G1914" s="17"/>
      <c r="H1914" s="356"/>
      <c r="I1914" s="17"/>
      <c r="J1914" s="17"/>
      <c r="K1914" s="17"/>
      <c r="L1914" s="17"/>
      <c r="M1914" s="17"/>
      <c r="N1914" s="17"/>
      <c r="O1914" s="17"/>
      <c r="P1914" s="17"/>
      <c r="Q1914" s="17"/>
      <c r="R1914" s="17"/>
      <c r="S1914" s="17"/>
      <c r="T1914" s="17"/>
      <c r="U1914" s="17"/>
      <c r="V1914" s="17"/>
      <c r="W1914" s="17"/>
      <c r="X1914" s="17"/>
      <c r="Y1914" s="17"/>
      <c r="Z1914" s="17"/>
      <c r="AA1914" s="17"/>
      <c r="AB1914" s="17"/>
      <c r="AC1914" s="17"/>
      <c r="AD1914" s="17"/>
      <c r="AE1914" s="17"/>
      <c r="AF1914" s="17"/>
      <c r="AG1914" s="17"/>
      <c r="AH1914" s="17"/>
      <c r="AI1914" s="17"/>
      <c r="AJ1914" s="17"/>
      <c r="AK1914" s="17"/>
      <c r="AL1914" s="17"/>
      <c r="AM1914" s="17"/>
      <c r="AN1914" s="17"/>
      <c r="AO1914" s="17"/>
      <c r="AP1914" s="17"/>
      <c r="AQ1914" s="17"/>
      <c r="AR1914" s="17"/>
      <c r="AS1914" s="17"/>
      <c r="AT1914" s="17"/>
      <c r="AU1914" s="17"/>
      <c r="AV1914" s="17"/>
      <c r="AW1914" s="17"/>
      <c r="AX1914" s="17"/>
      <c r="AY1914" s="17"/>
      <c r="AZ1914" s="17"/>
      <c r="BA1914" s="17"/>
      <c r="BB1914" s="17"/>
      <c r="BC1914" s="17"/>
      <c r="BD1914" s="17"/>
      <c r="BE1914" s="17"/>
      <c r="BF1914" s="17"/>
      <c r="BG1914" s="17"/>
      <c r="BH1914" s="17"/>
      <c r="BI1914" s="17"/>
      <c r="BJ1914" s="17"/>
      <c r="BK1914" s="17"/>
      <c r="BL1914" s="17"/>
    </row>
    <row r="1915">
      <c r="A1915" s="17"/>
      <c r="B1915" s="17"/>
      <c r="C1915" s="17"/>
      <c r="D1915" s="17"/>
      <c r="E1915" s="17"/>
      <c r="F1915" s="17"/>
      <c r="G1915" s="17"/>
      <c r="H1915" s="356"/>
      <c r="I1915" s="17"/>
      <c r="J1915" s="17"/>
      <c r="K1915" s="17"/>
      <c r="L1915" s="17"/>
      <c r="M1915" s="17"/>
      <c r="N1915" s="17"/>
      <c r="O1915" s="17"/>
      <c r="P1915" s="17"/>
      <c r="Q1915" s="17"/>
      <c r="R1915" s="17"/>
      <c r="S1915" s="17"/>
      <c r="T1915" s="17"/>
      <c r="U1915" s="17"/>
      <c r="V1915" s="17"/>
      <c r="W1915" s="17"/>
      <c r="X1915" s="17"/>
      <c r="Y1915" s="17"/>
      <c r="Z1915" s="17"/>
      <c r="AA1915" s="17"/>
      <c r="AB1915" s="17"/>
      <c r="AC1915" s="17"/>
      <c r="AD1915" s="17"/>
      <c r="AE1915" s="17"/>
      <c r="AF1915" s="17"/>
      <c r="AG1915" s="17"/>
      <c r="AH1915" s="17"/>
      <c r="AI1915" s="17"/>
      <c r="AJ1915" s="17"/>
      <c r="AK1915" s="17"/>
      <c r="AL1915" s="17"/>
      <c r="AM1915" s="17"/>
      <c r="AN1915" s="17"/>
      <c r="AO1915" s="17"/>
      <c r="AP1915" s="17"/>
      <c r="AQ1915" s="17"/>
      <c r="AR1915" s="17"/>
      <c r="AS1915" s="17"/>
      <c r="AT1915" s="17"/>
      <c r="AU1915" s="17"/>
      <c r="AV1915" s="17"/>
      <c r="AW1915" s="17"/>
      <c r="AX1915" s="17"/>
      <c r="AY1915" s="17"/>
      <c r="AZ1915" s="17"/>
      <c r="BA1915" s="17"/>
      <c r="BB1915" s="17"/>
      <c r="BC1915" s="17"/>
      <c r="BD1915" s="17"/>
      <c r="BE1915" s="17"/>
      <c r="BF1915" s="17"/>
      <c r="BG1915" s="17"/>
      <c r="BH1915" s="17"/>
      <c r="BI1915" s="17"/>
      <c r="BJ1915" s="17"/>
      <c r="BK1915" s="17"/>
      <c r="BL1915" s="17"/>
    </row>
    <row r="1916">
      <c r="A1916" s="17"/>
      <c r="B1916" s="17"/>
      <c r="C1916" s="17"/>
      <c r="D1916" s="17"/>
      <c r="E1916" s="17"/>
      <c r="F1916" s="17"/>
      <c r="G1916" s="17"/>
      <c r="H1916" s="356"/>
      <c r="I1916" s="17"/>
      <c r="J1916" s="17"/>
      <c r="K1916" s="17"/>
      <c r="L1916" s="17"/>
      <c r="M1916" s="17"/>
      <c r="N1916" s="17"/>
      <c r="O1916" s="17"/>
      <c r="P1916" s="17"/>
      <c r="Q1916" s="17"/>
      <c r="R1916" s="17"/>
      <c r="S1916" s="17"/>
      <c r="T1916" s="17"/>
      <c r="U1916" s="17"/>
      <c r="V1916" s="17"/>
      <c r="W1916" s="17"/>
      <c r="X1916" s="17"/>
      <c r="Y1916" s="17"/>
      <c r="Z1916" s="17"/>
      <c r="AA1916" s="17"/>
      <c r="AB1916" s="17"/>
      <c r="AC1916" s="17"/>
      <c r="AD1916" s="17"/>
      <c r="AE1916" s="17"/>
      <c r="AF1916" s="17"/>
      <c r="AG1916" s="17"/>
      <c r="AH1916" s="17"/>
      <c r="AI1916" s="17"/>
      <c r="AJ1916" s="17"/>
      <c r="AK1916" s="17"/>
      <c r="AL1916" s="17"/>
      <c r="AM1916" s="17"/>
      <c r="AN1916" s="17"/>
      <c r="AO1916" s="17"/>
      <c r="AP1916" s="17"/>
      <c r="AQ1916" s="17"/>
      <c r="AR1916" s="17"/>
      <c r="AS1916" s="17"/>
      <c r="AT1916" s="17"/>
      <c r="AU1916" s="17"/>
      <c r="AV1916" s="17"/>
      <c r="AW1916" s="17"/>
      <c r="AX1916" s="17"/>
      <c r="AY1916" s="17"/>
      <c r="AZ1916" s="17"/>
      <c r="BA1916" s="17"/>
      <c r="BB1916" s="17"/>
      <c r="BC1916" s="17"/>
      <c r="BD1916" s="17"/>
      <c r="BE1916" s="17"/>
      <c r="BF1916" s="17"/>
      <c r="BG1916" s="17"/>
      <c r="BH1916" s="17"/>
      <c r="BI1916" s="17"/>
      <c r="BJ1916" s="17"/>
      <c r="BK1916" s="17"/>
      <c r="BL1916" s="17"/>
    </row>
    <row r="1917">
      <c r="A1917" s="17"/>
      <c r="B1917" s="17"/>
      <c r="C1917" s="17"/>
      <c r="D1917" s="17"/>
      <c r="E1917" s="17"/>
      <c r="F1917" s="17"/>
      <c r="G1917" s="17"/>
      <c r="H1917" s="356"/>
      <c r="I1917" s="17"/>
      <c r="J1917" s="17"/>
      <c r="K1917" s="17"/>
      <c r="L1917" s="17"/>
      <c r="M1917" s="17"/>
      <c r="N1917" s="17"/>
      <c r="O1917" s="17"/>
      <c r="P1917" s="17"/>
      <c r="Q1917" s="17"/>
      <c r="R1917" s="17"/>
      <c r="S1917" s="17"/>
      <c r="T1917" s="17"/>
      <c r="U1917" s="17"/>
      <c r="V1917" s="17"/>
      <c r="W1917" s="17"/>
      <c r="X1917" s="17"/>
      <c r="Y1917" s="17"/>
      <c r="Z1917" s="17"/>
      <c r="AA1917" s="17"/>
      <c r="AB1917" s="17"/>
      <c r="AC1917" s="17"/>
      <c r="AD1917" s="17"/>
      <c r="AE1917" s="17"/>
      <c r="AF1917" s="17"/>
      <c r="AG1917" s="17"/>
      <c r="AH1917" s="17"/>
      <c r="AI1917" s="17"/>
      <c r="AJ1917" s="17"/>
      <c r="AK1917" s="17"/>
      <c r="AL1917" s="17"/>
      <c r="AM1917" s="17"/>
      <c r="AN1917" s="17"/>
      <c r="AO1917" s="17"/>
      <c r="AP1917" s="17"/>
      <c r="AQ1917" s="17"/>
      <c r="AR1917" s="17"/>
      <c r="AS1917" s="17"/>
      <c r="AT1917" s="17"/>
      <c r="AU1917" s="17"/>
      <c r="AV1917" s="17"/>
      <c r="AW1917" s="17"/>
      <c r="AX1917" s="17"/>
      <c r="AY1917" s="17"/>
      <c r="AZ1917" s="17"/>
      <c r="BA1917" s="17"/>
      <c r="BB1917" s="17"/>
      <c r="BC1917" s="17"/>
      <c r="BD1917" s="17"/>
      <c r="BE1917" s="17"/>
      <c r="BF1917" s="17"/>
      <c r="BG1917" s="17"/>
      <c r="BH1917" s="17"/>
      <c r="BI1917" s="17"/>
      <c r="BJ1917" s="17"/>
      <c r="BK1917" s="17"/>
      <c r="BL1917" s="17"/>
    </row>
    <row r="1918">
      <c r="A1918" s="17"/>
      <c r="B1918" s="17"/>
      <c r="C1918" s="17"/>
      <c r="D1918" s="17"/>
      <c r="E1918" s="17"/>
      <c r="F1918" s="17"/>
      <c r="G1918" s="17"/>
      <c r="H1918" s="356"/>
      <c r="I1918" s="17"/>
      <c r="J1918" s="17"/>
      <c r="K1918" s="17"/>
      <c r="L1918" s="17"/>
      <c r="M1918" s="17"/>
      <c r="N1918" s="17"/>
      <c r="O1918" s="17"/>
      <c r="P1918" s="17"/>
      <c r="Q1918" s="17"/>
      <c r="R1918" s="17"/>
      <c r="S1918" s="17"/>
      <c r="T1918" s="17"/>
      <c r="U1918" s="17"/>
      <c r="V1918" s="17"/>
      <c r="W1918" s="17"/>
      <c r="X1918" s="17"/>
      <c r="Y1918" s="17"/>
      <c r="Z1918" s="17"/>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c r="AV1918" s="17"/>
      <c r="AW1918" s="17"/>
      <c r="AX1918" s="17"/>
      <c r="AY1918" s="17"/>
      <c r="AZ1918" s="17"/>
      <c r="BA1918" s="17"/>
      <c r="BB1918" s="17"/>
      <c r="BC1918" s="17"/>
      <c r="BD1918" s="17"/>
      <c r="BE1918" s="17"/>
      <c r="BF1918" s="17"/>
      <c r="BG1918" s="17"/>
      <c r="BH1918" s="17"/>
      <c r="BI1918" s="17"/>
      <c r="BJ1918" s="17"/>
      <c r="BK1918" s="17"/>
      <c r="BL1918" s="17"/>
    </row>
    <row r="1919">
      <c r="A1919" s="17"/>
      <c r="B1919" s="17"/>
      <c r="C1919" s="17"/>
      <c r="D1919" s="17"/>
      <c r="E1919" s="17"/>
      <c r="F1919" s="17"/>
      <c r="G1919" s="17"/>
      <c r="H1919" s="356"/>
      <c r="I1919" s="17"/>
      <c r="J1919" s="17"/>
      <c r="K1919" s="17"/>
      <c r="L1919" s="17"/>
      <c r="M1919" s="17"/>
      <c r="N1919" s="17"/>
      <c r="O1919" s="17"/>
      <c r="P1919" s="17"/>
      <c r="Q1919" s="17"/>
      <c r="R1919" s="17"/>
      <c r="S1919" s="17"/>
      <c r="T1919" s="17"/>
      <c r="U1919" s="17"/>
      <c r="V1919" s="17"/>
      <c r="W1919" s="17"/>
      <c r="X1919" s="17"/>
      <c r="Y1919" s="17"/>
      <c r="Z1919" s="17"/>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c r="AV1919" s="17"/>
      <c r="AW1919" s="17"/>
      <c r="AX1919" s="17"/>
      <c r="AY1919" s="17"/>
      <c r="AZ1919" s="17"/>
      <c r="BA1919" s="17"/>
      <c r="BB1919" s="17"/>
      <c r="BC1919" s="17"/>
      <c r="BD1919" s="17"/>
      <c r="BE1919" s="17"/>
      <c r="BF1919" s="17"/>
      <c r="BG1919" s="17"/>
      <c r="BH1919" s="17"/>
      <c r="BI1919" s="17"/>
      <c r="BJ1919" s="17"/>
      <c r="BK1919" s="17"/>
      <c r="BL1919" s="17"/>
    </row>
    <row r="1920">
      <c r="A1920" s="17"/>
      <c r="B1920" s="17"/>
      <c r="C1920" s="17"/>
      <c r="D1920" s="17"/>
      <c r="E1920" s="17"/>
      <c r="F1920" s="17"/>
      <c r="G1920" s="17"/>
      <c r="H1920" s="356"/>
      <c r="I1920" s="17"/>
      <c r="J1920" s="17"/>
      <c r="K1920" s="17"/>
      <c r="L1920" s="17"/>
      <c r="M1920" s="17"/>
      <c r="N1920" s="17"/>
      <c r="O1920" s="17"/>
      <c r="P1920" s="17"/>
      <c r="Q1920" s="17"/>
      <c r="R1920" s="17"/>
      <c r="S1920" s="17"/>
      <c r="T1920" s="17"/>
      <c r="U1920" s="17"/>
      <c r="V1920" s="17"/>
      <c r="W1920" s="17"/>
      <c r="X1920" s="17"/>
      <c r="Y1920" s="17"/>
      <c r="Z1920" s="17"/>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c r="AV1920" s="17"/>
      <c r="AW1920" s="17"/>
      <c r="AX1920" s="17"/>
      <c r="AY1920" s="17"/>
      <c r="AZ1920" s="17"/>
      <c r="BA1920" s="17"/>
      <c r="BB1920" s="17"/>
      <c r="BC1920" s="17"/>
      <c r="BD1920" s="17"/>
      <c r="BE1920" s="17"/>
      <c r="BF1920" s="17"/>
      <c r="BG1920" s="17"/>
      <c r="BH1920" s="17"/>
      <c r="BI1920" s="17"/>
      <c r="BJ1920" s="17"/>
      <c r="BK1920" s="17"/>
      <c r="BL1920" s="17"/>
    </row>
    <row r="1921">
      <c r="A1921" s="17"/>
      <c r="B1921" s="17"/>
      <c r="C1921" s="17"/>
      <c r="D1921" s="17"/>
      <c r="E1921" s="17"/>
      <c r="F1921" s="17"/>
      <c r="G1921" s="17"/>
      <c r="H1921" s="356"/>
      <c r="I1921" s="17"/>
      <c r="J1921" s="17"/>
      <c r="K1921" s="17"/>
      <c r="L1921" s="17"/>
      <c r="M1921" s="17"/>
      <c r="N1921" s="17"/>
      <c r="O1921" s="17"/>
      <c r="P1921" s="17"/>
      <c r="Q1921" s="17"/>
      <c r="R1921" s="17"/>
      <c r="S1921" s="17"/>
      <c r="T1921" s="17"/>
      <c r="U1921" s="17"/>
      <c r="V1921" s="17"/>
      <c r="W1921" s="17"/>
      <c r="X1921" s="17"/>
      <c r="Y1921" s="17"/>
      <c r="Z1921" s="17"/>
      <c r="AA1921" s="17"/>
      <c r="AB1921" s="17"/>
      <c r="AC1921" s="17"/>
      <c r="AD1921" s="17"/>
      <c r="AE1921" s="17"/>
      <c r="AF1921" s="17"/>
      <c r="AG1921" s="17"/>
      <c r="AH1921" s="17"/>
      <c r="AI1921" s="17"/>
      <c r="AJ1921" s="17"/>
      <c r="AK1921" s="17"/>
      <c r="AL1921" s="17"/>
      <c r="AM1921" s="17"/>
      <c r="AN1921" s="17"/>
      <c r="AO1921" s="17"/>
      <c r="AP1921" s="17"/>
      <c r="AQ1921" s="17"/>
      <c r="AR1921" s="17"/>
      <c r="AS1921" s="17"/>
      <c r="AT1921" s="17"/>
      <c r="AU1921" s="17"/>
      <c r="AV1921" s="17"/>
      <c r="AW1921" s="17"/>
      <c r="AX1921" s="17"/>
      <c r="AY1921" s="17"/>
      <c r="AZ1921" s="17"/>
      <c r="BA1921" s="17"/>
      <c r="BB1921" s="17"/>
      <c r="BC1921" s="17"/>
      <c r="BD1921" s="17"/>
      <c r="BE1921" s="17"/>
      <c r="BF1921" s="17"/>
      <c r="BG1921" s="17"/>
      <c r="BH1921" s="17"/>
      <c r="BI1921" s="17"/>
      <c r="BJ1921" s="17"/>
      <c r="BK1921" s="17"/>
      <c r="BL1921" s="17"/>
    </row>
    <row r="1922">
      <c r="A1922" s="17"/>
      <c r="B1922" s="17"/>
      <c r="C1922" s="17"/>
      <c r="D1922" s="17"/>
      <c r="E1922" s="17"/>
      <c r="F1922" s="17"/>
      <c r="G1922" s="17"/>
      <c r="H1922" s="356"/>
      <c r="I1922" s="17"/>
      <c r="J1922" s="17"/>
      <c r="K1922" s="17"/>
      <c r="L1922" s="17"/>
      <c r="M1922" s="17"/>
      <c r="N1922" s="17"/>
      <c r="O1922" s="17"/>
      <c r="P1922" s="17"/>
      <c r="Q1922" s="17"/>
      <c r="R1922" s="17"/>
      <c r="S1922" s="17"/>
      <c r="T1922" s="17"/>
      <c r="U1922" s="17"/>
      <c r="V1922" s="17"/>
      <c r="W1922" s="17"/>
      <c r="X1922" s="17"/>
      <c r="Y1922" s="17"/>
      <c r="Z1922" s="17"/>
      <c r="AA1922" s="17"/>
      <c r="AB1922" s="17"/>
      <c r="AC1922" s="17"/>
      <c r="AD1922" s="17"/>
      <c r="AE1922" s="17"/>
      <c r="AF1922" s="17"/>
      <c r="AG1922" s="17"/>
      <c r="AH1922" s="17"/>
      <c r="AI1922" s="17"/>
      <c r="AJ1922" s="17"/>
      <c r="AK1922" s="17"/>
      <c r="AL1922" s="17"/>
      <c r="AM1922" s="17"/>
      <c r="AN1922" s="17"/>
      <c r="AO1922" s="17"/>
      <c r="AP1922" s="17"/>
      <c r="AQ1922" s="17"/>
      <c r="AR1922" s="17"/>
      <c r="AS1922" s="17"/>
      <c r="AT1922" s="17"/>
      <c r="AU1922" s="17"/>
      <c r="AV1922" s="17"/>
      <c r="AW1922" s="17"/>
      <c r="AX1922" s="17"/>
      <c r="AY1922" s="17"/>
      <c r="AZ1922" s="17"/>
      <c r="BA1922" s="17"/>
      <c r="BB1922" s="17"/>
      <c r="BC1922" s="17"/>
      <c r="BD1922" s="17"/>
      <c r="BE1922" s="17"/>
      <c r="BF1922" s="17"/>
      <c r="BG1922" s="17"/>
      <c r="BH1922" s="17"/>
      <c r="BI1922" s="17"/>
      <c r="BJ1922" s="17"/>
      <c r="BK1922" s="17"/>
      <c r="BL1922" s="17"/>
    </row>
    <row r="1923">
      <c r="A1923" s="17"/>
      <c r="B1923" s="17"/>
      <c r="C1923" s="17"/>
      <c r="D1923" s="17"/>
      <c r="E1923" s="17"/>
      <c r="F1923" s="17"/>
      <c r="G1923" s="17"/>
      <c r="H1923" s="356"/>
      <c r="I1923" s="17"/>
      <c r="J1923" s="17"/>
      <c r="K1923" s="17"/>
      <c r="L1923" s="17"/>
      <c r="M1923" s="17"/>
      <c r="N1923" s="17"/>
      <c r="O1923" s="17"/>
      <c r="P1923" s="17"/>
      <c r="Q1923" s="17"/>
      <c r="R1923" s="17"/>
      <c r="S1923" s="17"/>
      <c r="T1923" s="17"/>
      <c r="U1923" s="17"/>
      <c r="V1923" s="17"/>
      <c r="W1923" s="17"/>
      <c r="X1923" s="17"/>
      <c r="Y1923" s="17"/>
      <c r="Z1923" s="17"/>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c r="AV1923" s="17"/>
      <c r="AW1923" s="17"/>
      <c r="AX1923" s="17"/>
      <c r="AY1923" s="17"/>
      <c r="AZ1923" s="17"/>
      <c r="BA1923" s="17"/>
      <c r="BB1923" s="17"/>
      <c r="BC1923" s="17"/>
      <c r="BD1923" s="17"/>
      <c r="BE1923" s="17"/>
      <c r="BF1923" s="17"/>
      <c r="BG1923" s="17"/>
      <c r="BH1923" s="17"/>
      <c r="BI1923" s="17"/>
      <c r="BJ1923" s="17"/>
      <c r="BK1923" s="17"/>
      <c r="BL1923" s="17"/>
    </row>
    <row r="1924">
      <c r="A1924" s="17"/>
      <c r="B1924" s="17"/>
      <c r="C1924" s="17"/>
      <c r="D1924" s="17"/>
      <c r="E1924" s="17"/>
      <c r="F1924" s="17"/>
      <c r="G1924" s="17"/>
      <c r="H1924" s="356"/>
      <c r="I1924" s="17"/>
      <c r="J1924" s="17"/>
      <c r="K1924" s="17"/>
      <c r="L1924" s="17"/>
      <c r="M1924" s="17"/>
      <c r="N1924" s="17"/>
      <c r="O1924" s="17"/>
      <c r="P1924" s="17"/>
      <c r="Q1924" s="17"/>
      <c r="R1924" s="17"/>
      <c r="S1924" s="17"/>
      <c r="T1924" s="17"/>
      <c r="U1924" s="17"/>
      <c r="V1924" s="17"/>
      <c r="W1924" s="17"/>
      <c r="X1924" s="17"/>
      <c r="Y1924" s="17"/>
      <c r="Z1924" s="17"/>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c r="AV1924" s="17"/>
      <c r="AW1924" s="17"/>
      <c r="AX1924" s="17"/>
      <c r="AY1924" s="17"/>
      <c r="AZ1924" s="17"/>
      <c r="BA1924" s="17"/>
      <c r="BB1924" s="17"/>
      <c r="BC1924" s="17"/>
      <c r="BD1924" s="17"/>
      <c r="BE1924" s="17"/>
      <c r="BF1924" s="17"/>
      <c r="BG1924" s="17"/>
      <c r="BH1924" s="17"/>
      <c r="BI1924" s="17"/>
      <c r="BJ1924" s="17"/>
      <c r="BK1924" s="17"/>
      <c r="BL1924" s="17"/>
    </row>
    <row r="1925">
      <c r="A1925" s="17"/>
      <c r="B1925" s="17"/>
      <c r="C1925" s="17"/>
      <c r="D1925" s="17"/>
      <c r="E1925" s="17"/>
      <c r="F1925" s="17"/>
      <c r="G1925" s="17"/>
      <c r="H1925" s="356"/>
      <c r="I1925" s="17"/>
      <c r="J1925" s="17"/>
      <c r="K1925" s="17"/>
      <c r="L1925" s="17"/>
      <c r="M1925" s="17"/>
      <c r="N1925" s="17"/>
      <c r="O1925" s="17"/>
      <c r="P1925" s="17"/>
      <c r="Q1925" s="17"/>
      <c r="R1925" s="17"/>
      <c r="S1925" s="17"/>
      <c r="T1925" s="17"/>
      <c r="U1925" s="17"/>
      <c r="V1925" s="17"/>
      <c r="W1925" s="17"/>
      <c r="X1925" s="17"/>
      <c r="Y1925" s="17"/>
      <c r="Z1925" s="17"/>
      <c r="AA1925" s="17"/>
      <c r="AB1925" s="17"/>
      <c r="AC1925" s="17"/>
      <c r="AD1925" s="17"/>
      <c r="AE1925" s="17"/>
      <c r="AF1925" s="17"/>
      <c r="AG1925" s="17"/>
      <c r="AH1925" s="17"/>
      <c r="AI1925" s="17"/>
      <c r="AJ1925" s="17"/>
      <c r="AK1925" s="17"/>
      <c r="AL1925" s="17"/>
      <c r="AM1925" s="17"/>
      <c r="AN1925" s="17"/>
      <c r="AO1925" s="17"/>
      <c r="AP1925" s="17"/>
      <c r="AQ1925" s="17"/>
      <c r="AR1925" s="17"/>
      <c r="AS1925" s="17"/>
      <c r="AT1925" s="17"/>
      <c r="AU1925" s="17"/>
      <c r="AV1925" s="17"/>
      <c r="AW1925" s="17"/>
      <c r="AX1925" s="17"/>
      <c r="AY1925" s="17"/>
      <c r="AZ1925" s="17"/>
      <c r="BA1925" s="17"/>
      <c r="BB1925" s="17"/>
      <c r="BC1925" s="17"/>
      <c r="BD1925" s="17"/>
      <c r="BE1925" s="17"/>
      <c r="BF1925" s="17"/>
      <c r="BG1925" s="17"/>
      <c r="BH1925" s="17"/>
      <c r="BI1925" s="17"/>
      <c r="BJ1925" s="17"/>
      <c r="BK1925" s="17"/>
      <c r="BL1925" s="17"/>
    </row>
    <row r="1926">
      <c r="A1926" s="17"/>
      <c r="B1926" s="17"/>
      <c r="C1926" s="17"/>
      <c r="D1926" s="17"/>
      <c r="E1926" s="17"/>
      <c r="F1926" s="17"/>
      <c r="G1926" s="17"/>
      <c r="H1926" s="356"/>
      <c r="I1926" s="17"/>
      <c r="J1926" s="17"/>
      <c r="K1926" s="17"/>
      <c r="L1926" s="17"/>
      <c r="M1926" s="17"/>
      <c r="N1926" s="17"/>
      <c r="O1926" s="17"/>
      <c r="P1926" s="17"/>
      <c r="Q1926" s="17"/>
      <c r="R1926" s="17"/>
      <c r="S1926" s="17"/>
      <c r="T1926" s="17"/>
      <c r="U1926" s="17"/>
      <c r="V1926" s="17"/>
      <c r="W1926" s="17"/>
      <c r="X1926" s="17"/>
      <c r="Y1926" s="17"/>
      <c r="Z1926" s="17"/>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c r="AV1926" s="17"/>
      <c r="AW1926" s="17"/>
      <c r="AX1926" s="17"/>
      <c r="AY1926" s="17"/>
      <c r="AZ1926" s="17"/>
      <c r="BA1926" s="17"/>
      <c r="BB1926" s="17"/>
      <c r="BC1926" s="17"/>
      <c r="BD1926" s="17"/>
      <c r="BE1926" s="17"/>
      <c r="BF1926" s="17"/>
      <c r="BG1926" s="17"/>
      <c r="BH1926" s="17"/>
      <c r="BI1926" s="17"/>
      <c r="BJ1926" s="17"/>
      <c r="BK1926" s="17"/>
      <c r="BL1926" s="17"/>
    </row>
    <row r="1927">
      <c r="A1927" s="17"/>
      <c r="B1927" s="17"/>
      <c r="C1927" s="17"/>
      <c r="D1927" s="17"/>
      <c r="E1927" s="17"/>
      <c r="F1927" s="17"/>
      <c r="G1927" s="17"/>
      <c r="H1927" s="356"/>
      <c r="I1927" s="17"/>
      <c r="J1927" s="17"/>
      <c r="K1927" s="17"/>
      <c r="L1927" s="17"/>
      <c r="M1927" s="17"/>
      <c r="N1927" s="17"/>
      <c r="O1927" s="17"/>
      <c r="P1927" s="17"/>
      <c r="Q1927" s="17"/>
      <c r="R1927" s="17"/>
      <c r="S1927" s="17"/>
      <c r="T1927" s="17"/>
      <c r="U1927" s="17"/>
      <c r="V1927" s="17"/>
      <c r="W1927" s="17"/>
      <c r="X1927" s="17"/>
      <c r="Y1927" s="17"/>
      <c r="Z1927" s="17"/>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c r="AV1927" s="17"/>
      <c r="AW1927" s="17"/>
      <c r="AX1927" s="17"/>
      <c r="AY1927" s="17"/>
      <c r="AZ1927" s="17"/>
      <c r="BA1927" s="17"/>
      <c r="BB1927" s="17"/>
      <c r="BC1927" s="17"/>
      <c r="BD1927" s="17"/>
      <c r="BE1927" s="17"/>
      <c r="BF1927" s="17"/>
      <c r="BG1927" s="17"/>
      <c r="BH1927" s="17"/>
      <c r="BI1927" s="17"/>
      <c r="BJ1927" s="17"/>
      <c r="BK1927" s="17"/>
      <c r="BL1927" s="17"/>
    </row>
    <row r="1928">
      <c r="A1928" s="17"/>
      <c r="B1928" s="17"/>
      <c r="C1928" s="17"/>
      <c r="D1928" s="17"/>
      <c r="E1928" s="17"/>
      <c r="F1928" s="17"/>
      <c r="G1928" s="17"/>
      <c r="H1928" s="356"/>
      <c r="I1928" s="17"/>
      <c r="J1928" s="17"/>
      <c r="K1928" s="17"/>
      <c r="L1928" s="17"/>
      <c r="M1928" s="17"/>
      <c r="N1928" s="17"/>
      <c r="O1928" s="17"/>
      <c r="P1928" s="17"/>
      <c r="Q1928" s="17"/>
      <c r="R1928" s="17"/>
      <c r="S1928" s="17"/>
      <c r="T1928" s="17"/>
      <c r="U1928" s="17"/>
      <c r="V1928" s="17"/>
      <c r="W1928" s="17"/>
      <c r="X1928" s="17"/>
      <c r="Y1928" s="17"/>
      <c r="Z1928" s="17"/>
      <c r="AA1928" s="17"/>
      <c r="AB1928" s="17"/>
      <c r="AC1928" s="17"/>
      <c r="AD1928" s="17"/>
      <c r="AE1928" s="17"/>
      <c r="AF1928" s="17"/>
      <c r="AG1928" s="17"/>
      <c r="AH1928" s="17"/>
      <c r="AI1928" s="17"/>
      <c r="AJ1928" s="17"/>
      <c r="AK1928" s="17"/>
      <c r="AL1928" s="17"/>
      <c r="AM1928" s="17"/>
      <c r="AN1928" s="17"/>
      <c r="AO1928" s="17"/>
      <c r="AP1928" s="17"/>
      <c r="AQ1928" s="17"/>
      <c r="AR1928" s="17"/>
      <c r="AS1928" s="17"/>
      <c r="AT1928" s="17"/>
      <c r="AU1928" s="17"/>
      <c r="AV1928" s="17"/>
      <c r="AW1928" s="17"/>
      <c r="AX1928" s="17"/>
      <c r="AY1928" s="17"/>
      <c r="AZ1928" s="17"/>
      <c r="BA1928" s="17"/>
      <c r="BB1928" s="17"/>
      <c r="BC1928" s="17"/>
      <c r="BD1928" s="17"/>
      <c r="BE1928" s="17"/>
      <c r="BF1928" s="17"/>
      <c r="BG1928" s="17"/>
      <c r="BH1928" s="17"/>
      <c r="BI1928" s="17"/>
      <c r="BJ1928" s="17"/>
      <c r="BK1928" s="17"/>
      <c r="BL1928" s="17"/>
    </row>
    <row r="1929">
      <c r="A1929" s="17"/>
      <c r="B1929" s="17"/>
      <c r="C1929" s="17"/>
      <c r="D1929" s="17"/>
      <c r="E1929" s="17"/>
      <c r="F1929" s="17"/>
      <c r="G1929" s="17"/>
      <c r="H1929" s="356"/>
      <c r="I1929" s="17"/>
      <c r="J1929" s="17"/>
      <c r="K1929" s="17"/>
      <c r="L1929" s="17"/>
      <c r="M1929" s="17"/>
      <c r="N1929" s="17"/>
      <c r="O1929" s="17"/>
      <c r="P1929" s="17"/>
      <c r="Q1929" s="17"/>
      <c r="R1929" s="17"/>
      <c r="S1929" s="17"/>
      <c r="T1929" s="17"/>
      <c r="U1929" s="17"/>
      <c r="V1929" s="17"/>
      <c r="W1929" s="17"/>
      <c r="X1929" s="17"/>
      <c r="Y1929" s="17"/>
      <c r="Z1929" s="17"/>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c r="AV1929" s="17"/>
      <c r="AW1929" s="17"/>
      <c r="AX1929" s="17"/>
      <c r="AY1929" s="17"/>
      <c r="AZ1929" s="17"/>
      <c r="BA1929" s="17"/>
      <c r="BB1929" s="17"/>
      <c r="BC1929" s="17"/>
      <c r="BD1929" s="17"/>
      <c r="BE1929" s="17"/>
      <c r="BF1929" s="17"/>
      <c r="BG1929" s="17"/>
      <c r="BH1929" s="17"/>
      <c r="BI1929" s="17"/>
      <c r="BJ1929" s="17"/>
      <c r="BK1929" s="17"/>
      <c r="BL1929" s="17"/>
    </row>
    <row r="1930">
      <c r="A1930" s="17"/>
      <c r="B1930" s="17"/>
      <c r="C1930" s="17"/>
      <c r="D1930" s="17"/>
      <c r="E1930" s="17"/>
      <c r="F1930" s="17"/>
      <c r="G1930" s="17"/>
      <c r="H1930" s="356"/>
      <c r="I1930" s="17"/>
      <c r="J1930" s="17"/>
      <c r="K1930" s="17"/>
      <c r="L1930" s="17"/>
      <c r="M1930" s="17"/>
      <c r="N1930" s="17"/>
      <c r="O1930" s="17"/>
      <c r="P1930" s="17"/>
      <c r="Q1930" s="17"/>
      <c r="R1930" s="17"/>
      <c r="S1930" s="17"/>
      <c r="T1930" s="17"/>
      <c r="U1930" s="17"/>
      <c r="V1930" s="17"/>
      <c r="W1930" s="17"/>
      <c r="X1930" s="17"/>
      <c r="Y1930" s="17"/>
      <c r="Z1930" s="17"/>
      <c r="AA1930" s="17"/>
      <c r="AB1930" s="17"/>
      <c r="AC1930" s="17"/>
      <c r="AD1930" s="17"/>
      <c r="AE1930" s="17"/>
      <c r="AF1930" s="17"/>
      <c r="AG1930" s="17"/>
      <c r="AH1930" s="17"/>
      <c r="AI1930" s="17"/>
      <c r="AJ1930" s="17"/>
      <c r="AK1930" s="17"/>
      <c r="AL1930" s="17"/>
      <c r="AM1930" s="17"/>
      <c r="AN1930" s="17"/>
      <c r="AO1930" s="17"/>
      <c r="AP1930" s="17"/>
      <c r="AQ1930" s="17"/>
      <c r="AR1930" s="17"/>
      <c r="AS1930" s="17"/>
      <c r="AT1930" s="17"/>
      <c r="AU1930" s="17"/>
      <c r="AV1930" s="17"/>
      <c r="AW1930" s="17"/>
      <c r="AX1930" s="17"/>
      <c r="AY1930" s="17"/>
      <c r="AZ1930" s="17"/>
      <c r="BA1930" s="17"/>
      <c r="BB1930" s="17"/>
      <c r="BC1930" s="17"/>
      <c r="BD1930" s="17"/>
      <c r="BE1930" s="17"/>
      <c r="BF1930" s="17"/>
      <c r="BG1930" s="17"/>
      <c r="BH1930" s="17"/>
      <c r="BI1930" s="17"/>
      <c r="BJ1930" s="17"/>
      <c r="BK1930" s="17"/>
      <c r="BL1930" s="17"/>
    </row>
    <row r="1931">
      <c r="A1931" s="17"/>
      <c r="B1931" s="17"/>
      <c r="C1931" s="17"/>
      <c r="D1931" s="17"/>
      <c r="E1931" s="17"/>
      <c r="F1931" s="17"/>
      <c r="G1931" s="17"/>
      <c r="H1931" s="356"/>
      <c r="I1931" s="17"/>
      <c r="J1931" s="17"/>
      <c r="K1931" s="17"/>
      <c r="L1931" s="17"/>
      <c r="M1931" s="17"/>
      <c r="N1931" s="17"/>
      <c r="O1931" s="17"/>
      <c r="P1931" s="17"/>
      <c r="Q1931" s="17"/>
      <c r="R1931" s="17"/>
      <c r="S1931" s="17"/>
      <c r="T1931" s="17"/>
      <c r="U1931" s="17"/>
      <c r="V1931" s="17"/>
      <c r="W1931" s="17"/>
      <c r="X1931" s="17"/>
      <c r="Y1931" s="17"/>
      <c r="Z1931" s="17"/>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c r="AV1931" s="17"/>
      <c r="AW1931" s="17"/>
      <c r="AX1931" s="17"/>
      <c r="AY1931" s="17"/>
      <c r="AZ1931" s="17"/>
      <c r="BA1931" s="17"/>
      <c r="BB1931" s="17"/>
      <c r="BC1931" s="17"/>
      <c r="BD1931" s="17"/>
      <c r="BE1931" s="17"/>
      <c r="BF1931" s="17"/>
      <c r="BG1931" s="17"/>
      <c r="BH1931" s="17"/>
      <c r="BI1931" s="17"/>
      <c r="BJ1931" s="17"/>
      <c r="BK1931" s="17"/>
      <c r="BL1931" s="17"/>
    </row>
    <row r="1932">
      <c r="A1932" s="17"/>
      <c r="B1932" s="17"/>
      <c r="C1932" s="17"/>
      <c r="D1932" s="17"/>
      <c r="E1932" s="17"/>
      <c r="F1932" s="17"/>
      <c r="G1932" s="17"/>
      <c r="H1932" s="356"/>
      <c r="I1932" s="17"/>
      <c r="J1932" s="17"/>
      <c r="K1932" s="17"/>
      <c r="L1932" s="17"/>
      <c r="M1932" s="17"/>
      <c r="N1932" s="17"/>
      <c r="O1932" s="17"/>
      <c r="P1932" s="17"/>
      <c r="Q1932" s="17"/>
      <c r="R1932" s="17"/>
      <c r="S1932" s="17"/>
      <c r="T1932" s="17"/>
      <c r="U1932" s="17"/>
      <c r="V1932" s="17"/>
      <c r="W1932" s="17"/>
      <c r="X1932" s="17"/>
      <c r="Y1932" s="17"/>
      <c r="Z1932" s="17"/>
      <c r="AA1932" s="17"/>
      <c r="AB1932" s="17"/>
      <c r="AC1932" s="17"/>
      <c r="AD1932" s="17"/>
      <c r="AE1932" s="17"/>
      <c r="AF1932" s="17"/>
      <c r="AG1932" s="17"/>
      <c r="AH1932" s="17"/>
      <c r="AI1932" s="17"/>
      <c r="AJ1932" s="17"/>
      <c r="AK1932" s="17"/>
      <c r="AL1932" s="17"/>
      <c r="AM1932" s="17"/>
      <c r="AN1932" s="17"/>
      <c r="AO1932" s="17"/>
      <c r="AP1932" s="17"/>
      <c r="AQ1932" s="17"/>
      <c r="AR1932" s="17"/>
      <c r="AS1932" s="17"/>
      <c r="AT1932" s="17"/>
      <c r="AU1932" s="17"/>
      <c r="AV1932" s="17"/>
      <c r="AW1932" s="17"/>
      <c r="AX1932" s="17"/>
      <c r="AY1932" s="17"/>
      <c r="AZ1932" s="17"/>
      <c r="BA1932" s="17"/>
      <c r="BB1932" s="17"/>
      <c r="BC1932" s="17"/>
      <c r="BD1932" s="17"/>
      <c r="BE1932" s="17"/>
      <c r="BF1932" s="17"/>
      <c r="BG1932" s="17"/>
      <c r="BH1932" s="17"/>
      <c r="BI1932" s="17"/>
      <c r="BJ1932" s="17"/>
      <c r="BK1932" s="17"/>
      <c r="BL1932" s="17"/>
    </row>
    <row r="1933">
      <c r="A1933" s="17"/>
      <c r="B1933" s="17"/>
      <c r="C1933" s="17"/>
      <c r="D1933" s="17"/>
      <c r="E1933" s="17"/>
      <c r="F1933" s="17"/>
      <c r="G1933" s="17"/>
      <c r="H1933" s="356"/>
      <c r="I1933" s="17"/>
      <c r="J1933" s="17"/>
      <c r="K1933" s="17"/>
      <c r="L1933" s="17"/>
      <c r="M1933" s="17"/>
      <c r="N1933" s="17"/>
      <c r="O1933" s="17"/>
      <c r="P1933" s="17"/>
      <c r="Q1933" s="17"/>
      <c r="R1933" s="17"/>
      <c r="S1933" s="17"/>
      <c r="T1933" s="17"/>
      <c r="U1933" s="17"/>
      <c r="V1933" s="17"/>
      <c r="W1933" s="17"/>
      <c r="X1933" s="17"/>
      <c r="Y1933" s="17"/>
      <c r="Z1933" s="17"/>
      <c r="AA1933" s="17"/>
      <c r="AB1933" s="17"/>
      <c r="AC1933" s="17"/>
      <c r="AD1933" s="17"/>
      <c r="AE1933" s="17"/>
      <c r="AF1933" s="17"/>
      <c r="AG1933" s="17"/>
      <c r="AH1933" s="17"/>
      <c r="AI1933" s="17"/>
      <c r="AJ1933" s="17"/>
      <c r="AK1933" s="17"/>
      <c r="AL1933" s="17"/>
      <c r="AM1933" s="17"/>
      <c r="AN1933" s="17"/>
      <c r="AO1933" s="17"/>
      <c r="AP1933" s="17"/>
      <c r="AQ1933" s="17"/>
      <c r="AR1933" s="17"/>
      <c r="AS1933" s="17"/>
      <c r="AT1933" s="17"/>
      <c r="AU1933" s="17"/>
      <c r="AV1933" s="17"/>
      <c r="AW1933" s="17"/>
      <c r="AX1933" s="17"/>
      <c r="AY1933" s="17"/>
      <c r="AZ1933" s="17"/>
      <c r="BA1933" s="17"/>
      <c r="BB1933" s="17"/>
      <c r="BC1933" s="17"/>
      <c r="BD1933" s="17"/>
      <c r="BE1933" s="17"/>
      <c r="BF1933" s="17"/>
      <c r="BG1933" s="17"/>
      <c r="BH1933" s="17"/>
      <c r="BI1933" s="17"/>
      <c r="BJ1933" s="17"/>
      <c r="BK1933" s="17"/>
      <c r="BL1933" s="17"/>
    </row>
    <row r="1934">
      <c r="A1934" s="17"/>
      <c r="B1934" s="17"/>
      <c r="C1934" s="17"/>
      <c r="D1934" s="17"/>
      <c r="E1934" s="17"/>
      <c r="F1934" s="17"/>
      <c r="G1934" s="17"/>
      <c r="H1934" s="356"/>
      <c r="I1934" s="17"/>
      <c r="J1934" s="17"/>
      <c r="K1934" s="17"/>
      <c r="L1934" s="17"/>
      <c r="M1934" s="17"/>
      <c r="N1934" s="17"/>
      <c r="O1934" s="17"/>
      <c r="P1934" s="17"/>
      <c r="Q1934" s="17"/>
      <c r="R1934" s="17"/>
      <c r="S1934" s="17"/>
      <c r="T1934" s="17"/>
      <c r="U1934" s="17"/>
      <c r="V1934" s="17"/>
      <c r="W1934" s="17"/>
      <c r="X1934" s="17"/>
      <c r="Y1934" s="17"/>
      <c r="Z1934" s="17"/>
      <c r="AA1934" s="17"/>
      <c r="AB1934" s="17"/>
      <c r="AC1934" s="17"/>
      <c r="AD1934" s="17"/>
      <c r="AE1934" s="17"/>
      <c r="AF1934" s="17"/>
      <c r="AG1934" s="17"/>
      <c r="AH1934" s="17"/>
      <c r="AI1934" s="17"/>
      <c r="AJ1934" s="17"/>
      <c r="AK1934" s="17"/>
      <c r="AL1934" s="17"/>
      <c r="AM1934" s="17"/>
      <c r="AN1934" s="17"/>
      <c r="AO1934" s="17"/>
      <c r="AP1934" s="17"/>
      <c r="AQ1934" s="17"/>
      <c r="AR1934" s="17"/>
      <c r="AS1934" s="17"/>
      <c r="AT1934" s="17"/>
      <c r="AU1934" s="17"/>
      <c r="AV1934" s="17"/>
      <c r="AW1934" s="17"/>
      <c r="AX1934" s="17"/>
      <c r="AY1934" s="17"/>
      <c r="AZ1934" s="17"/>
      <c r="BA1934" s="17"/>
      <c r="BB1934" s="17"/>
      <c r="BC1934" s="17"/>
      <c r="BD1934" s="17"/>
      <c r="BE1934" s="17"/>
      <c r="BF1934" s="17"/>
      <c r="BG1934" s="17"/>
      <c r="BH1934" s="17"/>
      <c r="BI1934" s="17"/>
      <c r="BJ1934" s="17"/>
      <c r="BK1934" s="17"/>
      <c r="BL1934" s="17"/>
    </row>
    <row r="1935">
      <c r="A1935" s="17"/>
      <c r="B1935" s="17"/>
      <c r="C1935" s="17"/>
      <c r="D1935" s="17"/>
      <c r="E1935" s="17"/>
      <c r="F1935" s="17"/>
      <c r="G1935" s="17"/>
      <c r="H1935" s="356"/>
      <c r="I1935" s="17"/>
      <c r="J1935" s="17"/>
      <c r="K1935" s="17"/>
      <c r="L1935" s="17"/>
      <c r="M1935" s="17"/>
      <c r="N1935" s="17"/>
      <c r="O1935" s="17"/>
      <c r="P1935" s="17"/>
      <c r="Q1935" s="17"/>
      <c r="R1935" s="17"/>
      <c r="S1935" s="17"/>
      <c r="T1935" s="17"/>
      <c r="U1935" s="17"/>
      <c r="V1935" s="17"/>
      <c r="W1935" s="17"/>
      <c r="X1935" s="17"/>
      <c r="Y1935" s="17"/>
      <c r="Z1935" s="17"/>
      <c r="AA1935" s="17"/>
      <c r="AB1935" s="17"/>
      <c r="AC1935" s="17"/>
      <c r="AD1935" s="17"/>
      <c r="AE1935" s="17"/>
      <c r="AF1935" s="17"/>
      <c r="AG1935" s="17"/>
      <c r="AH1935" s="17"/>
      <c r="AI1935" s="17"/>
      <c r="AJ1935" s="17"/>
      <c r="AK1935" s="17"/>
      <c r="AL1935" s="17"/>
      <c r="AM1935" s="17"/>
      <c r="AN1935" s="17"/>
      <c r="AO1935" s="17"/>
      <c r="AP1935" s="17"/>
      <c r="AQ1935" s="17"/>
      <c r="AR1935" s="17"/>
      <c r="AS1935" s="17"/>
      <c r="AT1935" s="17"/>
      <c r="AU1935" s="17"/>
      <c r="AV1935" s="17"/>
      <c r="AW1935" s="17"/>
      <c r="AX1935" s="17"/>
      <c r="AY1935" s="17"/>
      <c r="AZ1935" s="17"/>
      <c r="BA1935" s="17"/>
      <c r="BB1935" s="17"/>
      <c r="BC1935" s="17"/>
      <c r="BD1935" s="17"/>
      <c r="BE1935" s="17"/>
      <c r="BF1935" s="17"/>
      <c r="BG1935" s="17"/>
      <c r="BH1935" s="17"/>
      <c r="BI1935" s="17"/>
      <c r="BJ1935" s="17"/>
      <c r="BK1935" s="17"/>
      <c r="BL1935" s="17"/>
    </row>
    <row r="1936">
      <c r="A1936" s="17"/>
      <c r="B1936" s="17"/>
      <c r="C1936" s="17"/>
      <c r="D1936" s="17"/>
      <c r="E1936" s="17"/>
      <c r="F1936" s="17"/>
      <c r="G1936" s="17"/>
      <c r="H1936" s="356"/>
      <c r="I1936" s="17"/>
      <c r="J1936" s="17"/>
      <c r="K1936" s="17"/>
      <c r="L1936" s="17"/>
      <c r="M1936" s="17"/>
      <c r="N1936" s="17"/>
      <c r="O1936" s="17"/>
      <c r="P1936" s="17"/>
      <c r="Q1936" s="17"/>
      <c r="R1936" s="17"/>
      <c r="S1936" s="17"/>
      <c r="T1936" s="17"/>
      <c r="U1936" s="17"/>
      <c r="V1936" s="17"/>
      <c r="W1936" s="17"/>
      <c r="X1936" s="17"/>
      <c r="Y1936" s="17"/>
      <c r="Z1936" s="17"/>
      <c r="AA1936" s="17"/>
      <c r="AB1936" s="17"/>
      <c r="AC1936" s="17"/>
      <c r="AD1936" s="17"/>
      <c r="AE1936" s="17"/>
      <c r="AF1936" s="17"/>
      <c r="AG1936" s="17"/>
      <c r="AH1936" s="17"/>
      <c r="AI1936" s="17"/>
      <c r="AJ1936" s="17"/>
      <c r="AK1936" s="17"/>
      <c r="AL1936" s="17"/>
      <c r="AM1936" s="17"/>
      <c r="AN1936" s="17"/>
      <c r="AO1936" s="17"/>
      <c r="AP1936" s="17"/>
      <c r="AQ1936" s="17"/>
      <c r="AR1936" s="17"/>
      <c r="AS1936" s="17"/>
      <c r="AT1936" s="17"/>
      <c r="AU1936" s="17"/>
      <c r="AV1936" s="17"/>
      <c r="AW1936" s="17"/>
      <c r="AX1936" s="17"/>
      <c r="AY1936" s="17"/>
      <c r="AZ1936" s="17"/>
      <c r="BA1936" s="17"/>
      <c r="BB1936" s="17"/>
      <c r="BC1936" s="17"/>
      <c r="BD1936" s="17"/>
      <c r="BE1936" s="17"/>
      <c r="BF1936" s="17"/>
      <c r="BG1936" s="17"/>
      <c r="BH1936" s="17"/>
      <c r="BI1936" s="17"/>
      <c r="BJ1936" s="17"/>
      <c r="BK1936" s="17"/>
      <c r="BL1936" s="17"/>
    </row>
    <row r="1937">
      <c r="A1937" s="17"/>
      <c r="B1937" s="17"/>
      <c r="C1937" s="17"/>
      <c r="D1937" s="17"/>
      <c r="E1937" s="17"/>
      <c r="F1937" s="17"/>
      <c r="G1937" s="17"/>
      <c r="H1937" s="356"/>
      <c r="I1937" s="17"/>
      <c r="J1937" s="17"/>
      <c r="K1937" s="17"/>
      <c r="L1937" s="17"/>
      <c r="M1937" s="17"/>
      <c r="N1937" s="17"/>
      <c r="O1937" s="17"/>
      <c r="P1937" s="17"/>
      <c r="Q1937" s="17"/>
      <c r="R1937" s="17"/>
      <c r="S1937" s="17"/>
      <c r="T1937" s="17"/>
      <c r="U1937" s="17"/>
      <c r="V1937" s="17"/>
      <c r="W1937" s="17"/>
      <c r="X1937" s="17"/>
      <c r="Y1937" s="17"/>
      <c r="Z1937" s="17"/>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c r="AV1937" s="17"/>
      <c r="AW1937" s="17"/>
      <c r="AX1937" s="17"/>
      <c r="AY1937" s="17"/>
      <c r="AZ1937" s="17"/>
      <c r="BA1937" s="17"/>
      <c r="BB1937" s="17"/>
      <c r="BC1937" s="17"/>
      <c r="BD1937" s="17"/>
      <c r="BE1937" s="17"/>
      <c r="BF1937" s="17"/>
      <c r="BG1937" s="17"/>
      <c r="BH1937" s="17"/>
      <c r="BI1937" s="17"/>
      <c r="BJ1937" s="17"/>
      <c r="BK1937" s="17"/>
      <c r="BL1937" s="17"/>
    </row>
    <row r="1938">
      <c r="A1938" s="17"/>
      <c r="B1938" s="17"/>
      <c r="C1938" s="17"/>
      <c r="D1938" s="17"/>
      <c r="E1938" s="17"/>
      <c r="F1938" s="17"/>
      <c r="G1938" s="17"/>
      <c r="H1938" s="356"/>
      <c r="I1938" s="17"/>
      <c r="J1938" s="17"/>
      <c r="K1938" s="17"/>
      <c r="L1938" s="17"/>
      <c r="M1938" s="17"/>
      <c r="N1938" s="17"/>
      <c r="O1938" s="17"/>
      <c r="P1938" s="17"/>
      <c r="Q1938" s="17"/>
      <c r="R1938" s="17"/>
      <c r="S1938" s="17"/>
      <c r="T1938" s="17"/>
      <c r="U1938" s="17"/>
      <c r="V1938" s="17"/>
      <c r="W1938" s="17"/>
      <c r="X1938" s="17"/>
      <c r="Y1938" s="17"/>
      <c r="Z1938" s="17"/>
      <c r="AA1938" s="17"/>
      <c r="AB1938" s="17"/>
      <c r="AC1938" s="17"/>
      <c r="AD1938" s="17"/>
      <c r="AE1938" s="17"/>
      <c r="AF1938" s="17"/>
      <c r="AG1938" s="17"/>
      <c r="AH1938" s="17"/>
      <c r="AI1938" s="17"/>
      <c r="AJ1938" s="17"/>
      <c r="AK1938" s="17"/>
      <c r="AL1938" s="17"/>
      <c r="AM1938" s="17"/>
      <c r="AN1938" s="17"/>
      <c r="AO1938" s="17"/>
      <c r="AP1938" s="17"/>
      <c r="AQ1938" s="17"/>
      <c r="AR1938" s="17"/>
      <c r="AS1938" s="17"/>
      <c r="AT1938" s="17"/>
      <c r="AU1938" s="17"/>
      <c r="AV1938" s="17"/>
      <c r="AW1938" s="17"/>
      <c r="AX1938" s="17"/>
      <c r="AY1938" s="17"/>
      <c r="AZ1938" s="17"/>
      <c r="BA1938" s="17"/>
      <c r="BB1938" s="17"/>
      <c r="BC1938" s="17"/>
      <c r="BD1938" s="17"/>
      <c r="BE1938" s="17"/>
      <c r="BF1938" s="17"/>
      <c r="BG1938" s="17"/>
      <c r="BH1938" s="17"/>
      <c r="BI1938" s="17"/>
      <c r="BJ1938" s="17"/>
      <c r="BK1938" s="17"/>
      <c r="BL1938" s="17"/>
    </row>
    <row r="1939">
      <c r="A1939" s="17"/>
      <c r="B1939" s="17"/>
      <c r="C1939" s="17"/>
      <c r="D1939" s="17"/>
      <c r="E1939" s="17"/>
      <c r="F1939" s="17"/>
      <c r="G1939" s="17"/>
      <c r="H1939" s="356"/>
      <c r="I1939" s="17"/>
      <c r="J1939" s="17"/>
      <c r="K1939" s="17"/>
      <c r="L1939" s="17"/>
      <c r="M1939" s="17"/>
      <c r="N1939" s="17"/>
      <c r="O1939" s="17"/>
      <c r="P1939" s="17"/>
      <c r="Q1939" s="17"/>
      <c r="R1939" s="17"/>
      <c r="S1939" s="17"/>
      <c r="T1939" s="17"/>
      <c r="U1939" s="17"/>
      <c r="V1939" s="17"/>
      <c r="W1939" s="17"/>
      <c r="X1939" s="17"/>
      <c r="Y1939" s="17"/>
      <c r="Z1939" s="17"/>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c r="AV1939" s="17"/>
      <c r="AW1939" s="17"/>
      <c r="AX1939" s="17"/>
      <c r="AY1939" s="17"/>
      <c r="AZ1939" s="17"/>
      <c r="BA1939" s="17"/>
      <c r="BB1939" s="17"/>
      <c r="BC1939" s="17"/>
      <c r="BD1939" s="17"/>
      <c r="BE1939" s="17"/>
      <c r="BF1939" s="17"/>
      <c r="BG1939" s="17"/>
      <c r="BH1939" s="17"/>
      <c r="BI1939" s="17"/>
      <c r="BJ1939" s="17"/>
      <c r="BK1939" s="17"/>
      <c r="BL1939" s="17"/>
    </row>
    <row r="1940">
      <c r="A1940" s="17"/>
      <c r="B1940" s="17"/>
      <c r="C1940" s="17"/>
      <c r="D1940" s="17"/>
      <c r="E1940" s="17"/>
      <c r="F1940" s="17"/>
      <c r="G1940" s="17"/>
      <c r="H1940" s="356"/>
      <c r="I1940" s="17"/>
      <c r="J1940" s="17"/>
      <c r="K1940" s="17"/>
      <c r="L1940" s="17"/>
      <c r="M1940" s="17"/>
      <c r="N1940" s="17"/>
      <c r="O1940" s="17"/>
      <c r="P1940" s="17"/>
      <c r="Q1940" s="17"/>
      <c r="R1940" s="17"/>
      <c r="S1940" s="17"/>
      <c r="T1940" s="17"/>
      <c r="U1940" s="17"/>
      <c r="V1940" s="17"/>
      <c r="W1940" s="17"/>
      <c r="X1940" s="17"/>
      <c r="Y1940" s="17"/>
      <c r="Z1940" s="17"/>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c r="AV1940" s="17"/>
      <c r="AW1940" s="17"/>
      <c r="AX1940" s="17"/>
      <c r="AY1940" s="17"/>
      <c r="AZ1940" s="17"/>
      <c r="BA1940" s="17"/>
      <c r="BB1940" s="17"/>
      <c r="BC1940" s="17"/>
      <c r="BD1940" s="17"/>
      <c r="BE1940" s="17"/>
      <c r="BF1940" s="17"/>
      <c r="BG1940" s="17"/>
      <c r="BH1940" s="17"/>
      <c r="BI1940" s="17"/>
      <c r="BJ1940" s="17"/>
      <c r="BK1940" s="17"/>
      <c r="BL1940" s="17"/>
    </row>
    <row r="1941">
      <c r="A1941" s="17"/>
      <c r="B1941" s="17"/>
      <c r="C1941" s="17"/>
      <c r="D1941" s="17"/>
      <c r="E1941" s="17"/>
      <c r="F1941" s="17"/>
      <c r="G1941" s="17"/>
      <c r="H1941" s="356"/>
      <c r="I1941" s="17"/>
      <c r="J1941" s="17"/>
      <c r="K1941" s="17"/>
      <c r="L1941" s="17"/>
      <c r="M1941" s="17"/>
      <c r="N1941" s="17"/>
      <c r="O1941" s="17"/>
      <c r="P1941" s="17"/>
      <c r="Q1941" s="17"/>
      <c r="R1941" s="17"/>
      <c r="S1941" s="17"/>
      <c r="T1941" s="17"/>
      <c r="U1941" s="17"/>
      <c r="V1941" s="17"/>
      <c r="W1941" s="17"/>
      <c r="X1941" s="17"/>
      <c r="Y1941" s="17"/>
      <c r="Z1941" s="17"/>
      <c r="AA1941" s="17"/>
      <c r="AB1941" s="17"/>
      <c r="AC1941" s="17"/>
      <c r="AD1941" s="17"/>
      <c r="AE1941" s="17"/>
      <c r="AF1941" s="17"/>
      <c r="AG1941" s="17"/>
      <c r="AH1941" s="17"/>
      <c r="AI1941" s="17"/>
      <c r="AJ1941" s="17"/>
      <c r="AK1941" s="17"/>
      <c r="AL1941" s="17"/>
      <c r="AM1941" s="17"/>
      <c r="AN1941" s="17"/>
      <c r="AO1941" s="17"/>
      <c r="AP1941" s="17"/>
      <c r="AQ1941" s="17"/>
      <c r="AR1941" s="17"/>
      <c r="AS1941" s="17"/>
      <c r="AT1941" s="17"/>
      <c r="AU1941" s="17"/>
      <c r="AV1941" s="17"/>
      <c r="AW1941" s="17"/>
      <c r="AX1941" s="17"/>
      <c r="AY1941" s="17"/>
      <c r="AZ1941" s="17"/>
      <c r="BA1941" s="17"/>
      <c r="BB1941" s="17"/>
      <c r="BC1941" s="17"/>
      <c r="BD1941" s="17"/>
      <c r="BE1941" s="17"/>
      <c r="BF1941" s="17"/>
      <c r="BG1941" s="17"/>
      <c r="BH1941" s="17"/>
      <c r="BI1941" s="17"/>
      <c r="BJ1941" s="17"/>
      <c r="BK1941" s="17"/>
      <c r="BL1941" s="17"/>
    </row>
    <row r="1942">
      <c r="A1942" s="17"/>
      <c r="B1942" s="17"/>
      <c r="C1942" s="17"/>
      <c r="D1942" s="17"/>
      <c r="E1942" s="17"/>
      <c r="F1942" s="17"/>
      <c r="G1942" s="17"/>
      <c r="H1942" s="356"/>
      <c r="I1942" s="17"/>
      <c r="J1942" s="17"/>
      <c r="K1942" s="17"/>
      <c r="L1942" s="17"/>
      <c r="M1942" s="17"/>
      <c r="N1942" s="17"/>
      <c r="O1942" s="17"/>
      <c r="P1942" s="17"/>
      <c r="Q1942" s="17"/>
      <c r="R1942" s="17"/>
      <c r="S1942" s="17"/>
      <c r="T1942" s="17"/>
      <c r="U1942" s="17"/>
      <c r="V1942" s="17"/>
      <c r="W1942" s="17"/>
      <c r="X1942" s="17"/>
      <c r="Y1942" s="17"/>
      <c r="Z1942" s="17"/>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c r="AV1942" s="17"/>
      <c r="AW1942" s="17"/>
      <c r="AX1942" s="17"/>
      <c r="AY1942" s="17"/>
      <c r="AZ1942" s="17"/>
      <c r="BA1942" s="17"/>
      <c r="BB1942" s="17"/>
      <c r="BC1942" s="17"/>
      <c r="BD1942" s="17"/>
      <c r="BE1942" s="17"/>
      <c r="BF1942" s="17"/>
      <c r="BG1942" s="17"/>
      <c r="BH1942" s="17"/>
      <c r="BI1942" s="17"/>
      <c r="BJ1942" s="17"/>
      <c r="BK1942" s="17"/>
      <c r="BL1942" s="17"/>
    </row>
    <row r="1943">
      <c r="A1943" s="17"/>
      <c r="B1943" s="17"/>
      <c r="C1943" s="17"/>
      <c r="D1943" s="17"/>
      <c r="E1943" s="17"/>
      <c r="F1943" s="17"/>
      <c r="G1943" s="17"/>
      <c r="H1943" s="356"/>
      <c r="I1943" s="17"/>
      <c r="J1943" s="17"/>
      <c r="K1943" s="17"/>
      <c r="L1943" s="17"/>
      <c r="M1943" s="17"/>
      <c r="N1943" s="17"/>
      <c r="O1943" s="17"/>
      <c r="P1943" s="17"/>
      <c r="Q1943" s="17"/>
      <c r="R1943" s="17"/>
      <c r="S1943" s="17"/>
      <c r="T1943" s="17"/>
      <c r="U1943" s="17"/>
      <c r="V1943" s="17"/>
      <c r="W1943" s="17"/>
      <c r="X1943" s="17"/>
      <c r="Y1943" s="17"/>
      <c r="Z1943" s="17"/>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c r="AV1943" s="17"/>
      <c r="AW1943" s="17"/>
      <c r="AX1943" s="17"/>
      <c r="AY1943" s="17"/>
      <c r="AZ1943" s="17"/>
      <c r="BA1943" s="17"/>
      <c r="BB1943" s="17"/>
      <c r="BC1943" s="17"/>
      <c r="BD1943" s="17"/>
      <c r="BE1943" s="17"/>
      <c r="BF1943" s="17"/>
      <c r="BG1943" s="17"/>
      <c r="BH1943" s="17"/>
      <c r="BI1943" s="17"/>
      <c r="BJ1943" s="17"/>
      <c r="BK1943" s="17"/>
      <c r="BL1943" s="17"/>
    </row>
    <row r="1944">
      <c r="A1944" s="17"/>
      <c r="B1944" s="17"/>
      <c r="C1944" s="17"/>
      <c r="D1944" s="17"/>
      <c r="E1944" s="17"/>
      <c r="F1944" s="17"/>
      <c r="G1944" s="17"/>
      <c r="H1944" s="356"/>
      <c r="I1944" s="17"/>
      <c r="J1944" s="17"/>
      <c r="K1944" s="17"/>
      <c r="L1944" s="17"/>
      <c r="M1944" s="17"/>
      <c r="N1944" s="17"/>
      <c r="O1944" s="17"/>
      <c r="P1944" s="17"/>
      <c r="Q1944" s="17"/>
      <c r="R1944" s="17"/>
      <c r="S1944" s="17"/>
      <c r="T1944" s="17"/>
      <c r="U1944" s="17"/>
      <c r="V1944" s="17"/>
      <c r="W1944" s="17"/>
      <c r="X1944" s="17"/>
      <c r="Y1944" s="17"/>
      <c r="Z1944" s="17"/>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c r="AV1944" s="17"/>
      <c r="AW1944" s="17"/>
      <c r="AX1944" s="17"/>
      <c r="AY1944" s="17"/>
      <c r="AZ1944" s="17"/>
      <c r="BA1944" s="17"/>
      <c r="BB1944" s="17"/>
      <c r="BC1944" s="17"/>
      <c r="BD1944" s="17"/>
      <c r="BE1944" s="17"/>
      <c r="BF1944" s="17"/>
      <c r="BG1944" s="17"/>
      <c r="BH1944" s="17"/>
      <c r="BI1944" s="17"/>
      <c r="BJ1944" s="17"/>
      <c r="BK1944" s="17"/>
      <c r="BL1944" s="17"/>
    </row>
    <row r="1945">
      <c r="A1945" s="17"/>
      <c r="B1945" s="17"/>
      <c r="C1945" s="17"/>
      <c r="D1945" s="17"/>
      <c r="E1945" s="17"/>
      <c r="F1945" s="17"/>
      <c r="G1945" s="17"/>
      <c r="H1945" s="356"/>
      <c r="I1945" s="17"/>
      <c r="J1945" s="17"/>
      <c r="K1945" s="17"/>
      <c r="L1945" s="17"/>
      <c r="M1945" s="17"/>
      <c r="N1945" s="17"/>
      <c r="O1945" s="17"/>
      <c r="P1945" s="17"/>
      <c r="Q1945" s="17"/>
      <c r="R1945" s="17"/>
      <c r="S1945" s="17"/>
      <c r="T1945" s="17"/>
      <c r="U1945" s="17"/>
      <c r="V1945" s="17"/>
      <c r="W1945" s="17"/>
      <c r="X1945" s="17"/>
      <c r="Y1945" s="17"/>
      <c r="Z1945" s="17"/>
      <c r="AA1945" s="17"/>
      <c r="AB1945" s="17"/>
      <c r="AC1945" s="17"/>
      <c r="AD1945" s="17"/>
      <c r="AE1945" s="17"/>
      <c r="AF1945" s="17"/>
      <c r="AG1945" s="17"/>
      <c r="AH1945" s="17"/>
      <c r="AI1945" s="17"/>
      <c r="AJ1945" s="17"/>
      <c r="AK1945" s="17"/>
      <c r="AL1945" s="17"/>
      <c r="AM1945" s="17"/>
      <c r="AN1945" s="17"/>
      <c r="AO1945" s="17"/>
      <c r="AP1945" s="17"/>
      <c r="AQ1945" s="17"/>
      <c r="AR1945" s="17"/>
      <c r="AS1945" s="17"/>
      <c r="AT1945" s="17"/>
      <c r="AU1945" s="17"/>
      <c r="AV1945" s="17"/>
      <c r="AW1945" s="17"/>
      <c r="AX1945" s="17"/>
      <c r="AY1945" s="17"/>
      <c r="AZ1945" s="17"/>
      <c r="BA1945" s="17"/>
      <c r="BB1945" s="17"/>
      <c r="BC1945" s="17"/>
      <c r="BD1945" s="17"/>
      <c r="BE1945" s="17"/>
      <c r="BF1945" s="17"/>
      <c r="BG1945" s="17"/>
      <c r="BH1945" s="17"/>
      <c r="BI1945" s="17"/>
      <c r="BJ1945" s="17"/>
      <c r="BK1945" s="17"/>
      <c r="BL1945" s="17"/>
    </row>
    <row r="1946">
      <c r="A1946" s="17"/>
      <c r="B1946" s="17"/>
      <c r="C1946" s="17"/>
      <c r="D1946" s="17"/>
      <c r="E1946" s="17"/>
      <c r="F1946" s="17"/>
      <c r="G1946" s="17"/>
      <c r="H1946" s="356"/>
      <c r="I1946" s="17"/>
      <c r="J1946" s="17"/>
      <c r="K1946" s="17"/>
      <c r="L1946" s="17"/>
      <c r="M1946" s="17"/>
      <c r="N1946" s="17"/>
      <c r="O1946" s="17"/>
      <c r="P1946" s="17"/>
      <c r="Q1946" s="17"/>
      <c r="R1946" s="17"/>
      <c r="S1946" s="17"/>
      <c r="T1946" s="17"/>
      <c r="U1946" s="17"/>
      <c r="V1946" s="17"/>
      <c r="W1946" s="17"/>
      <c r="X1946" s="17"/>
      <c r="Y1946" s="17"/>
      <c r="Z1946" s="17"/>
      <c r="AA1946" s="17"/>
      <c r="AB1946" s="17"/>
      <c r="AC1946" s="17"/>
      <c r="AD1946" s="17"/>
      <c r="AE1946" s="17"/>
      <c r="AF1946" s="17"/>
      <c r="AG1946" s="17"/>
      <c r="AH1946" s="17"/>
      <c r="AI1946" s="17"/>
      <c r="AJ1946" s="17"/>
      <c r="AK1946" s="17"/>
      <c r="AL1946" s="17"/>
      <c r="AM1946" s="17"/>
      <c r="AN1946" s="17"/>
      <c r="AO1946" s="17"/>
      <c r="AP1946" s="17"/>
      <c r="AQ1946" s="17"/>
      <c r="AR1946" s="17"/>
      <c r="AS1946" s="17"/>
      <c r="AT1946" s="17"/>
      <c r="AU1946" s="17"/>
      <c r="AV1946" s="17"/>
      <c r="AW1946" s="17"/>
      <c r="AX1946" s="17"/>
      <c r="AY1946" s="17"/>
      <c r="AZ1946" s="17"/>
      <c r="BA1946" s="17"/>
      <c r="BB1946" s="17"/>
      <c r="BC1946" s="17"/>
      <c r="BD1946" s="17"/>
      <c r="BE1946" s="17"/>
      <c r="BF1946" s="17"/>
      <c r="BG1946" s="17"/>
      <c r="BH1946" s="17"/>
      <c r="BI1946" s="17"/>
      <c r="BJ1946" s="17"/>
      <c r="BK1946" s="17"/>
      <c r="BL1946" s="17"/>
    </row>
    <row r="1947">
      <c r="A1947" s="17"/>
      <c r="B1947" s="17"/>
      <c r="C1947" s="17"/>
      <c r="D1947" s="17"/>
      <c r="E1947" s="17"/>
      <c r="F1947" s="17"/>
      <c r="G1947" s="17"/>
      <c r="H1947" s="356"/>
      <c r="I1947" s="17"/>
      <c r="J1947" s="17"/>
      <c r="K1947" s="17"/>
      <c r="L1947" s="17"/>
      <c r="M1947" s="17"/>
      <c r="N1947" s="17"/>
      <c r="O1947" s="17"/>
      <c r="P1947" s="17"/>
      <c r="Q1947" s="17"/>
      <c r="R1947" s="17"/>
      <c r="S1947" s="17"/>
      <c r="T1947" s="17"/>
      <c r="U1947" s="17"/>
      <c r="V1947" s="17"/>
      <c r="W1947" s="17"/>
      <c r="X1947" s="17"/>
      <c r="Y1947" s="17"/>
      <c r="Z1947" s="17"/>
      <c r="AA1947" s="17"/>
      <c r="AB1947" s="17"/>
      <c r="AC1947" s="17"/>
      <c r="AD1947" s="17"/>
      <c r="AE1947" s="17"/>
      <c r="AF1947" s="17"/>
      <c r="AG1947" s="17"/>
      <c r="AH1947" s="17"/>
      <c r="AI1947" s="17"/>
      <c r="AJ1947" s="17"/>
      <c r="AK1947" s="17"/>
      <c r="AL1947" s="17"/>
      <c r="AM1947" s="17"/>
      <c r="AN1947" s="17"/>
      <c r="AO1947" s="17"/>
      <c r="AP1947" s="17"/>
      <c r="AQ1947" s="17"/>
      <c r="AR1947" s="17"/>
      <c r="AS1947" s="17"/>
      <c r="AT1947" s="17"/>
      <c r="AU1947" s="17"/>
      <c r="AV1947" s="17"/>
      <c r="AW1947" s="17"/>
      <c r="AX1947" s="17"/>
      <c r="AY1947" s="17"/>
      <c r="AZ1947" s="17"/>
      <c r="BA1947" s="17"/>
      <c r="BB1947" s="17"/>
      <c r="BC1947" s="17"/>
      <c r="BD1947" s="17"/>
      <c r="BE1947" s="17"/>
      <c r="BF1947" s="17"/>
      <c r="BG1947" s="17"/>
      <c r="BH1947" s="17"/>
      <c r="BI1947" s="17"/>
      <c r="BJ1947" s="17"/>
      <c r="BK1947" s="17"/>
      <c r="BL1947" s="17"/>
    </row>
    <row r="1948">
      <c r="A1948" s="17"/>
      <c r="B1948" s="17"/>
      <c r="C1948" s="17"/>
      <c r="D1948" s="17"/>
      <c r="E1948" s="17"/>
      <c r="F1948" s="17"/>
      <c r="G1948" s="17"/>
      <c r="H1948" s="356"/>
      <c r="I1948" s="17"/>
      <c r="J1948" s="17"/>
      <c r="K1948" s="17"/>
      <c r="L1948" s="17"/>
      <c r="M1948" s="17"/>
      <c r="N1948" s="17"/>
      <c r="O1948" s="17"/>
      <c r="P1948" s="17"/>
      <c r="Q1948" s="17"/>
      <c r="R1948" s="17"/>
      <c r="S1948" s="17"/>
      <c r="T1948" s="17"/>
      <c r="U1948" s="17"/>
      <c r="V1948" s="17"/>
      <c r="W1948" s="17"/>
      <c r="X1948" s="17"/>
      <c r="Y1948" s="17"/>
      <c r="Z1948" s="17"/>
      <c r="AA1948" s="17"/>
      <c r="AB1948" s="17"/>
      <c r="AC1948" s="17"/>
      <c r="AD1948" s="17"/>
      <c r="AE1948" s="17"/>
      <c r="AF1948" s="17"/>
      <c r="AG1948" s="17"/>
      <c r="AH1948" s="17"/>
      <c r="AI1948" s="17"/>
      <c r="AJ1948" s="17"/>
      <c r="AK1948" s="17"/>
      <c r="AL1948" s="17"/>
      <c r="AM1948" s="17"/>
      <c r="AN1948" s="17"/>
      <c r="AO1948" s="17"/>
      <c r="AP1948" s="17"/>
      <c r="AQ1948" s="17"/>
      <c r="AR1948" s="17"/>
      <c r="AS1948" s="17"/>
      <c r="AT1948" s="17"/>
      <c r="AU1948" s="17"/>
      <c r="AV1948" s="17"/>
      <c r="AW1948" s="17"/>
      <c r="AX1948" s="17"/>
      <c r="AY1948" s="17"/>
      <c r="AZ1948" s="17"/>
      <c r="BA1948" s="17"/>
      <c r="BB1948" s="17"/>
      <c r="BC1948" s="17"/>
      <c r="BD1948" s="17"/>
      <c r="BE1948" s="17"/>
      <c r="BF1948" s="17"/>
      <c r="BG1948" s="17"/>
      <c r="BH1948" s="17"/>
      <c r="BI1948" s="17"/>
      <c r="BJ1948" s="17"/>
      <c r="BK1948" s="17"/>
      <c r="BL1948" s="17"/>
    </row>
    <row r="1949">
      <c r="A1949" s="17"/>
      <c r="B1949" s="17"/>
      <c r="C1949" s="17"/>
      <c r="D1949" s="17"/>
      <c r="E1949" s="17"/>
      <c r="F1949" s="17"/>
      <c r="G1949" s="17"/>
      <c r="H1949" s="356"/>
      <c r="I1949" s="17"/>
      <c r="J1949" s="17"/>
      <c r="K1949" s="17"/>
      <c r="L1949" s="17"/>
      <c r="M1949" s="17"/>
      <c r="N1949" s="17"/>
      <c r="O1949" s="17"/>
      <c r="P1949" s="17"/>
      <c r="Q1949" s="17"/>
      <c r="R1949" s="17"/>
      <c r="S1949" s="17"/>
      <c r="T1949" s="17"/>
      <c r="U1949" s="17"/>
      <c r="V1949" s="17"/>
      <c r="W1949" s="17"/>
      <c r="X1949" s="17"/>
      <c r="Y1949" s="17"/>
      <c r="Z1949" s="17"/>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c r="AV1949" s="17"/>
      <c r="AW1949" s="17"/>
      <c r="AX1949" s="17"/>
      <c r="AY1949" s="17"/>
      <c r="AZ1949" s="17"/>
      <c r="BA1949" s="17"/>
      <c r="BB1949" s="17"/>
      <c r="BC1949" s="17"/>
      <c r="BD1949" s="17"/>
      <c r="BE1949" s="17"/>
      <c r="BF1949" s="17"/>
      <c r="BG1949" s="17"/>
      <c r="BH1949" s="17"/>
      <c r="BI1949" s="17"/>
      <c r="BJ1949" s="17"/>
      <c r="BK1949" s="17"/>
      <c r="BL1949" s="17"/>
    </row>
    <row r="1950">
      <c r="A1950" s="17"/>
      <c r="B1950" s="17"/>
      <c r="C1950" s="17"/>
      <c r="D1950" s="17"/>
      <c r="E1950" s="17"/>
      <c r="F1950" s="17"/>
      <c r="G1950" s="17"/>
      <c r="H1950" s="356"/>
      <c r="I1950" s="17"/>
      <c r="J1950" s="17"/>
      <c r="K1950" s="17"/>
      <c r="L1950" s="17"/>
      <c r="M1950" s="17"/>
      <c r="N1950" s="17"/>
      <c r="O1950" s="17"/>
      <c r="P1950" s="17"/>
      <c r="Q1950" s="17"/>
      <c r="R1950" s="17"/>
      <c r="S1950" s="17"/>
      <c r="T1950" s="17"/>
      <c r="U1950" s="17"/>
      <c r="V1950" s="17"/>
      <c r="W1950" s="17"/>
      <c r="X1950" s="17"/>
      <c r="Y1950" s="17"/>
      <c r="Z1950" s="17"/>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c r="AV1950" s="17"/>
      <c r="AW1950" s="17"/>
      <c r="AX1950" s="17"/>
      <c r="AY1950" s="17"/>
      <c r="AZ1950" s="17"/>
      <c r="BA1950" s="17"/>
      <c r="BB1950" s="17"/>
      <c r="BC1950" s="17"/>
      <c r="BD1950" s="17"/>
      <c r="BE1950" s="17"/>
      <c r="BF1950" s="17"/>
      <c r="BG1950" s="17"/>
      <c r="BH1950" s="17"/>
      <c r="BI1950" s="17"/>
      <c r="BJ1950" s="17"/>
      <c r="BK1950" s="17"/>
      <c r="BL1950" s="17"/>
    </row>
    <row r="1951">
      <c r="A1951" s="17"/>
      <c r="B1951" s="17"/>
      <c r="C1951" s="17"/>
      <c r="D1951" s="17"/>
      <c r="E1951" s="17"/>
      <c r="F1951" s="17"/>
      <c r="G1951" s="17"/>
      <c r="H1951" s="356"/>
      <c r="I1951" s="17"/>
      <c r="J1951" s="17"/>
      <c r="K1951" s="17"/>
      <c r="L1951" s="17"/>
      <c r="M1951" s="17"/>
      <c r="N1951" s="17"/>
      <c r="O1951" s="17"/>
      <c r="P1951" s="17"/>
      <c r="Q1951" s="17"/>
      <c r="R1951" s="17"/>
      <c r="S1951" s="17"/>
      <c r="T1951" s="17"/>
      <c r="U1951" s="17"/>
      <c r="V1951" s="17"/>
      <c r="W1951" s="17"/>
      <c r="X1951" s="17"/>
      <c r="Y1951" s="17"/>
      <c r="Z1951" s="17"/>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c r="AV1951" s="17"/>
      <c r="AW1951" s="17"/>
      <c r="AX1951" s="17"/>
      <c r="AY1951" s="17"/>
      <c r="AZ1951" s="17"/>
      <c r="BA1951" s="17"/>
      <c r="BB1951" s="17"/>
      <c r="BC1951" s="17"/>
      <c r="BD1951" s="17"/>
      <c r="BE1951" s="17"/>
      <c r="BF1951" s="17"/>
      <c r="BG1951" s="17"/>
      <c r="BH1951" s="17"/>
      <c r="BI1951" s="17"/>
      <c r="BJ1951" s="17"/>
      <c r="BK1951" s="17"/>
      <c r="BL1951" s="17"/>
    </row>
    <row r="1952">
      <c r="A1952" s="17"/>
      <c r="B1952" s="17"/>
      <c r="C1952" s="17"/>
      <c r="D1952" s="17"/>
      <c r="E1952" s="17"/>
      <c r="F1952" s="17"/>
      <c r="G1952" s="17"/>
      <c r="H1952" s="356"/>
      <c r="I1952" s="17"/>
      <c r="J1952" s="17"/>
      <c r="K1952" s="17"/>
      <c r="L1952" s="17"/>
      <c r="M1952" s="17"/>
      <c r="N1952" s="17"/>
      <c r="O1952" s="17"/>
      <c r="P1952" s="17"/>
      <c r="Q1952" s="17"/>
      <c r="R1952" s="17"/>
      <c r="S1952" s="17"/>
      <c r="T1952" s="17"/>
      <c r="U1952" s="17"/>
      <c r="V1952" s="17"/>
      <c r="W1952" s="17"/>
      <c r="X1952" s="17"/>
      <c r="Y1952" s="17"/>
      <c r="Z1952" s="17"/>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c r="AV1952" s="17"/>
      <c r="AW1952" s="17"/>
      <c r="AX1952" s="17"/>
      <c r="AY1952" s="17"/>
      <c r="AZ1952" s="17"/>
      <c r="BA1952" s="17"/>
      <c r="BB1952" s="17"/>
      <c r="BC1952" s="17"/>
      <c r="BD1952" s="17"/>
      <c r="BE1952" s="17"/>
      <c r="BF1952" s="17"/>
      <c r="BG1952" s="17"/>
      <c r="BH1952" s="17"/>
      <c r="BI1952" s="17"/>
      <c r="BJ1952" s="17"/>
      <c r="BK1952" s="17"/>
      <c r="BL1952" s="17"/>
    </row>
    <row r="1953">
      <c r="A1953" s="17"/>
      <c r="B1953" s="17"/>
      <c r="C1953" s="17"/>
      <c r="D1953" s="17"/>
      <c r="E1953" s="17"/>
      <c r="F1953" s="17"/>
      <c r="G1953" s="17"/>
      <c r="H1953" s="356"/>
      <c r="I1953" s="17"/>
      <c r="J1953" s="17"/>
      <c r="K1953" s="17"/>
      <c r="L1953" s="17"/>
      <c r="M1953" s="17"/>
      <c r="N1953" s="17"/>
      <c r="O1953" s="17"/>
      <c r="P1953" s="17"/>
      <c r="Q1953" s="17"/>
      <c r="R1953" s="17"/>
      <c r="S1953" s="17"/>
      <c r="T1953" s="17"/>
      <c r="U1953" s="17"/>
      <c r="V1953" s="17"/>
      <c r="W1953" s="17"/>
      <c r="X1953" s="17"/>
      <c r="Y1953" s="17"/>
      <c r="Z1953" s="17"/>
      <c r="AA1953" s="17"/>
      <c r="AB1953" s="17"/>
      <c r="AC1953" s="17"/>
      <c r="AD1953" s="17"/>
      <c r="AE1953" s="17"/>
      <c r="AF1953" s="17"/>
      <c r="AG1953" s="17"/>
      <c r="AH1953" s="17"/>
      <c r="AI1953" s="17"/>
      <c r="AJ1953" s="17"/>
      <c r="AK1953" s="17"/>
      <c r="AL1953" s="17"/>
      <c r="AM1953" s="17"/>
      <c r="AN1953" s="17"/>
      <c r="AO1953" s="17"/>
      <c r="AP1953" s="17"/>
      <c r="AQ1953" s="17"/>
      <c r="AR1953" s="17"/>
      <c r="AS1953" s="17"/>
      <c r="AT1953" s="17"/>
      <c r="AU1953" s="17"/>
      <c r="AV1953" s="17"/>
      <c r="AW1953" s="17"/>
      <c r="AX1953" s="17"/>
      <c r="AY1953" s="17"/>
      <c r="AZ1953" s="17"/>
      <c r="BA1953" s="17"/>
      <c r="BB1953" s="17"/>
      <c r="BC1953" s="17"/>
      <c r="BD1953" s="17"/>
      <c r="BE1953" s="17"/>
      <c r="BF1953" s="17"/>
      <c r="BG1953" s="17"/>
      <c r="BH1953" s="17"/>
      <c r="BI1953" s="17"/>
      <c r="BJ1953" s="17"/>
      <c r="BK1953" s="17"/>
      <c r="BL1953" s="17"/>
    </row>
    <row r="1954">
      <c r="A1954" s="17"/>
      <c r="B1954" s="17"/>
      <c r="C1954" s="17"/>
      <c r="D1954" s="17"/>
      <c r="E1954" s="17"/>
      <c r="F1954" s="17"/>
      <c r="G1954" s="17"/>
      <c r="H1954" s="356"/>
      <c r="I1954" s="17"/>
      <c r="J1954" s="17"/>
      <c r="K1954" s="17"/>
      <c r="L1954" s="17"/>
      <c r="M1954" s="17"/>
      <c r="N1954" s="17"/>
      <c r="O1954" s="17"/>
      <c r="P1954" s="17"/>
      <c r="Q1954" s="17"/>
      <c r="R1954" s="17"/>
      <c r="S1954" s="17"/>
      <c r="T1954" s="17"/>
      <c r="U1954" s="17"/>
      <c r="V1954" s="17"/>
      <c r="W1954" s="17"/>
      <c r="X1954" s="17"/>
      <c r="Y1954" s="17"/>
      <c r="Z1954" s="17"/>
      <c r="AA1954" s="17"/>
      <c r="AB1954" s="17"/>
      <c r="AC1954" s="17"/>
      <c r="AD1954" s="17"/>
      <c r="AE1954" s="17"/>
      <c r="AF1954" s="17"/>
      <c r="AG1954" s="17"/>
      <c r="AH1954" s="17"/>
      <c r="AI1954" s="17"/>
      <c r="AJ1954" s="17"/>
      <c r="AK1954" s="17"/>
      <c r="AL1954" s="17"/>
      <c r="AM1954" s="17"/>
      <c r="AN1954" s="17"/>
      <c r="AO1954" s="17"/>
      <c r="AP1954" s="17"/>
      <c r="AQ1954" s="17"/>
      <c r="AR1954" s="17"/>
      <c r="AS1954" s="17"/>
      <c r="AT1954" s="17"/>
      <c r="AU1954" s="17"/>
      <c r="AV1954" s="17"/>
      <c r="AW1954" s="17"/>
      <c r="AX1954" s="17"/>
      <c r="AY1954" s="17"/>
      <c r="AZ1954" s="17"/>
      <c r="BA1954" s="17"/>
      <c r="BB1954" s="17"/>
      <c r="BC1954" s="17"/>
      <c r="BD1954" s="17"/>
      <c r="BE1954" s="17"/>
      <c r="BF1954" s="17"/>
      <c r="BG1954" s="17"/>
      <c r="BH1954" s="17"/>
      <c r="BI1954" s="17"/>
      <c r="BJ1954" s="17"/>
      <c r="BK1954" s="17"/>
      <c r="BL1954" s="17"/>
    </row>
    <row r="1955">
      <c r="A1955" s="17"/>
      <c r="B1955" s="17"/>
      <c r="C1955" s="17"/>
      <c r="D1955" s="17"/>
      <c r="E1955" s="17"/>
      <c r="F1955" s="17"/>
      <c r="G1955" s="17"/>
      <c r="H1955" s="356"/>
      <c r="I1955" s="17"/>
      <c r="J1955" s="17"/>
      <c r="K1955" s="17"/>
      <c r="L1955" s="17"/>
      <c r="M1955" s="17"/>
      <c r="N1955" s="17"/>
      <c r="O1955" s="17"/>
      <c r="P1955" s="17"/>
      <c r="Q1955" s="17"/>
      <c r="R1955" s="17"/>
      <c r="S1955" s="17"/>
      <c r="T1955" s="17"/>
      <c r="U1955" s="17"/>
      <c r="V1955" s="17"/>
      <c r="W1955" s="17"/>
      <c r="X1955" s="17"/>
      <c r="Y1955" s="17"/>
      <c r="Z1955" s="17"/>
      <c r="AA1955" s="17"/>
      <c r="AB1955" s="17"/>
      <c r="AC1955" s="17"/>
      <c r="AD1955" s="17"/>
      <c r="AE1955" s="17"/>
      <c r="AF1955" s="17"/>
      <c r="AG1955" s="17"/>
      <c r="AH1955" s="17"/>
      <c r="AI1955" s="17"/>
      <c r="AJ1955" s="17"/>
      <c r="AK1955" s="17"/>
      <c r="AL1955" s="17"/>
      <c r="AM1955" s="17"/>
      <c r="AN1955" s="17"/>
      <c r="AO1955" s="17"/>
      <c r="AP1955" s="17"/>
      <c r="AQ1955" s="17"/>
      <c r="AR1955" s="17"/>
      <c r="AS1955" s="17"/>
      <c r="AT1955" s="17"/>
      <c r="AU1955" s="17"/>
      <c r="AV1955" s="17"/>
      <c r="AW1955" s="17"/>
      <c r="AX1955" s="17"/>
      <c r="AY1955" s="17"/>
      <c r="AZ1955" s="17"/>
      <c r="BA1955" s="17"/>
      <c r="BB1955" s="17"/>
      <c r="BC1955" s="17"/>
      <c r="BD1955" s="17"/>
      <c r="BE1955" s="17"/>
      <c r="BF1955" s="17"/>
      <c r="BG1955" s="17"/>
      <c r="BH1955" s="17"/>
      <c r="BI1955" s="17"/>
      <c r="BJ1955" s="17"/>
      <c r="BK1955" s="17"/>
      <c r="BL1955" s="17"/>
    </row>
    <row r="1956">
      <c r="A1956" s="17"/>
      <c r="B1956" s="17"/>
      <c r="C1956" s="17"/>
      <c r="D1956" s="17"/>
      <c r="E1956" s="17"/>
      <c r="F1956" s="17"/>
      <c r="G1956" s="17"/>
      <c r="H1956" s="356"/>
      <c r="I1956" s="17"/>
      <c r="J1956" s="17"/>
      <c r="K1956" s="17"/>
      <c r="L1956" s="17"/>
      <c r="M1956" s="17"/>
      <c r="N1956" s="17"/>
      <c r="O1956" s="17"/>
      <c r="P1956" s="17"/>
      <c r="Q1956" s="17"/>
      <c r="R1956" s="17"/>
      <c r="S1956" s="17"/>
      <c r="T1956" s="17"/>
      <c r="U1956" s="17"/>
      <c r="V1956" s="17"/>
      <c r="W1956" s="17"/>
      <c r="X1956" s="17"/>
      <c r="Y1956" s="17"/>
      <c r="Z1956" s="17"/>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c r="AV1956" s="17"/>
      <c r="AW1956" s="17"/>
      <c r="AX1956" s="17"/>
      <c r="AY1956" s="17"/>
      <c r="AZ1956" s="17"/>
      <c r="BA1956" s="17"/>
      <c r="BB1956" s="17"/>
      <c r="BC1956" s="17"/>
      <c r="BD1956" s="17"/>
      <c r="BE1956" s="17"/>
      <c r="BF1956" s="17"/>
      <c r="BG1956" s="17"/>
      <c r="BH1956" s="17"/>
      <c r="BI1956" s="17"/>
      <c r="BJ1956" s="17"/>
      <c r="BK1956" s="17"/>
      <c r="BL1956" s="17"/>
    </row>
    <row r="1957">
      <c r="A1957" s="17"/>
      <c r="B1957" s="17"/>
      <c r="C1957" s="17"/>
      <c r="D1957" s="17"/>
      <c r="E1957" s="17"/>
      <c r="F1957" s="17"/>
      <c r="G1957" s="17"/>
      <c r="H1957" s="356"/>
      <c r="I1957" s="17"/>
      <c r="J1957" s="17"/>
      <c r="K1957" s="17"/>
      <c r="L1957" s="17"/>
      <c r="M1957" s="17"/>
      <c r="N1957" s="17"/>
      <c r="O1957" s="17"/>
      <c r="P1957" s="17"/>
      <c r="Q1957" s="17"/>
      <c r="R1957" s="17"/>
      <c r="S1957" s="17"/>
      <c r="T1957" s="17"/>
      <c r="U1957" s="17"/>
      <c r="V1957" s="17"/>
      <c r="W1957" s="17"/>
      <c r="X1957" s="17"/>
      <c r="Y1957" s="17"/>
      <c r="Z1957" s="17"/>
      <c r="AA1957" s="17"/>
      <c r="AB1957" s="17"/>
      <c r="AC1957" s="17"/>
      <c r="AD1957" s="17"/>
      <c r="AE1957" s="17"/>
      <c r="AF1957" s="17"/>
      <c r="AG1957" s="17"/>
      <c r="AH1957" s="17"/>
      <c r="AI1957" s="17"/>
      <c r="AJ1957" s="17"/>
      <c r="AK1957" s="17"/>
      <c r="AL1957" s="17"/>
      <c r="AM1957" s="17"/>
      <c r="AN1957" s="17"/>
      <c r="AO1957" s="17"/>
      <c r="AP1957" s="17"/>
      <c r="AQ1957" s="17"/>
      <c r="AR1957" s="17"/>
      <c r="AS1957" s="17"/>
      <c r="AT1957" s="17"/>
      <c r="AU1957" s="17"/>
      <c r="AV1957" s="17"/>
      <c r="AW1957" s="17"/>
      <c r="AX1957" s="17"/>
      <c r="AY1957" s="17"/>
      <c r="AZ1957" s="17"/>
      <c r="BA1957" s="17"/>
      <c r="BB1957" s="17"/>
      <c r="BC1957" s="17"/>
      <c r="BD1957" s="17"/>
      <c r="BE1957" s="17"/>
      <c r="BF1957" s="17"/>
      <c r="BG1957" s="17"/>
      <c r="BH1957" s="17"/>
      <c r="BI1957" s="17"/>
      <c r="BJ1957" s="17"/>
      <c r="BK1957" s="17"/>
      <c r="BL1957" s="17"/>
    </row>
    <row r="1958">
      <c r="A1958" s="17"/>
      <c r="B1958" s="17"/>
      <c r="C1958" s="17"/>
      <c r="D1958" s="17"/>
      <c r="E1958" s="17"/>
      <c r="F1958" s="17"/>
      <c r="G1958" s="17"/>
      <c r="H1958" s="356"/>
      <c r="I1958" s="17"/>
      <c r="J1958" s="17"/>
      <c r="K1958" s="17"/>
      <c r="L1958" s="17"/>
      <c r="M1958" s="17"/>
      <c r="N1958" s="17"/>
      <c r="O1958" s="17"/>
      <c r="P1958" s="17"/>
      <c r="Q1958" s="17"/>
      <c r="R1958" s="17"/>
      <c r="S1958" s="17"/>
      <c r="T1958" s="17"/>
      <c r="U1958" s="17"/>
      <c r="V1958" s="17"/>
      <c r="W1958" s="17"/>
      <c r="X1958" s="17"/>
      <c r="Y1958" s="17"/>
      <c r="Z1958" s="17"/>
      <c r="AA1958" s="17"/>
      <c r="AB1958" s="17"/>
      <c r="AC1958" s="17"/>
      <c r="AD1958" s="17"/>
      <c r="AE1958" s="17"/>
      <c r="AF1958" s="17"/>
      <c r="AG1958" s="17"/>
      <c r="AH1958" s="17"/>
      <c r="AI1958" s="17"/>
      <c r="AJ1958" s="17"/>
      <c r="AK1958" s="17"/>
      <c r="AL1958" s="17"/>
      <c r="AM1958" s="17"/>
      <c r="AN1958" s="17"/>
      <c r="AO1958" s="17"/>
      <c r="AP1958" s="17"/>
      <c r="AQ1958" s="17"/>
      <c r="AR1958" s="17"/>
      <c r="AS1958" s="17"/>
      <c r="AT1958" s="17"/>
      <c r="AU1958" s="17"/>
      <c r="AV1958" s="17"/>
      <c r="AW1958" s="17"/>
      <c r="AX1958" s="17"/>
      <c r="AY1958" s="17"/>
      <c r="AZ1958" s="17"/>
      <c r="BA1958" s="17"/>
      <c r="BB1958" s="17"/>
      <c r="BC1958" s="17"/>
      <c r="BD1958" s="17"/>
      <c r="BE1958" s="17"/>
      <c r="BF1958" s="17"/>
      <c r="BG1958" s="17"/>
      <c r="BH1958" s="17"/>
      <c r="BI1958" s="17"/>
      <c r="BJ1958" s="17"/>
      <c r="BK1958" s="17"/>
      <c r="BL1958" s="17"/>
    </row>
    <row r="1959">
      <c r="A1959" s="17"/>
      <c r="B1959" s="17"/>
      <c r="C1959" s="17"/>
      <c r="D1959" s="17"/>
      <c r="E1959" s="17"/>
      <c r="F1959" s="17"/>
      <c r="G1959" s="17"/>
      <c r="H1959" s="356"/>
      <c r="I1959" s="17"/>
      <c r="J1959" s="17"/>
      <c r="K1959" s="17"/>
      <c r="L1959" s="17"/>
      <c r="M1959" s="17"/>
      <c r="N1959" s="17"/>
      <c r="O1959" s="17"/>
      <c r="P1959" s="17"/>
      <c r="Q1959" s="17"/>
      <c r="R1959" s="17"/>
      <c r="S1959" s="17"/>
      <c r="T1959" s="17"/>
      <c r="U1959" s="17"/>
      <c r="V1959" s="17"/>
      <c r="W1959" s="17"/>
      <c r="X1959" s="17"/>
      <c r="Y1959" s="17"/>
      <c r="Z1959" s="17"/>
      <c r="AA1959" s="17"/>
      <c r="AB1959" s="17"/>
      <c r="AC1959" s="17"/>
      <c r="AD1959" s="17"/>
      <c r="AE1959" s="17"/>
      <c r="AF1959" s="17"/>
      <c r="AG1959" s="17"/>
      <c r="AH1959" s="17"/>
      <c r="AI1959" s="17"/>
      <c r="AJ1959" s="17"/>
      <c r="AK1959" s="17"/>
      <c r="AL1959" s="17"/>
      <c r="AM1959" s="17"/>
      <c r="AN1959" s="17"/>
      <c r="AO1959" s="17"/>
      <c r="AP1959" s="17"/>
      <c r="AQ1959" s="17"/>
      <c r="AR1959" s="17"/>
      <c r="AS1959" s="17"/>
      <c r="AT1959" s="17"/>
      <c r="AU1959" s="17"/>
      <c r="AV1959" s="17"/>
      <c r="AW1959" s="17"/>
      <c r="AX1959" s="17"/>
      <c r="AY1959" s="17"/>
      <c r="AZ1959" s="17"/>
      <c r="BA1959" s="17"/>
      <c r="BB1959" s="17"/>
      <c r="BC1959" s="17"/>
      <c r="BD1959" s="17"/>
      <c r="BE1959" s="17"/>
      <c r="BF1959" s="17"/>
      <c r="BG1959" s="17"/>
      <c r="BH1959" s="17"/>
      <c r="BI1959" s="17"/>
      <c r="BJ1959" s="17"/>
      <c r="BK1959" s="17"/>
      <c r="BL1959" s="17"/>
    </row>
    <row r="1960">
      <c r="A1960" s="17"/>
      <c r="B1960" s="17"/>
      <c r="C1960" s="17"/>
      <c r="D1960" s="17"/>
      <c r="E1960" s="17"/>
      <c r="F1960" s="17"/>
      <c r="G1960" s="17"/>
      <c r="H1960" s="356"/>
      <c r="I1960" s="17"/>
      <c r="J1960" s="17"/>
      <c r="K1960" s="17"/>
      <c r="L1960" s="17"/>
      <c r="M1960" s="17"/>
      <c r="N1960" s="17"/>
      <c r="O1960" s="17"/>
      <c r="P1960" s="17"/>
      <c r="Q1960" s="17"/>
      <c r="R1960" s="17"/>
      <c r="S1960" s="17"/>
      <c r="T1960" s="17"/>
      <c r="U1960" s="17"/>
      <c r="V1960" s="17"/>
      <c r="W1960" s="17"/>
      <c r="X1960" s="17"/>
      <c r="Y1960" s="17"/>
      <c r="Z1960" s="17"/>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c r="AV1960" s="17"/>
      <c r="AW1960" s="17"/>
      <c r="AX1960" s="17"/>
      <c r="AY1960" s="17"/>
      <c r="AZ1960" s="17"/>
      <c r="BA1960" s="17"/>
      <c r="BB1960" s="17"/>
      <c r="BC1960" s="17"/>
      <c r="BD1960" s="17"/>
      <c r="BE1960" s="17"/>
      <c r="BF1960" s="17"/>
      <c r="BG1960" s="17"/>
      <c r="BH1960" s="17"/>
      <c r="BI1960" s="17"/>
      <c r="BJ1960" s="17"/>
      <c r="BK1960" s="17"/>
      <c r="BL1960" s="17"/>
    </row>
    <row r="1961">
      <c r="A1961" s="17"/>
      <c r="B1961" s="17"/>
      <c r="C1961" s="17"/>
      <c r="D1961" s="17"/>
      <c r="E1961" s="17"/>
      <c r="F1961" s="17"/>
      <c r="G1961" s="17"/>
      <c r="H1961" s="356"/>
      <c r="I1961" s="17"/>
      <c r="J1961" s="17"/>
      <c r="K1961" s="17"/>
      <c r="L1961" s="17"/>
      <c r="M1961" s="17"/>
      <c r="N1961" s="17"/>
      <c r="O1961" s="17"/>
      <c r="P1961" s="17"/>
      <c r="Q1961" s="17"/>
      <c r="R1961" s="17"/>
      <c r="S1961" s="17"/>
      <c r="T1961" s="17"/>
      <c r="U1961" s="17"/>
      <c r="V1961" s="17"/>
      <c r="W1961" s="17"/>
      <c r="X1961" s="17"/>
      <c r="Y1961" s="17"/>
      <c r="Z1961" s="17"/>
      <c r="AA1961" s="17"/>
      <c r="AB1961" s="17"/>
      <c r="AC1961" s="17"/>
      <c r="AD1961" s="17"/>
      <c r="AE1961" s="17"/>
      <c r="AF1961" s="17"/>
      <c r="AG1961" s="17"/>
      <c r="AH1961" s="17"/>
      <c r="AI1961" s="17"/>
      <c r="AJ1961" s="17"/>
      <c r="AK1961" s="17"/>
      <c r="AL1961" s="17"/>
      <c r="AM1961" s="17"/>
      <c r="AN1961" s="17"/>
      <c r="AO1961" s="17"/>
      <c r="AP1961" s="17"/>
      <c r="AQ1961" s="17"/>
      <c r="AR1961" s="17"/>
      <c r="AS1961" s="17"/>
      <c r="AT1961" s="17"/>
      <c r="AU1961" s="17"/>
      <c r="AV1961" s="17"/>
      <c r="AW1961" s="17"/>
      <c r="AX1961" s="17"/>
      <c r="AY1961" s="17"/>
      <c r="AZ1961" s="17"/>
      <c r="BA1961" s="17"/>
      <c r="BB1961" s="17"/>
      <c r="BC1961" s="17"/>
      <c r="BD1961" s="17"/>
      <c r="BE1961" s="17"/>
      <c r="BF1961" s="17"/>
      <c r="BG1961" s="17"/>
      <c r="BH1961" s="17"/>
      <c r="BI1961" s="17"/>
      <c r="BJ1961" s="17"/>
      <c r="BK1961" s="17"/>
      <c r="BL1961" s="17"/>
    </row>
    <row r="1962">
      <c r="A1962" s="17"/>
      <c r="B1962" s="17"/>
      <c r="C1962" s="17"/>
      <c r="D1962" s="17"/>
      <c r="E1962" s="17"/>
      <c r="F1962" s="17"/>
      <c r="G1962" s="17"/>
      <c r="H1962" s="356"/>
      <c r="I1962" s="17"/>
      <c r="J1962" s="17"/>
      <c r="K1962" s="17"/>
      <c r="L1962" s="17"/>
      <c r="M1962" s="17"/>
      <c r="N1962" s="17"/>
      <c r="O1962" s="17"/>
      <c r="P1962" s="17"/>
      <c r="Q1962" s="17"/>
      <c r="R1962" s="17"/>
      <c r="S1962" s="17"/>
      <c r="T1962" s="17"/>
      <c r="U1962" s="17"/>
      <c r="V1962" s="17"/>
      <c r="W1962" s="17"/>
      <c r="X1962" s="17"/>
      <c r="Y1962" s="17"/>
      <c r="Z1962" s="17"/>
      <c r="AA1962" s="17"/>
      <c r="AB1962" s="17"/>
      <c r="AC1962" s="17"/>
      <c r="AD1962" s="17"/>
      <c r="AE1962" s="17"/>
      <c r="AF1962" s="17"/>
      <c r="AG1962" s="17"/>
      <c r="AH1962" s="17"/>
      <c r="AI1962" s="17"/>
      <c r="AJ1962" s="17"/>
      <c r="AK1962" s="17"/>
      <c r="AL1962" s="17"/>
      <c r="AM1962" s="17"/>
      <c r="AN1962" s="17"/>
      <c r="AO1962" s="17"/>
      <c r="AP1962" s="17"/>
      <c r="AQ1962" s="17"/>
      <c r="AR1962" s="17"/>
      <c r="AS1962" s="17"/>
      <c r="AT1962" s="17"/>
      <c r="AU1962" s="17"/>
      <c r="AV1962" s="17"/>
      <c r="AW1962" s="17"/>
      <c r="AX1962" s="17"/>
      <c r="AY1962" s="17"/>
      <c r="AZ1962" s="17"/>
      <c r="BA1962" s="17"/>
      <c r="BB1962" s="17"/>
      <c r="BC1962" s="17"/>
      <c r="BD1962" s="17"/>
      <c r="BE1962" s="17"/>
      <c r="BF1962" s="17"/>
      <c r="BG1962" s="17"/>
      <c r="BH1962" s="17"/>
      <c r="BI1962" s="17"/>
      <c r="BJ1962" s="17"/>
      <c r="BK1962" s="17"/>
      <c r="BL1962" s="17"/>
    </row>
    <row r="1963">
      <c r="A1963" s="17"/>
      <c r="B1963" s="17"/>
      <c r="C1963" s="17"/>
      <c r="D1963" s="17"/>
      <c r="E1963" s="17"/>
      <c r="F1963" s="17"/>
      <c r="G1963" s="17"/>
      <c r="H1963" s="356"/>
      <c r="I1963" s="17"/>
      <c r="J1963" s="17"/>
      <c r="K1963" s="17"/>
      <c r="L1963" s="17"/>
      <c r="M1963" s="17"/>
      <c r="N1963" s="17"/>
      <c r="O1963" s="17"/>
      <c r="P1963" s="17"/>
      <c r="Q1963" s="17"/>
      <c r="R1963" s="17"/>
      <c r="S1963" s="17"/>
      <c r="T1963" s="17"/>
      <c r="U1963" s="17"/>
      <c r="V1963" s="17"/>
      <c r="W1963" s="17"/>
      <c r="X1963" s="17"/>
      <c r="Y1963" s="17"/>
      <c r="Z1963" s="17"/>
      <c r="AA1963" s="17"/>
      <c r="AB1963" s="17"/>
      <c r="AC1963" s="17"/>
      <c r="AD1963" s="17"/>
      <c r="AE1963" s="17"/>
      <c r="AF1963" s="17"/>
      <c r="AG1963" s="17"/>
      <c r="AH1963" s="17"/>
      <c r="AI1963" s="17"/>
      <c r="AJ1963" s="17"/>
      <c r="AK1963" s="17"/>
      <c r="AL1963" s="17"/>
      <c r="AM1963" s="17"/>
      <c r="AN1963" s="17"/>
      <c r="AO1963" s="17"/>
      <c r="AP1963" s="17"/>
      <c r="AQ1963" s="17"/>
      <c r="AR1963" s="17"/>
      <c r="AS1963" s="17"/>
      <c r="AT1963" s="17"/>
      <c r="AU1963" s="17"/>
      <c r="AV1963" s="17"/>
      <c r="AW1963" s="17"/>
      <c r="AX1963" s="17"/>
      <c r="AY1963" s="17"/>
      <c r="AZ1963" s="17"/>
      <c r="BA1963" s="17"/>
      <c r="BB1963" s="17"/>
      <c r="BC1963" s="17"/>
      <c r="BD1963" s="17"/>
      <c r="BE1963" s="17"/>
      <c r="BF1963" s="17"/>
      <c r="BG1963" s="17"/>
      <c r="BH1963" s="17"/>
      <c r="BI1963" s="17"/>
      <c r="BJ1963" s="17"/>
      <c r="BK1963" s="17"/>
      <c r="BL1963" s="17"/>
    </row>
    <row r="1964">
      <c r="A1964" s="17"/>
      <c r="B1964" s="17"/>
      <c r="C1964" s="17"/>
      <c r="D1964" s="17"/>
      <c r="E1964" s="17"/>
      <c r="F1964" s="17"/>
      <c r="G1964" s="17"/>
      <c r="H1964" s="356"/>
      <c r="I1964" s="17"/>
      <c r="J1964" s="17"/>
      <c r="K1964" s="17"/>
      <c r="L1964" s="17"/>
      <c r="M1964" s="17"/>
      <c r="N1964" s="17"/>
      <c r="O1964" s="17"/>
      <c r="P1964" s="17"/>
      <c r="Q1964" s="17"/>
      <c r="R1964" s="17"/>
      <c r="S1964" s="17"/>
      <c r="T1964" s="17"/>
      <c r="U1964" s="17"/>
      <c r="V1964" s="17"/>
      <c r="W1964" s="17"/>
      <c r="X1964" s="17"/>
      <c r="Y1964" s="17"/>
      <c r="Z1964" s="17"/>
      <c r="AA1964" s="17"/>
      <c r="AB1964" s="17"/>
      <c r="AC1964" s="17"/>
      <c r="AD1964" s="17"/>
      <c r="AE1964" s="17"/>
      <c r="AF1964" s="17"/>
      <c r="AG1964" s="17"/>
      <c r="AH1964" s="17"/>
      <c r="AI1964" s="17"/>
      <c r="AJ1964" s="17"/>
      <c r="AK1964" s="17"/>
      <c r="AL1964" s="17"/>
      <c r="AM1964" s="17"/>
      <c r="AN1964" s="17"/>
      <c r="AO1964" s="17"/>
      <c r="AP1964" s="17"/>
      <c r="AQ1964" s="17"/>
      <c r="AR1964" s="17"/>
      <c r="AS1964" s="17"/>
      <c r="AT1964" s="17"/>
      <c r="AU1964" s="17"/>
      <c r="AV1964" s="17"/>
      <c r="AW1964" s="17"/>
      <c r="AX1964" s="17"/>
      <c r="AY1964" s="17"/>
      <c r="AZ1964" s="17"/>
      <c r="BA1964" s="17"/>
      <c r="BB1964" s="17"/>
      <c r="BC1964" s="17"/>
      <c r="BD1964" s="17"/>
      <c r="BE1964" s="17"/>
      <c r="BF1964" s="17"/>
      <c r="BG1964" s="17"/>
      <c r="BH1964" s="17"/>
      <c r="BI1964" s="17"/>
      <c r="BJ1964" s="17"/>
      <c r="BK1964" s="17"/>
      <c r="BL1964" s="17"/>
    </row>
    <row r="1965">
      <c r="A1965" s="17"/>
      <c r="B1965" s="17"/>
      <c r="C1965" s="17"/>
      <c r="D1965" s="17"/>
      <c r="E1965" s="17"/>
      <c r="F1965" s="17"/>
      <c r="G1965" s="17"/>
      <c r="H1965" s="356"/>
      <c r="I1965" s="17"/>
      <c r="J1965" s="17"/>
      <c r="K1965" s="17"/>
      <c r="L1965" s="17"/>
      <c r="M1965" s="17"/>
      <c r="N1965" s="17"/>
      <c r="O1965" s="17"/>
      <c r="P1965" s="17"/>
      <c r="Q1965" s="17"/>
      <c r="R1965" s="17"/>
      <c r="S1965" s="17"/>
      <c r="T1965" s="17"/>
      <c r="U1965" s="17"/>
      <c r="V1965" s="17"/>
      <c r="W1965" s="17"/>
      <c r="X1965" s="17"/>
      <c r="Y1965" s="17"/>
      <c r="Z1965" s="17"/>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c r="AV1965" s="17"/>
      <c r="AW1965" s="17"/>
      <c r="AX1965" s="17"/>
      <c r="AY1965" s="17"/>
      <c r="AZ1965" s="17"/>
      <c r="BA1965" s="17"/>
      <c r="BB1965" s="17"/>
      <c r="BC1965" s="17"/>
      <c r="BD1965" s="17"/>
      <c r="BE1965" s="17"/>
      <c r="BF1965" s="17"/>
      <c r="BG1965" s="17"/>
      <c r="BH1965" s="17"/>
      <c r="BI1965" s="17"/>
      <c r="BJ1965" s="17"/>
      <c r="BK1965" s="17"/>
      <c r="BL1965" s="17"/>
    </row>
    <row r="1966">
      <c r="A1966" s="17"/>
      <c r="B1966" s="17"/>
      <c r="C1966" s="17"/>
      <c r="D1966" s="17"/>
      <c r="E1966" s="17"/>
      <c r="F1966" s="17"/>
      <c r="G1966" s="17"/>
      <c r="H1966" s="356"/>
      <c r="I1966" s="17"/>
      <c r="J1966" s="17"/>
      <c r="K1966" s="17"/>
      <c r="L1966" s="17"/>
      <c r="M1966" s="17"/>
      <c r="N1966" s="17"/>
      <c r="O1966" s="17"/>
      <c r="P1966" s="17"/>
      <c r="Q1966" s="17"/>
      <c r="R1966" s="17"/>
      <c r="S1966" s="17"/>
      <c r="T1966" s="17"/>
      <c r="U1966" s="17"/>
      <c r="V1966" s="17"/>
      <c r="W1966" s="17"/>
      <c r="X1966" s="17"/>
      <c r="Y1966" s="17"/>
      <c r="Z1966" s="17"/>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c r="AV1966" s="17"/>
      <c r="AW1966" s="17"/>
      <c r="AX1966" s="17"/>
      <c r="AY1966" s="17"/>
      <c r="AZ1966" s="17"/>
      <c r="BA1966" s="17"/>
      <c r="BB1966" s="17"/>
      <c r="BC1966" s="17"/>
      <c r="BD1966" s="17"/>
      <c r="BE1966" s="17"/>
      <c r="BF1966" s="17"/>
      <c r="BG1966" s="17"/>
      <c r="BH1966" s="17"/>
      <c r="BI1966" s="17"/>
      <c r="BJ1966" s="17"/>
      <c r="BK1966" s="17"/>
      <c r="BL1966" s="17"/>
    </row>
    <row r="1967">
      <c r="A1967" s="17"/>
      <c r="B1967" s="17"/>
      <c r="C1967" s="17"/>
      <c r="D1967" s="17"/>
      <c r="E1967" s="17"/>
      <c r="F1967" s="17"/>
      <c r="G1967" s="17"/>
      <c r="H1967" s="356"/>
      <c r="I1967" s="17"/>
      <c r="J1967" s="17"/>
      <c r="K1967" s="17"/>
      <c r="L1967" s="17"/>
      <c r="M1967" s="17"/>
      <c r="N1967" s="17"/>
      <c r="O1967" s="17"/>
      <c r="P1967" s="17"/>
      <c r="Q1967" s="17"/>
      <c r="R1967" s="17"/>
      <c r="S1967" s="17"/>
      <c r="T1967" s="17"/>
      <c r="U1967" s="17"/>
      <c r="V1967" s="17"/>
      <c r="W1967" s="17"/>
      <c r="X1967" s="17"/>
      <c r="Y1967" s="17"/>
      <c r="Z1967" s="17"/>
      <c r="AA1967" s="17"/>
      <c r="AB1967" s="17"/>
      <c r="AC1967" s="17"/>
      <c r="AD1967" s="17"/>
      <c r="AE1967" s="17"/>
      <c r="AF1967" s="17"/>
      <c r="AG1967" s="17"/>
      <c r="AH1967" s="17"/>
      <c r="AI1967" s="17"/>
      <c r="AJ1967" s="17"/>
      <c r="AK1967" s="17"/>
      <c r="AL1967" s="17"/>
      <c r="AM1967" s="17"/>
      <c r="AN1967" s="17"/>
      <c r="AO1967" s="17"/>
      <c r="AP1967" s="17"/>
      <c r="AQ1967" s="17"/>
      <c r="AR1967" s="17"/>
      <c r="AS1967" s="17"/>
      <c r="AT1967" s="17"/>
      <c r="AU1967" s="17"/>
      <c r="AV1967" s="17"/>
      <c r="AW1967" s="17"/>
      <c r="AX1967" s="17"/>
      <c r="AY1967" s="17"/>
      <c r="AZ1967" s="17"/>
      <c r="BA1967" s="17"/>
      <c r="BB1967" s="17"/>
      <c r="BC1967" s="17"/>
      <c r="BD1967" s="17"/>
      <c r="BE1967" s="17"/>
      <c r="BF1967" s="17"/>
      <c r="BG1967" s="17"/>
      <c r="BH1967" s="17"/>
      <c r="BI1967" s="17"/>
      <c r="BJ1967" s="17"/>
      <c r="BK1967" s="17"/>
      <c r="BL1967" s="17"/>
    </row>
    <row r="1968">
      <c r="A1968" s="17"/>
      <c r="B1968" s="17"/>
      <c r="C1968" s="17"/>
      <c r="D1968" s="17"/>
      <c r="E1968" s="17"/>
      <c r="F1968" s="17"/>
      <c r="G1968" s="17"/>
      <c r="H1968" s="356"/>
      <c r="I1968" s="17"/>
      <c r="J1968" s="17"/>
      <c r="K1968" s="17"/>
      <c r="L1968" s="17"/>
      <c r="M1968" s="17"/>
      <c r="N1968" s="17"/>
      <c r="O1968" s="17"/>
      <c r="P1968" s="17"/>
      <c r="Q1968" s="17"/>
      <c r="R1968" s="17"/>
      <c r="S1968" s="17"/>
      <c r="T1968" s="17"/>
      <c r="U1968" s="17"/>
      <c r="V1968" s="17"/>
      <c r="W1968" s="17"/>
      <c r="X1968" s="17"/>
      <c r="Y1968" s="17"/>
      <c r="Z1968" s="17"/>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c r="AV1968" s="17"/>
      <c r="AW1968" s="17"/>
      <c r="AX1968" s="17"/>
      <c r="AY1968" s="17"/>
      <c r="AZ1968" s="17"/>
      <c r="BA1968" s="17"/>
      <c r="BB1968" s="17"/>
      <c r="BC1968" s="17"/>
      <c r="BD1968" s="17"/>
      <c r="BE1968" s="17"/>
      <c r="BF1968" s="17"/>
      <c r="BG1968" s="17"/>
      <c r="BH1968" s="17"/>
      <c r="BI1968" s="17"/>
      <c r="BJ1968" s="17"/>
      <c r="BK1968" s="17"/>
      <c r="BL1968" s="17"/>
    </row>
    <row r="1969">
      <c r="A1969" s="17"/>
      <c r="B1969" s="17"/>
      <c r="C1969" s="17"/>
      <c r="D1969" s="17"/>
      <c r="E1969" s="17"/>
      <c r="F1969" s="17"/>
      <c r="G1969" s="17"/>
      <c r="H1969" s="356"/>
      <c r="I1969" s="17"/>
      <c r="J1969" s="17"/>
      <c r="K1969" s="17"/>
      <c r="L1969" s="17"/>
      <c r="M1969" s="17"/>
      <c r="N1969" s="17"/>
      <c r="O1969" s="17"/>
      <c r="P1969" s="17"/>
      <c r="Q1969" s="17"/>
      <c r="R1969" s="17"/>
      <c r="S1969" s="17"/>
      <c r="T1969" s="17"/>
      <c r="U1969" s="17"/>
      <c r="V1969" s="17"/>
      <c r="W1969" s="17"/>
      <c r="X1969" s="17"/>
      <c r="Y1969" s="17"/>
      <c r="Z1969" s="17"/>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c r="AV1969" s="17"/>
      <c r="AW1969" s="17"/>
      <c r="AX1969" s="17"/>
      <c r="AY1969" s="17"/>
      <c r="AZ1969" s="17"/>
      <c r="BA1969" s="17"/>
      <c r="BB1969" s="17"/>
      <c r="BC1969" s="17"/>
      <c r="BD1969" s="17"/>
      <c r="BE1969" s="17"/>
      <c r="BF1969" s="17"/>
      <c r="BG1969" s="17"/>
      <c r="BH1969" s="17"/>
      <c r="BI1969" s="17"/>
      <c r="BJ1969" s="17"/>
      <c r="BK1969" s="17"/>
      <c r="BL1969" s="17"/>
    </row>
    <row r="1970">
      <c r="A1970" s="17"/>
      <c r="B1970" s="17"/>
      <c r="C1970" s="17"/>
      <c r="D1970" s="17"/>
      <c r="E1970" s="17"/>
      <c r="F1970" s="17"/>
      <c r="G1970" s="17"/>
      <c r="H1970" s="356"/>
      <c r="I1970" s="17"/>
      <c r="J1970" s="17"/>
      <c r="K1970" s="17"/>
      <c r="L1970" s="17"/>
      <c r="M1970" s="17"/>
      <c r="N1970" s="17"/>
      <c r="O1970" s="17"/>
      <c r="P1970" s="17"/>
      <c r="Q1970" s="17"/>
      <c r="R1970" s="17"/>
      <c r="S1970" s="17"/>
      <c r="T1970" s="17"/>
      <c r="U1970" s="17"/>
      <c r="V1970" s="17"/>
      <c r="W1970" s="17"/>
      <c r="X1970" s="17"/>
      <c r="Y1970" s="17"/>
      <c r="Z1970" s="17"/>
      <c r="AA1970" s="17"/>
      <c r="AB1970" s="17"/>
      <c r="AC1970" s="17"/>
      <c r="AD1970" s="17"/>
      <c r="AE1970" s="17"/>
      <c r="AF1970" s="17"/>
      <c r="AG1970" s="17"/>
      <c r="AH1970" s="17"/>
      <c r="AI1970" s="17"/>
      <c r="AJ1970" s="17"/>
      <c r="AK1970" s="17"/>
      <c r="AL1970" s="17"/>
      <c r="AM1970" s="17"/>
      <c r="AN1970" s="17"/>
      <c r="AO1970" s="17"/>
      <c r="AP1970" s="17"/>
      <c r="AQ1970" s="17"/>
      <c r="AR1970" s="17"/>
      <c r="AS1970" s="17"/>
      <c r="AT1970" s="17"/>
      <c r="AU1970" s="17"/>
      <c r="AV1970" s="17"/>
      <c r="AW1970" s="17"/>
      <c r="AX1970" s="17"/>
      <c r="AY1970" s="17"/>
      <c r="AZ1970" s="17"/>
      <c r="BA1970" s="17"/>
      <c r="BB1970" s="17"/>
      <c r="BC1970" s="17"/>
      <c r="BD1970" s="17"/>
      <c r="BE1970" s="17"/>
      <c r="BF1970" s="17"/>
      <c r="BG1970" s="17"/>
      <c r="BH1970" s="17"/>
      <c r="BI1970" s="17"/>
      <c r="BJ1970" s="17"/>
      <c r="BK1970" s="17"/>
      <c r="BL1970" s="17"/>
    </row>
    <row r="1971">
      <c r="A1971" s="17"/>
      <c r="B1971" s="17"/>
      <c r="C1971" s="17"/>
      <c r="D1971" s="17"/>
      <c r="E1971" s="17"/>
      <c r="F1971" s="17"/>
      <c r="G1971" s="17"/>
      <c r="H1971" s="356"/>
      <c r="I1971" s="17"/>
      <c r="J1971" s="17"/>
      <c r="K1971" s="17"/>
      <c r="L1971" s="17"/>
      <c r="M1971" s="17"/>
      <c r="N1971" s="17"/>
      <c r="O1971" s="17"/>
      <c r="P1971" s="17"/>
      <c r="Q1971" s="17"/>
      <c r="R1971" s="17"/>
      <c r="S1971" s="17"/>
      <c r="T1971" s="17"/>
      <c r="U1971" s="17"/>
      <c r="V1971" s="17"/>
      <c r="W1971" s="17"/>
      <c r="X1971" s="17"/>
      <c r="Y1971" s="17"/>
      <c r="Z1971" s="17"/>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c r="AV1971" s="17"/>
      <c r="AW1971" s="17"/>
      <c r="AX1971" s="17"/>
      <c r="AY1971" s="17"/>
      <c r="AZ1971" s="17"/>
      <c r="BA1971" s="17"/>
      <c r="BB1971" s="17"/>
      <c r="BC1971" s="17"/>
      <c r="BD1971" s="17"/>
      <c r="BE1971" s="17"/>
      <c r="BF1971" s="17"/>
      <c r="BG1971" s="17"/>
      <c r="BH1971" s="17"/>
      <c r="BI1971" s="17"/>
      <c r="BJ1971" s="17"/>
      <c r="BK1971" s="17"/>
      <c r="BL1971" s="17"/>
    </row>
    <row r="1972">
      <c r="A1972" s="17"/>
      <c r="B1972" s="17"/>
      <c r="C1972" s="17"/>
      <c r="D1972" s="17"/>
      <c r="E1972" s="17"/>
      <c r="F1972" s="17"/>
      <c r="G1972" s="17"/>
      <c r="H1972" s="356"/>
      <c r="I1972" s="17"/>
      <c r="J1972" s="17"/>
      <c r="K1972" s="17"/>
      <c r="L1972" s="17"/>
      <c r="M1972" s="17"/>
      <c r="N1972" s="17"/>
      <c r="O1972" s="17"/>
      <c r="P1972" s="17"/>
      <c r="Q1972" s="17"/>
      <c r="R1972" s="17"/>
      <c r="S1972" s="17"/>
      <c r="T1972" s="17"/>
      <c r="U1972" s="17"/>
      <c r="V1972" s="17"/>
      <c r="W1972" s="17"/>
      <c r="X1972" s="17"/>
      <c r="Y1972" s="17"/>
      <c r="Z1972" s="17"/>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c r="AV1972" s="17"/>
      <c r="AW1972" s="17"/>
      <c r="AX1972" s="17"/>
      <c r="AY1972" s="17"/>
      <c r="AZ1972" s="17"/>
      <c r="BA1972" s="17"/>
      <c r="BB1972" s="17"/>
      <c r="BC1972" s="17"/>
      <c r="BD1972" s="17"/>
      <c r="BE1972" s="17"/>
      <c r="BF1972" s="17"/>
      <c r="BG1972" s="17"/>
      <c r="BH1972" s="17"/>
      <c r="BI1972" s="17"/>
      <c r="BJ1972" s="17"/>
      <c r="BK1972" s="17"/>
      <c r="BL1972" s="17"/>
    </row>
    <row r="1973">
      <c r="A1973" s="17"/>
      <c r="B1973" s="17"/>
      <c r="C1973" s="17"/>
      <c r="D1973" s="17"/>
      <c r="E1973" s="17"/>
      <c r="F1973" s="17"/>
      <c r="G1973" s="17"/>
      <c r="H1973" s="356"/>
      <c r="I1973" s="17"/>
      <c r="J1973" s="17"/>
      <c r="K1973" s="17"/>
      <c r="L1973" s="17"/>
      <c r="M1973" s="17"/>
      <c r="N1973" s="17"/>
      <c r="O1973" s="17"/>
      <c r="P1973" s="17"/>
      <c r="Q1973" s="17"/>
      <c r="R1973" s="17"/>
      <c r="S1973" s="17"/>
      <c r="T1973" s="17"/>
      <c r="U1973" s="17"/>
      <c r="V1973" s="17"/>
      <c r="W1973" s="17"/>
      <c r="X1973" s="17"/>
      <c r="Y1973" s="17"/>
      <c r="Z1973" s="17"/>
      <c r="AA1973" s="17"/>
      <c r="AB1973" s="17"/>
      <c r="AC1973" s="17"/>
      <c r="AD1973" s="17"/>
      <c r="AE1973" s="17"/>
      <c r="AF1973" s="17"/>
      <c r="AG1973" s="17"/>
      <c r="AH1973" s="17"/>
      <c r="AI1973" s="17"/>
      <c r="AJ1973" s="17"/>
      <c r="AK1973" s="17"/>
      <c r="AL1973" s="17"/>
      <c r="AM1973" s="17"/>
      <c r="AN1973" s="17"/>
      <c r="AO1973" s="17"/>
      <c r="AP1973" s="17"/>
      <c r="AQ1973" s="17"/>
      <c r="AR1973" s="17"/>
      <c r="AS1973" s="17"/>
      <c r="AT1973" s="17"/>
      <c r="AU1973" s="17"/>
      <c r="AV1973" s="17"/>
      <c r="AW1973" s="17"/>
      <c r="AX1973" s="17"/>
      <c r="AY1973" s="17"/>
      <c r="AZ1973" s="17"/>
      <c r="BA1973" s="17"/>
      <c r="BB1973" s="17"/>
      <c r="BC1973" s="17"/>
      <c r="BD1973" s="17"/>
      <c r="BE1973" s="17"/>
      <c r="BF1973" s="17"/>
      <c r="BG1973" s="17"/>
      <c r="BH1973" s="17"/>
      <c r="BI1973" s="17"/>
      <c r="BJ1973" s="17"/>
      <c r="BK1973" s="17"/>
      <c r="BL1973" s="17"/>
    </row>
    <row r="1974">
      <c r="A1974" s="17"/>
      <c r="B1974" s="17"/>
      <c r="C1974" s="17"/>
      <c r="D1974" s="17"/>
      <c r="E1974" s="17"/>
      <c r="F1974" s="17"/>
      <c r="G1974" s="17"/>
      <c r="H1974" s="356"/>
      <c r="I1974" s="17"/>
      <c r="J1974" s="17"/>
      <c r="K1974" s="17"/>
      <c r="L1974" s="17"/>
      <c r="M1974" s="17"/>
      <c r="N1974" s="17"/>
      <c r="O1974" s="17"/>
      <c r="P1974" s="17"/>
      <c r="Q1974" s="17"/>
      <c r="R1974" s="17"/>
      <c r="S1974" s="17"/>
      <c r="T1974" s="17"/>
      <c r="U1974" s="17"/>
      <c r="V1974" s="17"/>
      <c r="W1974" s="17"/>
      <c r="X1974" s="17"/>
      <c r="Y1974" s="17"/>
      <c r="Z1974" s="17"/>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c r="AV1974" s="17"/>
      <c r="AW1974" s="17"/>
      <c r="AX1974" s="17"/>
      <c r="AY1974" s="17"/>
      <c r="AZ1974" s="17"/>
      <c r="BA1974" s="17"/>
      <c r="BB1974" s="17"/>
      <c r="BC1974" s="17"/>
      <c r="BD1974" s="17"/>
      <c r="BE1974" s="17"/>
      <c r="BF1974" s="17"/>
      <c r="BG1974" s="17"/>
      <c r="BH1974" s="17"/>
      <c r="BI1974" s="17"/>
      <c r="BJ1974" s="17"/>
      <c r="BK1974" s="17"/>
      <c r="BL1974" s="17"/>
    </row>
    <row r="1975">
      <c r="A1975" s="17"/>
      <c r="B1975" s="17"/>
      <c r="C1975" s="17"/>
      <c r="D1975" s="17"/>
      <c r="E1975" s="17"/>
      <c r="F1975" s="17"/>
      <c r="G1975" s="17"/>
      <c r="H1975" s="356"/>
      <c r="I1975" s="17"/>
      <c r="J1975" s="17"/>
      <c r="K1975" s="17"/>
      <c r="L1975" s="17"/>
      <c r="M1975" s="17"/>
      <c r="N1975" s="17"/>
      <c r="O1975" s="17"/>
      <c r="P1975" s="17"/>
      <c r="Q1975" s="17"/>
      <c r="R1975" s="17"/>
      <c r="S1975" s="17"/>
      <c r="T1975" s="17"/>
      <c r="U1975" s="17"/>
      <c r="V1975" s="17"/>
      <c r="W1975" s="17"/>
      <c r="X1975" s="17"/>
      <c r="Y1975" s="17"/>
      <c r="Z1975" s="17"/>
      <c r="AA1975" s="17"/>
      <c r="AB1975" s="17"/>
      <c r="AC1975" s="17"/>
      <c r="AD1975" s="17"/>
      <c r="AE1975" s="17"/>
      <c r="AF1975" s="17"/>
      <c r="AG1975" s="17"/>
      <c r="AH1975" s="17"/>
      <c r="AI1975" s="17"/>
      <c r="AJ1975" s="17"/>
      <c r="AK1975" s="17"/>
      <c r="AL1975" s="17"/>
      <c r="AM1975" s="17"/>
      <c r="AN1975" s="17"/>
      <c r="AO1975" s="17"/>
      <c r="AP1975" s="17"/>
      <c r="AQ1975" s="17"/>
      <c r="AR1975" s="17"/>
      <c r="AS1975" s="17"/>
      <c r="AT1975" s="17"/>
      <c r="AU1975" s="17"/>
      <c r="AV1975" s="17"/>
      <c r="AW1975" s="17"/>
      <c r="AX1975" s="17"/>
      <c r="AY1975" s="17"/>
      <c r="AZ1975" s="17"/>
      <c r="BA1975" s="17"/>
      <c r="BB1975" s="17"/>
      <c r="BC1975" s="17"/>
      <c r="BD1975" s="17"/>
      <c r="BE1975" s="17"/>
      <c r="BF1975" s="17"/>
      <c r="BG1975" s="17"/>
      <c r="BH1975" s="17"/>
      <c r="BI1975" s="17"/>
      <c r="BJ1975" s="17"/>
      <c r="BK1975" s="17"/>
      <c r="BL1975" s="17"/>
    </row>
    <row r="1976">
      <c r="A1976" s="17"/>
      <c r="B1976" s="17"/>
      <c r="C1976" s="17"/>
      <c r="D1976" s="17"/>
      <c r="E1976" s="17"/>
      <c r="F1976" s="17"/>
      <c r="G1976" s="17"/>
      <c r="H1976" s="356"/>
      <c r="I1976" s="17"/>
      <c r="J1976" s="17"/>
      <c r="K1976" s="17"/>
      <c r="L1976" s="17"/>
      <c r="M1976" s="17"/>
      <c r="N1976" s="17"/>
      <c r="O1976" s="17"/>
      <c r="P1976" s="17"/>
      <c r="Q1976" s="17"/>
      <c r="R1976" s="17"/>
      <c r="S1976" s="17"/>
      <c r="T1976" s="17"/>
      <c r="U1976" s="17"/>
      <c r="V1976" s="17"/>
      <c r="W1976" s="17"/>
      <c r="X1976" s="17"/>
      <c r="Y1976" s="17"/>
      <c r="Z1976" s="17"/>
      <c r="AA1976" s="17"/>
      <c r="AB1976" s="17"/>
      <c r="AC1976" s="17"/>
      <c r="AD1976" s="17"/>
      <c r="AE1976" s="17"/>
      <c r="AF1976" s="17"/>
      <c r="AG1976" s="17"/>
      <c r="AH1976" s="17"/>
      <c r="AI1976" s="17"/>
      <c r="AJ1976" s="17"/>
      <c r="AK1976" s="17"/>
      <c r="AL1976" s="17"/>
      <c r="AM1976" s="17"/>
      <c r="AN1976" s="17"/>
      <c r="AO1976" s="17"/>
      <c r="AP1976" s="17"/>
      <c r="AQ1976" s="17"/>
      <c r="AR1976" s="17"/>
      <c r="AS1976" s="17"/>
      <c r="AT1976" s="17"/>
      <c r="AU1976" s="17"/>
      <c r="AV1976" s="17"/>
      <c r="AW1976" s="17"/>
      <c r="AX1976" s="17"/>
      <c r="AY1976" s="17"/>
      <c r="AZ1976" s="17"/>
      <c r="BA1976" s="17"/>
      <c r="BB1976" s="17"/>
      <c r="BC1976" s="17"/>
      <c r="BD1976" s="17"/>
      <c r="BE1976" s="17"/>
      <c r="BF1976" s="17"/>
      <c r="BG1976" s="17"/>
      <c r="BH1976" s="17"/>
      <c r="BI1976" s="17"/>
      <c r="BJ1976" s="17"/>
      <c r="BK1976" s="17"/>
      <c r="BL1976" s="17"/>
    </row>
    <row r="1977">
      <c r="A1977" s="17"/>
      <c r="B1977" s="17"/>
      <c r="C1977" s="17"/>
      <c r="D1977" s="17"/>
      <c r="E1977" s="17"/>
      <c r="F1977" s="17"/>
      <c r="G1977" s="17"/>
      <c r="H1977" s="356"/>
      <c r="I1977" s="17"/>
      <c r="J1977" s="17"/>
      <c r="K1977" s="17"/>
      <c r="L1977" s="17"/>
      <c r="M1977" s="17"/>
      <c r="N1977" s="17"/>
      <c r="O1977" s="17"/>
      <c r="P1977" s="17"/>
      <c r="Q1977" s="17"/>
      <c r="R1977" s="17"/>
      <c r="S1977" s="17"/>
      <c r="T1977" s="17"/>
      <c r="U1977" s="17"/>
      <c r="V1977" s="17"/>
      <c r="W1977" s="17"/>
      <c r="X1977" s="17"/>
      <c r="Y1977" s="17"/>
      <c r="Z1977" s="17"/>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c r="AV1977" s="17"/>
      <c r="AW1977" s="17"/>
      <c r="AX1977" s="17"/>
      <c r="AY1977" s="17"/>
      <c r="AZ1977" s="17"/>
      <c r="BA1977" s="17"/>
      <c r="BB1977" s="17"/>
      <c r="BC1977" s="17"/>
      <c r="BD1977" s="17"/>
      <c r="BE1977" s="17"/>
      <c r="BF1977" s="17"/>
      <c r="BG1977" s="17"/>
      <c r="BH1977" s="17"/>
      <c r="BI1977" s="17"/>
      <c r="BJ1977" s="17"/>
      <c r="BK1977" s="17"/>
      <c r="BL1977" s="17"/>
    </row>
    <row r="1978">
      <c r="A1978" s="17"/>
      <c r="B1978" s="17"/>
      <c r="C1978" s="17"/>
      <c r="D1978" s="17"/>
      <c r="E1978" s="17"/>
      <c r="F1978" s="17"/>
      <c r="G1978" s="17"/>
      <c r="H1978" s="356"/>
      <c r="I1978" s="17"/>
      <c r="J1978" s="17"/>
      <c r="K1978" s="17"/>
      <c r="L1978" s="17"/>
      <c r="M1978" s="17"/>
      <c r="N1978" s="17"/>
      <c r="O1978" s="17"/>
      <c r="P1978" s="17"/>
      <c r="Q1978" s="17"/>
      <c r="R1978" s="17"/>
      <c r="S1978" s="17"/>
      <c r="T1978" s="17"/>
      <c r="U1978" s="17"/>
      <c r="V1978" s="17"/>
      <c r="W1978" s="17"/>
      <c r="X1978" s="17"/>
      <c r="Y1978" s="17"/>
      <c r="Z1978" s="17"/>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c r="AV1978" s="17"/>
      <c r="AW1978" s="17"/>
      <c r="AX1978" s="17"/>
      <c r="AY1978" s="17"/>
      <c r="AZ1978" s="17"/>
      <c r="BA1978" s="17"/>
      <c r="BB1978" s="17"/>
      <c r="BC1978" s="17"/>
      <c r="BD1978" s="17"/>
      <c r="BE1978" s="17"/>
      <c r="BF1978" s="17"/>
      <c r="BG1978" s="17"/>
      <c r="BH1978" s="17"/>
      <c r="BI1978" s="17"/>
      <c r="BJ1978" s="17"/>
      <c r="BK1978" s="17"/>
      <c r="BL1978" s="17"/>
    </row>
    <row r="1979">
      <c r="A1979" s="17"/>
      <c r="B1979" s="17"/>
      <c r="C1979" s="17"/>
      <c r="D1979" s="17"/>
      <c r="E1979" s="17"/>
      <c r="F1979" s="17"/>
      <c r="G1979" s="17"/>
      <c r="H1979" s="356"/>
      <c r="I1979" s="17"/>
      <c r="J1979" s="17"/>
      <c r="K1979" s="17"/>
      <c r="L1979" s="17"/>
      <c r="M1979" s="17"/>
      <c r="N1979" s="17"/>
      <c r="O1979" s="17"/>
      <c r="P1979" s="17"/>
      <c r="Q1979" s="17"/>
      <c r="R1979" s="17"/>
      <c r="S1979" s="17"/>
      <c r="T1979" s="17"/>
      <c r="U1979" s="17"/>
      <c r="V1979" s="17"/>
      <c r="W1979" s="17"/>
      <c r="X1979" s="17"/>
      <c r="Y1979" s="17"/>
      <c r="Z1979" s="17"/>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c r="AV1979" s="17"/>
      <c r="AW1979" s="17"/>
      <c r="AX1979" s="17"/>
      <c r="AY1979" s="17"/>
      <c r="AZ1979" s="17"/>
      <c r="BA1979" s="17"/>
      <c r="BB1979" s="17"/>
      <c r="BC1979" s="17"/>
      <c r="BD1979" s="17"/>
      <c r="BE1979" s="17"/>
      <c r="BF1979" s="17"/>
      <c r="BG1979" s="17"/>
      <c r="BH1979" s="17"/>
      <c r="BI1979" s="17"/>
      <c r="BJ1979" s="17"/>
      <c r="BK1979" s="17"/>
      <c r="BL1979" s="17"/>
    </row>
    <row r="1980">
      <c r="A1980" s="17"/>
      <c r="B1980" s="17"/>
      <c r="C1980" s="17"/>
      <c r="D1980" s="17"/>
      <c r="E1980" s="17"/>
      <c r="F1980" s="17"/>
      <c r="G1980" s="17"/>
      <c r="H1980" s="356"/>
      <c r="I1980" s="17"/>
      <c r="J1980" s="17"/>
      <c r="K1980" s="17"/>
      <c r="L1980" s="17"/>
      <c r="M1980" s="17"/>
      <c r="N1980" s="17"/>
      <c r="O1980" s="17"/>
      <c r="P1980" s="17"/>
      <c r="Q1980" s="17"/>
      <c r="R1980" s="17"/>
      <c r="S1980" s="17"/>
      <c r="T1980" s="17"/>
      <c r="U1980" s="17"/>
      <c r="V1980" s="17"/>
      <c r="W1980" s="17"/>
      <c r="X1980" s="17"/>
      <c r="Y1980" s="17"/>
      <c r="Z1980" s="17"/>
      <c r="AA1980" s="17"/>
      <c r="AB1980" s="17"/>
      <c r="AC1980" s="17"/>
      <c r="AD1980" s="17"/>
      <c r="AE1980" s="17"/>
      <c r="AF1980" s="17"/>
      <c r="AG1980" s="17"/>
      <c r="AH1980" s="17"/>
      <c r="AI1980" s="17"/>
      <c r="AJ1980" s="17"/>
      <c r="AK1980" s="17"/>
      <c r="AL1980" s="17"/>
      <c r="AM1980" s="17"/>
      <c r="AN1980" s="17"/>
      <c r="AO1980" s="17"/>
      <c r="AP1980" s="17"/>
      <c r="AQ1980" s="17"/>
      <c r="AR1980" s="17"/>
      <c r="AS1980" s="17"/>
      <c r="AT1980" s="17"/>
      <c r="AU1980" s="17"/>
      <c r="AV1980" s="17"/>
      <c r="AW1980" s="17"/>
      <c r="AX1980" s="17"/>
      <c r="AY1980" s="17"/>
      <c r="AZ1980" s="17"/>
      <c r="BA1980" s="17"/>
      <c r="BB1980" s="17"/>
      <c r="BC1980" s="17"/>
      <c r="BD1980" s="17"/>
      <c r="BE1980" s="17"/>
      <c r="BF1980" s="17"/>
      <c r="BG1980" s="17"/>
      <c r="BH1980" s="17"/>
      <c r="BI1980" s="17"/>
      <c r="BJ1980" s="17"/>
      <c r="BK1980" s="17"/>
      <c r="BL1980" s="17"/>
    </row>
    <row r="1981">
      <c r="A1981" s="17"/>
      <c r="B1981" s="17"/>
      <c r="C1981" s="17"/>
      <c r="D1981" s="17"/>
      <c r="E1981" s="17"/>
      <c r="F1981" s="17"/>
      <c r="G1981" s="17"/>
      <c r="H1981" s="356"/>
      <c r="I1981" s="17"/>
      <c r="J1981" s="17"/>
      <c r="K1981" s="17"/>
      <c r="L1981" s="17"/>
      <c r="M1981" s="17"/>
      <c r="N1981" s="17"/>
      <c r="O1981" s="17"/>
      <c r="P1981" s="17"/>
      <c r="Q1981" s="17"/>
      <c r="R1981" s="17"/>
      <c r="S1981" s="17"/>
      <c r="T1981" s="17"/>
      <c r="U1981" s="17"/>
      <c r="V1981" s="17"/>
      <c r="W1981" s="17"/>
      <c r="X1981" s="17"/>
      <c r="Y1981" s="17"/>
      <c r="Z1981" s="17"/>
      <c r="AA1981" s="17"/>
      <c r="AB1981" s="17"/>
      <c r="AC1981" s="17"/>
      <c r="AD1981" s="17"/>
      <c r="AE1981" s="17"/>
      <c r="AF1981" s="17"/>
      <c r="AG1981" s="17"/>
      <c r="AH1981" s="17"/>
      <c r="AI1981" s="17"/>
      <c r="AJ1981" s="17"/>
      <c r="AK1981" s="17"/>
      <c r="AL1981" s="17"/>
      <c r="AM1981" s="17"/>
      <c r="AN1981" s="17"/>
      <c r="AO1981" s="17"/>
      <c r="AP1981" s="17"/>
      <c r="AQ1981" s="17"/>
      <c r="AR1981" s="17"/>
      <c r="AS1981" s="17"/>
      <c r="AT1981" s="17"/>
      <c r="AU1981" s="17"/>
      <c r="AV1981" s="17"/>
      <c r="AW1981" s="17"/>
      <c r="AX1981" s="17"/>
      <c r="AY1981" s="17"/>
      <c r="AZ1981" s="17"/>
      <c r="BA1981" s="17"/>
      <c r="BB1981" s="17"/>
      <c r="BC1981" s="17"/>
      <c r="BD1981" s="17"/>
      <c r="BE1981" s="17"/>
      <c r="BF1981" s="17"/>
      <c r="BG1981" s="17"/>
      <c r="BH1981" s="17"/>
      <c r="BI1981" s="17"/>
      <c r="BJ1981" s="17"/>
      <c r="BK1981" s="17"/>
      <c r="BL1981" s="17"/>
    </row>
    <row r="1982">
      <c r="A1982" s="17"/>
      <c r="B1982" s="17"/>
      <c r="C1982" s="17"/>
      <c r="D1982" s="17"/>
      <c r="E1982" s="17"/>
      <c r="F1982" s="17"/>
      <c r="G1982" s="17"/>
      <c r="H1982" s="356"/>
      <c r="I1982" s="17"/>
      <c r="J1982" s="17"/>
      <c r="K1982" s="17"/>
      <c r="L1982" s="17"/>
      <c r="M1982" s="17"/>
      <c r="N1982" s="17"/>
      <c r="O1982" s="17"/>
      <c r="P1982" s="17"/>
      <c r="Q1982" s="17"/>
      <c r="R1982" s="17"/>
      <c r="S1982" s="17"/>
      <c r="T1982" s="17"/>
      <c r="U1982" s="17"/>
      <c r="V1982" s="17"/>
      <c r="W1982" s="17"/>
      <c r="X1982" s="17"/>
      <c r="Y1982" s="17"/>
      <c r="Z1982" s="17"/>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c r="AV1982" s="17"/>
      <c r="AW1982" s="17"/>
      <c r="AX1982" s="17"/>
      <c r="AY1982" s="17"/>
      <c r="AZ1982" s="17"/>
      <c r="BA1982" s="17"/>
      <c r="BB1982" s="17"/>
      <c r="BC1982" s="17"/>
      <c r="BD1982" s="17"/>
      <c r="BE1982" s="17"/>
      <c r="BF1982" s="17"/>
      <c r="BG1982" s="17"/>
      <c r="BH1982" s="17"/>
      <c r="BI1982" s="17"/>
      <c r="BJ1982" s="17"/>
      <c r="BK1982" s="17"/>
      <c r="BL1982" s="17"/>
    </row>
    <row r="1983">
      <c r="A1983" s="17"/>
      <c r="B1983" s="17"/>
      <c r="C1983" s="17"/>
      <c r="D1983" s="17"/>
      <c r="E1983" s="17"/>
      <c r="F1983" s="17"/>
      <c r="G1983" s="17"/>
      <c r="H1983" s="356"/>
      <c r="I1983" s="17"/>
      <c r="J1983" s="17"/>
      <c r="K1983" s="17"/>
      <c r="L1983" s="17"/>
      <c r="M1983" s="17"/>
      <c r="N1983" s="17"/>
      <c r="O1983" s="17"/>
      <c r="P1983" s="17"/>
      <c r="Q1983" s="17"/>
      <c r="R1983" s="17"/>
      <c r="S1983" s="17"/>
      <c r="T1983" s="17"/>
      <c r="U1983" s="17"/>
      <c r="V1983" s="17"/>
      <c r="W1983" s="17"/>
      <c r="X1983" s="17"/>
      <c r="Y1983" s="17"/>
      <c r="Z1983" s="17"/>
      <c r="AA1983" s="17"/>
      <c r="AB1983" s="17"/>
      <c r="AC1983" s="17"/>
      <c r="AD1983" s="17"/>
      <c r="AE1983" s="17"/>
      <c r="AF1983" s="17"/>
      <c r="AG1983" s="17"/>
      <c r="AH1983" s="17"/>
      <c r="AI1983" s="17"/>
      <c r="AJ1983" s="17"/>
      <c r="AK1983" s="17"/>
      <c r="AL1983" s="17"/>
      <c r="AM1983" s="17"/>
      <c r="AN1983" s="17"/>
      <c r="AO1983" s="17"/>
      <c r="AP1983" s="17"/>
      <c r="AQ1983" s="17"/>
      <c r="AR1983" s="17"/>
      <c r="AS1983" s="17"/>
      <c r="AT1983" s="17"/>
      <c r="AU1983" s="17"/>
      <c r="AV1983" s="17"/>
      <c r="AW1983" s="17"/>
      <c r="AX1983" s="17"/>
      <c r="AY1983" s="17"/>
      <c r="AZ1983" s="17"/>
      <c r="BA1983" s="17"/>
      <c r="BB1983" s="17"/>
      <c r="BC1983" s="17"/>
      <c r="BD1983" s="17"/>
      <c r="BE1983" s="17"/>
      <c r="BF1983" s="17"/>
      <c r="BG1983" s="17"/>
      <c r="BH1983" s="17"/>
      <c r="BI1983" s="17"/>
      <c r="BJ1983" s="17"/>
      <c r="BK1983" s="17"/>
      <c r="BL1983" s="17"/>
    </row>
    <row r="1984">
      <c r="A1984" s="17"/>
      <c r="B1984" s="17"/>
      <c r="C1984" s="17"/>
      <c r="D1984" s="17"/>
      <c r="E1984" s="17"/>
      <c r="F1984" s="17"/>
      <c r="G1984" s="17"/>
      <c r="H1984" s="356"/>
      <c r="I1984" s="17"/>
      <c r="J1984" s="17"/>
      <c r="K1984" s="17"/>
      <c r="L1984" s="17"/>
      <c r="M1984" s="17"/>
      <c r="N1984" s="17"/>
      <c r="O1984" s="17"/>
      <c r="P1984" s="17"/>
      <c r="Q1984" s="17"/>
      <c r="R1984" s="17"/>
      <c r="S1984" s="17"/>
      <c r="T1984" s="17"/>
      <c r="U1984" s="17"/>
      <c r="V1984" s="17"/>
      <c r="W1984" s="17"/>
      <c r="X1984" s="17"/>
      <c r="Y1984" s="17"/>
      <c r="Z1984" s="17"/>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c r="AV1984" s="17"/>
      <c r="AW1984" s="17"/>
      <c r="AX1984" s="17"/>
      <c r="AY1984" s="17"/>
      <c r="AZ1984" s="17"/>
      <c r="BA1984" s="17"/>
      <c r="BB1984" s="17"/>
      <c r="BC1984" s="17"/>
      <c r="BD1984" s="17"/>
      <c r="BE1984" s="17"/>
      <c r="BF1984" s="17"/>
      <c r="BG1984" s="17"/>
      <c r="BH1984" s="17"/>
      <c r="BI1984" s="17"/>
      <c r="BJ1984" s="17"/>
      <c r="BK1984" s="17"/>
      <c r="BL1984" s="17"/>
    </row>
    <row r="1985">
      <c r="A1985" s="17"/>
      <c r="B1985" s="17"/>
      <c r="C1985" s="17"/>
      <c r="D1985" s="17"/>
      <c r="E1985" s="17"/>
      <c r="F1985" s="17"/>
      <c r="G1985" s="17"/>
      <c r="H1985" s="356"/>
      <c r="I1985" s="17"/>
      <c r="J1985" s="17"/>
      <c r="K1985" s="17"/>
      <c r="L1985" s="17"/>
      <c r="M1985" s="17"/>
      <c r="N1985" s="17"/>
      <c r="O1985" s="17"/>
      <c r="P1985" s="17"/>
      <c r="Q1985" s="17"/>
      <c r="R1985" s="17"/>
      <c r="S1985" s="17"/>
      <c r="T1985" s="17"/>
      <c r="U1985" s="17"/>
      <c r="V1985" s="17"/>
      <c r="W1985" s="17"/>
      <c r="X1985" s="17"/>
      <c r="Y1985" s="17"/>
      <c r="Z1985" s="17"/>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c r="AV1985" s="17"/>
      <c r="AW1985" s="17"/>
      <c r="AX1985" s="17"/>
      <c r="AY1985" s="17"/>
      <c r="AZ1985" s="17"/>
      <c r="BA1985" s="17"/>
      <c r="BB1985" s="17"/>
      <c r="BC1985" s="17"/>
      <c r="BD1985" s="17"/>
      <c r="BE1985" s="17"/>
      <c r="BF1985" s="17"/>
      <c r="BG1985" s="17"/>
      <c r="BH1985" s="17"/>
      <c r="BI1985" s="17"/>
      <c r="BJ1985" s="17"/>
      <c r="BK1985" s="17"/>
      <c r="BL1985" s="17"/>
    </row>
    <row r="1986">
      <c r="A1986" s="17"/>
      <c r="B1986" s="17"/>
      <c r="C1986" s="17"/>
      <c r="D1986" s="17"/>
      <c r="E1986" s="17"/>
      <c r="F1986" s="17"/>
      <c r="G1986" s="17"/>
      <c r="H1986" s="356"/>
      <c r="I1986" s="17"/>
      <c r="J1986" s="17"/>
      <c r="K1986" s="17"/>
      <c r="L1986" s="17"/>
      <c r="M1986" s="17"/>
      <c r="N1986" s="17"/>
      <c r="O1986" s="17"/>
      <c r="P1986" s="17"/>
      <c r="Q1986" s="17"/>
      <c r="R1986" s="17"/>
      <c r="S1986" s="17"/>
      <c r="T1986" s="17"/>
      <c r="U1986" s="17"/>
      <c r="V1986" s="17"/>
      <c r="W1986" s="17"/>
      <c r="X1986" s="17"/>
      <c r="Y1986" s="17"/>
      <c r="Z1986" s="17"/>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c r="AV1986" s="17"/>
      <c r="AW1986" s="17"/>
      <c r="AX1986" s="17"/>
      <c r="AY1986" s="17"/>
      <c r="AZ1986" s="17"/>
      <c r="BA1986" s="17"/>
      <c r="BB1986" s="17"/>
      <c r="BC1986" s="17"/>
      <c r="BD1986" s="17"/>
      <c r="BE1986" s="17"/>
      <c r="BF1986" s="17"/>
      <c r="BG1986" s="17"/>
      <c r="BH1986" s="17"/>
      <c r="BI1986" s="17"/>
      <c r="BJ1986" s="17"/>
      <c r="BK1986" s="17"/>
      <c r="BL1986" s="17"/>
    </row>
    <row r="1987">
      <c r="A1987" s="17"/>
      <c r="B1987" s="17"/>
      <c r="C1987" s="17"/>
      <c r="D1987" s="17"/>
      <c r="E1987" s="17"/>
      <c r="F1987" s="17"/>
      <c r="G1987" s="17"/>
      <c r="H1987" s="356"/>
      <c r="I1987" s="17"/>
      <c r="J1987" s="17"/>
      <c r="K1987" s="17"/>
      <c r="L1987" s="17"/>
      <c r="M1987" s="17"/>
      <c r="N1987" s="17"/>
      <c r="O1987" s="17"/>
      <c r="P1987" s="17"/>
      <c r="Q1987" s="17"/>
      <c r="R1987" s="17"/>
      <c r="S1987" s="17"/>
      <c r="T1987" s="17"/>
      <c r="U1987" s="17"/>
      <c r="V1987" s="17"/>
      <c r="W1987" s="17"/>
      <c r="X1987" s="17"/>
      <c r="Y1987" s="17"/>
      <c r="Z1987" s="17"/>
      <c r="AA1987" s="17"/>
      <c r="AB1987" s="17"/>
      <c r="AC1987" s="17"/>
      <c r="AD1987" s="17"/>
      <c r="AE1987" s="17"/>
      <c r="AF1987" s="17"/>
      <c r="AG1987" s="17"/>
      <c r="AH1987" s="17"/>
      <c r="AI1987" s="17"/>
      <c r="AJ1987" s="17"/>
      <c r="AK1987" s="17"/>
      <c r="AL1987" s="17"/>
      <c r="AM1987" s="17"/>
      <c r="AN1987" s="17"/>
      <c r="AO1987" s="17"/>
      <c r="AP1987" s="17"/>
      <c r="AQ1987" s="17"/>
      <c r="AR1987" s="17"/>
      <c r="AS1987" s="17"/>
      <c r="AT1987" s="17"/>
      <c r="AU1987" s="17"/>
      <c r="AV1987" s="17"/>
      <c r="AW1987" s="17"/>
      <c r="AX1987" s="17"/>
      <c r="AY1987" s="17"/>
      <c r="AZ1987" s="17"/>
      <c r="BA1987" s="17"/>
      <c r="BB1987" s="17"/>
      <c r="BC1987" s="17"/>
      <c r="BD1987" s="17"/>
      <c r="BE1987" s="17"/>
      <c r="BF1987" s="17"/>
      <c r="BG1987" s="17"/>
      <c r="BH1987" s="17"/>
      <c r="BI1987" s="17"/>
      <c r="BJ1987" s="17"/>
      <c r="BK1987" s="17"/>
      <c r="BL1987" s="17"/>
    </row>
    <row r="1988">
      <c r="A1988" s="17"/>
      <c r="B1988" s="17"/>
      <c r="C1988" s="17"/>
      <c r="D1988" s="17"/>
      <c r="E1988" s="17"/>
      <c r="F1988" s="17"/>
      <c r="G1988" s="17"/>
      <c r="H1988" s="356"/>
      <c r="I1988" s="17"/>
      <c r="J1988" s="17"/>
      <c r="K1988" s="17"/>
      <c r="L1988" s="17"/>
      <c r="M1988" s="17"/>
      <c r="N1988" s="17"/>
      <c r="O1988" s="17"/>
      <c r="P1988" s="17"/>
      <c r="Q1988" s="17"/>
      <c r="R1988" s="17"/>
      <c r="S1988" s="17"/>
      <c r="T1988" s="17"/>
      <c r="U1988" s="17"/>
      <c r="V1988" s="17"/>
      <c r="W1988" s="17"/>
      <c r="X1988" s="17"/>
      <c r="Y1988" s="17"/>
      <c r="Z1988" s="17"/>
      <c r="AA1988" s="17"/>
      <c r="AB1988" s="17"/>
      <c r="AC1988" s="17"/>
      <c r="AD1988" s="17"/>
      <c r="AE1988" s="17"/>
      <c r="AF1988" s="17"/>
      <c r="AG1988" s="17"/>
      <c r="AH1988" s="17"/>
      <c r="AI1988" s="17"/>
      <c r="AJ1988" s="17"/>
      <c r="AK1988" s="17"/>
      <c r="AL1988" s="17"/>
      <c r="AM1988" s="17"/>
      <c r="AN1988" s="17"/>
      <c r="AO1988" s="17"/>
      <c r="AP1988" s="17"/>
      <c r="AQ1988" s="17"/>
      <c r="AR1988" s="17"/>
      <c r="AS1988" s="17"/>
      <c r="AT1988" s="17"/>
      <c r="AU1988" s="17"/>
      <c r="AV1988" s="17"/>
      <c r="AW1988" s="17"/>
      <c r="AX1988" s="17"/>
      <c r="AY1988" s="17"/>
      <c r="AZ1988" s="17"/>
      <c r="BA1988" s="17"/>
      <c r="BB1988" s="17"/>
      <c r="BC1988" s="17"/>
      <c r="BD1988" s="17"/>
      <c r="BE1988" s="17"/>
      <c r="BF1988" s="17"/>
      <c r="BG1988" s="17"/>
      <c r="BH1988" s="17"/>
      <c r="BI1988" s="17"/>
      <c r="BJ1988" s="17"/>
      <c r="BK1988" s="17"/>
      <c r="BL1988" s="17"/>
    </row>
    <row r="1989">
      <c r="A1989" s="17"/>
      <c r="B1989" s="17"/>
      <c r="C1989" s="17"/>
      <c r="D1989" s="17"/>
      <c r="E1989" s="17"/>
      <c r="F1989" s="17"/>
      <c r="G1989" s="17"/>
      <c r="H1989" s="356"/>
      <c r="I1989" s="17"/>
      <c r="J1989" s="17"/>
      <c r="K1989" s="17"/>
      <c r="L1989" s="17"/>
      <c r="M1989" s="17"/>
      <c r="N1989" s="17"/>
      <c r="O1989" s="17"/>
      <c r="P1989" s="17"/>
      <c r="Q1989" s="17"/>
      <c r="R1989" s="17"/>
      <c r="S1989" s="17"/>
      <c r="T1989" s="17"/>
      <c r="U1989" s="17"/>
      <c r="V1989" s="17"/>
      <c r="W1989" s="17"/>
      <c r="X1989" s="17"/>
      <c r="Y1989" s="17"/>
      <c r="Z1989" s="17"/>
      <c r="AA1989" s="17"/>
      <c r="AB1989" s="17"/>
      <c r="AC1989" s="17"/>
      <c r="AD1989" s="17"/>
      <c r="AE1989" s="17"/>
      <c r="AF1989" s="17"/>
      <c r="AG1989" s="17"/>
      <c r="AH1989" s="17"/>
      <c r="AI1989" s="17"/>
      <c r="AJ1989" s="17"/>
      <c r="AK1989" s="17"/>
      <c r="AL1989" s="17"/>
      <c r="AM1989" s="17"/>
      <c r="AN1989" s="17"/>
      <c r="AO1989" s="17"/>
      <c r="AP1989" s="17"/>
      <c r="AQ1989" s="17"/>
      <c r="AR1989" s="17"/>
      <c r="AS1989" s="17"/>
      <c r="AT1989" s="17"/>
      <c r="AU1989" s="17"/>
      <c r="AV1989" s="17"/>
      <c r="AW1989" s="17"/>
      <c r="AX1989" s="17"/>
      <c r="AY1989" s="17"/>
      <c r="AZ1989" s="17"/>
      <c r="BA1989" s="17"/>
      <c r="BB1989" s="17"/>
      <c r="BC1989" s="17"/>
      <c r="BD1989" s="17"/>
      <c r="BE1989" s="17"/>
      <c r="BF1989" s="17"/>
      <c r="BG1989" s="17"/>
      <c r="BH1989" s="17"/>
      <c r="BI1989" s="17"/>
      <c r="BJ1989" s="17"/>
      <c r="BK1989" s="17"/>
      <c r="BL1989" s="17"/>
    </row>
    <row r="1990">
      <c r="A1990" s="17"/>
      <c r="B1990" s="17"/>
      <c r="C1990" s="17"/>
      <c r="D1990" s="17"/>
      <c r="E1990" s="17"/>
      <c r="F1990" s="17"/>
      <c r="G1990" s="17"/>
      <c r="H1990" s="356"/>
      <c r="I1990" s="17"/>
      <c r="J1990" s="17"/>
      <c r="K1990" s="17"/>
      <c r="L1990" s="17"/>
      <c r="M1990" s="17"/>
      <c r="N1990" s="17"/>
      <c r="O1990" s="17"/>
      <c r="P1990" s="17"/>
      <c r="Q1990" s="17"/>
      <c r="R1990" s="17"/>
      <c r="S1990" s="17"/>
      <c r="T1990" s="17"/>
      <c r="U1990" s="17"/>
      <c r="V1990" s="17"/>
      <c r="W1990" s="17"/>
      <c r="X1990" s="17"/>
      <c r="Y1990" s="17"/>
      <c r="Z1990" s="17"/>
      <c r="AA1990" s="17"/>
      <c r="AB1990" s="17"/>
      <c r="AC1990" s="17"/>
      <c r="AD1990" s="17"/>
      <c r="AE1990" s="17"/>
      <c r="AF1990" s="17"/>
      <c r="AG1990" s="17"/>
      <c r="AH1990" s="17"/>
      <c r="AI1990" s="17"/>
      <c r="AJ1990" s="17"/>
      <c r="AK1990" s="17"/>
      <c r="AL1990" s="17"/>
      <c r="AM1990" s="17"/>
      <c r="AN1990" s="17"/>
      <c r="AO1990" s="17"/>
      <c r="AP1990" s="17"/>
      <c r="AQ1990" s="17"/>
      <c r="AR1990" s="17"/>
      <c r="AS1990" s="17"/>
      <c r="AT1990" s="17"/>
      <c r="AU1990" s="17"/>
      <c r="AV1990" s="17"/>
      <c r="AW1990" s="17"/>
      <c r="AX1990" s="17"/>
      <c r="AY1990" s="17"/>
      <c r="AZ1990" s="17"/>
      <c r="BA1990" s="17"/>
      <c r="BB1990" s="17"/>
      <c r="BC1990" s="17"/>
      <c r="BD1990" s="17"/>
      <c r="BE1990" s="17"/>
      <c r="BF1990" s="17"/>
      <c r="BG1990" s="17"/>
      <c r="BH1990" s="17"/>
      <c r="BI1990" s="17"/>
      <c r="BJ1990" s="17"/>
      <c r="BK1990" s="17"/>
      <c r="BL1990" s="17"/>
    </row>
    <row r="1991">
      <c r="A1991" s="17"/>
      <c r="B1991" s="17"/>
      <c r="C1991" s="17"/>
      <c r="D1991" s="17"/>
      <c r="E1991" s="17"/>
      <c r="F1991" s="17"/>
      <c r="G1991" s="17"/>
      <c r="H1991" s="356"/>
      <c r="I1991" s="17"/>
      <c r="J1991" s="17"/>
      <c r="K1991" s="17"/>
      <c r="L1991" s="17"/>
      <c r="M1991" s="17"/>
      <c r="N1991" s="17"/>
      <c r="O1991" s="17"/>
      <c r="P1991" s="17"/>
      <c r="Q1991" s="17"/>
      <c r="R1991" s="17"/>
      <c r="S1991" s="17"/>
      <c r="T1991" s="17"/>
      <c r="U1991" s="17"/>
      <c r="V1991" s="17"/>
      <c r="W1991" s="17"/>
      <c r="X1991" s="17"/>
      <c r="Y1991" s="17"/>
      <c r="Z1991" s="17"/>
      <c r="AA1991" s="17"/>
      <c r="AB1991" s="17"/>
      <c r="AC1991" s="17"/>
      <c r="AD1991" s="17"/>
      <c r="AE1991" s="17"/>
      <c r="AF1991" s="17"/>
      <c r="AG1991" s="17"/>
      <c r="AH1991" s="17"/>
      <c r="AI1991" s="17"/>
      <c r="AJ1991" s="17"/>
      <c r="AK1991" s="17"/>
      <c r="AL1991" s="17"/>
      <c r="AM1991" s="17"/>
      <c r="AN1991" s="17"/>
      <c r="AO1991" s="17"/>
      <c r="AP1991" s="17"/>
      <c r="AQ1991" s="17"/>
      <c r="AR1991" s="17"/>
      <c r="AS1991" s="17"/>
      <c r="AT1991" s="17"/>
      <c r="AU1991" s="17"/>
      <c r="AV1991" s="17"/>
      <c r="AW1991" s="17"/>
      <c r="AX1991" s="17"/>
      <c r="AY1991" s="17"/>
      <c r="AZ1991" s="17"/>
      <c r="BA1991" s="17"/>
      <c r="BB1991" s="17"/>
      <c r="BC1991" s="17"/>
      <c r="BD1991" s="17"/>
      <c r="BE1991" s="17"/>
      <c r="BF1991" s="17"/>
      <c r="BG1991" s="17"/>
      <c r="BH1991" s="17"/>
      <c r="BI1991" s="17"/>
      <c r="BJ1991" s="17"/>
      <c r="BK1991" s="17"/>
      <c r="BL1991" s="17"/>
    </row>
    <row r="1992">
      <c r="A1992" s="17"/>
      <c r="B1992" s="17"/>
      <c r="C1992" s="17"/>
      <c r="D1992" s="17"/>
      <c r="E1992" s="17"/>
      <c r="F1992" s="17"/>
      <c r="G1992" s="17"/>
      <c r="H1992" s="356"/>
      <c r="I1992" s="17"/>
      <c r="J1992" s="17"/>
      <c r="K1992" s="17"/>
      <c r="L1992" s="17"/>
      <c r="M1992" s="17"/>
      <c r="N1992" s="17"/>
      <c r="O1992" s="17"/>
      <c r="P1992" s="17"/>
      <c r="Q1992" s="17"/>
      <c r="R1992" s="17"/>
      <c r="S1992" s="17"/>
      <c r="T1992" s="17"/>
      <c r="U1992" s="17"/>
      <c r="V1992" s="17"/>
      <c r="W1992" s="17"/>
      <c r="X1992" s="17"/>
      <c r="Y1992" s="17"/>
      <c r="Z1992" s="17"/>
      <c r="AA1992" s="17"/>
      <c r="AB1992" s="17"/>
      <c r="AC1992" s="17"/>
      <c r="AD1992" s="17"/>
      <c r="AE1992" s="17"/>
      <c r="AF1992" s="17"/>
      <c r="AG1992" s="17"/>
      <c r="AH1992" s="17"/>
      <c r="AI1992" s="17"/>
      <c r="AJ1992" s="17"/>
      <c r="AK1992" s="17"/>
      <c r="AL1992" s="17"/>
      <c r="AM1992" s="17"/>
      <c r="AN1992" s="17"/>
      <c r="AO1992" s="17"/>
      <c r="AP1992" s="17"/>
      <c r="AQ1992" s="17"/>
      <c r="AR1992" s="17"/>
      <c r="AS1992" s="17"/>
      <c r="AT1992" s="17"/>
      <c r="AU1992" s="17"/>
      <c r="AV1992" s="17"/>
      <c r="AW1992" s="17"/>
      <c r="AX1992" s="17"/>
      <c r="AY1992" s="17"/>
      <c r="AZ1992" s="17"/>
      <c r="BA1992" s="17"/>
      <c r="BB1992" s="17"/>
      <c r="BC1992" s="17"/>
      <c r="BD1992" s="17"/>
      <c r="BE1992" s="17"/>
      <c r="BF1992" s="17"/>
      <c r="BG1992" s="17"/>
      <c r="BH1992" s="17"/>
      <c r="BI1992" s="17"/>
      <c r="BJ1992" s="17"/>
      <c r="BK1992" s="17"/>
      <c r="BL1992" s="17"/>
    </row>
    <row r="1993">
      <c r="A1993" s="17"/>
      <c r="B1993" s="17"/>
      <c r="C1993" s="17"/>
      <c r="D1993" s="17"/>
      <c r="E1993" s="17"/>
      <c r="F1993" s="17"/>
      <c r="G1993" s="17"/>
      <c r="H1993" s="356"/>
      <c r="I1993" s="17"/>
      <c r="J1993" s="17"/>
      <c r="K1993" s="17"/>
      <c r="L1993" s="17"/>
      <c r="M1993" s="17"/>
      <c r="N1993" s="17"/>
      <c r="O1993" s="17"/>
      <c r="P1993" s="17"/>
      <c r="Q1993" s="17"/>
      <c r="R1993" s="17"/>
      <c r="S1993" s="17"/>
      <c r="T1993" s="17"/>
      <c r="U1993" s="17"/>
      <c r="V1993" s="17"/>
      <c r="W1993" s="17"/>
      <c r="X1993" s="17"/>
      <c r="Y1993" s="17"/>
      <c r="Z1993" s="17"/>
      <c r="AA1993" s="17"/>
      <c r="AB1993" s="17"/>
      <c r="AC1993" s="17"/>
      <c r="AD1993" s="17"/>
      <c r="AE1993" s="17"/>
      <c r="AF1993" s="17"/>
      <c r="AG1993" s="17"/>
      <c r="AH1993" s="17"/>
      <c r="AI1993" s="17"/>
      <c r="AJ1993" s="17"/>
      <c r="AK1993" s="17"/>
      <c r="AL1993" s="17"/>
      <c r="AM1993" s="17"/>
      <c r="AN1993" s="17"/>
      <c r="AO1993" s="17"/>
      <c r="AP1993" s="17"/>
      <c r="AQ1993" s="17"/>
      <c r="AR1993" s="17"/>
      <c r="AS1993" s="17"/>
      <c r="AT1993" s="17"/>
      <c r="AU1993" s="17"/>
      <c r="AV1993" s="17"/>
      <c r="AW1993" s="17"/>
      <c r="AX1993" s="17"/>
      <c r="AY1993" s="17"/>
      <c r="AZ1993" s="17"/>
      <c r="BA1993" s="17"/>
      <c r="BB1993" s="17"/>
      <c r="BC1993" s="17"/>
      <c r="BD1993" s="17"/>
      <c r="BE1993" s="17"/>
      <c r="BF1993" s="17"/>
      <c r="BG1993" s="17"/>
      <c r="BH1993" s="17"/>
      <c r="BI1993" s="17"/>
      <c r="BJ1993" s="17"/>
      <c r="BK1993" s="17"/>
      <c r="BL1993" s="17"/>
    </row>
    <row r="1994">
      <c r="A1994" s="17"/>
      <c r="B1994" s="17"/>
      <c r="C1994" s="17"/>
      <c r="D1994" s="17"/>
      <c r="E1994" s="17"/>
      <c r="F1994" s="17"/>
      <c r="G1994" s="17"/>
      <c r="H1994" s="356"/>
      <c r="I1994" s="17"/>
      <c r="J1994" s="17"/>
      <c r="K1994" s="17"/>
      <c r="L1994" s="17"/>
      <c r="M1994" s="17"/>
      <c r="N1994" s="17"/>
      <c r="O1994" s="17"/>
      <c r="P1994" s="17"/>
      <c r="Q1994" s="17"/>
      <c r="R1994" s="17"/>
      <c r="S1994" s="17"/>
      <c r="T1994" s="17"/>
      <c r="U1994" s="17"/>
      <c r="V1994" s="17"/>
      <c r="W1994" s="17"/>
      <c r="X1994" s="17"/>
      <c r="Y1994" s="17"/>
      <c r="Z1994" s="17"/>
      <c r="AA1994" s="17"/>
      <c r="AB1994" s="17"/>
      <c r="AC1994" s="17"/>
      <c r="AD1994" s="17"/>
      <c r="AE1994" s="17"/>
      <c r="AF1994" s="17"/>
      <c r="AG1994" s="17"/>
      <c r="AH1994" s="17"/>
      <c r="AI1994" s="17"/>
      <c r="AJ1994" s="17"/>
      <c r="AK1994" s="17"/>
      <c r="AL1994" s="17"/>
      <c r="AM1994" s="17"/>
      <c r="AN1994" s="17"/>
      <c r="AO1994" s="17"/>
      <c r="AP1994" s="17"/>
      <c r="AQ1994" s="17"/>
      <c r="AR1994" s="17"/>
      <c r="AS1994" s="17"/>
      <c r="AT1994" s="17"/>
      <c r="AU1994" s="17"/>
      <c r="AV1994" s="17"/>
      <c r="AW1994" s="17"/>
      <c r="AX1994" s="17"/>
      <c r="AY1994" s="17"/>
      <c r="AZ1994" s="17"/>
      <c r="BA1994" s="17"/>
      <c r="BB1994" s="17"/>
      <c r="BC1994" s="17"/>
      <c r="BD1994" s="17"/>
      <c r="BE1994" s="17"/>
      <c r="BF1994" s="17"/>
      <c r="BG1994" s="17"/>
      <c r="BH1994" s="17"/>
      <c r="BI1994" s="17"/>
      <c r="BJ1994" s="17"/>
      <c r="BK1994" s="17"/>
      <c r="BL1994" s="17"/>
    </row>
    <row r="1995">
      <c r="A1995" s="17"/>
      <c r="B1995" s="17"/>
      <c r="C1995" s="17"/>
      <c r="D1995" s="17"/>
      <c r="E1995" s="17"/>
      <c r="F1995" s="17"/>
      <c r="G1995" s="17"/>
      <c r="H1995" s="356"/>
      <c r="I1995" s="17"/>
      <c r="J1995" s="17"/>
      <c r="K1995" s="17"/>
      <c r="L1995" s="17"/>
      <c r="M1995" s="17"/>
      <c r="N1995" s="17"/>
      <c r="O1995" s="17"/>
      <c r="P1995" s="17"/>
      <c r="Q1995" s="17"/>
      <c r="R1995" s="17"/>
      <c r="S1995" s="17"/>
      <c r="T1995" s="17"/>
      <c r="U1995" s="17"/>
      <c r="V1995" s="17"/>
      <c r="W1995" s="17"/>
      <c r="X1995" s="17"/>
      <c r="Y1995" s="17"/>
      <c r="Z1995" s="17"/>
      <c r="AA1995" s="17"/>
      <c r="AB1995" s="17"/>
      <c r="AC1995" s="17"/>
      <c r="AD1995" s="17"/>
      <c r="AE1995" s="17"/>
      <c r="AF1995" s="17"/>
      <c r="AG1995" s="17"/>
      <c r="AH1995" s="17"/>
      <c r="AI1995" s="17"/>
      <c r="AJ1995" s="17"/>
      <c r="AK1995" s="17"/>
      <c r="AL1995" s="17"/>
      <c r="AM1995" s="17"/>
      <c r="AN1995" s="17"/>
      <c r="AO1995" s="17"/>
      <c r="AP1995" s="17"/>
      <c r="AQ1995" s="17"/>
      <c r="AR1995" s="17"/>
      <c r="AS1995" s="17"/>
      <c r="AT1995" s="17"/>
      <c r="AU1995" s="17"/>
      <c r="AV1995" s="17"/>
      <c r="AW1995" s="17"/>
      <c r="AX1995" s="17"/>
      <c r="AY1995" s="17"/>
      <c r="AZ1995" s="17"/>
      <c r="BA1995" s="17"/>
      <c r="BB1995" s="17"/>
      <c r="BC1995" s="17"/>
      <c r="BD1995" s="17"/>
      <c r="BE1995" s="17"/>
      <c r="BF1995" s="17"/>
      <c r="BG1995" s="17"/>
      <c r="BH1995" s="17"/>
      <c r="BI1995" s="17"/>
      <c r="BJ1995" s="17"/>
      <c r="BK1995" s="17"/>
      <c r="BL1995" s="17"/>
    </row>
    <row r="1996">
      <c r="A1996" s="17"/>
      <c r="B1996" s="17"/>
      <c r="C1996" s="17"/>
      <c r="D1996" s="17"/>
      <c r="E1996" s="17"/>
      <c r="F1996" s="17"/>
      <c r="G1996" s="17"/>
      <c r="H1996" s="356"/>
      <c r="I1996" s="17"/>
      <c r="J1996" s="17"/>
      <c r="K1996" s="17"/>
      <c r="L1996" s="17"/>
      <c r="M1996" s="17"/>
      <c r="N1996" s="17"/>
      <c r="O1996" s="17"/>
      <c r="P1996" s="17"/>
      <c r="Q1996" s="17"/>
      <c r="R1996" s="17"/>
      <c r="S1996" s="17"/>
      <c r="T1996" s="17"/>
      <c r="U1996" s="17"/>
      <c r="V1996" s="17"/>
      <c r="W1996" s="17"/>
      <c r="X1996" s="17"/>
      <c r="Y1996" s="17"/>
      <c r="Z1996" s="17"/>
      <c r="AA1996" s="17"/>
      <c r="AB1996" s="17"/>
      <c r="AC1996" s="17"/>
      <c r="AD1996" s="17"/>
      <c r="AE1996" s="17"/>
      <c r="AF1996" s="17"/>
      <c r="AG1996" s="17"/>
      <c r="AH1996" s="17"/>
      <c r="AI1996" s="17"/>
      <c r="AJ1996" s="17"/>
      <c r="AK1996" s="17"/>
      <c r="AL1996" s="17"/>
      <c r="AM1996" s="17"/>
      <c r="AN1996" s="17"/>
      <c r="AO1996" s="17"/>
      <c r="AP1996" s="17"/>
      <c r="AQ1996" s="17"/>
      <c r="AR1996" s="17"/>
      <c r="AS1996" s="17"/>
      <c r="AT1996" s="17"/>
      <c r="AU1996" s="17"/>
      <c r="AV1996" s="17"/>
      <c r="AW1996" s="17"/>
      <c r="AX1996" s="17"/>
      <c r="AY1996" s="17"/>
      <c r="AZ1996" s="17"/>
      <c r="BA1996" s="17"/>
      <c r="BB1996" s="17"/>
      <c r="BC1996" s="17"/>
      <c r="BD1996" s="17"/>
      <c r="BE1996" s="17"/>
      <c r="BF1996" s="17"/>
      <c r="BG1996" s="17"/>
      <c r="BH1996" s="17"/>
      <c r="BI1996" s="17"/>
      <c r="BJ1996" s="17"/>
      <c r="BK1996" s="17"/>
      <c r="BL1996" s="17"/>
    </row>
    <row r="1997">
      <c r="A1997" s="17"/>
      <c r="B1997" s="17"/>
      <c r="C1997" s="17"/>
      <c r="D1997" s="17"/>
      <c r="E1997" s="17"/>
      <c r="F1997" s="17"/>
      <c r="G1997" s="17"/>
      <c r="H1997" s="356"/>
      <c r="I1997" s="17"/>
      <c r="J1997" s="17"/>
      <c r="K1997" s="17"/>
      <c r="L1997" s="17"/>
      <c r="M1997" s="17"/>
      <c r="N1997" s="17"/>
      <c r="O1997" s="17"/>
      <c r="P1997" s="17"/>
      <c r="Q1997" s="17"/>
      <c r="R1997" s="17"/>
      <c r="S1997" s="17"/>
      <c r="T1997" s="17"/>
      <c r="U1997" s="17"/>
      <c r="V1997" s="17"/>
      <c r="W1997" s="17"/>
      <c r="X1997" s="17"/>
      <c r="Y1997" s="17"/>
      <c r="Z1997" s="17"/>
      <c r="AA1997" s="17"/>
      <c r="AB1997" s="17"/>
      <c r="AC1997" s="17"/>
      <c r="AD1997" s="17"/>
      <c r="AE1997" s="17"/>
      <c r="AF1997" s="17"/>
      <c r="AG1997" s="17"/>
      <c r="AH1997" s="17"/>
      <c r="AI1997" s="17"/>
      <c r="AJ1997" s="17"/>
      <c r="AK1997" s="17"/>
      <c r="AL1997" s="17"/>
      <c r="AM1997" s="17"/>
      <c r="AN1997" s="17"/>
      <c r="AO1997" s="17"/>
      <c r="AP1997" s="17"/>
      <c r="AQ1997" s="17"/>
      <c r="AR1997" s="17"/>
      <c r="AS1997" s="17"/>
      <c r="AT1997" s="17"/>
      <c r="AU1997" s="17"/>
      <c r="AV1997" s="17"/>
      <c r="AW1997" s="17"/>
      <c r="AX1997" s="17"/>
      <c r="AY1997" s="17"/>
      <c r="AZ1997" s="17"/>
      <c r="BA1997" s="17"/>
      <c r="BB1997" s="17"/>
      <c r="BC1997" s="17"/>
      <c r="BD1997" s="17"/>
      <c r="BE1997" s="17"/>
      <c r="BF1997" s="17"/>
      <c r="BG1997" s="17"/>
      <c r="BH1997" s="17"/>
      <c r="BI1997" s="17"/>
      <c r="BJ1997" s="17"/>
      <c r="BK1997" s="17"/>
      <c r="BL1997" s="17"/>
    </row>
    <row r="1998">
      <c r="A1998" s="17"/>
      <c r="B1998" s="17"/>
      <c r="C1998" s="17"/>
      <c r="D1998" s="17"/>
      <c r="E1998" s="17"/>
      <c r="F1998" s="17"/>
      <c r="G1998" s="17"/>
      <c r="H1998" s="356"/>
      <c r="I1998" s="17"/>
      <c r="J1998" s="17"/>
      <c r="K1998" s="17"/>
      <c r="L1998" s="17"/>
      <c r="M1998" s="17"/>
      <c r="N1998" s="17"/>
      <c r="O1998" s="17"/>
      <c r="P1998" s="17"/>
      <c r="Q1998" s="17"/>
      <c r="R1998" s="17"/>
      <c r="S1998" s="17"/>
      <c r="T1998" s="17"/>
      <c r="U1998" s="17"/>
      <c r="V1998" s="17"/>
      <c r="W1998" s="17"/>
      <c r="X1998" s="17"/>
      <c r="Y1998" s="17"/>
      <c r="Z1998" s="17"/>
      <c r="AA1998" s="17"/>
      <c r="AB1998" s="17"/>
      <c r="AC1998" s="17"/>
      <c r="AD1998" s="17"/>
      <c r="AE1998" s="17"/>
      <c r="AF1998" s="17"/>
      <c r="AG1998" s="17"/>
      <c r="AH1998" s="17"/>
      <c r="AI1998" s="17"/>
      <c r="AJ1998" s="17"/>
      <c r="AK1998" s="17"/>
      <c r="AL1998" s="17"/>
      <c r="AM1998" s="17"/>
      <c r="AN1998" s="17"/>
      <c r="AO1998" s="17"/>
      <c r="AP1998" s="17"/>
      <c r="AQ1998" s="17"/>
      <c r="AR1998" s="17"/>
      <c r="AS1998" s="17"/>
      <c r="AT1998" s="17"/>
      <c r="AU1998" s="17"/>
      <c r="AV1998" s="17"/>
      <c r="AW1998" s="17"/>
      <c r="AX1998" s="17"/>
      <c r="AY1998" s="17"/>
      <c r="AZ1998" s="17"/>
      <c r="BA1998" s="17"/>
      <c r="BB1998" s="17"/>
      <c r="BC1998" s="17"/>
      <c r="BD1998" s="17"/>
      <c r="BE1998" s="17"/>
      <c r="BF1998" s="17"/>
      <c r="BG1998" s="17"/>
      <c r="BH1998" s="17"/>
      <c r="BI1998" s="17"/>
      <c r="BJ1998" s="17"/>
      <c r="BK1998" s="17"/>
      <c r="BL1998" s="17"/>
    </row>
    <row r="1999">
      <c r="A1999" s="17"/>
      <c r="B1999" s="17"/>
      <c r="C1999" s="17"/>
      <c r="D1999" s="17"/>
      <c r="E1999" s="17"/>
      <c r="F1999" s="17"/>
      <c r="G1999" s="17"/>
      <c r="H1999" s="356"/>
      <c r="I1999" s="17"/>
      <c r="J1999" s="17"/>
      <c r="K1999" s="17"/>
      <c r="L1999" s="17"/>
      <c r="M1999" s="17"/>
      <c r="N1999" s="17"/>
      <c r="O1999" s="17"/>
      <c r="P1999" s="17"/>
      <c r="Q1999" s="17"/>
      <c r="R1999" s="17"/>
      <c r="S1999" s="17"/>
      <c r="T1999" s="17"/>
      <c r="U1999" s="17"/>
      <c r="V1999" s="17"/>
      <c r="W1999" s="17"/>
      <c r="X1999" s="17"/>
      <c r="Y1999" s="17"/>
      <c r="Z1999" s="17"/>
      <c r="AA1999" s="17"/>
      <c r="AB1999" s="17"/>
      <c r="AC1999" s="17"/>
      <c r="AD1999" s="17"/>
      <c r="AE1999" s="17"/>
      <c r="AF1999" s="17"/>
      <c r="AG1999" s="17"/>
      <c r="AH1999" s="17"/>
      <c r="AI1999" s="17"/>
      <c r="AJ1999" s="17"/>
      <c r="AK1999" s="17"/>
      <c r="AL1999" s="17"/>
      <c r="AM1999" s="17"/>
      <c r="AN1999" s="17"/>
      <c r="AO1999" s="17"/>
      <c r="AP1999" s="17"/>
      <c r="AQ1999" s="17"/>
      <c r="AR1999" s="17"/>
      <c r="AS1999" s="17"/>
      <c r="AT1999" s="17"/>
      <c r="AU1999" s="17"/>
      <c r="AV1999" s="17"/>
      <c r="AW1999" s="17"/>
      <c r="AX1999" s="17"/>
      <c r="AY1999" s="17"/>
      <c r="AZ1999" s="17"/>
      <c r="BA1999" s="17"/>
      <c r="BB1999" s="17"/>
      <c r="BC1999" s="17"/>
      <c r="BD1999" s="17"/>
      <c r="BE1999" s="17"/>
      <c r="BF1999" s="17"/>
      <c r="BG1999" s="17"/>
      <c r="BH1999" s="17"/>
      <c r="BI1999" s="17"/>
      <c r="BJ1999" s="17"/>
      <c r="BK1999" s="17"/>
      <c r="BL1999" s="17"/>
    </row>
    <row r="2000">
      <c r="A2000" s="17"/>
      <c r="B2000" s="17"/>
      <c r="C2000" s="17"/>
      <c r="D2000" s="17"/>
      <c r="E2000" s="17"/>
      <c r="F2000" s="17"/>
      <c r="G2000" s="17"/>
      <c r="H2000" s="356"/>
      <c r="I2000" s="17"/>
      <c r="J2000" s="17"/>
      <c r="K2000" s="17"/>
      <c r="L2000" s="17"/>
      <c r="M2000" s="17"/>
      <c r="N2000" s="17"/>
      <c r="O2000" s="17"/>
      <c r="P2000" s="17"/>
      <c r="Q2000" s="17"/>
      <c r="R2000" s="17"/>
      <c r="S2000" s="17"/>
      <c r="T2000" s="17"/>
      <c r="U2000" s="17"/>
      <c r="V2000" s="17"/>
      <c r="W2000" s="17"/>
      <c r="X2000" s="17"/>
      <c r="Y2000" s="17"/>
      <c r="Z2000" s="17"/>
      <c r="AA2000" s="17"/>
      <c r="AB2000" s="17"/>
      <c r="AC2000" s="17"/>
      <c r="AD2000" s="17"/>
      <c r="AE2000" s="17"/>
      <c r="AF2000" s="17"/>
      <c r="AG2000" s="17"/>
      <c r="AH2000" s="17"/>
      <c r="AI2000" s="17"/>
      <c r="AJ2000" s="17"/>
      <c r="AK2000" s="17"/>
      <c r="AL2000" s="17"/>
      <c r="AM2000" s="17"/>
      <c r="AN2000" s="17"/>
      <c r="AO2000" s="17"/>
      <c r="AP2000" s="17"/>
      <c r="AQ2000" s="17"/>
      <c r="AR2000" s="17"/>
      <c r="AS2000" s="17"/>
      <c r="AT2000" s="17"/>
      <c r="AU2000" s="17"/>
      <c r="AV2000" s="17"/>
      <c r="AW2000" s="17"/>
      <c r="AX2000" s="17"/>
      <c r="AY2000" s="17"/>
      <c r="AZ2000" s="17"/>
      <c r="BA2000" s="17"/>
      <c r="BB2000" s="17"/>
      <c r="BC2000" s="17"/>
      <c r="BD2000" s="17"/>
      <c r="BE2000" s="17"/>
      <c r="BF2000" s="17"/>
      <c r="BG2000" s="17"/>
      <c r="BH2000" s="17"/>
      <c r="BI2000" s="17"/>
      <c r="BJ2000" s="17"/>
      <c r="BK2000" s="17"/>
      <c r="BL2000" s="17"/>
    </row>
    <row r="2001">
      <c r="A2001" s="17"/>
      <c r="B2001" s="17"/>
      <c r="C2001" s="17"/>
      <c r="D2001" s="17"/>
      <c r="E2001" s="17"/>
      <c r="F2001" s="17"/>
      <c r="G2001" s="17"/>
      <c r="H2001" s="356"/>
      <c r="I2001" s="17"/>
      <c r="J2001" s="17"/>
      <c r="K2001" s="17"/>
      <c r="L2001" s="17"/>
      <c r="M2001" s="17"/>
      <c r="N2001" s="17"/>
      <c r="O2001" s="17"/>
      <c r="P2001" s="17"/>
      <c r="Q2001" s="17"/>
      <c r="R2001" s="17"/>
      <c r="S2001" s="17"/>
      <c r="T2001" s="17"/>
      <c r="U2001" s="17"/>
      <c r="V2001" s="17"/>
      <c r="W2001" s="17"/>
      <c r="X2001" s="17"/>
      <c r="Y2001" s="17"/>
      <c r="Z2001" s="17"/>
      <c r="AA2001" s="17"/>
      <c r="AB2001" s="17"/>
      <c r="AC2001" s="17"/>
      <c r="AD2001" s="17"/>
      <c r="AE2001" s="17"/>
      <c r="AF2001" s="17"/>
      <c r="AG2001" s="17"/>
      <c r="AH2001" s="17"/>
      <c r="AI2001" s="17"/>
      <c r="AJ2001" s="17"/>
      <c r="AK2001" s="17"/>
      <c r="AL2001" s="17"/>
      <c r="AM2001" s="17"/>
      <c r="AN2001" s="17"/>
      <c r="AO2001" s="17"/>
      <c r="AP2001" s="17"/>
      <c r="AQ2001" s="17"/>
      <c r="AR2001" s="17"/>
      <c r="AS2001" s="17"/>
      <c r="AT2001" s="17"/>
      <c r="AU2001" s="17"/>
      <c r="AV2001" s="17"/>
      <c r="AW2001" s="17"/>
      <c r="AX2001" s="17"/>
      <c r="AY2001" s="17"/>
      <c r="AZ2001" s="17"/>
      <c r="BA2001" s="17"/>
      <c r="BB2001" s="17"/>
      <c r="BC2001" s="17"/>
      <c r="BD2001" s="17"/>
      <c r="BE2001" s="17"/>
      <c r="BF2001" s="17"/>
      <c r="BG2001" s="17"/>
      <c r="BH2001" s="17"/>
      <c r="BI2001" s="17"/>
      <c r="BJ2001" s="17"/>
      <c r="BK2001" s="17"/>
      <c r="BL2001" s="17"/>
    </row>
    <row r="2002">
      <c r="A2002" s="17"/>
      <c r="B2002" s="17"/>
      <c r="C2002" s="17"/>
      <c r="D2002" s="17"/>
      <c r="E2002" s="17"/>
      <c r="F2002" s="17"/>
      <c r="G2002" s="17"/>
      <c r="H2002" s="356"/>
      <c r="I2002" s="17"/>
      <c r="J2002" s="17"/>
      <c r="K2002" s="17"/>
      <c r="L2002" s="17"/>
      <c r="M2002" s="17"/>
      <c r="N2002" s="17"/>
      <c r="O2002" s="17"/>
      <c r="P2002" s="17"/>
      <c r="Q2002" s="17"/>
      <c r="R2002" s="17"/>
      <c r="S2002" s="17"/>
      <c r="T2002" s="17"/>
      <c r="U2002" s="17"/>
      <c r="V2002" s="17"/>
      <c r="W2002" s="17"/>
      <c r="X2002" s="17"/>
      <c r="Y2002" s="17"/>
      <c r="Z2002" s="17"/>
      <c r="AA2002" s="17"/>
      <c r="AB2002" s="17"/>
      <c r="AC2002" s="17"/>
      <c r="AD2002" s="17"/>
      <c r="AE2002" s="17"/>
      <c r="AF2002" s="17"/>
      <c r="AG2002" s="17"/>
      <c r="AH2002" s="17"/>
      <c r="AI2002" s="17"/>
      <c r="AJ2002" s="17"/>
      <c r="AK2002" s="17"/>
      <c r="AL2002" s="17"/>
      <c r="AM2002" s="17"/>
      <c r="AN2002" s="17"/>
      <c r="AO2002" s="17"/>
      <c r="AP2002" s="17"/>
      <c r="AQ2002" s="17"/>
      <c r="AR2002" s="17"/>
      <c r="AS2002" s="17"/>
      <c r="AT2002" s="17"/>
      <c r="AU2002" s="17"/>
      <c r="AV2002" s="17"/>
      <c r="AW2002" s="17"/>
      <c r="AX2002" s="17"/>
      <c r="AY2002" s="17"/>
      <c r="AZ2002" s="17"/>
      <c r="BA2002" s="17"/>
      <c r="BB2002" s="17"/>
      <c r="BC2002" s="17"/>
      <c r="BD2002" s="17"/>
      <c r="BE2002" s="17"/>
      <c r="BF2002" s="17"/>
      <c r="BG2002" s="17"/>
      <c r="BH2002" s="17"/>
      <c r="BI2002" s="17"/>
      <c r="BJ2002" s="17"/>
      <c r="BK2002" s="17"/>
      <c r="BL2002" s="17"/>
    </row>
    <row r="2003">
      <c r="A2003" s="17"/>
      <c r="B2003" s="17"/>
      <c r="C2003" s="17"/>
      <c r="D2003" s="17"/>
      <c r="E2003" s="17"/>
      <c r="F2003" s="17"/>
      <c r="G2003" s="17"/>
      <c r="H2003" s="356"/>
      <c r="I2003" s="17"/>
      <c r="J2003" s="17"/>
      <c r="K2003" s="17"/>
      <c r="L2003" s="17"/>
      <c r="M2003" s="17"/>
      <c r="N2003" s="17"/>
      <c r="O2003" s="17"/>
      <c r="P2003" s="17"/>
      <c r="Q2003" s="17"/>
      <c r="R2003" s="17"/>
      <c r="S2003" s="17"/>
      <c r="T2003" s="17"/>
      <c r="U2003" s="17"/>
      <c r="V2003" s="17"/>
      <c r="W2003" s="17"/>
      <c r="X2003" s="17"/>
      <c r="Y2003" s="17"/>
      <c r="Z2003" s="17"/>
      <c r="AA2003" s="17"/>
      <c r="AB2003" s="17"/>
      <c r="AC2003" s="17"/>
      <c r="AD2003" s="17"/>
      <c r="AE2003" s="17"/>
      <c r="AF2003" s="17"/>
      <c r="AG2003" s="17"/>
      <c r="AH2003" s="17"/>
      <c r="AI2003" s="17"/>
      <c r="AJ2003" s="17"/>
      <c r="AK2003" s="17"/>
      <c r="AL2003" s="17"/>
      <c r="AM2003" s="17"/>
      <c r="AN2003" s="17"/>
      <c r="AO2003" s="17"/>
      <c r="AP2003" s="17"/>
      <c r="AQ2003" s="17"/>
      <c r="AR2003" s="17"/>
      <c r="AS2003" s="17"/>
      <c r="AT2003" s="17"/>
      <c r="AU2003" s="17"/>
      <c r="AV2003" s="17"/>
      <c r="AW2003" s="17"/>
      <c r="AX2003" s="17"/>
      <c r="AY2003" s="17"/>
      <c r="AZ2003" s="17"/>
      <c r="BA2003" s="17"/>
      <c r="BB2003" s="17"/>
      <c r="BC2003" s="17"/>
      <c r="BD2003" s="17"/>
      <c r="BE2003" s="17"/>
      <c r="BF2003" s="17"/>
      <c r="BG2003" s="17"/>
      <c r="BH2003" s="17"/>
      <c r="BI2003" s="17"/>
      <c r="BJ2003" s="17"/>
      <c r="BK2003" s="17"/>
      <c r="BL2003" s="17"/>
    </row>
    <row r="2004">
      <c r="A2004" s="17"/>
      <c r="B2004" s="17"/>
      <c r="C2004" s="17"/>
      <c r="D2004" s="17"/>
      <c r="E2004" s="17"/>
      <c r="F2004" s="17"/>
      <c r="G2004" s="17"/>
      <c r="H2004" s="356"/>
      <c r="I2004" s="17"/>
      <c r="J2004" s="17"/>
      <c r="K2004" s="17"/>
      <c r="L2004" s="17"/>
      <c r="M2004" s="17"/>
      <c r="N2004" s="17"/>
      <c r="O2004" s="17"/>
      <c r="P2004" s="17"/>
      <c r="Q2004" s="17"/>
      <c r="R2004" s="17"/>
      <c r="S2004" s="17"/>
      <c r="T2004" s="17"/>
      <c r="U2004" s="17"/>
      <c r="V2004" s="17"/>
      <c r="W2004" s="17"/>
      <c r="X2004" s="17"/>
      <c r="Y2004" s="17"/>
      <c r="Z2004" s="17"/>
      <c r="AA2004" s="17"/>
      <c r="AB2004" s="17"/>
      <c r="AC2004" s="17"/>
      <c r="AD2004" s="17"/>
      <c r="AE2004" s="17"/>
      <c r="AF2004" s="17"/>
      <c r="AG2004" s="17"/>
      <c r="AH2004" s="17"/>
      <c r="AI2004" s="17"/>
      <c r="AJ2004" s="17"/>
      <c r="AK2004" s="17"/>
      <c r="AL2004" s="17"/>
      <c r="AM2004" s="17"/>
      <c r="AN2004" s="17"/>
      <c r="AO2004" s="17"/>
      <c r="AP2004" s="17"/>
      <c r="AQ2004" s="17"/>
      <c r="AR2004" s="17"/>
      <c r="AS2004" s="17"/>
      <c r="AT2004" s="17"/>
      <c r="AU2004" s="17"/>
      <c r="AV2004" s="17"/>
      <c r="AW2004" s="17"/>
      <c r="AX2004" s="17"/>
      <c r="AY2004" s="17"/>
      <c r="AZ2004" s="17"/>
      <c r="BA2004" s="17"/>
      <c r="BB2004" s="17"/>
      <c r="BC2004" s="17"/>
      <c r="BD2004" s="17"/>
      <c r="BE2004" s="17"/>
      <c r="BF2004" s="17"/>
      <c r="BG2004" s="17"/>
      <c r="BH2004" s="17"/>
      <c r="BI2004" s="17"/>
      <c r="BJ2004" s="17"/>
      <c r="BK2004" s="17"/>
      <c r="BL2004" s="17"/>
    </row>
    <row r="2005">
      <c r="A2005" s="17"/>
      <c r="B2005" s="17"/>
      <c r="C2005" s="17"/>
      <c r="D2005" s="17"/>
      <c r="E2005" s="17"/>
      <c r="F2005" s="17"/>
      <c r="G2005" s="17"/>
      <c r="H2005" s="356"/>
      <c r="I2005" s="17"/>
      <c r="J2005" s="17"/>
      <c r="K2005" s="17"/>
      <c r="L2005" s="17"/>
      <c r="M2005" s="17"/>
      <c r="N2005" s="17"/>
      <c r="O2005" s="17"/>
      <c r="P2005" s="17"/>
      <c r="Q2005" s="17"/>
      <c r="R2005" s="17"/>
      <c r="S2005" s="17"/>
      <c r="T2005" s="17"/>
      <c r="U2005" s="17"/>
      <c r="V2005" s="17"/>
      <c r="W2005" s="17"/>
      <c r="X2005" s="17"/>
      <c r="Y2005" s="17"/>
      <c r="Z2005" s="17"/>
      <c r="AA2005" s="17"/>
      <c r="AB2005" s="17"/>
      <c r="AC2005" s="17"/>
      <c r="AD2005" s="17"/>
      <c r="AE2005" s="17"/>
      <c r="AF2005" s="17"/>
      <c r="AG2005" s="17"/>
      <c r="AH2005" s="17"/>
      <c r="AI2005" s="17"/>
      <c r="AJ2005" s="17"/>
      <c r="AK2005" s="17"/>
      <c r="AL2005" s="17"/>
      <c r="AM2005" s="17"/>
      <c r="AN2005" s="17"/>
      <c r="AO2005" s="17"/>
      <c r="AP2005" s="17"/>
      <c r="AQ2005" s="17"/>
      <c r="AR2005" s="17"/>
      <c r="AS2005" s="17"/>
      <c r="AT2005" s="17"/>
      <c r="AU2005" s="17"/>
      <c r="AV2005" s="17"/>
      <c r="AW2005" s="17"/>
      <c r="AX2005" s="17"/>
      <c r="AY2005" s="17"/>
      <c r="AZ2005" s="17"/>
      <c r="BA2005" s="17"/>
      <c r="BB2005" s="17"/>
      <c r="BC2005" s="17"/>
      <c r="BD2005" s="17"/>
      <c r="BE2005" s="17"/>
      <c r="BF2005" s="17"/>
      <c r="BG2005" s="17"/>
      <c r="BH2005" s="17"/>
      <c r="BI2005" s="17"/>
      <c r="BJ2005" s="17"/>
      <c r="BK2005" s="17"/>
      <c r="BL2005" s="17"/>
    </row>
    <row r="2006">
      <c r="A2006" s="17"/>
      <c r="B2006" s="17"/>
      <c r="C2006" s="17"/>
      <c r="D2006" s="17"/>
      <c r="E2006" s="17"/>
      <c r="F2006" s="17"/>
      <c r="G2006" s="17"/>
      <c r="H2006" s="356"/>
      <c r="I2006" s="17"/>
      <c r="J2006" s="17"/>
      <c r="K2006" s="17"/>
      <c r="L2006" s="17"/>
      <c r="M2006" s="17"/>
      <c r="N2006" s="17"/>
      <c r="O2006" s="17"/>
      <c r="P2006" s="17"/>
      <c r="Q2006" s="17"/>
      <c r="R2006" s="17"/>
      <c r="S2006" s="17"/>
      <c r="T2006" s="17"/>
      <c r="U2006" s="17"/>
      <c r="V2006" s="17"/>
      <c r="W2006" s="17"/>
      <c r="X2006" s="17"/>
      <c r="Y2006" s="17"/>
      <c r="Z2006" s="17"/>
      <c r="AA2006" s="17"/>
      <c r="AB2006" s="17"/>
      <c r="AC2006" s="17"/>
      <c r="AD2006" s="17"/>
      <c r="AE2006" s="17"/>
      <c r="AF2006" s="17"/>
      <c r="AG2006" s="17"/>
      <c r="AH2006" s="17"/>
      <c r="AI2006" s="17"/>
      <c r="AJ2006" s="17"/>
      <c r="AK2006" s="17"/>
      <c r="AL2006" s="17"/>
      <c r="AM2006" s="17"/>
      <c r="AN2006" s="17"/>
      <c r="AO2006" s="17"/>
      <c r="AP2006" s="17"/>
      <c r="AQ2006" s="17"/>
      <c r="AR2006" s="17"/>
      <c r="AS2006" s="17"/>
      <c r="AT2006" s="17"/>
      <c r="AU2006" s="17"/>
      <c r="AV2006" s="17"/>
      <c r="AW2006" s="17"/>
      <c r="AX2006" s="17"/>
      <c r="AY2006" s="17"/>
      <c r="AZ2006" s="17"/>
      <c r="BA2006" s="17"/>
      <c r="BB2006" s="17"/>
      <c r="BC2006" s="17"/>
      <c r="BD2006" s="17"/>
      <c r="BE2006" s="17"/>
      <c r="BF2006" s="17"/>
      <c r="BG2006" s="17"/>
      <c r="BH2006" s="17"/>
      <c r="BI2006" s="17"/>
      <c r="BJ2006" s="17"/>
      <c r="BK2006" s="17"/>
      <c r="BL2006" s="17"/>
    </row>
    <row r="2007">
      <c r="A2007" s="17"/>
      <c r="B2007" s="17"/>
      <c r="C2007" s="17"/>
      <c r="D2007" s="17"/>
      <c r="E2007" s="17"/>
      <c r="F2007" s="17"/>
      <c r="G2007" s="17"/>
      <c r="H2007" s="356"/>
      <c r="I2007" s="17"/>
      <c r="J2007" s="17"/>
      <c r="K2007" s="17"/>
      <c r="L2007" s="17"/>
      <c r="M2007" s="17"/>
      <c r="N2007" s="17"/>
      <c r="O2007" s="17"/>
      <c r="P2007" s="17"/>
      <c r="Q2007" s="17"/>
      <c r="R2007" s="17"/>
      <c r="S2007" s="17"/>
      <c r="T2007" s="17"/>
      <c r="U2007" s="17"/>
      <c r="V2007" s="17"/>
      <c r="W2007" s="17"/>
      <c r="X2007" s="17"/>
      <c r="Y2007" s="17"/>
      <c r="Z2007" s="17"/>
      <c r="AA2007" s="17"/>
      <c r="AB2007" s="17"/>
      <c r="AC2007" s="17"/>
      <c r="AD2007" s="17"/>
      <c r="AE2007" s="17"/>
      <c r="AF2007" s="17"/>
      <c r="AG2007" s="17"/>
      <c r="AH2007" s="17"/>
      <c r="AI2007" s="17"/>
      <c r="AJ2007" s="17"/>
      <c r="AK2007" s="17"/>
      <c r="AL2007" s="17"/>
      <c r="AM2007" s="17"/>
      <c r="AN2007" s="17"/>
      <c r="AO2007" s="17"/>
      <c r="AP2007" s="17"/>
      <c r="AQ2007" s="17"/>
      <c r="AR2007" s="17"/>
      <c r="AS2007" s="17"/>
      <c r="AT2007" s="17"/>
      <c r="AU2007" s="17"/>
      <c r="AV2007" s="17"/>
      <c r="AW2007" s="17"/>
      <c r="AX2007" s="17"/>
      <c r="AY2007" s="17"/>
      <c r="AZ2007" s="17"/>
      <c r="BA2007" s="17"/>
      <c r="BB2007" s="17"/>
      <c r="BC2007" s="17"/>
      <c r="BD2007" s="17"/>
      <c r="BE2007" s="17"/>
      <c r="BF2007" s="17"/>
      <c r="BG2007" s="17"/>
      <c r="BH2007" s="17"/>
      <c r="BI2007" s="17"/>
      <c r="BJ2007" s="17"/>
      <c r="BK2007" s="17"/>
      <c r="BL2007" s="17"/>
    </row>
    <row r="2008">
      <c r="A2008" s="17"/>
      <c r="B2008" s="17"/>
      <c r="C2008" s="17"/>
      <c r="D2008" s="17"/>
      <c r="E2008" s="17"/>
      <c r="F2008" s="17"/>
      <c r="G2008" s="17"/>
      <c r="H2008" s="356"/>
      <c r="I2008" s="17"/>
      <c r="J2008" s="17"/>
      <c r="K2008" s="17"/>
      <c r="L2008" s="17"/>
      <c r="M2008" s="17"/>
      <c r="N2008" s="17"/>
      <c r="O2008" s="17"/>
      <c r="P2008" s="17"/>
      <c r="Q2008" s="17"/>
      <c r="R2008" s="17"/>
      <c r="S2008" s="17"/>
      <c r="T2008" s="17"/>
      <c r="U2008" s="17"/>
      <c r="V2008" s="17"/>
      <c r="W2008" s="17"/>
      <c r="X2008" s="17"/>
      <c r="Y2008" s="17"/>
      <c r="Z2008" s="17"/>
      <c r="AA2008" s="17"/>
      <c r="AB2008" s="17"/>
      <c r="AC2008" s="17"/>
      <c r="AD2008" s="17"/>
      <c r="AE2008" s="17"/>
      <c r="AF2008" s="17"/>
      <c r="AG2008" s="17"/>
      <c r="AH2008" s="17"/>
      <c r="AI2008" s="17"/>
      <c r="AJ2008" s="17"/>
      <c r="AK2008" s="17"/>
      <c r="AL2008" s="17"/>
      <c r="AM2008" s="17"/>
      <c r="AN2008" s="17"/>
      <c r="AO2008" s="17"/>
      <c r="AP2008" s="17"/>
      <c r="AQ2008" s="17"/>
      <c r="AR2008" s="17"/>
      <c r="AS2008" s="17"/>
      <c r="AT2008" s="17"/>
      <c r="AU2008" s="17"/>
      <c r="AV2008" s="17"/>
      <c r="AW2008" s="17"/>
      <c r="AX2008" s="17"/>
      <c r="AY2008" s="17"/>
      <c r="AZ2008" s="17"/>
      <c r="BA2008" s="17"/>
      <c r="BB2008" s="17"/>
      <c r="BC2008" s="17"/>
      <c r="BD2008" s="17"/>
      <c r="BE2008" s="17"/>
      <c r="BF2008" s="17"/>
      <c r="BG2008" s="17"/>
      <c r="BH2008" s="17"/>
      <c r="BI2008" s="17"/>
      <c r="BJ2008" s="17"/>
      <c r="BK2008" s="17"/>
      <c r="BL2008" s="17"/>
    </row>
    <row r="2009">
      <c r="A2009" s="17"/>
      <c r="B2009" s="17"/>
      <c r="C2009" s="17"/>
      <c r="D2009" s="17"/>
      <c r="E2009" s="17"/>
      <c r="F2009" s="17"/>
      <c r="G2009" s="17"/>
      <c r="H2009" s="356"/>
      <c r="I2009" s="17"/>
      <c r="J2009" s="17"/>
      <c r="K2009" s="17"/>
      <c r="L2009" s="17"/>
      <c r="M2009" s="17"/>
      <c r="N2009" s="17"/>
      <c r="O2009" s="17"/>
      <c r="P2009" s="17"/>
      <c r="Q2009" s="17"/>
      <c r="R2009" s="17"/>
      <c r="S2009" s="17"/>
      <c r="T2009" s="17"/>
      <c r="U2009" s="17"/>
      <c r="V2009" s="17"/>
      <c r="W2009" s="17"/>
      <c r="X2009" s="17"/>
      <c r="Y2009" s="17"/>
      <c r="Z2009" s="17"/>
      <c r="AA2009" s="17"/>
      <c r="AB2009" s="17"/>
      <c r="AC2009" s="17"/>
      <c r="AD2009" s="17"/>
      <c r="AE2009" s="17"/>
      <c r="AF2009" s="17"/>
      <c r="AG2009" s="17"/>
      <c r="AH2009" s="17"/>
      <c r="AI2009" s="17"/>
      <c r="AJ2009" s="17"/>
      <c r="AK2009" s="17"/>
      <c r="AL2009" s="17"/>
      <c r="AM2009" s="17"/>
      <c r="AN2009" s="17"/>
      <c r="AO2009" s="17"/>
      <c r="AP2009" s="17"/>
      <c r="AQ2009" s="17"/>
      <c r="AR2009" s="17"/>
      <c r="AS2009" s="17"/>
      <c r="AT2009" s="17"/>
      <c r="AU2009" s="17"/>
      <c r="AV2009" s="17"/>
      <c r="AW2009" s="17"/>
      <c r="AX2009" s="17"/>
      <c r="AY2009" s="17"/>
      <c r="AZ2009" s="17"/>
      <c r="BA2009" s="17"/>
      <c r="BB2009" s="17"/>
      <c r="BC2009" s="17"/>
      <c r="BD2009" s="17"/>
      <c r="BE2009" s="17"/>
      <c r="BF2009" s="17"/>
      <c r="BG2009" s="17"/>
      <c r="BH2009" s="17"/>
      <c r="BI2009" s="17"/>
      <c r="BJ2009" s="17"/>
      <c r="BK2009" s="17"/>
      <c r="BL2009" s="17"/>
    </row>
    <row r="2010">
      <c r="A2010" s="17"/>
      <c r="B2010" s="17"/>
      <c r="C2010" s="17"/>
      <c r="D2010" s="17"/>
      <c r="E2010" s="17"/>
      <c r="F2010" s="17"/>
      <c r="G2010" s="17"/>
      <c r="H2010" s="356"/>
      <c r="I2010" s="17"/>
      <c r="J2010" s="17"/>
      <c r="K2010" s="17"/>
      <c r="L2010" s="17"/>
      <c r="M2010" s="17"/>
      <c r="N2010" s="17"/>
      <c r="O2010" s="17"/>
      <c r="P2010" s="17"/>
      <c r="Q2010" s="17"/>
      <c r="R2010" s="17"/>
      <c r="S2010" s="17"/>
      <c r="T2010" s="17"/>
      <c r="U2010" s="17"/>
      <c r="V2010" s="17"/>
      <c r="W2010" s="17"/>
      <c r="X2010" s="17"/>
      <c r="Y2010" s="17"/>
      <c r="Z2010" s="17"/>
      <c r="AA2010" s="17"/>
      <c r="AB2010" s="17"/>
      <c r="AC2010" s="17"/>
      <c r="AD2010" s="17"/>
      <c r="AE2010" s="17"/>
      <c r="AF2010" s="17"/>
      <c r="AG2010" s="17"/>
      <c r="AH2010" s="17"/>
      <c r="AI2010" s="17"/>
      <c r="AJ2010" s="17"/>
      <c r="AK2010" s="17"/>
      <c r="AL2010" s="17"/>
      <c r="AM2010" s="17"/>
      <c r="AN2010" s="17"/>
      <c r="AO2010" s="17"/>
      <c r="AP2010" s="17"/>
      <c r="AQ2010" s="17"/>
      <c r="AR2010" s="17"/>
      <c r="AS2010" s="17"/>
      <c r="AT2010" s="17"/>
      <c r="AU2010" s="17"/>
      <c r="AV2010" s="17"/>
      <c r="AW2010" s="17"/>
      <c r="AX2010" s="17"/>
      <c r="AY2010" s="17"/>
      <c r="AZ2010" s="17"/>
      <c r="BA2010" s="17"/>
      <c r="BB2010" s="17"/>
      <c r="BC2010" s="17"/>
      <c r="BD2010" s="17"/>
      <c r="BE2010" s="17"/>
      <c r="BF2010" s="17"/>
      <c r="BG2010" s="17"/>
      <c r="BH2010" s="17"/>
      <c r="BI2010" s="17"/>
      <c r="BJ2010" s="17"/>
      <c r="BK2010" s="17"/>
      <c r="BL2010" s="17"/>
    </row>
    <row r="2011">
      <c r="A2011" s="17"/>
      <c r="B2011" s="17"/>
      <c r="C2011" s="17"/>
      <c r="D2011" s="17"/>
      <c r="E2011" s="17"/>
      <c r="F2011" s="17"/>
      <c r="G2011" s="17"/>
      <c r="H2011" s="356"/>
      <c r="I2011" s="17"/>
      <c r="J2011" s="17"/>
      <c r="K2011" s="17"/>
      <c r="L2011" s="17"/>
      <c r="M2011" s="17"/>
      <c r="N2011" s="17"/>
      <c r="O2011" s="17"/>
      <c r="P2011" s="17"/>
      <c r="Q2011" s="17"/>
      <c r="R2011" s="17"/>
      <c r="S2011" s="17"/>
      <c r="T2011" s="17"/>
      <c r="U2011" s="17"/>
      <c r="V2011" s="17"/>
      <c r="W2011" s="17"/>
      <c r="X2011" s="17"/>
      <c r="Y2011" s="17"/>
      <c r="Z2011" s="17"/>
      <c r="AA2011" s="17"/>
      <c r="AB2011" s="17"/>
      <c r="AC2011" s="17"/>
      <c r="AD2011" s="17"/>
      <c r="AE2011" s="17"/>
      <c r="AF2011" s="17"/>
      <c r="AG2011" s="17"/>
      <c r="AH2011" s="17"/>
      <c r="AI2011" s="17"/>
      <c r="AJ2011" s="17"/>
      <c r="AK2011" s="17"/>
      <c r="AL2011" s="17"/>
      <c r="AM2011" s="17"/>
      <c r="AN2011" s="17"/>
      <c r="AO2011" s="17"/>
      <c r="AP2011" s="17"/>
      <c r="AQ2011" s="17"/>
      <c r="AR2011" s="17"/>
      <c r="AS2011" s="17"/>
      <c r="AT2011" s="17"/>
      <c r="AU2011" s="17"/>
      <c r="AV2011" s="17"/>
      <c r="AW2011" s="17"/>
      <c r="AX2011" s="17"/>
      <c r="AY2011" s="17"/>
      <c r="AZ2011" s="17"/>
      <c r="BA2011" s="17"/>
      <c r="BB2011" s="17"/>
      <c r="BC2011" s="17"/>
      <c r="BD2011" s="17"/>
      <c r="BE2011" s="17"/>
      <c r="BF2011" s="17"/>
      <c r="BG2011" s="17"/>
      <c r="BH2011" s="17"/>
      <c r="BI2011" s="17"/>
      <c r="BJ2011" s="17"/>
      <c r="BK2011" s="17"/>
      <c r="BL2011" s="17"/>
    </row>
    <row r="2012">
      <c r="A2012" s="17"/>
      <c r="B2012" s="17"/>
      <c r="C2012" s="17"/>
      <c r="D2012" s="17"/>
      <c r="E2012" s="17"/>
      <c r="F2012" s="17"/>
      <c r="G2012" s="17"/>
      <c r="H2012" s="356"/>
      <c r="I2012" s="17"/>
      <c r="J2012" s="17"/>
      <c r="K2012" s="17"/>
      <c r="L2012" s="17"/>
      <c r="M2012" s="17"/>
      <c r="N2012" s="17"/>
      <c r="O2012" s="17"/>
      <c r="P2012" s="17"/>
      <c r="Q2012" s="17"/>
      <c r="R2012" s="17"/>
      <c r="S2012" s="17"/>
      <c r="T2012" s="17"/>
      <c r="U2012" s="17"/>
      <c r="V2012" s="17"/>
      <c r="W2012" s="17"/>
      <c r="X2012" s="17"/>
      <c r="Y2012" s="17"/>
      <c r="Z2012" s="17"/>
      <c r="AA2012" s="17"/>
      <c r="AB2012" s="17"/>
      <c r="AC2012" s="17"/>
      <c r="AD2012" s="17"/>
      <c r="AE2012" s="17"/>
      <c r="AF2012" s="17"/>
      <c r="AG2012" s="17"/>
      <c r="AH2012" s="17"/>
      <c r="AI2012" s="17"/>
      <c r="AJ2012" s="17"/>
      <c r="AK2012" s="17"/>
      <c r="AL2012" s="17"/>
      <c r="AM2012" s="17"/>
      <c r="AN2012" s="17"/>
      <c r="AO2012" s="17"/>
      <c r="AP2012" s="17"/>
      <c r="AQ2012" s="17"/>
      <c r="AR2012" s="17"/>
      <c r="AS2012" s="17"/>
      <c r="AT2012" s="17"/>
      <c r="AU2012" s="17"/>
      <c r="AV2012" s="17"/>
      <c r="AW2012" s="17"/>
      <c r="AX2012" s="17"/>
      <c r="AY2012" s="17"/>
      <c r="AZ2012" s="17"/>
      <c r="BA2012" s="17"/>
      <c r="BB2012" s="17"/>
      <c r="BC2012" s="17"/>
      <c r="BD2012" s="17"/>
      <c r="BE2012" s="17"/>
      <c r="BF2012" s="17"/>
      <c r="BG2012" s="17"/>
      <c r="BH2012" s="17"/>
      <c r="BI2012" s="17"/>
      <c r="BJ2012" s="17"/>
      <c r="BK2012" s="17"/>
      <c r="BL2012" s="17"/>
    </row>
    <row r="2013">
      <c r="A2013" s="17"/>
      <c r="B2013" s="17"/>
      <c r="C2013" s="17"/>
      <c r="D2013" s="17"/>
      <c r="E2013" s="17"/>
      <c r="F2013" s="17"/>
      <c r="G2013" s="17"/>
      <c r="H2013" s="356"/>
      <c r="I2013" s="17"/>
      <c r="J2013" s="17"/>
      <c r="K2013" s="17"/>
      <c r="L2013" s="17"/>
      <c r="M2013" s="17"/>
      <c r="N2013" s="17"/>
      <c r="O2013" s="17"/>
      <c r="P2013" s="17"/>
      <c r="Q2013" s="17"/>
      <c r="R2013" s="17"/>
      <c r="S2013" s="17"/>
      <c r="T2013" s="17"/>
      <c r="U2013" s="17"/>
      <c r="V2013" s="17"/>
      <c r="W2013" s="17"/>
      <c r="X2013" s="17"/>
      <c r="Y2013" s="17"/>
      <c r="Z2013" s="17"/>
      <c r="AA2013" s="17"/>
      <c r="AB2013" s="17"/>
      <c r="AC2013" s="17"/>
      <c r="AD2013" s="17"/>
      <c r="AE2013" s="17"/>
      <c r="AF2013" s="17"/>
      <c r="AG2013" s="17"/>
      <c r="AH2013" s="17"/>
      <c r="AI2013" s="17"/>
      <c r="AJ2013" s="17"/>
      <c r="AK2013" s="17"/>
      <c r="AL2013" s="17"/>
      <c r="AM2013" s="17"/>
      <c r="AN2013" s="17"/>
      <c r="AO2013" s="17"/>
      <c r="AP2013" s="17"/>
      <c r="AQ2013" s="17"/>
      <c r="AR2013" s="17"/>
      <c r="AS2013" s="17"/>
      <c r="AT2013" s="17"/>
      <c r="AU2013" s="17"/>
      <c r="AV2013" s="17"/>
      <c r="AW2013" s="17"/>
      <c r="AX2013" s="17"/>
      <c r="AY2013" s="17"/>
      <c r="AZ2013" s="17"/>
      <c r="BA2013" s="17"/>
      <c r="BB2013" s="17"/>
      <c r="BC2013" s="17"/>
      <c r="BD2013" s="17"/>
      <c r="BE2013" s="17"/>
      <c r="BF2013" s="17"/>
      <c r="BG2013" s="17"/>
      <c r="BH2013" s="17"/>
      <c r="BI2013" s="17"/>
      <c r="BJ2013" s="17"/>
      <c r="BK2013" s="17"/>
      <c r="BL2013" s="17"/>
    </row>
    <row r="2014">
      <c r="A2014" s="17"/>
      <c r="B2014" s="17"/>
      <c r="C2014" s="17"/>
      <c r="D2014" s="17"/>
      <c r="E2014" s="17"/>
      <c r="F2014" s="17"/>
      <c r="G2014" s="17"/>
      <c r="H2014" s="356"/>
      <c r="I2014" s="17"/>
      <c r="J2014" s="17"/>
      <c r="K2014" s="17"/>
      <c r="L2014" s="17"/>
      <c r="M2014" s="17"/>
      <c r="N2014" s="17"/>
      <c r="O2014" s="17"/>
      <c r="P2014" s="17"/>
      <c r="Q2014" s="17"/>
      <c r="R2014" s="17"/>
      <c r="S2014" s="17"/>
      <c r="T2014" s="17"/>
      <c r="U2014" s="17"/>
      <c r="V2014" s="17"/>
      <c r="W2014" s="17"/>
      <c r="X2014" s="17"/>
      <c r="Y2014" s="17"/>
      <c r="Z2014" s="17"/>
      <c r="AA2014" s="17"/>
      <c r="AB2014" s="17"/>
      <c r="AC2014" s="17"/>
      <c r="AD2014" s="17"/>
      <c r="AE2014" s="17"/>
      <c r="AF2014" s="17"/>
      <c r="AG2014" s="17"/>
      <c r="AH2014" s="17"/>
      <c r="AI2014" s="17"/>
      <c r="AJ2014" s="17"/>
      <c r="AK2014" s="17"/>
      <c r="AL2014" s="17"/>
      <c r="AM2014" s="17"/>
      <c r="AN2014" s="17"/>
      <c r="AO2014" s="17"/>
      <c r="AP2014" s="17"/>
      <c r="AQ2014" s="17"/>
      <c r="AR2014" s="17"/>
      <c r="AS2014" s="17"/>
      <c r="AT2014" s="17"/>
      <c r="AU2014" s="17"/>
      <c r="AV2014" s="17"/>
      <c r="AW2014" s="17"/>
      <c r="AX2014" s="17"/>
      <c r="AY2014" s="17"/>
      <c r="AZ2014" s="17"/>
      <c r="BA2014" s="17"/>
      <c r="BB2014" s="17"/>
      <c r="BC2014" s="17"/>
      <c r="BD2014" s="17"/>
      <c r="BE2014" s="17"/>
      <c r="BF2014" s="17"/>
      <c r="BG2014" s="17"/>
      <c r="BH2014" s="17"/>
      <c r="BI2014" s="17"/>
      <c r="BJ2014" s="17"/>
      <c r="BK2014" s="17"/>
      <c r="BL2014" s="17"/>
    </row>
    <row r="2015">
      <c r="A2015" s="17"/>
      <c r="B2015" s="17"/>
      <c r="C2015" s="17"/>
      <c r="D2015" s="17"/>
      <c r="E2015" s="17"/>
      <c r="F2015" s="17"/>
      <c r="G2015" s="17"/>
      <c r="H2015" s="356"/>
      <c r="I2015" s="17"/>
      <c r="J2015" s="17"/>
      <c r="K2015" s="17"/>
      <c r="L2015" s="17"/>
      <c r="M2015" s="17"/>
      <c r="N2015" s="17"/>
      <c r="O2015" s="17"/>
      <c r="P2015" s="17"/>
      <c r="Q2015" s="17"/>
      <c r="R2015" s="17"/>
      <c r="S2015" s="17"/>
      <c r="T2015" s="17"/>
      <c r="U2015" s="17"/>
      <c r="V2015" s="17"/>
      <c r="W2015" s="17"/>
      <c r="X2015" s="17"/>
      <c r="Y2015" s="17"/>
      <c r="Z2015" s="17"/>
      <c r="AA2015" s="17"/>
      <c r="AB2015" s="17"/>
      <c r="AC2015" s="17"/>
      <c r="AD2015" s="17"/>
      <c r="AE2015" s="17"/>
      <c r="AF2015" s="17"/>
      <c r="AG2015" s="17"/>
      <c r="AH2015" s="17"/>
      <c r="AI2015" s="17"/>
      <c r="AJ2015" s="17"/>
      <c r="AK2015" s="17"/>
      <c r="AL2015" s="17"/>
      <c r="AM2015" s="17"/>
      <c r="AN2015" s="17"/>
      <c r="AO2015" s="17"/>
      <c r="AP2015" s="17"/>
      <c r="AQ2015" s="17"/>
      <c r="AR2015" s="17"/>
      <c r="AS2015" s="17"/>
      <c r="AT2015" s="17"/>
      <c r="AU2015" s="17"/>
      <c r="AV2015" s="17"/>
      <c r="AW2015" s="17"/>
      <c r="AX2015" s="17"/>
      <c r="AY2015" s="17"/>
      <c r="AZ2015" s="17"/>
      <c r="BA2015" s="17"/>
      <c r="BB2015" s="17"/>
      <c r="BC2015" s="17"/>
      <c r="BD2015" s="17"/>
      <c r="BE2015" s="17"/>
      <c r="BF2015" s="17"/>
      <c r="BG2015" s="17"/>
      <c r="BH2015" s="17"/>
      <c r="BI2015" s="17"/>
      <c r="BJ2015" s="17"/>
      <c r="BK2015" s="17"/>
      <c r="BL2015" s="17"/>
    </row>
    <row r="2016">
      <c r="A2016" s="17"/>
      <c r="B2016" s="17"/>
      <c r="C2016" s="17"/>
      <c r="D2016" s="17"/>
      <c r="E2016" s="17"/>
      <c r="F2016" s="17"/>
      <c r="G2016" s="17"/>
      <c r="H2016" s="356"/>
      <c r="I2016" s="17"/>
      <c r="J2016" s="17"/>
      <c r="K2016" s="17"/>
      <c r="L2016" s="17"/>
      <c r="M2016" s="17"/>
      <c r="N2016" s="17"/>
      <c r="O2016" s="17"/>
      <c r="P2016" s="17"/>
      <c r="Q2016" s="17"/>
      <c r="R2016" s="17"/>
      <c r="S2016" s="17"/>
      <c r="T2016" s="17"/>
      <c r="U2016" s="17"/>
      <c r="V2016" s="17"/>
      <c r="W2016" s="17"/>
      <c r="X2016" s="17"/>
      <c r="Y2016" s="17"/>
      <c r="Z2016" s="17"/>
      <c r="AA2016" s="17"/>
      <c r="AB2016" s="17"/>
      <c r="AC2016" s="17"/>
      <c r="AD2016" s="17"/>
      <c r="AE2016" s="17"/>
      <c r="AF2016" s="17"/>
      <c r="AG2016" s="17"/>
      <c r="AH2016" s="17"/>
      <c r="AI2016" s="17"/>
      <c r="AJ2016" s="17"/>
      <c r="AK2016" s="17"/>
      <c r="AL2016" s="17"/>
      <c r="AM2016" s="17"/>
      <c r="AN2016" s="17"/>
      <c r="AO2016" s="17"/>
      <c r="AP2016" s="17"/>
      <c r="AQ2016" s="17"/>
      <c r="AR2016" s="17"/>
      <c r="AS2016" s="17"/>
      <c r="AT2016" s="17"/>
      <c r="AU2016" s="17"/>
      <c r="AV2016" s="17"/>
      <c r="AW2016" s="17"/>
      <c r="AX2016" s="17"/>
      <c r="AY2016" s="17"/>
      <c r="AZ2016" s="17"/>
      <c r="BA2016" s="17"/>
      <c r="BB2016" s="17"/>
      <c r="BC2016" s="17"/>
      <c r="BD2016" s="17"/>
      <c r="BE2016" s="17"/>
      <c r="BF2016" s="17"/>
      <c r="BG2016" s="17"/>
      <c r="BH2016" s="17"/>
      <c r="BI2016" s="17"/>
      <c r="BJ2016" s="17"/>
      <c r="BK2016" s="17"/>
      <c r="BL2016" s="17"/>
    </row>
    <row r="2017">
      <c r="A2017" s="17"/>
      <c r="B2017" s="17"/>
      <c r="C2017" s="17"/>
      <c r="D2017" s="17"/>
      <c r="E2017" s="17"/>
      <c r="F2017" s="17"/>
      <c r="G2017" s="17"/>
      <c r="H2017" s="356"/>
      <c r="I2017" s="17"/>
      <c r="J2017" s="17"/>
      <c r="K2017" s="17"/>
      <c r="L2017" s="17"/>
      <c r="M2017" s="17"/>
      <c r="N2017" s="17"/>
      <c r="O2017" s="17"/>
      <c r="P2017" s="17"/>
      <c r="Q2017" s="17"/>
      <c r="R2017" s="17"/>
      <c r="S2017" s="17"/>
      <c r="T2017" s="17"/>
      <c r="U2017" s="17"/>
      <c r="V2017" s="17"/>
      <c r="W2017" s="17"/>
      <c r="X2017" s="17"/>
      <c r="Y2017" s="17"/>
      <c r="Z2017" s="17"/>
      <c r="AA2017" s="17"/>
      <c r="AB2017" s="17"/>
      <c r="AC2017" s="17"/>
      <c r="AD2017" s="17"/>
      <c r="AE2017" s="17"/>
      <c r="AF2017" s="17"/>
      <c r="AG2017" s="17"/>
      <c r="AH2017" s="17"/>
      <c r="AI2017" s="17"/>
      <c r="AJ2017" s="17"/>
      <c r="AK2017" s="17"/>
      <c r="AL2017" s="17"/>
      <c r="AM2017" s="17"/>
      <c r="AN2017" s="17"/>
      <c r="AO2017" s="17"/>
      <c r="AP2017" s="17"/>
      <c r="AQ2017" s="17"/>
      <c r="AR2017" s="17"/>
      <c r="AS2017" s="17"/>
      <c r="AT2017" s="17"/>
      <c r="AU2017" s="17"/>
      <c r="AV2017" s="17"/>
      <c r="AW2017" s="17"/>
      <c r="AX2017" s="17"/>
      <c r="AY2017" s="17"/>
      <c r="AZ2017" s="17"/>
      <c r="BA2017" s="17"/>
      <c r="BB2017" s="17"/>
      <c r="BC2017" s="17"/>
      <c r="BD2017" s="17"/>
      <c r="BE2017" s="17"/>
      <c r="BF2017" s="17"/>
      <c r="BG2017" s="17"/>
      <c r="BH2017" s="17"/>
      <c r="BI2017" s="17"/>
      <c r="BJ2017" s="17"/>
      <c r="BK2017" s="17"/>
      <c r="BL2017" s="17"/>
    </row>
    <row r="2018">
      <c r="A2018" s="17"/>
      <c r="B2018" s="17"/>
      <c r="C2018" s="17"/>
      <c r="D2018" s="17"/>
      <c r="E2018" s="17"/>
      <c r="F2018" s="17"/>
      <c r="G2018" s="17"/>
      <c r="H2018" s="356"/>
      <c r="I2018" s="17"/>
      <c r="J2018" s="17"/>
      <c r="K2018" s="17"/>
      <c r="L2018" s="17"/>
      <c r="M2018" s="17"/>
      <c r="N2018" s="17"/>
      <c r="O2018" s="17"/>
      <c r="P2018" s="17"/>
      <c r="Q2018" s="17"/>
      <c r="R2018" s="17"/>
      <c r="S2018" s="17"/>
      <c r="T2018" s="17"/>
      <c r="U2018" s="17"/>
      <c r="V2018" s="17"/>
      <c r="W2018" s="17"/>
      <c r="X2018" s="17"/>
      <c r="Y2018" s="17"/>
      <c r="Z2018" s="17"/>
      <c r="AA2018" s="17"/>
      <c r="AB2018" s="17"/>
      <c r="AC2018" s="17"/>
      <c r="AD2018" s="17"/>
      <c r="AE2018" s="17"/>
      <c r="AF2018" s="17"/>
      <c r="AG2018" s="17"/>
      <c r="AH2018" s="17"/>
      <c r="AI2018" s="17"/>
      <c r="AJ2018" s="17"/>
      <c r="AK2018" s="17"/>
      <c r="AL2018" s="17"/>
      <c r="AM2018" s="17"/>
      <c r="AN2018" s="17"/>
      <c r="AO2018" s="17"/>
      <c r="AP2018" s="17"/>
      <c r="AQ2018" s="17"/>
      <c r="AR2018" s="17"/>
      <c r="AS2018" s="17"/>
      <c r="AT2018" s="17"/>
      <c r="AU2018" s="17"/>
      <c r="AV2018" s="17"/>
      <c r="AW2018" s="17"/>
      <c r="AX2018" s="17"/>
      <c r="AY2018" s="17"/>
      <c r="AZ2018" s="17"/>
      <c r="BA2018" s="17"/>
      <c r="BB2018" s="17"/>
      <c r="BC2018" s="17"/>
      <c r="BD2018" s="17"/>
      <c r="BE2018" s="17"/>
      <c r="BF2018" s="17"/>
      <c r="BG2018" s="17"/>
      <c r="BH2018" s="17"/>
      <c r="BI2018" s="17"/>
      <c r="BJ2018" s="17"/>
      <c r="BK2018" s="17"/>
      <c r="BL2018" s="17"/>
    </row>
    <row r="2019">
      <c r="A2019" s="17"/>
      <c r="B2019" s="17"/>
      <c r="C2019" s="17"/>
      <c r="D2019" s="17"/>
      <c r="E2019" s="17"/>
      <c r="F2019" s="17"/>
      <c r="G2019" s="17"/>
      <c r="H2019" s="356"/>
      <c r="I2019" s="17"/>
      <c r="J2019" s="17"/>
      <c r="K2019" s="17"/>
      <c r="L2019" s="17"/>
      <c r="M2019" s="17"/>
      <c r="N2019" s="17"/>
      <c r="O2019" s="17"/>
      <c r="P2019" s="17"/>
      <c r="Q2019" s="17"/>
      <c r="R2019" s="17"/>
      <c r="S2019" s="17"/>
      <c r="T2019" s="17"/>
      <c r="U2019" s="17"/>
      <c r="V2019" s="17"/>
      <c r="W2019" s="17"/>
      <c r="X2019" s="17"/>
      <c r="Y2019" s="17"/>
      <c r="Z2019" s="17"/>
      <c r="AA2019" s="17"/>
      <c r="AB2019" s="17"/>
      <c r="AC2019" s="17"/>
      <c r="AD2019" s="17"/>
      <c r="AE2019" s="17"/>
      <c r="AF2019" s="17"/>
      <c r="AG2019" s="17"/>
      <c r="AH2019" s="17"/>
      <c r="AI2019" s="17"/>
      <c r="AJ2019" s="17"/>
      <c r="AK2019" s="17"/>
      <c r="AL2019" s="17"/>
      <c r="AM2019" s="17"/>
      <c r="AN2019" s="17"/>
      <c r="AO2019" s="17"/>
      <c r="AP2019" s="17"/>
      <c r="AQ2019" s="17"/>
      <c r="AR2019" s="17"/>
      <c r="AS2019" s="17"/>
      <c r="AT2019" s="17"/>
      <c r="AU2019" s="17"/>
      <c r="AV2019" s="17"/>
      <c r="AW2019" s="17"/>
      <c r="AX2019" s="17"/>
      <c r="AY2019" s="17"/>
      <c r="AZ2019" s="17"/>
      <c r="BA2019" s="17"/>
      <c r="BB2019" s="17"/>
      <c r="BC2019" s="17"/>
      <c r="BD2019" s="17"/>
      <c r="BE2019" s="17"/>
      <c r="BF2019" s="17"/>
      <c r="BG2019" s="17"/>
      <c r="BH2019" s="17"/>
      <c r="BI2019" s="17"/>
      <c r="BJ2019" s="17"/>
      <c r="BK2019" s="17"/>
      <c r="BL2019" s="17"/>
    </row>
    <row r="2020">
      <c r="A2020" s="17"/>
      <c r="B2020" s="17"/>
      <c r="C2020" s="17"/>
      <c r="D2020" s="17"/>
      <c r="E2020" s="17"/>
      <c r="F2020" s="17"/>
      <c r="G2020" s="17"/>
      <c r="H2020" s="356"/>
      <c r="I2020" s="17"/>
      <c r="J2020" s="17"/>
      <c r="K2020" s="17"/>
      <c r="L2020" s="17"/>
      <c r="M2020" s="17"/>
      <c r="N2020" s="17"/>
      <c r="O2020" s="17"/>
      <c r="P2020" s="17"/>
      <c r="Q2020" s="17"/>
      <c r="R2020" s="17"/>
      <c r="S2020" s="17"/>
      <c r="T2020" s="17"/>
      <c r="U2020" s="17"/>
      <c r="V2020" s="17"/>
      <c r="W2020" s="17"/>
      <c r="X2020" s="17"/>
      <c r="Y2020" s="17"/>
      <c r="Z2020" s="17"/>
      <c r="AA2020" s="17"/>
      <c r="AB2020" s="17"/>
      <c r="AC2020" s="17"/>
      <c r="AD2020" s="17"/>
      <c r="AE2020" s="17"/>
      <c r="AF2020" s="17"/>
      <c r="AG2020" s="17"/>
      <c r="AH2020" s="17"/>
      <c r="AI2020" s="17"/>
      <c r="AJ2020" s="17"/>
      <c r="AK2020" s="17"/>
      <c r="AL2020" s="17"/>
      <c r="AM2020" s="17"/>
      <c r="AN2020" s="17"/>
      <c r="AO2020" s="17"/>
      <c r="AP2020" s="17"/>
      <c r="AQ2020" s="17"/>
      <c r="AR2020" s="17"/>
      <c r="AS2020" s="17"/>
      <c r="AT2020" s="17"/>
      <c r="AU2020" s="17"/>
      <c r="AV2020" s="17"/>
      <c r="AW2020" s="17"/>
      <c r="AX2020" s="17"/>
      <c r="AY2020" s="17"/>
      <c r="AZ2020" s="17"/>
      <c r="BA2020" s="17"/>
      <c r="BB2020" s="17"/>
      <c r="BC2020" s="17"/>
      <c r="BD2020" s="17"/>
      <c r="BE2020" s="17"/>
      <c r="BF2020" s="17"/>
      <c r="BG2020" s="17"/>
      <c r="BH2020" s="17"/>
      <c r="BI2020" s="17"/>
      <c r="BJ2020" s="17"/>
      <c r="BK2020" s="17"/>
      <c r="BL2020" s="17"/>
    </row>
    <row r="2021">
      <c r="A2021" s="17"/>
      <c r="B2021" s="17"/>
      <c r="C2021" s="17"/>
      <c r="D2021" s="17"/>
      <c r="E2021" s="17"/>
      <c r="F2021" s="17"/>
      <c r="G2021" s="17"/>
      <c r="H2021" s="356"/>
      <c r="I2021" s="17"/>
      <c r="J2021" s="17"/>
      <c r="K2021" s="17"/>
      <c r="L2021" s="17"/>
      <c r="M2021" s="17"/>
      <c r="N2021" s="17"/>
      <c r="O2021" s="17"/>
      <c r="P2021" s="17"/>
      <c r="Q2021" s="17"/>
      <c r="R2021" s="17"/>
      <c r="S2021" s="17"/>
      <c r="T2021" s="17"/>
      <c r="U2021" s="17"/>
      <c r="V2021" s="17"/>
      <c r="W2021" s="17"/>
      <c r="X2021" s="17"/>
      <c r="Y2021" s="17"/>
      <c r="Z2021" s="17"/>
      <c r="AA2021" s="17"/>
      <c r="AB2021" s="17"/>
      <c r="AC2021" s="17"/>
      <c r="AD2021" s="17"/>
      <c r="AE2021" s="17"/>
      <c r="AF2021" s="17"/>
      <c r="AG2021" s="17"/>
      <c r="AH2021" s="17"/>
      <c r="AI2021" s="17"/>
      <c r="AJ2021" s="17"/>
      <c r="AK2021" s="17"/>
      <c r="AL2021" s="17"/>
      <c r="AM2021" s="17"/>
      <c r="AN2021" s="17"/>
      <c r="AO2021" s="17"/>
      <c r="AP2021" s="17"/>
      <c r="AQ2021" s="17"/>
      <c r="AR2021" s="17"/>
      <c r="AS2021" s="17"/>
      <c r="AT2021" s="17"/>
      <c r="AU2021" s="17"/>
      <c r="AV2021" s="17"/>
      <c r="AW2021" s="17"/>
      <c r="AX2021" s="17"/>
      <c r="AY2021" s="17"/>
      <c r="AZ2021" s="17"/>
      <c r="BA2021" s="17"/>
      <c r="BB2021" s="17"/>
      <c r="BC2021" s="17"/>
      <c r="BD2021" s="17"/>
      <c r="BE2021" s="17"/>
      <c r="BF2021" s="17"/>
      <c r="BG2021" s="17"/>
      <c r="BH2021" s="17"/>
      <c r="BI2021" s="17"/>
      <c r="BJ2021" s="17"/>
      <c r="BK2021" s="17"/>
      <c r="BL2021" s="17"/>
    </row>
    <row r="2022">
      <c r="A2022" s="17"/>
      <c r="B2022" s="17"/>
      <c r="C2022" s="17"/>
      <c r="D2022" s="17"/>
      <c r="E2022" s="17"/>
      <c r="F2022" s="17"/>
      <c r="G2022" s="17"/>
      <c r="H2022" s="356"/>
      <c r="I2022" s="17"/>
      <c r="J2022" s="17"/>
      <c r="K2022" s="17"/>
      <c r="L2022" s="17"/>
      <c r="M2022" s="17"/>
      <c r="N2022" s="17"/>
      <c r="O2022" s="17"/>
      <c r="P2022" s="17"/>
      <c r="Q2022" s="17"/>
      <c r="R2022" s="17"/>
      <c r="S2022" s="17"/>
      <c r="T2022" s="17"/>
      <c r="U2022" s="17"/>
      <c r="V2022" s="17"/>
      <c r="W2022" s="17"/>
      <c r="X2022" s="17"/>
      <c r="Y2022" s="17"/>
      <c r="Z2022" s="17"/>
      <c r="AA2022" s="17"/>
      <c r="AB2022" s="17"/>
      <c r="AC2022" s="17"/>
      <c r="AD2022" s="17"/>
      <c r="AE2022" s="17"/>
      <c r="AF2022" s="17"/>
      <c r="AG2022" s="17"/>
      <c r="AH2022" s="17"/>
      <c r="AI2022" s="17"/>
      <c r="AJ2022" s="17"/>
      <c r="AK2022" s="17"/>
      <c r="AL2022" s="17"/>
      <c r="AM2022" s="17"/>
      <c r="AN2022" s="17"/>
      <c r="AO2022" s="17"/>
      <c r="AP2022" s="17"/>
      <c r="AQ2022" s="17"/>
      <c r="AR2022" s="17"/>
      <c r="AS2022" s="17"/>
      <c r="AT2022" s="17"/>
      <c r="AU2022" s="17"/>
      <c r="AV2022" s="17"/>
      <c r="AW2022" s="17"/>
      <c r="AX2022" s="17"/>
      <c r="AY2022" s="17"/>
      <c r="AZ2022" s="17"/>
      <c r="BA2022" s="17"/>
      <c r="BB2022" s="17"/>
      <c r="BC2022" s="17"/>
      <c r="BD2022" s="17"/>
      <c r="BE2022" s="17"/>
      <c r="BF2022" s="17"/>
      <c r="BG2022" s="17"/>
      <c r="BH2022" s="17"/>
      <c r="BI2022" s="17"/>
      <c r="BJ2022" s="17"/>
      <c r="BK2022" s="17"/>
      <c r="BL2022" s="17"/>
    </row>
    <row r="2023">
      <c r="A2023" s="17"/>
      <c r="B2023" s="17"/>
      <c r="C2023" s="17"/>
      <c r="D2023" s="17"/>
      <c r="E2023" s="17"/>
      <c r="F2023" s="17"/>
      <c r="G2023" s="17"/>
      <c r="H2023" s="356"/>
      <c r="I2023" s="17"/>
      <c r="J2023" s="17"/>
      <c r="K2023" s="17"/>
      <c r="L2023" s="17"/>
      <c r="M2023" s="17"/>
      <c r="N2023" s="17"/>
      <c r="O2023" s="17"/>
      <c r="P2023" s="17"/>
      <c r="Q2023" s="17"/>
      <c r="R2023" s="17"/>
      <c r="S2023" s="17"/>
      <c r="T2023" s="17"/>
      <c r="U2023" s="17"/>
      <c r="V2023" s="17"/>
      <c r="W2023" s="17"/>
      <c r="X2023" s="17"/>
      <c r="Y2023" s="17"/>
      <c r="Z2023" s="17"/>
      <c r="AA2023" s="17"/>
      <c r="AB2023" s="17"/>
      <c r="AC2023" s="17"/>
      <c r="AD2023" s="17"/>
      <c r="AE2023" s="17"/>
      <c r="AF2023" s="17"/>
      <c r="AG2023" s="17"/>
      <c r="AH2023" s="17"/>
      <c r="AI2023" s="17"/>
      <c r="AJ2023" s="17"/>
      <c r="AK2023" s="17"/>
      <c r="AL2023" s="17"/>
      <c r="AM2023" s="17"/>
      <c r="AN2023" s="17"/>
      <c r="AO2023" s="17"/>
      <c r="AP2023" s="17"/>
      <c r="AQ2023" s="17"/>
      <c r="AR2023" s="17"/>
      <c r="AS2023" s="17"/>
      <c r="AT2023" s="17"/>
      <c r="AU2023" s="17"/>
      <c r="AV2023" s="17"/>
      <c r="AW2023" s="17"/>
      <c r="AX2023" s="17"/>
      <c r="AY2023" s="17"/>
      <c r="AZ2023" s="17"/>
      <c r="BA2023" s="17"/>
      <c r="BB2023" s="17"/>
      <c r="BC2023" s="17"/>
      <c r="BD2023" s="17"/>
      <c r="BE2023" s="17"/>
      <c r="BF2023" s="17"/>
      <c r="BG2023" s="17"/>
      <c r="BH2023" s="17"/>
      <c r="BI2023" s="17"/>
      <c r="BJ2023" s="17"/>
      <c r="BK2023" s="17"/>
      <c r="BL2023" s="17"/>
    </row>
    <row r="2024">
      <c r="A2024" s="17"/>
      <c r="B2024" s="17"/>
      <c r="C2024" s="17"/>
      <c r="D2024" s="17"/>
      <c r="E2024" s="17"/>
      <c r="F2024" s="17"/>
      <c r="G2024" s="17"/>
      <c r="H2024" s="356"/>
      <c r="I2024" s="17"/>
      <c r="J2024" s="17"/>
      <c r="K2024" s="17"/>
      <c r="L2024" s="17"/>
      <c r="M2024" s="17"/>
      <c r="N2024" s="17"/>
      <c r="O2024" s="17"/>
      <c r="P2024" s="17"/>
      <c r="Q2024" s="17"/>
      <c r="R2024" s="17"/>
      <c r="S2024" s="17"/>
      <c r="T2024" s="17"/>
      <c r="U2024" s="17"/>
      <c r="V2024" s="17"/>
      <c r="W2024" s="17"/>
      <c r="X2024" s="17"/>
      <c r="Y2024" s="17"/>
      <c r="Z2024" s="17"/>
      <c r="AA2024" s="17"/>
      <c r="AB2024" s="17"/>
      <c r="AC2024" s="17"/>
      <c r="AD2024" s="17"/>
      <c r="AE2024" s="17"/>
      <c r="AF2024" s="17"/>
      <c r="AG2024" s="17"/>
      <c r="AH2024" s="17"/>
      <c r="AI2024" s="17"/>
      <c r="AJ2024" s="17"/>
      <c r="AK2024" s="17"/>
      <c r="AL2024" s="17"/>
      <c r="AM2024" s="17"/>
      <c r="AN2024" s="17"/>
      <c r="AO2024" s="17"/>
      <c r="AP2024" s="17"/>
      <c r="AQ2024" s="17"/>
      <c r="AR2024" s="17"/>
      <c r="AS2024" s="17"/>
      <c r="AT2024" s="17"/>
      <c r="AU2024" s="17"/>
      <c r="AV2024" s="17"/>
      <c r="AW2024" s="17"/>
      <c r="AX2024" s="17"/>
      <c r="AY2024" s="17"/>
      <c r="AZ2024" s="17"/>
      <c r="BA2024" s="17"/>
      <c r="BB2024" s="17"/>
      <c r="BC2024" s="17"/>
      <c r="BD2024" s="17"/>
      <c r="BE2024" s="17"/>
      <c r="BF2024" s="17"/>
      <c r="BG2024" s="17"/>
      <c r="BH2024" s="17"/>
      <c r="BI2024" s="17"/>
      <c r="BJ2024" s="17"/>
      <c r="BK2024" s="17"/>
      <c r="BL2024" s="17"/>
    </row>
    <row r="2025">
      <c r="A2025" s="17"/>
      <c r="B2025" s="17"/>
      <c r="C2025" s="17"/>
      <c r="D2025" s="17"/>
      <c r="E2025" s="17"/>
      <c r="F2025" s="17"/>
      <c r="G2025" s="17"/>
      <c r="H2025" s="356"/>
      <c r="I2025" s="17"/>
      <c r="J2025" s="17"/>
      <c r="K2025" s="17"/>
      <c r="L2025" s="17"/>
      <c r="M2025" s="17"/>
      <c r="N2025" s="17"/>
      <c r="O2025" s="17"/>
      <c r="P2025" s="17"/>
      <c r="Q2025" s="17"/>
      <c r="R2025" s="17"/>
      <c r="S2025" s="17"/>
      <c r="T2025" s="17"/>
      <c r="U2025" s="17"/>
      <c r="V2025" s="17"/>
      <c r="W2025" s="17"/>
      <c r="X2025" s="17"/>
      <c r="Y2025" s="17"/>
      <c r="Z2025" s="17"/>
      <c r="AA2025" s="17"/>
      <c r="AB2025" s="17"/>
      <c r="AC2025" s="17"/>
      <c r="AD2025" s="17"/>
      <c r="AE2025" s="17"/>
      <c r="AF2025" s="17"/>
      <c r="AG2025" s="17"/>
      <c r="AH2025" s="17"/>
      <c r="AI2025" s="17"/>
      <c r="AJ2025" s="17"/>
      <c r="AK2025" s="17"/>
      <c r="AL2025" s="17"/>
      <c r="AM2025" s="17"/>
      <c r="AN2025" s="17"/>
      <c r="AO2025" s="17"/>
      <c r="AP2025" s="17"/>
      <c r="AQ2025" s="17"/>
      <c r="AR2025" s="17"/>
      <c r="AS2025" s="17"/>
      <c r="AT2025" s="17"/>
      <c r="AU2025" s="17"/>
      <c r="AV2025" s="17"/>
      <c r="AW2025" s="17"/>
      <c r="AX2025" s="17"/>
      <c r="AY2025" s="17"/>
      <c r="AZ2025" s="17"/>
      <c r="BA2025" s="17"/>
      <c r="BB2025" s="17"/>
      <c r="BC2025" s="17"/>
      <c r="BD2025" s="17"/>
      <c r="BE2025" s="17"/>
      <c r="BF2025" s="17"/>
      <c r="BG2025" s="17"/>
      <c r="BH2025" s="17"/>
      <c r="BI2025" s="17"/>
      <c r="BJ2025" s="17"/>
      <c r="BK2025" s="17"/>
      <c r="BL2025" s="17"/>
    </row>
    <row r="2026">
      <c r="A2026" s="17"/>
      <c r="B2026" s="17"/>
      <c r="C2026" s="17"/>
      <c r="D2026" s="17"/>
      <c r="E2026" s="17"/>
      <c r="F2026" s="17"/>
      <c r="G2026" s="17"/>
      <c r="H2026" s="356"/>
      <c r="I2026" s="17"/>
      <c r="J2026" s="17"/>
      <c r="K2026" s="17"/>
      <c r="L2026" s="17"/>
      <c r="M2026" s="17"/>
      <c r="N2026" s="17"/>
      <c r="O2026" s="17"/>
      <c r="P2026" s="17"/>
      <c r="Q2026" s="17"/>
      <c r="R2026" s="17"/>
      <c r="S2026" s="17"/>
      <c r="T2026" s="17"/>
      <c r="U2026" s="17"/>
      <c r="V2026" s="17"/>
      <c r="W2026" s="17"/>
      <c r="X2026" s="17"/>
      <c r="Y2026" s="17"/>
      <c r="Z2026" s="17"/>
      <c r="AA2026" s="17"/>
      <c r="AB2026" s="17"/>
      <c r="AC2026" s="17"/>
      <c r="AD2026" s="17"/>
      <c r="AE2026" s="17"/>
      <c r="AF2026" s="17"/>
      <c r="AG2026" s="17"/>
      <c r="AH2026" s="17"/>
      <c r="AI2026" s="17"/>
      <c r="AJ2026" s="17"/>
      <c r="AK2026" s="17"/>
      <c r="AL2026" s="17"/>
      <c r="AM2026" s="17"/>
      <c r="AN2026" s="17"/>
      <c r="AO2026" s="17"/>
      <c r="AP2026" s="17"/>
      <c r="AQ2026" s="17"/>
      <c r="AR2026" s="17"/>
      <c r="AS2026" s="17"/>
      <c r="AT2026" s="17"/>
      <c r="AU2026" s="17"/>
      <c r="AV2026" s="17"/>
      <c r="AW2026" s="17"/>
      <c r="AX2026" s="17"/>
      <c r="AY2026" s="17"/>
      <c r="AZ2026" s="17"/>
      <c r="BA2026" s="17"/>
      <c r="BB2026" s="17"/>
      <c r="BC2026" s="17"/>
      <c r="BD2026" s="17"/>
      <c r="BE2026" s="17"/>
      <c r="BF2026" s="17"/>
      <c r="BG2026" s="17"/>
      <c r="BH2026" s="17"/>
      <c r="BI2026" s="17"/>
      <c r="BJ2026" s="17"/>
      <c r="BK2026" s="17"/>
      <c r="BL2026" s="17"/>
    </row>
    <row r="2027">
      <c r="A2027" s="17"/>
      <c r="B2027" s="17"/>
      <c r="C2027" s="17"/>
      <c r="D2027" s="17"/>
      <c r="E2027" s="17"/>
      <c r="F2027" s="17"/>
      <c r="G2027" s="17"/>
      <c r="H2027" s="356"/>
      <c r="I2027" s="17"/>
      <c r="J2027" s="17"/>
      <c r="K2027" s="17"/>
      <c r="L2027" s="17"/>
      <c r="M2027" s="17"/>
      <c r="N2027" s="17"/>
      <c r="O2027" s="17"/>
      <c r="P2027" s="17"/>
      <c r="Q2027" s="17"/>
      <c r="R2027" s="17"/>
      <c r="S2027" s="17"/>
      <c r="T2027" s="17"/>
      <c r="U2027" s="17"/>
      <c r="V2027" s="17"/>
      <c r="W2027" s="17"/>
      <c r="X2027" s="17"/>
      <c r="Y2027" s="17"/>
      <c r="Z2027" s="17"/>
      <c r="AA2027" s="17"/>
      <c r="AB2027" s="17"/>
      <c r="AC2027" s="17"/>
      <c r="AD2027" s="17"/>
      <c r="AE2027" s="17"/>
      <c r="AF2027" s="17"/>
      <c r="AG2027" s="17"/>
      <c r="AH2027" s="17"/>
      <c r="AI2027" s="17"/>
      <c r="AJ2027" s="17"/>
      <c r="AK2027" s="17"/>
      <c r="AL2027" s="17"/>
      <c r="AM2027" s="17"/>
      <c r="AN2027" s="17"/>
      <c r="AO2027" s="17"/>
      <c r="AP2027" s="17"/>
      <c r="AQ2027" s="17"/>
      <c r="AR2027" s="17"/>
      <c r="AS2027" s="17"/>
      <c r="AT2027" s="17"/>
      <c r="AU2027" s="17"/>
      <c r="AV2027" s="17"/>
      <c r="AW2027" s="17"/>
      <c r="AX2027" s="17"/>
      <c r="AY2027" s="17"/>
      <c r="AZ2027" s="17"/>
      <c r="BA2027" s="17"/>
      <c r="BB2027" s="17"/>
      <c r="BC2027" s="17"/>
      <c r="BD2027" s="17"/>
      <c r="BE2027" s="17"/>
      <c r="BF2027" s="17"/>
      <c r="BG2027" s="17"/>
      <c r="BH2027" s="17"/>
      <c r="BI2027" s="17"/>
      <c r="BJ2027" s="17"/>
      <c r="BK2027" s="17"/>
      <c r="BL2027" s="17"/>
    </row>
    <row r="2028">
      <c r="A2028" s="17"/>
      <c r="B2028" s="17"/>
      <c r="C2028" s="17"/>
      <c r="D2028" s="17"/>
      <c r="E2028" s="17"/>
      <c r="F2028" s="17"/>
      <c r="G2028" s="17"/>
      <c r="H2028" s="356"/>
      <c r="I2028" s="17"/>
      <c r="J2028" s="17"/>
      <c r="K2028" s="17"/>
      <c r="L2028" s="17"/>
      <c r="M2028" s="17"/>
      <c r="N2028" s="17"/>
      <c r="O2028" s="17"/>
      <c r="P2028" s="17"/>
      <c r="Q2028" s="17"/>
      <c r="R2028" s="17"/>
      <c r="S2028" s="17"/>
      <c r="T2028" s="17"/>
      <c r="U2028" s="17"/>
      <c r="V2028" s="17"/>
      <c r="W2028" s="17"/>
      <c r="X2028" s="17"/>
      <c r="Y2028" s="17"/>
      <c r="Z2028" s="17"/>
      <c r="AA2028" s="17"/>
      <c r="AB2028" s="17"/>
      <c r="AC2028" s="17"/>
      <c r="AD2028" s="17"/>
      <c r="AE2028" s="17"/>
      <c r="AF2028" s="17"/>
      <c r="AG2028" s="17"/>
      <c r="AH2028" s="17"/>
      <c r="AI2028" s="17"/>
      <c r="AJ2028" s="17"/>
      <c r="AK2028" s="17"/>
      <c r="AL2028" s="17"/>
      <c r="AM2028" s="17"/>
      <c r="AN2028" s="17"/>
      <c r="AO2028" s="17"/>
      <c r="AP2028" s="17"/>
      <c r="AQ2028" s="17"/>
      <c r="AR2028" s="17"/>
      <c r="AS2028" s="17"/>
      <c r="AT2028" s="17"/>
      <c r="AU2028" s="17"/>
      <c r="AV2028" s="17"/>
      <c r="AW2028" s="17"/>
      <c r="AX2028" s="17"/>
      <c r="AY2028" s="17"/>
      <c r="AZ2028" s="17"/>
      <c r="BA2028" s="17"/>
      <c r="BB2028" s="17"/>
      <c r="BC2028" s="17"/>
      <c r="BD2028" s="17"/>
      <c r="BE2028" s="17"/>
      <c r="BF2028" s="17"/>
      <c r="BG2028" s="17"/>
      <c r="BH2028" s="17"/>
      <c r="BI2028" s="17"/>
      <c r="BJ2028" s="17"/>
      <c r="BK2028" s="17"/>
      <c r="BL2028" s="17"/>
    </row>
    <row r="2029">
      <c r="A2029" s="17"/>
      <c r="B2029" s="17"/>
      <c r="C2029" s="17"/>
      <c r="D2029" s="17"/>
      <c r="E2029" s="17"/>
      <c r="F2029" s="17"/>
      <c r="G2029" s="17"/>
      <c r="H2029" s="356"/>
      <c r="I2029" s="17"/>
      <c r="J2029" s="17"/>
      <c r="K2029" s="17"/>
      <c r="L2029" s="17"/>
      <c r="M2029" s="17"/>
      <c r="N2029" s="17"/>
      <c r="O2029" s="17"/>
      <c r="P2029" s="17"/>
      <c r="Q2029" s="17"/>
      <c r="R2029" s="17"/>
      <c r="S2029" s="17"/>
      <c r="T2029" s="17"/>
      <c r="U2029" s="17"/>
      <c r="V2029" s="17"/>
      <c r="W2029" s="17"/>
      <c r="X2029" s="17"/>
      <c r="Y2029" s="17"/>
      <c r="Z2029" s="17"/>
      <c r="AA2029" s="17"/>
      <c r="AB2029" s="17"/>
      <c r="AC2029" s="17"/>
      <c r="AD2029" s="17"/>
      <c r="AE2029" s="17"/>
      <c r="AF2029" s="17"/>
      <c r="AG2029" s="17"/>
      <c r="AH2029" s="17"/>
      <c r="AI2029" s="17"/>
      <c r="AJ2029" s="17"/>
      <c r="AK2029" s="17"/>
      <c r="AL2029" s="17"/>
      <c r="AM2029" s="17"/>
      <c r="AN2029" s="17"/>
      <c r="AO2029" s="17"/>
      <c r="AP2029" s="17"/>
      <c r="AQ2029" s="17"/>
      <c r="AR2029" s="17"/>
      <c r="AS2029" s="17"/>
      <c r="AT2029" s="17"/>
      <c r="AU2029" s="17"/>
      <c r="AV2029" s="17"/>
      <c r="AW2029" s="17"/>
      <c r="AX2029" s="17"/>
      <c r="AY2029" s="17"/>
      <c r="AZ2029" s="17"/>
      <c r="BA2029" s="17"/>
      <c r="BB2029" s="17"/>
      <c r="BC2029" s="17"/>
      <c r="BD2029" s="17"/>
      <c r="BE2029" s="17"/>
      <c r="BF2029" s="17"/>
      <c r="BG2029" s="17"/>
      <c r="BH2029" s="17"/>
      <c r="BI2029" s="17"/>
      <c r="BJ2029" s="17"/>
      <c r="BK2029" s="17"/>
      <c r="BL2029" s="17"/>
    </row>
    <row r="2030">
      <c r="A2030" s="17"/>
      <c r="B2030" s="17"/>
      <c r="C2030" s="17"/>
      <c r="D2030" s="17"/>
      <c r="E2030" s="17"/>
      <c r="F2030" s="17"/>
      <c r="G2030" s="17"/>
      <c r="H2030" s="356"/>
      <c r="I2030" s="17"/>
      <c r="J2030" s="17"/>
      <c r="K2030" s="17"/>
      <c r="L2030" s="17"/>
      <c r="M2030" s="17"/>
      <c r="N2030" s="17"/>
      <c r="O2030" s="17"/>
      <c r="P2030" s="17"/>
      <c r="Q2030" s="17"/>
      <c r="R2030" s="17"/>
      <c r="S2030" s="17"/>
      <c r="T2030" s="17"/>
      <c r="U2030" s="17"/>
      <c r="V2030" s="17"/>
      <c r="W2030" s="17"/>
      <c r="X2030" s="17"/>
      <c r="Y2030" s="17"/>
      <c r="Z2030" s="17"/>
      <c r="AA2030" s="17"/>
      <c r="AB2030" s="17"/>
      <c r="AC2030" s="17"/>
      <c r="AD2030" s="17"/>
      <c r="AE2030" s="17"/>
      <c r="AF2030" s="17"/>
      <c r="AG2030" s="17"/>
      <c r="AH2030" s="17"/>
      <c r="AI2030" s="17"/>
      <c r="AJ2030" s="17"/>
      <c r="AK2030" s="17"/>
      <c r="AL2030" s="17"/>
      <c r="AM2030" s="17"/>
      <c r="AN2030" s="17"/>
      <c r="AO2030" s="17"/>
      <c r="AP2030" s="17"/>
      <c r="AQ2030" s="17"/>
      <c r="AR2030" s="17"/>
      <c r="AS2030" s="17"/>
      <c r="AT2030" s="17"/>
      <c r="AU2030" s="17"/>
      <c r="AV2030" s="17"/>
      <c r="AW2030" s="17"/>
      <c r="AX2030" s="17"/>
      <c r="AY2030" s="17"/>
      <c r="AZ2030" s="17"/>
      <c r="BA2030" s="17"/>
      <c r="BB2030" s="17"/>
      <c r="BC2030" s="17"/>
      <c r="BD2030" s="17"/>
      <c r="BE2030" s="17"/>
      <c r="BF2030" s="17"/>
      <c r="BG2030" s="17"/>
      <c r="BH2030" s="17"/>
      <c r="BI2030" s="17"/>
      <c r="BJ2030" s="17"/>
      <c r="BK2030" s="17"/>
      <c r="BL2030" s="17"/>
    </row>
    <row r="2031">
      <c r="A2031" s="17"/>
      <c r="B2031" s="17"/>
      <c r="C2031" s="17"/>
      <c r="D2031" s="17"/>
      <c r="E2031" s="17"/>
      <c r="F2031" s="17"/>
      <c r="G2031" s="17"/>
      <c r="H2031" s="356"/>
      <c r="I2031" s="17"/>
      <c r="J2031" s="17"/>
      <c r="K2031" s="17"/>
      <c r="L2031" s="17"/>
      <c r="M2031" s="17"/>
      <c r="N2031" s="17"/>
      <c r="O2031" s="17"/>
      <c r="P2031" s="17"/>
      <c r="Q2031" s="17"/>
      <c r="R2031" s="17"/>
      <c r="S2031" s="17"/>
      <c r="T2031" s="17"/>
      <c r="U2031" s="17"/>
      <c r="V2031" s="17"/>
      <c r="W2031" s="17"/>
      <c r="X2031" s="17"/>
      <c r="Y2031" s="17"/>
      <c r="Z2031" s="17"/>
      <c r="AA2031" s="17"/>
      <c r="AB2031" s="17"/>
      <c r="AC2031" s="17"/>
      <c r="AD2031" s="17"/>
      <c r="AE2031" s="17"/>
      <c r="AF2031" s="17"/>
      <c r="AG2031" s="17"/>
      <c r="AH2031" s="17"/>
      <c r="AI2031" s="17"/>
      <c r="AJ2031" s="17"/>
      <c r="AK2031" s="17"/>
      <c r="AL2031" s="17"/>
      <c r="AM2031" s="17"/>
      <c r="AN2031" s="17"/>
      <c r="AO2031" s="17"/>
      <c r="AP2031" s="17"/>
      <c r="AQ2031" s="17"/>
      <c r="AR2031" s="17"/>
      <c r="AS2031" s="17"/>
      <c r="AT2031" s="17"/>
      <c r="AU2031" s="17"/>
      <c r="AV2031" s="17"/>
      <c r="AW2031" s="17"/>
      <c r="AX2031" s="17"/>
      <c r="AY2031" s="17"/>
      <c r="AZ2031" s="17"/>
      <c r="BA2031" s="17"/>
      <c r="BB2031" s="17"/>
      <c r="BC2031" s="17"/>
      <c r="BD2031" s="17"/>
      <c r="BE2031" s="17"/>
      <c r="BF2031" s="17"/>
      <c r="BG2031" s="17"/>
      <c r="BH2031" s="17"/>
      <c r="BI2031" s="17"/>
      <c r="BJ2031" s="17"/>
      <c r="BK2031" s="17"/>
      <c r="BL2031" s="17"/>
    </row>
    <row r="2032">
      <c r="A2032" s="17"/>
      <c r="B2032" s="17"/>
      <c r="C2032" s="17"/>
      <c r="D2032" s="17"/>
      <c r="E2032" s="17"/>
      <c r="F2032" s="17"/>
      <c r="G2032" s="17"/>
      <c r="H2032" s="356"/>
      <c r="I2032" s="17"/>
      <c r="J2032" s="17"/>
      <c r="K2032" s="17"/>
      <c r="L2032" s="17"/>
      <c r="M2032" s="17"/>
      <c r="N2032" s="17"/>
      <c r="O2032" s="17"/>
      <c r="P2032" s="17"/>
      <c r="Q2032" s="17"/>
      <c r="R2032" s="17"/>
      <c r="S2032" s="17"/>
      <c r="T2032" s="17"/>
      <c r="U2032" s="17"/>
      <c r="V2032" s="17"/>
      <c r="W2032" s="17"/>
      <c r="X2032" s="17"/>
      <c r="Y2032" s="17"/>
      <c r="Z2032" s="17"/>
      <c r="AA2032" s="17"/>
      <c r="AB2032" s="17"/>
      <c r="AC2032" s="17"/>
      <c r="AD2032" s="17"/>
      <c r="AE2032" s="17"/>
      <c r="AF2032" s="17"/>
      <c r="AG2032" s="17"/>
      <c r="AH2032" s="17"/>
      <c r="AI2032" s="17"/>
      <c r="AJ2032" s="17"/>
      <c r="AK2032" s="17"/>
      <c r="AL2032" s="17"/>
      <c r="AM2032" s="17"/>
      <c r="AN2032" s="17"/>
      <c r="AO2032" s="17"/>
      <c r="AP2032" s="17"/>
      <c r="AQ2032" s="17"/>
      <c r="AR2032" s="17"/>
      <c r="AS2032" s="17"/>
      <c r="AT2032" s="17"/>
      <c r="AU2032" s="17"/>
      <c r="AV2032" s="17"/>
      <c r="AW2032" s="17"/>
      <c r="AX2032" s="17"/>
      <c r="AY2032" s="17"/>
      <c r="AZ2032" s="17"/>
      <c r="BA2032" s="17"/>
      <c r="BB2032" s="17"/>
      <c r="BC2032" s="17"/>
      <c r="BD2032" s="17"/>
      <c r="BE2032" s="17"/>
      <c r="BF2032" s="17"/>
      <c r="BG2032" s="17"/>
      <c r="BH2032" s="17"/>
      <c r="BI2032" s="17"/>
      <c r="BJ2032" s="17"/>
      <c r="BK2032" s="17"/>
      <c r="BL2032" s="17"/>
    </row>
    <row r="2033">
      <c r="A2033" s="17"/>
      <c r="B2033" s="17"/>
      <c r="C2033" s="17"/>
      <c r="D2033" s="17"/>
      <c r="E2033" s="17"/>
      <c r="F2033" s="17"/>
      <c r="G2033" s="17"/>
      <c r="H2033" s="356"/>
      <c r="I2033" s="17"/>
      <c r="J2033" s="17"/>
      <c r="K2033" s="17"/>
      <c r="L2033" s="17"/>
      <c r="M2033" s="17"/>
      <c r="N2033" s="17"/>
      <c r="O2033" s="17"/>
      <c r="P2033" s="17"/>
      <c r="Q2033" s="17"/>
      <c r="R2033" s="17"/>
      <c r="S2033" s="17"/>
      <c r="T2033" s="17"/>
      <c r="U2033" s="17"/>
      <c r="V2033" s="17"/>
      <c r="W2033" s="17"/>
      <c r="X2033" s="17"/>
      <c r="Y2033" s="17"/>
      <c r="Z2033" s="17"/>
      <c r="AA2033" s="17"/>
      <c r="AB2033" s="17"/>
      <c r="AC2033" s="17"/>
      <c r="AD2033" s="17"/>
      <c r="AE2033" s="17"/>
      <c r="AF2033" s="17"/>
      <c r="AG2033" s="17"/>
      <c r="AH2033" s="17"/>
      <c r="AI2033" s="17"/>
      <c r="AJ2033" s="17"/>
      <c r="AK2033" s="17"/>
      <c r="AL2033" s="17"/>
      <c r="AM2033" s="17"/>
      <c r="AN2033" s="17"/>
      <c r="AO2033" s="17"/>
      <c r="AP2033" s="17"/>
      <c r="AQ2033" s="17"/>
      <c r="AR2033" s="17"/>
      <c r="AS2033" s="17"/>
      <c r="AT2033" s="17"/>
      <c r="AU2033" s="17"/>
      <c r="AV2033" s="17"/>
      <c r="AW2033" s="17"/>
      <c r="AX2033" s="17"/>
      <c r="AY2033" s="17"/>
      <c r="AZ2033" s="17"/>
      <c r="BA2033" s="17"/>
      <c r="BB2033" s="17"/>
      <c r="BC2033" s="17"/>
      <c r="BD2033" s="17"/>
      <c r="BE2033" s="17"/>
      <c r="BF2033" s="17"/>
      <c r="BG2033" s="17"/>
      <c r="BH2033" s="17"/>
      <c r="BI2033" s="17"/>
      <c r="BJ2033" s="17"/>
      <c r="BK2033" s="17"/>
      <c r="BL2033" s="17"/>
    </row>
    <row r="2034">
      <c r="A2034" s="17"/>
      <c r="B2034" s="17"/>
      <c r="C2034" s="17"/>
      <c r="D2034" s="17"/>
      <c r="E2034" s="17"/>
      <c r="F2034" s="17"/>
      <c r="G2034" s="17"/>
      <c r="H2034" s="356"/>
      <c r="I2034" s="17"/>
      <c r="J2034" s="17"/>
      <c r="K2034" s="17"/>
      <c r="L2034" s="17"/>
      <c r="M2034" s="17"/>
      <c r="N2034" s="17"/>
      <c r="O2034" s="17"/>
      <c r="P2034" s="17"/>
      <c r="Q2034" s="17"/>
      <c r="R2034" s="17"/>
      <c r="S2034" s="17"/>
      <c r="T2034" s="17"/>
      <c r="U2034" s="17"/>
      <c r="V2034" s="17"/>
      <c r="W2034" s="17"/>
      <c r="X2034" s="17"/>
      <c r="Y2034" s="17"/>
      <c r="Z2034" s="17"/>
      <c r="AA2034" s="17"/>
      <c r="AB2034" s="17"/>
      <c r="AC2034" s="17"/>
      <c r="AD2034" s="17"/>
      <c r="AE2034" s="17"/>
      <c r="AF2034" s="17"/>
      <c r="AG2034" s="17"/>
      <c r="AH2034" s="17"/>
      <c r="AI2034" s="17"/>
      <c r="AJ2034" s="17"/>
      <c r="AK2034" s="17"/>
      <c r="AL2034" s="17"/>
      <c r="AM2034" s="17"/>
      <c r="AN2034" s="17"/>
      <c r="AO2034" s="17"/>
      <c r="AP2034" s="17"/>
      <c r="AQ2034" s="17"/>
      <c r="AR2034" s="17"/>
      <c r="AS2034" s="17"/>
      <c r="AT2034" s="17"/>
      <c r="AU2034" s="17"/>
      <c r="AV2034" s="17"/>
      <c r="AW2034" s="17"/>
      <c r="AX2034" s="17"/>
      <c r="AY2034" s="17"/>
      <c r="AZ2034" s="17"/>
      <c r="BA2034" s="17"/>
      <c r="BB2034" s="17"/>
      <c r="BC2034" s="17"/>
      <c r="BD2034" s="17"/>
      <c r="BE2034" s="17"/>
      <c r="BF2034" s="17"/>
      <c r="BG2034" s="17"/>
      <c r="BH2034" s="17"/>
      <c r="BI2034" s="17"/>
      <c r="BJ2034" s="17"/>
      <c r="BK2034" s="17"/>
      <c r="BL2034" s="17"/>
    </row>
    <row r="2035">
      <c r="A2035" s="17"/>
      <c r="B2035" s="17"/>
      <c r="C2035" s="17"/>
      <c r="D2035" s="17"/>
      <c r="E2035" s="17"/>
      <c r="F2035" s="17"/>
      <c r="G2035" s="17"/>
      <c r="H2035" s="356"/>
      <c r="I2035" s="17"/>
      <c r="J2035" s="17"/>
      <c r="K2035" s="17"/>
      <c r="L2035" s="17"/>
      <c r="M2035" s="17"/>
      <c r="N2035" s="17"/>
      <c r="O2035" s="17"/>
      <c r="P2035" s="17"/>
      <c r="Q2035" s="17"/>
      <c r="R2035" s="17"/>
      <c r="S2035" s="17"/>
      <c r="T2035" s="17"/>
      <c r="U2035" s="17"/>
      <c r="V2035" s="17"/>
      <c r="W2035" s="17"/>
      <c r="X2035" s="17"/>
      <c r="Y2035" s="17"/>
      <c r="Z2035" s="17"/>
      <c r="AA2035" s="17"/>
      <c r="AB2035" s="17"/>
      <c r="AC2035" s="17"/>
      <c r="AD2035" s="17"/>
      <c r="AE2035" s="17"/>
      <c r="AF2035" s="17"/>
      <c r="AG2035" s="17"/>
      <c r="AH2035" s="17"/>
      <c r="AI2035" s="17"/>
      <c r="AJ2035" s="17"/>
      <c r="AK2035" s="17"/>
      <c r="AL2035" s="17"/>
      <c r="AM2035" s="17"/>
      <c r="AN2035" s="17"/>
      <c r="AO2035" s="17"/>
      <c r="AP2035" s="17"/>
      <c r="AQ2035" s="17"/>
      <c r="AR2035" s="17"/>
      <c r="AS2035" s="17"/>
      <c r="AT2035" s="17"/>
      <c r="AU2035" s="17"/>
      <c r="AV2035" s="17"/>
      <c r="AW2035" s="17"/>
      <c r="AX2035" s="17"/>
      <c r="AY2035" s="17"/>
      <c r="AZ2035" s="17"/>
      <c r="BA2035" s="17"/>
      <c r="BB2035" s="17"/>
      <c r="BC2035" s="17"/>
      <c r="BD2035" s="17"/>
      <c r="BE2035" s="17"/>
      <c r="BF2035" s="17"/>
      <c r="BG2035" s="17"/>
      <c r="BH2035" s="17"/>
      <c r="BI2035" s="17"/>
      <c r="BJ2035" s="17"/>
      <c r="BK2035" s="17"/>
      <c r="BL2035" s="17"/>
    </row>
    <row r="2036">
      <c r="A2036" s="17"/>
      <c r="B2036" s="17"/>
      <c r="C2036" s="17"/>
      <c r="D2036" s="17"/>
      <c r="E2036" s="17"/>
      <c r="F2036" s="17"/>
      <c r="G2036" s="17"/>
      <c r="H2036" s="356"/>
      <c r="I2036" s="17"/>
      <c r="J2036" s="17"/>
      <c r="K2036" s="17"/>
      <c r="L2036" s="17"/>
      <c r="M2036" s="17"/>
      <c r="N2036" s="17"/>
      <c r="O2036" s="17"/>
      <c r="P2036" s="17"/>
      <c r="Q2036" s="17"/>
      <c r="R2036" s="17"/>
      <c r="S2036" s="17"/>
      <c r="T2036" s="17"/>
      <c r="U2036" s="17"/>
      <c r="V2036" s="17"/>
      <c r="W2036" s="17"/>
      <c r="X2036" s="17"/>
      <c r="Y2036" s="17"/>
      <c r="Z2036" s="17"/>
      <c r="AA2036" s="17"/>
      <c r="AB2036" s="17"/>
      <c r="AC2036" s="17"/>
      <c r="AD2036" s="17"/>
      <c r="AE2036" s="17"/>
      <c r="AF2036" s="17"/>
      <c r="AG2036" s="17"/>
      <c r="AH2036" s="17"/>
      <c r="AI2036" s="17"/>
      <c r="AJ2036" s="17"/>
      <c r="AK2036" s="17"/>
      <c r="AL2036" s="17"/>
      <c r="AM2036" s="17"/>
      <c r="AN2036" s="17"/>
      <c r="AO2036" s="17"/>
      <c r="AP2036" s="17"/>
      <c r="AQ2036" s="17"/>
      <c r="AR2036" s="17"/>
      <c r="AS2036" s="17"/>
      <c r="AT2036" s="17"/>
      <c r="AU2036" s="17"/>
      <c r="AV2036" s="17"/>
      <c r="AW2036" s="17"/>
      <c r="AX2036" s="17"/>
      <c r="AY2036" s="17"/>
      <c r="AZ2036" s="17"/>
      <c r="BA2036" s="17"/>
      <c r="BB2036" s="17"/>
      <c r="BC2036" s="17"/>
      <c r="BD2036" s="17"/>
      <c r="BE2036" s="17"/>
      <c r="BF2036" s="17"/>
      <c r="BG2036" s="17"/>
      <c r="BH2036" s="17"/>
      <c r="BI2036" s="17"/>
      <c r="BJ2036" s="17"/>
      <c r="BK2036" s="17"/>
      <c r="BL2036" s="17"/>
    </row>
    <row r="2037">
      <c r="A2037" s="17"/>
      <c r="B2037" s="17"/>
      <c r="C2037" s="17"/>
      <c r="D2037" s="17"/>
      <c r="E2037" s="17"/>
      <c r="F2037" s="17"/>
      <c r="G2037" s="17"/>
      <c r="H2037" s="356"/>
      <c r="I2037" s="17"/>
      <c r="J2037" s="17"/>
      <c r="K2037" s="17"/>
      <c r="L2037" s="17"/>
      <c r="M2037" s="17"/>
      <c r="N2037" s="17"/>
      <c r="O2037" s="17"/>
      <c r="P2037" s="17"/>
      <c r="Q2037" s="17"/>
      <c r="R2037" s="17"/>
      <c r="S2037" s="17"/>
      <c r="T2037" s="17"/>
      <c r="U2037" s="17"/>
      <c r="V2037" s="17"/>
      <c r="W2037" s="17"/>
      <c r="X2037" s="17"/>
      <c r="Y2037" s="17"/>
      <c r="Z2037" s="17"/>
      <c r="AA2037" s="17"/>
      <c r="AB2037" s="17"/>
      <c r="AC2037" s="17"/>
      <c r="AD2037" s="17"/>
      <c r="AE2037" s="17"/>
      <c r="AF2037" s="17"/>
      <c r="AG2037" s="17"/>
      <c r="AH2037" s="17"/>
      <c r="AI2037" s="17"/>
      <c r="AJ2037" s="17"/>
      <c r="AK2037" s="17"/>
      <c r="AL2037" s="17"/>
      <c r="AM2037" s="17"/>
      <c r="AN2037" s="17"/>
      <c r="AO2037" s="17"/>
      <c r="AP2037" s="17"/>
      <c r="AQ2037" s="17"/>
      <c r="AR2037" s="17"/>
      <c r="AS2037" s="17"/>
      <c r="AT2037" s="17"/>
      <c r="AU2037" s="17"/>
      <c r="AV2037" s="17"/>
      <c r="AW2037" s="17"/>
      <c r="AX2037" s="17"/>
      <c r="AY2037" s="17"/>
      <c r="AZ2037" s="17"/>
      <c r="BA2037" s="17"/>
      <c r="BB2037" s="17"/>
      <c r="BC2037" s="17"/>
      <c r="BD2037" s="17"/>
      <c r="BE2037" s="17"/>
      <c r="BF2037" s="17"/>
      <c r="BG2037" s="17"/>
      <c r="BH2037" s="17"/>
      <c r="BI2037" s="17"/>
      <c r="BJ2037" s="17"/>
      <c r="BK2037" s="17"/>
      <c r="BL2037" s="17"/>
    </row>
    <row r="2038">
      <c r="A2038" s="17"/>
      <c r="B2038" s="17"/>
      <c r="C2038" s="17"/>
      <c r="D2038" s="17"/>
      <c r="E2038" s="17"/>
      <c r="F2038" s="17"/>
      <c r="G2038" s="17"/>
      <c r="H2038" s="356"/>
      <c r="I2038" s="17"/>
      <c r="J2038" s="17"/>
      <c r="K2038" s="17"/>
      <c r="L2038" s="17"/>
      <c r="M2038" s="17"/>
      <c r="N2038" s="17"/>
      <c r="O2038" s="17"/>
      <c r="P2038" s="17"/>
      <c r="Q2038" s="17"/>
      <c r="R2038" s="17"/>
      <c r="S2038" s="17"/>
      <c r="T2038" s="17"/>
      <c r="U2038" s="17"/>
      <c r="V2038" s="17"/>
      <c r="W2038" s="17"/>
      <c r="X2038" s="17"/>
      <c r="Y2038" s="17"/>
      <c r="Z2038" s="17"/>
      <c r="AA2038" s="17"/>
      <c r="AB2038" s="17"/>
      <c r="AC2038" s="17"/>
      <c r="AD2038" s="17"/>
      <c r="AE2038" s="17"/>
      <c r="AF2038" s="17"/>
      <c r="AG2038" s="17"/>
      <c r="AH2038" s="17"/>
      <c r="AI2038" s="17"/>
      <c r="AJ2038" s="17"/>
      <c r="AK2038" s="17"/>
      <c r="AL2038" s="17"/>
      <c r="AM2038" s="17"/>
      <c r="AN2038" s="17"/>
      <c r="AO2038" s="17"/>
      <c r="AP2038" s="17"/>
      <c r="AQ2038" s="17"/>
      <c r="AR2038" s="17"/>
      <c r="AS2038" s="17"/>
      <c r="AT2038" s="17"/>
      <c r="AU2038" s="17"/>
      <c r="AV2038" s="17"/>
      <c r="AW2038" s="17"/>
      <c r="AX2038" s="17"/>
      <c r="AY2038" s="17"/>
      <c r="AZ2038" s="17"/>
      <c r="BA2038" s="17"/>
      <c r="BB2038" s="17"/>
      <c r="BC2038" s="17"/>
      <c r="BD2038" s="17"/>
      <c r="BE2038" s="17"/>
      <c r="BF2038" s="17"/>
      <c r="BG2038" s="17"/>
      <c r="BH2038" s="17"/>
      <c r="BI2038" s="17"/>
      <c r="BJ2038" s="17"/>
      <c r="BK2038" s="17"/>
      <c r="BL2038" s="17"/>
    </row>
    <row r="2039">
      <c r="A2039" s="17"/>
      <c r="B2039" s="17"/>
      <c r="C2039" s="17"/>
      <c r="D2039" s="17"/>
      <c r="E2039" s="17"/>
      <c r="F2039" s="17"/>
      <c r="G2039" s="17"/>
      <c r="H2039" s="356"/>
      <c r="I2039" s="17"/>
      <c r="J2039" s="17"/>
      <c r="K2039" s="17"/>
      <c r="L2039" s="17"/>
      <c r="M2039" s="17"/>
      <c r="N2039" s="17"/>
      <c r="O2039" s="17"/>
      <c r="P2039" s="17"/>
      <c r="Q2039" s="17"/>
      <c r="R2039" s="17"/>
      <c r="S2039" s="17"/>
      <c r="T2039" s="17"/>
      <c r="U2039" s="17"/>
      <c r="V2039" s="17"/>
      <c r="W2039" s="17"/>
      <c r="X2039" s="17"/>
      <c r="Y2039" s="17"/>
      <c r="Z2039" s="17"/>
      <c r="AA2039" s="17"/>
      <c r="AB2039" s="17"/>
      <c r="AC2039" s="17"/>
      <c r="AD2039" s="17"/>
      <c r="AE2039" s="17"/>
      <c r="AF2039" s="17"/>
      <c r="AG2039" s="17"/>
      <c r="AH2039" s="17"/>
      <c r="AI2039" s="17"/>
      <c r="AJ2039" s="17"/>
      <c r="AK2039" s="17"/>
      <c r="AL2039" s="17"/>
      <c r="AM2039" s="17"/>
      <c r="AN2039" s="17"/>
      <c r="AO2039" s="17"/>
      <c r="AP2039" s="17"/>
      <c r="AQ2039" s="17"/>
      <c r="AR2039" s="17"/>
      <c r="AS2039" s="17"/>
      <c r="AT2039" s="17"/>
      <c r="AU2039" s="17"/>
      <c r="AV2039" s="17"/>
      <c r="AW2039" s="17"/>
      <c r="AX2039" s="17"/>
      <c r="AY2039" s="17"/>
      <c r="AZ2039" s="17"/>
      <c r="BA2039" s="17"/>
      <c r="BB2039" s="17"/>
      <c r="BC2039" s="17"/>
      <c r="BD2039" s="17"/>
      <c r="BE2039" s="17"/>
      <c r="BF2039" s="17"/>
      <c r="BG2039" s="17"/>
      <c r="BH2039" s="17"/>
      <c r="BI2039" s="17"/>
      <c r="BJ2039" s="17"/>
      <c r="BK2039" s="17"/>
      <c r="BL2039" s="17"/>
    </row>
    <row r="2040">
      <c r="A2040" s="17"/>
      <c r="B2040" s="17"/>
      <c r="C2040" s="17"/>
      <c r="D2040" s="17"/>
      <c r="E2040" s="17"/>
      <c r="F2040" s="17"/>
      <c r="G2040" s="17"/>
      <c r="H2040" s="356"/>
      <c r="I2040" s="17"/>
      <c r="J2040" s="17"/>
      <c r="K2040" s="17"/>
      <c r="L2040" s="17"/>
      <c r="M2040" s="17"/>
      <c r="N2040" s="17"/>
      <c r="O2040" s="17"/>
      <c r="P2040" s="17"/>
      <c r="Q2040" s="17"/>
      <c r="R2040" s="17"/>
      <c r="S2040" s="17"/>
      <c r="T2040" s="17"/>
      <c r="U2040" s="17"/>
      <c r="V2040" s="17"/>
      <c r="W2040" s="17"/>
      <c r="X2040" s="17"/>
      <c r="Y2040" s="17"/>
      <c r="Z2040" s="17"/>
      <c r="AA2040" s="17"/>
      <c r="AB2040" s="17"/>
      <c r="AC2040" s="17"/>
      <c r="AD2040" s="17"/>
      <c r="AE2040" s="17"/>
      <c r="AF2040" s="17"/>
      <c r="AG2040" s="17"/>
      <c r="AH2040" s="17"/>
      <c r="AI2040" s="17"/>
      <c r="AJ2040" s="17"/>
      <c r="AK2040" s="17"/>
      <c r="AL2040" s="17"/>
      <c r="AM2040" s="17"/>
      <c r="AN2040" s="17"/>
      <c r="AO2040" s="17"/>
      <c r="AP2040" s="17"/>
      <c r="AQ2040" s="17"/>
      <c r="AR2040" s="17"/>
      <c r="AS2040" s="17"/>
      <c r="AT2040" s="17"/>
      <c r="AU2040" s="17"/>
      <c r="AV2040" s="17"/>
      <c r="AW2040" s="17"/>
      <c r="AX2040" s="17"/>
      <c r="AY2040" s="17"/>
      <c r="AZ2040" s="17"/>
      <c r="BA2040" s="17"/>
      <c r="BB2040" s="17"/>
      <c r="BC2040" s="17"/>
      <c r="BD2040" s="17"/>
      <c r="BE2040" s="17"/>
      <c r="BF2040" s="17"/>
      <c r="BG2040" s="17"/>
      <c r="BH2040" s="17"/>
      <c r="BI2040" s="17"/>
      <c r="BJ2040" s="17"/>
      <c r="BK2040" s="17"/>
      <c r="BL2040" s="17"/>
    </row>
    <row r="2041">
      <c r="A2041" s="17"/>
      <c r="B2041" s="17"/>
      <c r="C2041" s="17"/>
      <c r="D2041" s="17"/>
      <c r="E2041" s="17"/>
      <c r="F2041" s="17"/>
      <c r="G2041" s="17"/>
      <c r="H2041" s="356"/>
      <c r="I2041" s="17"/>
      <c r="J2041" s="17"/>
      <c r="K2041" s="17"/>
      <c r="L2041" s="17"/>
      <c r="M2041" s="17"/>
      <c r="N2041" s="17"/>
      <c r="O2041" s="17"/>
      <c r="P2041" s="17"/>
      <c r="Q2041" s="17"/>
      <c r="R2041" s="17"/>
      <c r="S2041" s="17"/>
      <c r="T2041" s="17"/>
      <c r="U2041" s="17"/>
      <c r="V2041" s="17"/>
      <c r="W2041" s="17"/>
      <c r="X2041" s="17"/>
      <c r="Y2041" s="17"/>
      <c r="Z2041" s="17"/>
      <c r="AA2041" s="17"/>
      <c r="AB2041" s="17"/>
      <c r="AC2041" s="17"/>
      <c r="AD2041" s="17"/>
      <c r="AE2041" s="17"/>
      <c r="AF2041" s="17"/>
      <c r="AG2041" s="17"/>
      <c r="AH2041" s="17"/>
      <c r="AI2041" s="17"/>
      <c r="AJ2041" s="17"/>
      <c r="AK2041" s="17"/>
      <c r="AL2041" s="17"/>
      <c r="AM2041" s="17"/>
      <c r="AN2041" s="17"/>
      <c r="AO2041" s="17"/>
      <c r="AP2041" s="17"/>
      <c r="AQ2041" s="17"/>
      <c r="AR2041" s="17"/>
      <c r="AS2041" s="17"/>
      <c r="AT2041" s="17"/>
      <c r="AU2041" s="17"/>
      <c r="AV2041" s="17"/>
      <c r="AW2041" s="17"/>
      <c r="AX2041" s="17"/>
      <c r="AY2041" s="17"/>
      <c r="AZ2041" s="17"/>
      <c r="BA2041" s="17"/>
      <c r="BB2041" s="17"/>
      <c r="BC2041" s="17"/>
      <c r="BD2041" s="17"/>
      <c r="BE2041" s="17"/>
      <c r="BF2041" s="17"/>
      <c r="BG2041" s="17"/>
      <c r="BH2041" s="17"/>
      <c r="BI2041" s="17"/>
      <c r="BJ2041" s="17"/>
      <c r="BK2041" s="17"/>
      <c r="BL2041" s="17"/>
    </row>
    <row r="2042">
      <c r="A2042" s="17"/>
      <c r="B2042" s="17"/>
      <c r="C2042" s="17"/>
      <c r="D2042" s="17"/>
      <c r="E2042" s="17"/>
      <c r="F2042" s="17"/>
      <c r="G2042" s="17"/>
      <c r="H2042" s="356"/>
      <c r="I2042" s="17"/>
      <c r="J2042" s="17"/>
      <c r="K2042" s="17"/>
      <c r="L2042" s="17"/>
      <c r="M2042" s="17"/>
      <c r="N2042" s="17"/>
      <c r="O2042" s="17"/>
      <c r="P2042" s="17"/>
      <c r="Q2042" s="17"/>
      <c r="R2042" s="17"/>
      <c r="S2042" s="17"/>
      <c r="T2042" s="17"/>
      <c r="U2042" s="17"/>
      <c r="V2042" s="17"/>
      <c r="W2042" s="17"/>
      <c r="X2042" s="17"/>
      <c r="Y2042" s="17"/>
      <c r="Z2042" s="17"/>
      <c r="AA2042" s="17"/>
      <c r="AB2042" s="17"/>
      <c r="AC2042" s="17"/>
      <c r="AD2042" s="17"/>
      <c r="AE2042" s="17"/>
      <c r="AF2042" s="17"/>
      <c r="AG2042" s="17"/>
      <c r="AH2042" s="17"/>
      <c r="AI2042" s="17"/>
      <c r="AJ2042" s="17"/>
      <c r="AK2042" s="17"/>
      <c r="AL2042" s="17"/>
      <c r="AM2042" s="17"/>
      <c r="AN2042" s="17"/>
      <c r="AO2042" s="17"/>
      <c r="AP2042" s="17"/>
      <c r="AQ2042" s="17"/>
      <c r="AR2042" s="17"/>
      <c r="AS2042" s="17"/>
      <c r="AT2042" s="17"/>
      <c r="AU2042" s="17"/>
      <c r="AV2042" s="17"/>
      <c r="AW2042" s="17"/>
      <c r="AX2042" s="17"/>
      <c r="AY2042" s="17"/>
      <c r="AZ2042" s="17"/>
      <c r="BA2042" s="17"/>
      <c r="BB2042" s="17"/>
      <c r="BC2042" s="17"/>
      <c r="BD2042" s="17"/>
      <c r="BE2042" s="17"/>
      <c r="BF2042" s="17"/>
      <c r="BG2042" s="17"/>
      <c r="BH2042" s="17"/>
      <c r="BI2042" s="17"/>
      <c r="BJ2042" s="17"/>
      <c r="BK2042" s="17"/>
      <c r="BL2042" s="17"/>
    </row>
    <row r="2043">
      <c r="A2043" s="17"/>
      <c r="B2043" s="17"/>
      <c r="C2043" s="17"/>
      <c r="D2043" s="17"/>
      <c r="E2043" s="17"/>
      <c r="F2043" s="17"/>
      <c r="G2043" s="17"/>
      <c r="H2043" s="356"/>
      <c r="I2043" s="17"/>
      <c r="J2043" s="17"/>
      <c r="K2043" s="17"/>
      <c r="L2043" s="17"/>
      <c r="M2043" s="17"/>
      <c r="N2043" s="17"/>
      <c r="O2043" s="17"/>
      <c r="P2043" s="17"/>
      <c r="Q2043" s="17"/>
      <c r="R2043" s="17"/>
      <c r="S2043" s="17"/>
      <c r="T2043" s="17"/>
      <c r="U2043" s="17"/>
      <c r="V2043" s="17"/>
      <c r="W2043" s="17"/>
      <c r="X2043" s="17"/>
      <c r="Y2043" s="17"/>
      <c r="Z2043" s="17"/>
      <c r="AA2043" s="17"/>
      <c r="AB2043" s="17"/>
      <c r="AC2043" s="17"/>
      <c r="AD2043" s="17"/>
      <c r="AE2043" s="17"/>
      <c r="AF2043" s="17"/>
      <c r="AG2043" s="17"/>
      <c r="AH2043" s="17"/>
      <c r="AI2043" s="17"/>
      <c r="AJ2043" s="17"/>
      <c r="AK2043" s="17"/>
      <c r="AL2043" s="17"/>
      <c r="AM2043" s="17"/>
      <c r="AN2043" s="17"/>
      <c r="AO2043" s="17"/>
      <c r="AP2043" s="17"/>
      <c r="AQ2043" s="17"/>
      <c r="AR2043" s="17"/>
      <c r="AS2043" s="17"/>
      <c r="AT2043" s="17"/>
      <c r="AU2043" s="17"/>
      <c r="AV2043" s="17"/>
      <c r="AW2043" s="17"/>
      <c r="AX2043" s="17"/>
      <c r="AY2043" s="17"/>
      <c r="AZ2043" s="17"/>
      <c r="BA2043" s="17"/>
      <c r="BB2043" s="17"/>
      <c r="BC2043" s="17"/>
      <c r="BD2043" s="17"/>
      <c r="BE2043" s="17"/>
      <c r="BF2043" s="17"/>
      <c r="BG2043" s="17"/>
      <c r="BH2043" s="17"/>
      <c r="BI2043" s="17"/>
      <c r="BJ2043" s="17"/>
      <c r="BK2043" s="17"/>
      <c r="BL2043" s="17"/>
    </row>
    <row r="2044">
      <c r="A2044" s="17"/>
      <c r="B2044" s="17"/>
      <c r="C2044" s="17"/>
      <c r="D2044" s="17"/>
      <c r="E2044" s="17"/>
      <c r="F2044" s="17"/>
      <c r="G2044" s="17"/>
      <c r="H2044" s="356"/>
      <c r="I2044" s="17"/>
      <c r="J2044" s="17"/>
      <c r="K2044" s="17"/>
      <c r="L2044" s="17"/>
      <c r="M2044" s="17"/>
      <c r="N2044" s="17"/>
      <c r="O2044" s="17"/>
      <c r="P2044" s="17"/>
      <c r="Q2044" s="17"/>
      <c r="R2044" s="17"/>
      <c r="S2044" s="17"/>
      <c r="T2044" s="17"/>
      <c r="U2044" s="17"/>
      <c r="V2044" s="17"/>
      <c r="W2044" s="17"/>
      <c r="X2044" s="17"/>
      <c r="Y2044" s="17"/>
      <c r="Z2044" s="17"/>
      <c r="AA2044" s="17"/>
      <c r="AB2044" s="17"/>
      <c r="AC2044" s="17"/>
      <c r="AD2044" s="17"/>
      <c r="AE2044" s="17"/>
      <c r="AF2044" s="17"/>
      <c r="AG2044" s="17"/>
      <c r="AH2044" s="17"/>
      <c r="AI2044" s="17"/>
      <c r="AJ2044" s="17"/>
      <c r="AK2044" s="17"/>
      <c r="AL2044" s="17"/>
      <c r="AM2044" s="17"/>
      <c r="AN2044" s="17"/>
      <c r="AO2044" s="17"/>
      <c r="AP2044" s="17"/>
      <c r="AQ2044" s="17"/>
      <c r="AR2044" s="17"/>
      <c r="AS2044" s="17"/>
      <c r="AT2044" s="17"/>
      <c r="AU2044" s="17"/>
      <c r="AV2044" s="17"/>
      <c r="AW2044" s="17"/>
      <c r="AX2044" s="17"/>
      <c r="AY2044" s="17"/>
      <c r="AZ2044" s="17"/>
      <c r="BA2044" s="17"/>
      <c r="BB2044" s="17"/>
      <c r="BC2044" s="17"/>
      <c r="BD2044" s="17"/>
      <c r="BE2044" s="17"/>
      <c r="BF2044" s="17"/>
      <c r="BG2044" s="17"/>
      <c r="BH2044" s="17"/>
      <c r="BI2044" s="17"/>
      <c r="BJ2044" s="17"/>
      <c r="BK2044" s="17"/>
      <c r="BL2044" s="17"/>
    </row>
    <row r="2045">
      <c r="A2045" s="17"/>
      <c r="B2045" s="17"/>
      <c r="C2045" s="17"/>
      <c r="D2045" s="17"/>
      <c r="E2045" s="17"/>
      <c r="F2045" s="17"/>
      <c r="G2045" s="17"/>
      <c r="H2045" s="356"/>
      <c r="I2045" s="17"/>
      <c r="J2045" s="17"/>
      <c r="K2045" s="17"/>
      <c r="L2045" s="17"/>
      <c r="M2045" s="17"/>
      <c r="N2045" s="17"/>
      <c r="O2045" s="17"/>
      <c r="P2045" s="17"/>
      <c r="Q2045" s="17"/>
      <c r="R2045" s="17"/>
      <c r="S2045" s="17"/>
      <c r="T2045" s="17"/>
      <c r="U2045" s="17"/>
      <c r="V2045" s="17"/>
      <c r="W2045" s="17"/>
      <c r="X2045" s="17"/>
      <c r="Y2045" s="17"/>
      <c r="Z2045" s="17"/>
      <c r="AA2045" s="17"/>
      <c r="AB2045" s="17"/>
      <c r="AC2045" s="17"/>
      <c r="AD2045" s="17"/>
      <c r="AE2045" s="17"/>
      <c r="AF2045" s="17"/>
      <c r="AG2045" s="17"/>
      <c r="AH2045" s="17"/>
      <c r="AI2045" s="17"/>
      <c r="AJ2045" s="17"/>
      <c r="AK2045" s="17"/>
      <c r="AL2045" s="17"/>
      <c r="AM2045" s="17"/>
      <c r="AN2045" s="17"/>
      <c r="AO2045" s="17"/>
      <c r="AP2045" s="17"/>
      <c r="AQ2045" s="17"/>
      <c r="AR2045" s="17"/>
      <c r="AS2045" s="17"/>
      <c r="AT2045" s="17"/>
      <c r="AU2045" s="17"/>
      <c r="AV2045" s="17"/>
      <c r="AW2045" s="17"/>
      <c r="AX2045" s="17"/>
      <c r="AY2045" s="17"/>
      <c r="AZ2045" s="17"/>
      <c r="BA2045" s="17"/>
      <c r="BB2045" s="17"/>
      <c r="BC2045" s="17"/>
      <c r="BD2045" s="17"/>
      <c r="BE2045" s="17"/>
      <c r="BF2045" s="17"/>
      <c r="BG2045" s="17"/>
      <c r="BH2045" s="17"/>
      <c r="BI2045" s="17"/>
      <c r="BJ2045" s="17"/>
      <c r="BK2045" s="17"/>
      <c r="BL2045" s="17"/>
    </row>
    <row r="2046">
      <c r="A2046" s="17"/>
      <c r="B2046" s="17"/>
      <c r="C2046" s="17"/>
      <c r="D2046" s="17"/>
      <c r="E2046" s="17"/>
      <c r="F2046" s="17"/>
      <c r="G2046" s="17"/>
      <c r="H2046" s="356"/>
      <c r="I2046" s="17"/>
      <c r="J2046" s="17"/>
      <c r="K2046" s="17"/>
      <c r="L2046" s="17"/>
      <c r="M2046" s="17"/>
      <c r="N2046" s="17"/>
      <c r="O2046" s="17"/>
      <c r="P2046" s="17"/>
      <c r="Q2046" s="17"/>
      <c r="R2046" s="17"/>
      <c r="S2046" s="17"/>
      <c r="T2046" s="17"/>
      <c r="U2046" s="17"/>
      <c r="V2046" s="17"/>
      <c r="W2046" s="17"/>
      <c r="X2046" s="17"/>
      <c r="Y2046" s="17"/>
      <c r="Z2046" s="17"/>
      <c r="AA2046" s="17"/>
      <c r="AB2046" s="17"/>
      <c r="AC2046" s="17"/>
      <c r="AD2046" s="17"/>
      <c r="AE2046" s="17"/>
      <c r="AF2046" s="17"/>
      <c r="AG2046" s="17"/>
      <c r="AH2046" s="17"/>
      <c r="AI2046" s="17"/>
      <c r="AJ2046" s="17"/>
      <c r="AK2046" s="17"/>
      <c r="AL2046" s="17"/>
      <c r="AM2046" s="17"/>
      <c r="AN2046" s="17"/>
      <c r="AO2046" s="17"/>
      <c r="AP2046" s="17"/>
      <c r="AQ2046" s="17"/>
      <c r="AR2046" s="17"/>
      <c r="AS2046" s="17"/>
      <c r="AT2046" s="17"/>
      <c r="AU2046" s="17"/>
      <c r="AV2046" s="17"/>
      <c r="AW2046" s="17"/>
      <c r="AX2046" s="17"/>
      <c r="AY2046" s="17"/>
      <c r="AZ2046" s="17"/>
      <c r="BA2046" s="17"/>
      <c r="BB2046" s="17"/>
      <c r="BC2046" s="17"/>
      <c r="BD2046" s="17"/>
      <c r="BE2046" s="17"/>
      <c r="BF2046" s="17"/>
      <c r="BG2046" s="17"/>
      <c r="BH2046" s="17"/>
      <c r="BI2046" s="17"/>
      <c r="BJ2046" s="17"/>
      <c r="BK2046" s="17"/>
      <c r="BL2046" s="17"/>
    </row>
    <row r="2047">
      <c r="A2047" s="17"/>
      <c r="B2047" s="17"/>
      <c r="C2047" s="17"/>
      <c r="D2047" s="17"/>
      <c r="E2047" s="17"/>
      <c r="F2047" s="17"/>
      <c r="G2047" s="17"/>
      <c r="H2047" s="356"/>
      <c r="I2047" s="17"/>
      <c r="J2047" s="17"/>
      <c r="K2047" s="17"/>
      <c r="L2047" s="17"/>
      <c r="M2047" s="17"/>
      <c r="N2047" s="17"/>
      <c r="O2047" s="17"/>
      <c r="P2047" s="17"/>
      <c r="Q2047" s="17"/>
      <c r="R2047" s="17"/>
      <c r="S2047" s="17"/>
      <c r="T2047" s="17"/>
      <c r="U2047" s="17"/>
      <c r="V2047" s="17"/>
      <c r="W2047" s="17"/>
      <c r="X2047" s="17"/>
      <c r="Y2047" s="17"/>
      <c r="Z2047" s="17"/>
      <c r="AA2047" s="17"/>
      <c r="AB2047" s="17"/>
      <c r="AC2047" s="17"/>
      <c r="AD2047" s="17"/>
      <c r="AE2047" s="17"/>
      <c r="AF2047" s="17"/>
      <c r="AG2047" s="17"/>
      <c r="AH2047" s="17"/>
      <c r="AI2047" s="17"/>
      <c r="AJ2047" s="17"/>
      <c r="AK2047" s="17"/>
      <c r="AL2047" s="17"/>
      <c r="AM2047" s="17"/>
      <c r="AN2047" s="17"/>
      <c r="AO2047" s="17"/>
      <c r="AP2047" s="17"/>
      <c r="AQ2047" s="17"/>
      <c r="AR2047" s="17"/>
      <c r="AS2047" s="17"/>
      <c r="AT2047" s="17"/>
      <c r="AU2047" s="17"/>
      <c r="AV2047" s="17"/>
      <c r="AW2047" s="17"/>
      <c r="AX2047" s="17"/>
      <c r="AY2047" s="17"/>
      <c r="AZ2047" s="17"/>
      <c r="BA2047" s="17"/>
      <c r="BB2047" s="17"/>
      <c r="BC2047" s="17"/>
      <c r="BD2047" s="17"/>
      <c r="BE2047" s="17"/>
      <c r="BF2047" s="17"/>
      <c r="BG2047" s="17"/>
      <c r="BH2047" s="17"/>
      <c r="BI2047" s="17"/>
      <c r="BJ2047" s="17"/>
      <c r="BK2047" s="17"/>
      <c r="BL2047" s="17"/>
    </row>
    <row r="2048">
      <c r="A2048" s="17"/>
      <c r="B2048" s="17"/>
      <c r="C2048" s="17"/>
      <c r="D2048" s="17"/>
      <c r="E2048" s="17"/>
      <c r="F2048" s="17"/>
      <c r="G2048" s="17"/>
      <c r="H2048" s="356"/>
      <c r="I2048" s="17"/>
      <c r="J2048" s="17"/>
      <c r="K2048" s="17"/>
      <c r="L2048" s="17"/>
      <c r="M2048" s="17"/>
      <c r="N2048" s="17"/>
      <c r="O2048" s="17"/>
      <c r="P2048" s="17"/>
      <c r="Q2048" s="17"/>
      <c r="R2048" s="17"/>
      <c r="S2048" s="17"/>
      <c r="T2048" s="17"/>
      <c r="U2048" s="17"/>
      <c r="V2048" s="17"/>
      <c r="W2048" s="17"/>
      <c r="X2048" s="17"/>
      <c r="Y2048" s="17"/>
      <c r="Z2048" s="17"/>
      <c r="AA2048" s="17"/>
      <c r="AB2048" s="17"/>
      <c r="AC2048" s="17"/>
      <c r="AD2048" s="17"/>
      <c r="AE2048" s="17"/>
      <c r="AF2048" s="17"/>
      <c r="AG2048" s="17"/>
      <c r="AH2048" s="17"/>
      <c r="AI2048" s="17"/>
      <c r="AJ2048" s="17"/>
      <c r="AK2048" s="17"/>
      <c r="AL2048" s="17"/>
      <c r="AM2048" s="17"/>
      <c r="AN2048" s="17"/>
      <c r="AO2048" s="17"/>
      <c r="AP2048" s="17"/>
      <c r="AQ2048" s="17"/>
      <c r="AR2048" s="17"/>
      <c r="AS2048" s="17"/>
      <c r="AT2048" s="17"/>
      <c r="AU2048" s="17"/>
      <c r="AV2048" s="17"/>
      <c r="AW2048" s="17"/>
      <c r="AX2048" s="17"/>
      <c r="AY2048" s="17"/>
      <c r="AZ2048" s="17"/>
      <c r="BA2048" s="17"/>
      <c r="BB2048" s="17"/>
      <c r="BC2048" s="17"/>
      <c r="BD2048" s="17"/>
      <c r="BE2048" s="17"/>
      <c r="BF2048" s="17"/>
      <c r="BG2048" s="17"/>
      <c r="BH2048" s="17"/>
      <c r="BI2048" s="17"/>
      <c r="BJ2048" s="17"/>
      <c r="BK2048" s="17"/>
      <c r="BL2048" s="17"/>
    </row>
    <row r="2049">
      <c r="A2049" s="17"/>
      <c r="B2049" s="17"/>
      <c r="C2049" s="17"/>
      <c r="D2049" s="17"/>
      <c r="E2049" s="17"/>
      <c r="F2049" s="17"/>
      <c r="G2049" s="17"/>
      <c r="H2049" s="356"/>
      <c r="I2049" s="17"/>
      <c r="J2049" s="17"/>
      <c r="K2049" s="17"/>
      <c r="L2049" s="17"/>
      <c r="M2049" s="17"/>
      <c r="N2049" s="17"/>
      <c r="O2049" s="17"/>
      <c r="P2049" s="17"/>
      <c r="Q2049" s="17"/>
      <c r="R2049" s="17"/>
      <c r="S2049" s="17"/>
      <c r="T2049" s="17"/>
      <c r="U2049" s="17"/>
      <c r="V2049" s="17"/>
      <c r="W2049" s="17"/>
      <c r="X2049" s="17"/>
      <c r="Y2049" s="17"/>
      <c r="Z2049" s="17"/>
      <c r="AA2049" s="17"/>
      <c r="AB2049" s="17"/>
      <c r="AC2049" s="17"/>
      <c r="AD2049" s="17"/>
      <c r="AE2049" s="17"/>
      <c r="AF2049" s="17"/>
      <c r="AG2049" s="17"/>
      <c r="AH2049" s="17"/>
      <c r="AI2049" s="17"/>
      <c r="AJ2049" s="17"/>
      <c r="AK2049" s="17"/>
      <c r="AL2049" s="17"/>
      <c r="AM2049" s="17"/>
      <c r="AN2049" s="17"/>
      <c r="AO2049" s="17"/>
      <c r="AP2049" s="17"/>
      <c r="AQ2049" s="17"/>
      <c r="AR2049" s="17"/>
      <c r="AS2049" s="17"/>
      <c r="AT2049" s="17"/>
      <c r="AU2049" s="17"/>
      <c r="AV2049" s="17"/>
      <c r="AW2049" s="17"/>
      <c r="AX2049" s="17"/>
      <c r="AY2049" s="17"/>
      <c r="AZ2049" s="17"/>
      <c r="BA2049" s="17"/>
      <c r="BB2049" s="17"/>
      <c r="BC2049" s="17"/>
      <c r="BD2049" s="17"/>
      <c r="BE2049" s="17"/>
      <c r="BF2049" s="17"/>
      <c r="BG2049" s="17"/>
      <c r="BH2049" s="17"/>
      <c r="BI2049" s="17"/>
      <c r="BJ2049" s="17"/>
      <c r="BK2049" s="17"/>
      <c r="BL2049" s="17"/>
    </row>
    <row r="2050">
      <c r="A2050" s="17"/>
      <c r="B2050" s="17"/>
      <c r="C2050" s="17"/>
      <c r="D2050" s="17"/>
      <c r="E2050" s="17"/>
      <c r="F2050" s="17"/>
      <c r="G2050" s="17"/>
      <c r="H2050" s="356"/>
      <c r="I2050" s="17"/>
      <c r="J2050" s="17"/>
      <c r="K2050" s="17"/>
      <c r="L2050" s="17"/>
      <c r="M2050" s="17"/>
      <c r="N2050" s="17"/>
      <c r="O2050" s="17"/>
      <c r="P2050" s="17"/>
      <c r="Q2050" s="17"/>
      <c r="R2050" s="17"/>
      <c r="S2050" s="17"/>
      <c r="T2050" s="17"/>
      <c r="U2050" s="17"/>
      <c r="V2050" s="17"/>
      <c r="W2050" s="17"/>
      <c r="X2050" s="17"/>
      <c r="Y2050" s="17"/>
      <c r="Z2050" s="17"/>
      <c r="AA2050" s="17"/>
      <c r="AB2050" s="17"/>
      <c r="AC2050" s="17"/>
      <c r="AD2050" s="17"/>
      <c r="AE2050" s="17"/>
      <c r="AF2050" s="17"/>
      <c r="AG2050" s="17"/>
      <c r="AH2050" s="17"/>
      <c r="AI2050" s="17"/>
      <c r="AJ2050" s="17"/>
      <c r="AK2050" s="17"/>
      <c r="AL2050" s="17"/>
      <c r="AM2050" s="17"/>
      <c r="AN2050" s="17"/>
      <c r="AO2050" s="17"/>
      <c r="AP2050" s="17"/>
      <c r="AQ2050" s="17"/>
      <c r="AR2050" s="17"/>
      <c r="AS2050" s="17"/>
      <c r="AT2050" s="17"/>
      <c r="AU2050" s="17"/>
      <c r="AV2050" s="17"/>
      <c r="AW2050" s="17"/>
      <c r="AX2050" s="17"/>
      <c r="AY2050" s="17"/>
      <c r="AZ2050" s="17"/>
      <c r="BA2050" s="17"/>
      <c r="BB2050" s="17"/>
      <c r="BC2050" s="17"/>
      <c r="BD2050" s="17"/>
      <c r="BE2050" s="17"/>
      <c r="BF2050" s="17"/>
      <c r="BG2050" s="17"/>
      <c r="BH2050" s="17"/>
      <c r="BI2050" s="17"/>
      <c r="BJ2050" s="17"/>
      <c r="BK2050" s="17"/>
      <c r="BL2050" s="17"/>
    </row>
    <row r="2051">
      <c r="A2051" s="17"/>
      <c r="B2051" s="17"/>
      <c r="C2051" s="17"/>
      <c r="D2051" s="17"/>
      <c r="E2051" s="17"/>
      <c r="F2051" s="17"/>
      <c r="G2051" s="17"/>
      <c r="H2051" s="356"/>
      <c r="I2051" s="17"/>
      <c r="J2051" s="17"/>
      <c r="K2051" s="17"/>
      <c r="L2051" s="17"/>
      <c r="M2051" s="17"/>
      <c r="N2051" s="17"/>
      <c r="O2051" s="17"/>
      <c r="P2051" s="17"/>
      <c r="Q2051" s="17"/>
      <c r="R2051" s="17"/>
      <c r="S2051" s="17"/>
      <c r="T2051" s="17"/>
      <c r="U2051" s="17"/>
      <c r="V2051" s="17"/>
      <c r="W2051" s="17"/>
      <c r="X2051" s="17"/>
      <c r="Y2051" s="17"/>
      <c r="Z2051" s="17"/>
      <c r="AA2051" s="17"/>
      <c r="AB2051" s="17"/>
      <c r="AC2051" s="17"/>
      <c r="AD2051" s="17"/>
      <c r="AE2051" s="17"/>
      <c r="AF2051" s="17"/>
      <c r="AG2051" s="17"/>
      <c r="AH2051" s="17"/>
      <c r="AI2051" s="17"/>
      <c r="AJ2051" s="17"/>
      <c r="AK2051" s="17"/>
      <c r="AL2051" s="17"/>
      <c r="AM2051" s="17"/>
      <c r="AN2051" s="17"/>
      <c r="AO2051" s="17"/>
      <c r="AP2051" s="17"/>
      <c r="AQ2051" s="17"/>
      <c r="AR2051" s="17"/>
      <c r="AS2051" s="17"/>
      <c r="AT2051" s="17"/>
      <c r="AU2051" s="17"/>
      <c r="AV2051" s="17"/>
      <c r="AW2051" s="17"/>
      <c r="AX2051" s="17"/>
      <c r="AY2051" s="17"/>
      <c r="AZ2051" s="17"/>
      <c r="BA2051" s="17"/>
      <c r="BB2051" s="17"/>
      <c r="BC2051" s="17"/>
      <c r="BD2051" s="17"/>
      <c r="BE2051" s="17"/>
      <c r="BF2051" s="17"/>
      <c r="BG2051" s="17"/>
      <c r="BH2051" s="17"/>
      <c r="BI2051" s="17"/>
      <c r="BJ2051" s="17"/>
      <c r="BK2051" s="17"/>
      <c r="BL2051" s="17"/>
    </row>
    <row r="2052">
      <c r="A2052" s="17"/>
      <c r="B2052" s="17"/>
      <c r="C2052" s="17"/>
      <c r="D2052" s="17"/>
      <c r="E2052" s="17"/>
      <c r="F2052" s="17"/>
      <c r="G2052" s="17"/>
      <c r="H2052" s="356"/>
      <c r="I2052" s="17"/>
      <c r="J2052" s="17"/>
      <c r="K2052" s="17"/>
      <c r="L2052" s="17"/>
      <c r="M2052" s="17"/>
      <c r="N2052" s="17"/>
      <c r="O2052" s="17"/>
      <c r="P2052" s="17"/>
      <c r="Q2052" s="17"/>
      <c r="R2052" s="17"/>
      <c r="S2052" s="17"/>
      <c r="T2052" s="17"/>
      <c r="U2052" s="17"/>
      <c r="V2052" s="17"/>
      <c r="W2052" s="17"/>
      <c r="X2052" s="17"/>
      <c r="Y2052" s="17"/>
      <c r="Z2052" s="17"/>
      <c r="AA2052" s="17"/>
      <c r="AB2052" s="17"/>
      <c r="AC2052" s="17"/>
      <c r="AD2052" s="17"/>
      <c r="AE2052" s="17"/>
      <c r="AF2052" s="17"/>
      <c r="AG2052" s="17"/>
      <c r="AH2052" s="17"/>
      <c r="AI2052" s="17"/>
      <c r="AJ2052" s="17"/>
      <c r="AK2052" s="17"/>
      <c r="AL2052" s="17"/>
      <c r="AM2052" s="17"/>
      <c r="AN2052" s="17"/>
      <c r="AO2052" s="17"/>
      <c r="AP2052" s="17"/>
      <c r="AQ2052" s="17"/>
      <c r="AR2052" s="17"/>
      <c r="AS2052" s="17"/>
      <c r="AT2052" s="17"/>
      <c r="AU2052" s="17"/>
      <c r="AV2052" s="17"/>
      <c r="AW2052" s="17"/>
      <c r="AX2052" s="17"/>
      <c r="AY2052" s="17"/>
      <c r="AZ2052" s="17"/>
      <c r="BA2052" s="17"/>
      <c r="BB2052" s="17"/>
      <c r="BC2052" s="17"/>
      <c r="BD2052" s="17"/>
      <c r="BE2052" s="17"/>
      <c r="BF2052" s="17"/>
      <c r="BG2052" s="17"/>
      <c r="BH2052" s="17"/>
      <c r="BI2052" s="17"/>
      <c r="BJ2052" s="17"/>
      <c r="BK2052" s="17"/>
      <c r="BL2052" s="17"/>
    </row>
    <row r="2053">
      <c r="A2053" s="17"/>
      <c r="B2053" s="17"/>
      <c r="C2053" s="17"/>
      <c r="D2053" s="17"/>
      <c r="E2053" s="17"/>
      <c r="F2053" s="17"/>
      <c r="G2053" s="17"/>
      <c r="H2053" s="356"/>
      <c r="I2053" s="17"/>
      <c r="J2053" s="17"/>
      <c r="K2053" s="17"/>
      <c r="L2053" s="17"/>
      <c r="M2053" s="17"/>
      <c r="N2053" s="17"/>
      <c r="O2053" s="17"/>
      <c r="P2053" s="17"/>
      <c r="Q2053" s="17"/>
      <c r="R2053" s="17"/>
      <c r="S2053" s="17"/>
      <c r="T2053" s="17"/>
      <c r="U2053" s="17"/>
      <c r="V2053" s="17"/>
      <c r="W2053" s="17"/>
      <c r="X2053" s="17"/>
      <c r="Y2053" s="17"/>
      <c r="Z2053" s="17"/>
      <c r="AA2053" s="17"/>
      <c r="AB2053" s="17"/>
      <c r="AC2053" s="17"/>
      <c r="AD2053" s="17"/>
      <c r="AE2053" s="17"/>
      <c r="AF2053" s="17"/>
      <c r="AG2053" s="17"/>
      <c r="AH2053" s="17"/>
      <c r="AI2053" s="17"/>
      <c r="AJ2053" s="17"/>
      <c r="AK2053" s="17"/>
      <c r="AL2053" s="17"/>
      <c r="AM2053" s="17"/>
      <c r="AN2053" s="17"/>
      <c r="AO2053" s="17"/>
      <c r="AP2053" s="17"/>
      <c r="AQ2053" s="17"/>
      <c r="AR2053" s="17"/>
      <c r="AS2053" s="17"/>
      <c r="AT2053" s="17"/>
      <c r="AU2053" s="17"/>
      <c r="AV2053" s="17"/>
      <c r="AW2053" s="17"/>
      <c r="AX2053" s="17"/>
      <c r="AY2053" s="17"/>
      <c r="AZ2053" s="17"/>
      <c r="BA2053" s="17"/>
      <c r="BB2053" s="17"/>
      <c r="BC2053" s="17"/>
      <c r="BD2053" s="17"/>
      <c r="BE2053" s="17"/>
      <c r="BF2053" s="17"/>
      <c r="BG2053" s="17"/>
      <c r="BH2053" s="17"/>
      <c r="BI2053" s="17"/>
      <c r="BJ2053" s="17"/>
      <c r="BK2053" s="17"/>
      <c r="BL2053" s="17"/>
    </row>
    <row r="2054">
      <c r="A2054" s="17"/>
      <c r="B2054" s="17"/>
      <c r="C2054" s="17"/>
      <c r="D2054" s="17"/>
      <c r="E2054" s="17"/>
      <c r="F2054" s="17"/>
      <c r="G2054" s="17"/>
      <c r="H2054" s="356"/>
      <c r="I2054" s="17"/>
      <c r="J2054" s="17"/>
      <c r="K2054" s="17"/>
      <c r="L2054" s="17"/>
      <c r="M2054" s="17"/>
      <c r="N2054" s="17"/>
      <c r="O2054" s="17"/>
      <c r="P2054" s="17"/>
      <c r="Q2054" s="17"/>
      <c r="R2054" s="17"/>
      <c r="S2054" s="17"/>
      <c r="T2054" s="17"/>
      <c r="U2054" s="17"/>
      <c r="V2054" s="17"/>
      <c r="W2054" s="17"/>
      <c r="X2054" s="17"/>
      <c r="Y2054" s="17"/>
      <c r="Z2054" s="17"/>
      <c r="AA2054" s="17"/>
      <c r="AB2054" s="17"/>
      <c r="AC2054" s="17"/>
      <c r="AD2054" s="17"/>
      <c r="AE2054" s="17"/>
      <c r="AF2054" s="17"/>
      <c r="AG2054" s="17"/>
      <c r="AH2054" s="17"/>
      <c r="AI2054" s="17"/>
      <c r="AJ2054" s="17"/>
      <c r="AK2054" s="17"/>
      <c r="AL2054" s="17"/>
      <c r="AM2054" s="17"/>
      <c r="AN2054" s="17"/>
      <c r="AO2054" s="17"/>
      <c r="AP2054" s="17"/>
      <c r="AQ2054" s="17"/>
      <c r="AR2054" s="17"/>
      <c r="AS2054" s="17"/>
      <c r="AT2054" s="17"/>
      <c r="AU2054" s="17"/>
      <c r="AV2054" s="17"/>
      <c r="AW2054" s="17"/>
      <c r="AX2054" s="17"/>
      <c r="AY2054" s="17"/>
      <c r="AZ2054" s="17"/>
      <c r="BA2054" s="17"/>
      <c r="BB2054" s="17"/>
      <c r="BC2054" s="17"/>
      <c r="BD2054" s="17"/>
      <c r="BE2054" s="17"/>
      <c r="BF2054" s="17"/>
      <c r="BG2054" s="17"/>
      <c r="BH2054" s="17"/>
      <c r="BI2054" s="17"/>
      <c r="BJ2054" s="17"/>
      <c r="BK2054" s="17"/>
      <c r="BL2054" s="17"/>
    </row>
    <row r="2055">
      <c r="A2055" s="17"/>
      <c r="B2055" s="17"/>
      <c r="C2055" s="17"/>
      <c r="D2055" s="17"/>
      <c r="E2055" s="17"/>
      <c r="F2055" s="17"/>
      <c r="G2055" s="17"/>
      <c r="H2055" s="356"/>
      <c r="I2055" s="17"/>
      <c r="J2055" s="17"/>
      <c r="K2055" s="17"/>
      <c r="L2055" s="17"/>
      <c r="M2055" s="17"/>
      <c r="N2055" s="17"/>
      <c r="O2055" s="17"/>
      <c r="P2055" s="17"/>
      <c r="Q2055" s="17"/>
      <c r="R2055" s="17"/>
      <c r="S2055" s="17"/>
      <c r="T2055" s="17"/>
      <c r="U2055" s="17"/>
      <c r="V2055" s="17"/>
      <c r="W2055" s="17"/>
      <c r="X2055" s="17"/>
      <c r="Y2055" s="17"/>
      <c r="Z2055" s="17"/>
      <c r="AA2055" s="17"/>
      <c r="AB2055" s="17"/>
      <c r="AC2055" s="17"/>
      <c r="AD2055" s="17"/>
      <c r="AE2055" s="17"/>
      <c r="AF2055" s="17"/>
      <c r="AG2055" s="17"/>
      <c r="AH2055" s="17"/>
      <c r="AI2055" s="17"/>
      <c r="AJ2055" s="17"/>
      <c r="AK2055" s="17"/>
      <c r="AL2055" s="17"/>
      <c r="AM2055" s="17"/>
      <c r="AN2055" s="17"/>
      <c r="AO2055" s="17"/>
      <c r="AP2055" s="17"/>
      <c r="AQ2055" s="17"/>
      <c r="AR2055" s="17"/>
      <c r="AS2055" s="17"/>
      <c r="AT2055" s="17"/>
      <c r="AU2055" s="17"/>
      <c r="AV2055" s="17"/>
      <c r="AW2055" s="17"/>
      <c r="AX2055" s="17"/>
      <c r="AY2055" s="17"/>
      <c r="AZ2055" s="17"/>
      <c r="BA2055" s="17"/>
      <c r="BB2055" s="17"/>
      <c r="BC2055" s="17"/>
      <c r="BD2055" s="17"/>
      <c r="BE2055" s="17"/>
      <c r="BF2055" s="17"/>
      <c r="BG2055" s="17"/>
      <c r="BH2055" s="17"/>
      <c r="BI2055" s="17"/>
      <c r="BJ2055" s="17"/>
      <c r="BK2055" s="17"/>
      <c r="BL2055" s="17"/>
    </row>
    <row r="2056">
      <c r="A2056" s="17"/>
      <c r="B2056" s="17"/>
      <c r="C2056" s="17"/>
      <c r="D2056" s="17"/>
      <c r="E2056" s="17"/>
      <c r="F2056" s="17"/>
      <c r="G2056" s="17"/>
      <c r="H2056" s="356"/>
      <c r="I2056" s="17"/>
      <c r="J2056" s="17"/>
      <c r="K2056" s="17"/>
      <c r="L2056" s="17"/>
      <c r="M2056" s="17"/>
      <c r="N2056" s="17"/>
      <c r="O2056" s="17"/>
      <c r="P2056" s="17"/>
      <c r="Q2056" s="17"/>
      <c r="R2056" s="17"/>
      <c r="S2056" s="17"/>
      <c r="T2056" s="17"/>
      <c r="U2056" s="17"/>
      <c r="V2056" s="17"/>
      <c r="W2056" s="17"/>
      <c r="X2056" s="17"/>
      <c r="Y2056" s="17"/>
      <c r="Z2056" s="17"/>
      <c r="AA2056" s="17"/>
      <c r="AB2056" s="17"/>
      <c r="AC2056" s="17"/>
      <c r="AD2056" s="17"/>
      <c r="AE2056" s="17"/>
      <c r="AF2056" s="17"/>
      <c r="AG2056" s="17"/>
      <c r="AH2056" s="17"/>
      <c r="AI2056" s="17"/>
      <c r="AJ2056" s="17"/>
      <c r="AK2056" s="17"/>
      <c r="AL2056" s="17"/>
      <c r="AM2056" s="17"/>
      <c r="AN2056" s="17"/>
      <c r="AO2056" s="17"/>
      <c r="AP2056" s="17"/>
      <c r="AQ2056" s="17"/>
      <c r="AR2056" s="17"/>
      <c r="AS2056" s="17"/>
      <c r="AT2056" s="17"/>
      <c r="AU2056" s="17"/>
      <c r="AV2056" s="17"/>
      <c r="AW2056" s="17"/>
      <c r="AX2056" s="17"/>
      <c r="AY2056" s="17"/>
      <c r="AZ2056" s="17"/>
      <c r="BA2056" s="17"/>
      <c r="BB2056" s="17"/>
      <c r="BC2056" s="17"/>
      <c r="BD2056" s="17"/>
      <c r="BE2056" s="17"/>
      <c r="BF2056" s="17"/>
      <c r="BG2056" s="17"/>
      <c r="BH2056" s="17"/>
      <c r="BI2056" s="17"/>
      <c r="BJ2056" s="17"/>
      <c r="BK2056" s="17"/>
      <c r="BL2056" s="17"/>
    </row>
    <row r="2057">
      <c r="A2057" s="17"/>
      <c r="B2057" s="17"/>
      <c r="C2057" s="17"/>
      <c r="D2057" s="17"/>
      <c r="E2057" s="17"/>
      <c r="F2057" s="17"/>
      <c r="G2057" s="17"/>
      <c r="H2057" s="356"/>
      <c r="I2057" s="17"/>
      <c r="J2057" s="17"/>
      <c r="K2057" s="17"/>
      <c r="L2057" s="17"/>
      <c r="M2057" s="17"/>
      <c r="N2057" s="17"/>
      <c r="O2057" s="17"/>
      <c r="P2057" s="17"/>
      <c r="Q2057" s="17"/>
      <c r="R2057" s="17"/>
      <c r="S2057" s="17"/>
      <c r="T2057" s="17"/>
      <c r="U2057" s="17"/>
      <c r="V2057" s="17"/>
      <c r="W2057" s="17"/>
      <c r="X2057" s="17"/>
      <c r="Y2057" s="17"/>
      <c r="Z2057" s="17"/>
      <c r="AA2057" s="17"/>
      <c r="AB2057" s="17"/>
      <c r="AC2057" s="17"/>
      <c r="AD2057" s="17"/>
      <c r="AE2057" s="17"/>
      <c r="AF2057" s="17"/>
      <c r="AG2057" s="17"/>
      <c r="AH2057" s="17"/>
      <c r="AI2057" s="17"/>
      <c r="AJ2057" s="17"/>
      <c r="AK2057" s="17"/>
      <c r="AL2057" s="17"/>
      <c r="AM2057" s="17"/>
      <c r="AN2057" s="17"/>
      <c r="AO2057" s="17"/>
      <c r="AP2057" s="17"/>
      <c r="AQ2057" s="17"/>
      <c r="AR2057" s="17"/>
      <c r="AS2057" s="17"/>
      <c r="AT2057" s="17"/>
      <c r="AU2057" s="17"/>
      <c r="AV2057" s="17"/>
      <c r="AW2057" s="17"/>
      <c r="AX2057" s="17"/>
      <c r="AY2057" s="17"/>
      <c r="AZ2057" s="17"/>
      <c r="BA2057" s="17"/>
      <c r="BB2057" s="17"/>
      <c r="BC2057" s="17"/>
      <c r="BD2057" s="17"/>
      <c r="BE2057" s="17"/>
      <c r="BF2057" s="17"/>
      <c r="BG2057" s="17"/>
      <c r="BH2057" s="17"/>
      <c r="BI2057" s="17"/>
      <c r="BJ2057" s="17"/>
      <c r="BK2057" s="17"/>
      <c r="BL2057" s="17"/>
    </row>
    <row r="2058">
      <c r="A2058" s="17"/>
      <c r="B2058" s="17"/>
      <c r="C2058" s="17"/>
      <c r="D2058" s="17"/>
      <c r="E2058" s="17"/>
      <c r="F2058" s="17"/>
      <c r="G2058" s="17"/>
      <c r="H2058" s="356"/>
      <c r="I2058" s="17"/>
      <c r="J2058" s="17"/>
      <c r="K2058" s="17"/>
      <c r="L2058" s="17"/>
      <c r="M2058" s="17"/>
      <c r="N2058" s="17"/>
      <c r="O2058" s="17"/>
      <c r="P2058" s="17"/>
      <c r="Q2058" s="17"/>
      <c r="R2058" s="17"/>
      <c r="S2058" s="17"/>
      <c r="T2058" s="17"/>
      <c r="U2058" s="17"/>
      <c r="V2058" s="17"/>
      <c r="W2058" s="17"/>
      <c r="X2058" s="17"/>
      <c r="Y2058" s="17"/>
      <c r="Z2058" s="17"/>
      <c r="AA2058" s="17"/>
      <c r="AB2058" s="17"/>
      <c r="AC2058" s="17"/>
      <c r="AD2058" s="17"/>
      <c r="AE2058" s="17"/>
      <c r="AF2058" s="17"/>
      <c r="AG2058" s="17"/>
      <c r="AH2058" s="17"/>
      <c r="AI2058" s="17"/>
      <c r="AJ2058" s="17"/>
      <c r="AK2058" s="17"/>
      <c r="AL2058" s="17"/>
      <c r="AM2058" s="17"/>
      <c r="AN2058" s="17"/>
      <c r="AO2058" s="17"/>
      <c r="AP2058" s="17"/>
      <c r="AQ2058" s="17"/>
      <c r="AR2058" s="17"/>
      <c r="AS2058" s="17"/>
      <c r="AT2058" s="17"/>
      <c r="AU2058" s="17"/>
      <c r="AV2058" s="17"/>
      <c r="AW2058" s="17"/>
      <c r="AX2058" s="17"/>
      <c r="AY2058" s="17"/>
      <c r="AZ2058" s="17"/>
      <c r="BA2058" s="17"/>
      <c r="BB2058" s="17"/>
      <c r="BC2058" s="17"/>
      <c r="BD2058" s="17"/>
      <c r="BE2058" s="17"/>
      <c r="BF2058" s="17"/>
      <c r="BG2058" s="17"/>
      <c r="BH2058" s="17"/>
      <c r="BI2058" s="17"/>
      <c r="BJ2058" s="17"/>
      <c r="BK2058" s="17"/>
      <c r="BL2058" s="17"/>
    </row>
    <row r="2059">
      <c r="A2059" s="17"/>
      <c r="B2059" s="17"/>
      <c r="C2059" s="17"/>
      <c r="D2059" s="17"/>
      <c r="E2059" s="17"/>
      <c r="F2059" s="17"/>
      <c r="G2059" s="17"/>
      <c r="H2059" s="356"/>
      <c r="I2059" s="17"/>
      <c r="J2059" s="17"/>
      <c r="K2059" s="17"/>
      <c r="L2059" s="17"/>
      <c r="M2059" s="17"/>
      <c r="N2059" s="17"/>
      <c r="O2059" s="17"/>
      <c r="P2059" s="17"/>
      <c r="Q2059" s="17"/>
      <c r="R2059" s="17"/>
      <c r="S2059" s="17"/>
      <c r="T2059" s="17"/>
      <c r="U2059" s="17"/>
      <c r="V2059" s="17"/>
      <c r="W2059" s="17"/>
      <c r="X2059" s="17"/>
      <c r="Y2059" s="17"/>
      <c r="Z2059" s="17"/>
      <c r="AA2059" s="17"/>
      <c r="AB2059" s="17"/>
      <c r="AC2059" s="17"/>
      <c r="AD2059" s="17"/>
      <c r="AE2059" s="17"/>
      <c r="AF2059" s="17"/>
      <c r="AG2059" s="17"/>
      <c r="AH2059" s="17"/>
      <c r="AI2059" s="17"/>
      <c r="AJ2059" s="17"/>
      <c r="AK2059" s="17"/>
      <c r="AL2059" s="17"/>
      <c r="AM2059" s="17"/>
      <c r="AN2059" s="17"/>
      <c r="AO2059" s="17"/>
      <c r="AP2059" s="17"/>
      <c r="AQ2059" s="17"/>
      <c r="AR2059" s="17"/>
      <c r="AS2059" s="17"/>
      <c r="AT2059" s="17"/>
      <c r="AU2059" s="17"/>
      <c r="AV2059" s="17"/>
      <c r="AW2059" s="17"/>
      <c r="AX2059" s="17"/>
      <c r="AY2059" s="17"/>
      <c r="AZ2059" s="17"/>
      <c r="BA2059" s="17"/>
      <c r="BB2059" s="17"/>
      <c r="BC2059" s="17"/>
      <c r="BD2059" s="17"/>
      <c r="BE2059" s="17"/>
      <c r="BF2059" s="17"/>
      <c r="BG2059" s="17"/>
      <c r="BH2059" s="17"/>
      <c r="BI2059" s="17"/>
      <c r="BJ2059" s="17"/>
      <c r="BK2059" s="17"/>
      <c r="BL2059" s="17"/>
    </row>
    <row r="2060">
      <c r="A2060" s="17"/>
      <c r="B2060" s="17"/>
      <c r="C2060" s="17"/>
      <c r="D2060" s="17"/>
      <c r="E2060" s="17"/>
      <c r="F2060" s="17"/>
      <c r="G2060" s="17"/>
      <c r="H2060" s="356"/>
      <c r="I2060" s="17"/>
      <c r="J2060" s="17"/>
      <c r="K2060" s="17"/>
      <c r="L2060" s="17"/>
      <c r="M2060" s="17"/>
      <c r="N2060" s="17"/>
      <c r="O2060" s="17"/>
      <c r="P2060" s="17"/>
      <c r="Q2060" s="17"/>
      <c r="R2060" s="17"/>
      <c r="S2060" s="17"/>
      <c r="T2060" s="17"/>
      <c r="U2060" s="17"/>
      <c r="V2060" s="17"/>
      <c r="W2060" s="17"/>
      <c r="X2060" s="17"/>
      <c r="Y2060" s="17"/>
      <c r="Z2060" s="17"/>
      <c r="AA2060" s="17"/>
      <c r="AB2060" s="17"/>
      <c r="AC2060" s="17"/>
      <c r="AD2060" s="17"/>
      <c r="AE2060" s="17"/>
      <c r="AF2060" s="17"/>
      <c r="AG2060" s="17"/>
      <c r="AH2060" s="17"/>
      <c r="AI2060" s="17"/>
      <c r="AJ2060" s="17"/>
      <c r="AK2060" s="17"/>
      <c r="AL2060" s="17"/>
      <c r="AM2060" s="17"/>
      <c r="AN2060" s="17"/>
      <c r="AO2060" s="17"/>
      <c r="AP2060" s="17"/>
      <c r="AQ2060" s="17"/>
      <c r="AR2060" s="17"/>
      <c r="AS2060" s="17"/>
      <c r="AT2060" s="17"/>
      <c r="AU2060" s="17"/>
      <c r="AV2060" s="17"/>
      <c r="AW2060" s="17"/>
      <c r="AX2060" s="17"/>
      <c r="AY2060" s="17"/>
      <c r="AZ2060" s="17"/>
      <c r="BA2060" s="17"/>
      <c r="BB2060" s="17"/>
      <c r="BC2060" s="17"/>
      <c r="BD2060" s="17"/>
      <c r="BE2060" s="17"/>
      <c r="BF2060" s="17"/>
      <c r="BG2060" s="17"/>
      <c r="BH2060" s="17"/>
      <c r="BI2060" s="17"/>
      <c r="BJ2060" s="17"/>
      <c r="BK2060" s="17"/>
      <c r="BL2060" s="17"/>
    </row>
    <row r="2061">
      <c r="A2061" s="17"/>
      <c r="B2061" s="17"/>
      <c r="C2061" s="17"/>
      <c r="D2061" s="17"/>
      <c r="E2061" s="17"/>
      <c r="F2061" s="17"/>
      <c r="G2061" s="17"/>
      <c r="H2061" s="356"/>
      <c r="I2061" s="17"/>
      <c r="J2061" s="17"/>
      <c r="K2061" s="17"/>
      <c r="L2061" s="17"/>
      <c r="M2061" s="17"/>
      <c r="N2061" s="17"/>
      <c r="O2061" s="17"/>
      <c r="P2061" s="17"/>
      <c r="Q2061" s="17"/>
      <c r="R2061" s="17"/>
      <c r="S2061" s="17"/>
      <c r="T2061" s="17"/>
      <c r="U2061" s="17"/>
      <c r="V2061" s="17"/>
      <c r="W2061" s="17"/>
      <c r="X2061" s="17"/>
      <c r="Y2061" s="17"/>
      <c r="Z2061" s="17"/>
      <c r="AA2061" s="17"/>
      <c r="AB2061" s="17"/>
      <c r="AC2061" s="17"/>
      <c r="AD2061" s="17"/>
      <c r="AE2061" s="17"/>
      <c r="AF2061" s="17"/>
      <c r="AG2061" s="17"/>
      <c r="AH2061" s="17"/>
      <c r="AI2061" s="17"/>
      <c r="AJ2061" s="17"/>
      <c r="AK2061" s="17"/>
      <c r="AL2061" s="17"/>
      <c r="AM2061" s="17"/>
      <c r="AN2061" s="17"/>
      <c r="AO2061" s="17"/>
      <c r="AP2061" s="17"/>
      <c r="AQ2061" s="17"/>
      <c r="AR2061" s="17"/>
      <c r="AS2061" s="17"/>
      <c r="AT2061" s="17"/>
      <c r="AU2061" s="17"/>
      <c r="AV2061" s="17"/>
      <c r="AW2061" s="17"/>
      <c r="AX2061" s="17"/>
      <c r="AY2061" s="17"/>
      <c r="AZ2061" s="17"/>
      <c r="BA2061" s="17"/>
      <c r="BB2061" s="17"/>
      <c r="BC2061" s="17"/>
      <c r="BD2061" s="17"/>
      <c r="BE2061" s="17"/>
      <c r="BF2061" s="17"/>
      <c r="BG2061" s="17"/>
      <c r="BH2061" s="17"/>
      <c r="BI2061" s="17"/>
      <c r="BJ2061" s="17"/>
      <c r="BK2061" s="17"/>
      <c r="BL2061" s="17"/>
    </row>
    <row r="2062">
      <c r="A2062" s="17"/>
      <c r="B2062" s="17"/>
      <c r="C2062" s="17"/>
      <c r="D2062" s="17"/>
      <c r="E2062" s="17"/>
      <c r="F2062" s="17"/>
      <c r="G2062" s="17"/>
      <c r="H2062" s="356"/>
      <c r="I2062" s="17"/>
      <c r="J2062" s="17"/>
      <c r="K2062" s="17"/>
      <c r="L2062" s="17"/>
      <c r="M2062" s="17"/>
      <c r="N2062" s="17"/>
      <c r="O2062" s="17"/>
      <c r="P2062" s="17"/>
      <c r="Q2062" s="17"/>
      <c r="R2062" s="17"/>
      <c r="S2062" s="17"/>
      <c r="T2062" s="17"/>
      <c r="U2062" s="17"/>
      <c r="V2062" s="17"/>
      <c r="W2062" s="17"/>
      <c r="X2062" s="17"/>
      <c r="Y2062" s="17"/>
      <c r="Z2062" s="17"/>
      <c r="AA2062" s="17"/>
      <c r="AB2062" s="17"/>
      <c r="AC2062" s="17"/>
      <c r="AD2062" s="17"/>
      <c r="AE2062" s="17"/>
      <c r="AF2062" s="17"/>
      <c r="AG2062" s="17"/>
      <c r="AH2062" s="17"/>
      <c r="AI2062" s="17"/>
      <c r="AJ2062" s="17"/>
      <c r="AK2062" s="17"/>
      <c r="AL2062" s="17"/>
      <c r="AM2062" s="17"/>
      <c r="AN2062" s="17"/>
      <c r="AO2062" s="17"/>
      <c r="AP2062" s="17"/>
      <c r="AQ2062" s="17"/>
      <c r="AR2062" s="17"/>
      <c r="AS2062" s="17"/>
      <c r="AT2062" s="17"/>
      <c r="AU2062" s="17"/>
      <c r="AV2062" s="17"/>
      <c r="AW2062" s="17"/>
      <c r="AX2062" s="17"/>
      <c r="AY2062" s="17"/>
      <c r="AZ2062" s="17"/>
      <c r="BA2062" s="17"/>
      <c r="BB2062" s="17"/>
      <c r="BC2062" s="17"/>
      <c r="BD2062" s="17"/>
      <c r="BE2062" s="17"/>
      <c r="BF2062" s="17"/>
      <c r="BG2062" s="17"/>
      <c r="BH2062" s="17"/>
      <c r="BI2062" s="17"/>
      <c r="BJ2062" s="17"/>
      <c r="BK2062" s="17"/>
      <c r="BL2062" s="17"/>
    </row>
    <row r="2063">
      <c r="A2063" s="17"/>
      <c r="B2063" s="17"/>
      <c r="C2063" s="17"/>
      <c r="D2063" s="17"/>
      <c r="E2063" s="17"/>
      <c r="F2063" s="17"/>
      <c r="G2063" s="17"/>
      <c r="H2063" s="356"/>
      <c r="I2063" s="17"/>
      <c r="J2063" s="17"/>
      <c r="K2063" s="17"/>
      <c r="L2063" s="17"/>
      <c r="M2063" s="17"/>
      <c r="N2063" s="17"/>
      <c r="O2063" s="17"/>
      <c r="P2063" s="17"/>
      <c r="Q2063" s="17"/>
      <c r="R2063" s="17"/>
      <c r="S2063" s="17"/>
      <c r="T2063" s="17"/>
      <c r="U2063" s="17"/>
      <c r="V2063" s="17"/>
      <c r="W2063" s="17"/>
      <c r="X2063" s="17"/>
      <c r="Y2063" s="17"/>
      <c r="Z2063" s="17"/>
      <c r="AA2063" s="17"/>
      <c r="AB2063" s="17"/>
      <c r="AC2063" s="17"/>
      <c r="AD2063" s="17"/>
      <c r="AE2063" s="17"/>
      <c r="AF2063" s="17"/>
      <c r="AG2063" s="17"/>
      <c r="AH2063" s="17"/>
      <c r="AI2063" s="17"/>
      <c r="AJ2063" s="17"/>
      <c r="AK2063" s="17"/>
      <c r="AL2063" s="17"/>
      <c r="AM2063" s="17"/>
      <c r="AN2063" s="17"/>
      <c r="AO2063" s="17"/>
      <c r="AP2063" s="17"/>
      <c r="AQ2063" s="17"/>
      <c r="AR2063" s="17"/>
      <c r="AS2063" s="17"/>
      <c r="AT2063" s="17"/>
      <c r="AU2063" s="17"/>
      <c r="AV2063" s="17"/>
      <c r="AW2063" s="17"/>
      <c r="AX2063" s="17"/>
      <c r="AY2063" s="17"/>
      <c r="AZ2063" s="17"/>
      <c r="BA2063" s="17"/>
      <c r="BB2063" s="17"/>
      <c r="BC2063" s="17"/>
      <c r="BD2063" s="17"/>
      <c r="BE2063" s="17"/>
      <c r="BF2063" s="17"/>
      <c r="BG2063" s="17"/>
      <c r="BH2063" s="17"/>
      <c r="BI2063" s="17"/>
      <c r="BJ2063" s="17"/>
      <c r="BK2063" s="17"/>
      <c r="BL2063" s="17"/>
    </row>
    <row r="2064">
      <c r="A2064" s="17"/>
      <c r="B2064" s="17"/>
      <c r="C2064" s="17"/>
      <c r="D2064" s="17"/>
      <c r="E2064" s="17"/>
      <c r="F2064" s="17"/>
      <c r="G2064" s="17"/>
      <c r="H2064" s="356"/>
      <c r="I2064" s="17"/>
      <c r="J2064" s="17"/>
      <c r="K2064" s="17"/>
      <c r="L2064" s="17"/>
      <c r="M2064" s="17"/>
      <c r="N2064" s="17"/>
      <c r="O2064" s="17"/>
      <c r="P2064" s="17"/>
      <c r="Q2064" s="17"/>
      <c r="R2064" s="17"/>
      <c r="S2064" s="17"/>
      <c r="T2064" s="17"/>
      <c r="U2064" s="17"/>
      <c r="V2064" s="17"/>
      <c r="W2064" s="17"/>
      <c r="X2064" s="17"/>
      <c r="Y2064" s="17"/>
      <c r="Z2064" s="17"/>
      <c r="AA2064" s="17"/>
      <c r="AB2064" s="17"/>
      <c r="AC2064" s="17"/>
      <c r="AD2064" s="17"/>
      <c r="AE2064" s="17"/>
      <c r="AF2064" s="17"/>
      <c r="AG2064" s="17"/>
      <c r="AH2064" s="17"/>
      <c r="AI2064" s="17"/>
      <c r="AJ2064" s="17"/>
      <c r="AK2064" s="17"/>
      <c r="AL2064" s="17"/>
      <c r="AM2064" s="17"/>
      <c r="AN2064" s="17"/>
      <c r="AO2064" s="17"/>
      <c r="AP2064" s="17"/>
      <c r="AQ2064" s="17"/>
      <c r="AR2064" s="17"/>
      <c r="AS2064" s="17"/>
      <c r="AT2064" s="17"/>
      <c r="AU2064" s="17"/>
      <c r="AV2064" s="17"/>
      <c r="AW2064" s="17"/>
      <c r="AX2064" s="17"/>
      <c r="AY2064" s="17"/>
      <c r="AZ2064" s="17"/>
      <c r="BA2064" s="17"/>
      <c r="BB2064" s="17"/>
      <c r="BC2064" s="17"/>
      <c r="BD2064" s="17"/>
      <c r="BE2064" s="17"/>
      <c r="BF2064" s="17"/>
      <c r="BG2064" s="17"/>
      <c r="BH2064" s="17"/>
      <c r="BI2064" s="17"/>
      <c r="BJ2064" s="17"/>
      <c r="BK2064" s="17"/>
      <c r="BL2064" s="17"/>
    </row>
    <row r="2065">
      <c r="A2065" s="17"/>
      <c r="B2065" s="17"/>
      <c r="C2065" s="17"/>
      <c r="D2065" s="17"/>
      <c r="E2065" s="17"/>
      <c r="F2065" s="17"/>
      <c r="G2065" s="17"/>
      <c r="H2065" s="356"/>
      <c r="I2065" s="17"/>
      <c r="J2065" s="17"/>
      <c r="K2065" s="17"/>
      <c r="L2065" s="17"/>
      <c r="M2065" s="17"/>
      <c r="N2065" s="17"/>
      <c r="O2065" s="17"/>
      <c r="P2065" s="17"/>
      <c r="Q2065" s="17"/>
      <c r="R2065" s="17"/>
      <c r="S2065" s="17"/>
      <c r="T2065" s="17"/>
      <c r="U2065" s="17"/>
      <c r="V2065" s="17"/>
      <c r="W2065" s="17"/>
      <c r="X2065" s="17"/>
      <c r="Y2065" s="17"/>
      <c r="Z2065" s="17"/>
      <c r="AA2065" s="17"/>
      <c r="AB2065" s="17"/>
      <c r="AC2065" s="17"/>
      <c r="AD2065" s="17"/>
      <c r="AE2065" s="17"/>
      <c r="AF2065" s="17"/>
      <c r="AG2065" s="17"/>
      <c r="AH2065" s="17"/>
      <c r="AI2065" s="17"/>
      <c r="AJ2065" s="17"/>
      <c r="AK2065" s="17"/>
      <c r="AL2065" s="17"/>
      <c r="AM2065" s="17"/>
      <c r="AN2065" s="17"/>
      <c r="AO2065" s="17"/>
      <c r="AP2065" s="17"/>
      <c r="AQ2065" s="17"/>
      <c r="AR2065" s="17"/>
      <c r="AS2065" s="17"/>
      <c r="AT2065" s="17"/>
      <c r="AU2065" s="17"/>
      <c r="AV2065" s="17"/>
      <c r="AW2065" s="17"/>
      <c r="AX2065" s="17"/>
      <c r="AY2065" s="17"/>
      <c r="AZ2065" s="17"/>
      <c r="BA2065" s="17"/>
      <c r="BB2065" s="17"/>
      <c r="BC2065" s="17"/>
      <c r="BD2065" s="17"/>
      <c r="BE2065" s="17"/>
      <c r="BF2065" s="17"/>
      <c r="BG2065" s="17"/>
      <c r="BH2065" s="17"/>
      <c r="BI2065" s="17"/>
      <c r="BJ2065" s="17"/>
      <c r="BK2065" s="17"/>
      <c r="BL2065" s="17"/>
    </row>
    <row r="2066">
      <c r="A2066" s="17"/>
      <c r="B2066" s="17"/>
      <c r="C2066" s="17"/>
      <c r="D2066" s="17"/>
      <c r="E2066" s="17"/>
      <c r="F2066" s="17"/>
      <c r="G2066" s="17"/>
      <c r="H2066" s="356"/>
      <c r="I2066" s="17"/>
      <c r="J2066" s="17"/>
      <c r="K2066" s="17"/>
      <c r="L2066" s="17"/>
      <c r="M2066" s="17"/>
      <c r="N2066" s="17"/>
      <c r="O2066" s="17"/>
      <c r="P2066" s="17"/>
      <c r="Q2066" s="17"/>
      <c r="R2066" s="17"/>
      <c r="S2066" s="17"/>
      <c r="T2066" s="17"/>
      <c r="U2066" s="17"/>
      <c r="V2066" s="17"/>
      <c r="W2066" s="17"/>
      <c r="X2066" s="17"/>
      <c r="Y2066" s="17"/>
      <c r="Z2066" s="17"/>
      <c r="AA2066" s="17"/>
      <c r="AB2066" s="17"/>
      <c r="AC2066" s="17"/>
      <c r="AD2066" s="17"/>
      <c r="AE2066" s="17"/>
      <c r="AF2066" s="17"/>
      <c r="AG2066" s="17"/>
      <c r="AH2066" s="17"/>
      <c r="AI2066" s="17"/>
      <c r="AJ2066" s="17"/>
      <c r="AK2066" s="17"/>
      <c r="AL2066" s="17"/>
      <c r="AM2066" s="17"/>
      <c r="AN2066" s="17"/>
      <c r="AO2066" s="17"/>
      <c r="AP2066" s="17"/>
      <c r="AQ2066" s="17"/>
      <c r="AR2066" s="17"/>
      <c r="AS2066" s="17"/>
      <c r="AT2066" s="17"/>
      <c r="AU2066" s="17"/>
      <c r="AV2066" s="17"/>
      <c r="AW2066" s="17"/>
      <c r="AX2066" s="17"/>
      <c r="AY2066" s="17"/>
      <c r="AZ2066" s="17"/>
      <c r="BA2066" s="17"/>
      <c r="BB2066" s="17"/>
      <c r="BC2066" s="17"/>
      <c r="BD2066" s="17"/>
      <c r="BE2066" s="17"/>
      <c r="BF2066" s="17"/>
      <c r="BG2066" s="17"/>
      <c r="BH2066" s="17"/>
      <c r="BI2066" s="17"/>
      <c r="BJ2066" s="17"/>
      <c r="BK2066" s="17"/>
      <c r="BL2066" s="17"/>
    </row>
    <row r="2067">
      <c r="A2067" s="17"/>
      <c r="B2067" s="17"/>
      <c r="C2067" s="17"/>
      <c r="D2067" s="17"/>
      <c r="E2067" s="17"/>
      <c r="F2067" s="17"/>
      <c r="G2067" s="17"/>
      <c r="H2067" s="356"/>
      <c r="I2067" s="17"/>
      <c r="J2067" s="17"/>
      <c r="K2067" s="17"/>
      <c r="L2067" s="17"/>
      <c r="M2067" s="17"/>
      <c r="N2067" s="17"/>
      <c r="O2067" s="17"/>
      <c r="P2067" s="17"/>
      <c r="Q2067" s="17"/>
      <c r="R2067" s="17"/>
      <c r="S2067" s="17"/>
      <c r="T2067" s="17"/>
      <c r="U2067" s="17"/>
      <c r="V2067" s="17"/>
      <c r="W2067" s="17"/>
      <c r="X2067" s="17"/>
      <c r="Y2067" s="17"/>
      <c r="Z2067" s="17"/>
      <c r="AA2067" s="17"/>
      <c r="AB2067" s="17"/>
      <c r="AC2067" s="17"/>
      <c r="AD2067" s="17"/>
      <c r="AE2067" s="17"/>
      <c r="AF2067" s="17"/>
      <c r="AG2067" s="17"/>
      <c r="AH2067" s="17"/>
      <c r="AI2067" s="17"/>
      <c r="AJ2067" s="17"/>
      <c r="AK2067" s="17"/>
      <c r="AL2067" s="17"/>
      <c r="AM2067" s="17"/>
      <c r="AN2067" s="17"/>
      <c r="AO2067" s="17"/>
      <c r="AP2067" s="17"/>
      <c r="AQ2067" s="17"/>
      <c r="AR2067" s="17"/>
      <c r="AS2067" s="17"/>
      <c r="AT2067" s="17"/>
      <c r="AU2067" s="17"/>
      <c r="AV2067" s="17"/>
      <c r="AW2067" s="17"/>
      <c r="AX2067" s="17"/>
      <c r="AY2067" s="17"/>
      <c r="AZ2067" s="17"/>
      <c r="BA2067" s="17"/>
      <c r="BB2067" s="17"/>
      <c r="BC2067" s="17"/>
      <c r="BD2067" s="17"/>
      <c r="BE2067" s="17"/>
      <c r="BF2067" s="17"/>
      <c r="BG2067" s="17"/>
      <c r="BH2067" s="17"/>
      <c r="BI2067" s="17"/>
      <c r="BJ2067" s="17"/>
      <c r="BK2067" s="17"/>
      <c r="BL2067" s="17"/>
    </row>
    <row r="2068">
      <c r="A2068" s="17"/>
      <c r="B2068" s="17"/>
      <c r="C2068" s="17"/>
      <c r="D2068" s="17"/>
      <c r="E2068" s="17"/>
      <c r="F2068" s="17"/>
      <c r="G2068" s="17"/>
      <c r="H2068" s="356"/>
      <c r="I2068" s="17"/>
      <c r="J2068" s="17"/>
      <c r="K2068" s="17"/>
      <c r="L2068" s="17"/>
      <c r="M2068" s="17"/>
      <c r="N2068" s="17"/>
      <c r="O2068" s="17"/>
      <c r="P2068" s="17"/>
      <c r="Q2068" s="17"/>
      <c r="R2068" s="17"/>
      <c r="S2068" s="17"/>
      <c r="T2068" s="17"/>
      <c r="U2068" s="17"/>
      <c r="V2068" s="17"/>
      <c r="W2068" s="17"/>
      <c r="X2068" s="17"/>
      <c r="Y2068" s="17"/>
      <c r="Z2068" s="17"/>
      <c r="AA2068" s="17"/>
      <c r="AB2068" s="17"/>
      <c r="AC2068" s="17"/>
      <c r="AD2068" s="17"/>
      <c r="AE2068" s="17"/>
      <c r="AF2068" s="17"/>
      <c r="AG2068" s="17"/>
      <c r="AH2068" s="17"/>
      <c r="AI2068" s="17"/>
      <c r="AJ2068" s="17"/>
      <c r="AK2068" s="17"/>
      <c r="AL2068" s="17"/>
      <c r="AM2068" s="17"/>
      <c r="AN2068" s="17"/>
      <c r="AO2068" s="17"/>
      <c r="AP2068" s="17"/>
      <c r="AQ2068" s="17"/>
      <c r="AR2068" s="17"/>
      <c r="AS2068" s="17"/>
      <c r="AT2068" s="17"/>
      <c r="AU2068" s="17"/>
      <c r="AV2068" s="17"/>
      <c r="AW2068" s="17"/>
      <c r="AX2068" s="17"/>
      <c r="AY2068" s="17"/>
      <c r="AZ2068" s="17"/>
      <c r="BA2068" s="17"/>
      <c r="BB2068" s="17"/>
      <c r="BC2068" s="17"/>
      <c r="BD2068" s="17"/>
      <c r="BE2068" s="17"/>
      <c r="BF2068" s="17"/>
      <c r="BG2068" s="17"/>
      <c r="BH2068" s="17"/>
      <c r="BI2068" s="17"/>
      <c r="BJ2068" s="17"/>
      <c r="BK2068" s="17"/>
      <c r="BL2068" s="17"/>
    </row>
    <row r="2069">
      <c r="A2069" s="17"/>
      <c r="B2069" s="17"/>
      <c r="C2069" s="17"/>
      <c r="D2069" s="17"/>
      <c r="E2069" s="17"/>
      <c r="F2069" s="17"/>
      <c r="G2069" s="17"/>
      <c r="H2069" s="356"/>
      <c r="I2069" s="17"/>
      <c r="J2069" s="17"/>
      <c r="K2069" s="17"/>
      <c r="L2069" s="17"/>
      <c r="M2069" s="17"/>
      <c r="N2069" s="17"/>
      <c r="O2069" s="17"/>
      <c r="P2069" s="17"/>
      <c r="Q2069" s="17"/>
      <c r="R2069" s="17"/>
      <c r="S2069" s="17"/>
      <c r="T2069" s="17"/>
      <c r="U2069" s="17"/>
      <c r="V2069" s="17"/>
      <c r="W2069" s="17"/>
      <c r="X2069" s="17"/>
      <c r="Y2069" s="17"/>
      <c r="Z2069" s="17"/>
      <c r="AA2069" s="17"/>
      <c r="AB2069" s="17"/>
      <c r="AC2069" s="17"/>
      <c r="AD2069" s="17"/>
      <c r="AE2069" s="17"/>
      <c r="AF2069" s="17"/>
      <c r="AG2069" s="17"/>
      <c r="AH2069" s="17"/>
      <c r="AI2069" s="17"/>
      <c r="AJ2069" s="17"/>
      <c r="AK2069" s="17"/>
      <c r="AL2069" s="17"/>
      <c r="AM2069" s="17"/>
      <c r="AN2069" s="17"/>
      <c r="AO2069" s="17"/>
      <c r="AP2069" s="17"/>
      <c r="AQ2069" s="17"/>
      <c r="AR2069" s="17"/>
      <c r="AS2069" s="17"/>
      <c r="AT2069" s="17"/>
      <c r="AU2069" s="17"/>
      <c r="AV2069" s="17"/>
      <c r="AW2069" s="17"/>
      <c r="AX2069" s="17"/>
      <c r="AY2069" s="17"/>
      <c r="AZ2069" s="17"/>
      <c r="BA2069" s="17"/>
      <c r="BB2069" s="17"/>
      <c r="BC2069" s="17"/>
      <c r="BD2069" s="17"/>
      <c r="BE2069" s="17"/>
      <c r="BF2069" s="17"/>
      <c r="BG2069" s="17"/>
      <c r="BH2069" s="17"/>
      <c r="BI2069" s="17"/>
      <c r="BJ2069" s="17"/>
      <c r="BK2069" s="17"/>
      <c r="BL2069" s="17"/>
    </row>
    <row r="2070">
      <c r="A2070" s="17"/>
      <c r="B2070" s="17"/>
      <c r="C2070" s="17"/>
      <c r="D2070" s="17"/>
      <c r="E2070" s="17"/>
      <c r="F2070" s="17"/>
      <c r="G2070" s="17"/>
      <c r="H2070" s="356"/>
      <c r="I2070" s="17"/>
      <c r="J2070" s="17"/>
      <c r="K2070" s="17"/>
      <c r="L2070" s="17"/>
      <c r="M2070" s="17"/>
      <c r="N2070" s="17"/>
      <c r="O2070" s="17"/>
      <c r="P2070" s="17"/>
      <c r="Q2070" s="17"/>
      <c r="R2070" s="17"/>
      <c r="S2070" s="17"/>
      <c r="T2070" s="17"/>
      <c r="U2070" s="17"/>
      <c r="V2070" s="17"/>
      <c r="W2070" s="17"/>
      <c r="X2070" s="17"/>
      <c r="Y2070" s="17"/>
      <c r="Z2070" s="17"/>
      <c r="AA2070" s="17"/>
      <c r="AB2070" s="17"/>
      <c r="AC2070" s="17"/>
      <c r="AD2070" s="17"/>
      <c r="AE2070" s="17"/>
      <c r="AF2070" s="17"/>
      <c r="AG2070" s="17"/>
      <c r="AH2070" s="17"/>
      <c r="AI2070" s="17"/>
      <c r="AJ2070" s="17"/>
      <c r="AK2070" s="17"/>
      <c r="AL2070" s="17"/>
      <c r="AM2070" s="17"/>
      <c r="AN2070" s="17"/>
      <c r="AO2070" s="17"/>
      <c r="AP2070" s="17"/>
      <c r="AQ2070" s="17"/>
      <c r="AR2070" s="17"/>
      <c r="AS2070" s="17"/>
      <c r="AT2070" s="17"/>
      <c r="AU2070" s="17"/>
      <c r="AV2070" s="17"/>
      <c r="AW2070" s="17"/>
      <c r="AX2070" s="17"/>
      <c r="AY2070" s="17"/>
      <c r="AZ2070" s="17"/>
      <c r="BA2070" s="17"/>
      <c r="BB2070" s="17"/>
      <c r="BC2070" s="17"/>
      <c r="BD2070" s="17"/>
      <c r="BE2070" s="17"/>
      <c r="BF2070" s="17"/>
      <c r="BG2070" s="17"/>
      <c r="BH2070" s="17"/>
      <c r="BI2070" s="17"/>
      <c r="BJ2070" s="17"/>
      <c r="BK2070" s="17"/>
      <c r="BL2070" s="17"/>
    </row>
    <row r="2071">
      <c r="A2071" s="17"/>
      <c r="B2071" s="17"/>
      <c r="C2071" s="17"/>
      <c r="D2071" s="17"/>
      <c r="E2071" s="17"/>
      <c r="F2071" s="17"/>
      <c r="G2071" s="17"/>
      <c r="H2071" s="356"/>
      <c r="I2071" s="17"/>
      <c r="J2071" s="17"/>
      <c r="K2071" s="17"/>
      <c r="L2071" s="17"/>
      <c r="M2071" s="17"/>
      <c r="N2071" s="17"/>
      <c r="O2071" s="17"/>
      <c r="P2071" s="17"/>
      <c r="Q2071" s="17"/>
      <c r="R2071" s="17"/>
      <c r="S2071" s="17"/>
      <c r="T2071" s="17"/>
      <c r="U2071" s="17"/>
      <c r="V2071" s="17"/>
      <c r="W2071" s="17"/>
      <c r="X2071" s="17"/>
      <c r="Y2071" s="17"/>
      <c r="Z2071" s="17"/>
      <c r="AA2071" s="17"/>
      <c r="AB2071" s="17"/>
      <c r="AC2071" s="17"/>
      <c r="AD2071" s="17"/>
      <c r="AE2071" s="17"/>
      <c r="AF2071" s="17"/>
      <c r="AG2071" s="17"/>
      <c r="AH2071" s="17"/>
      <c r="AI2071" s="17"/>
      <c r="AJ2071" s="17"/>
      <c r="AK2071" s="17"/>
      <c r="AL2071" s="17"/>
      <c r="AM2071" s="17"/>
      <c r="AN2071" s="17"/>
      <c r="AO2071" s="17"/>
      <c r="AP2071" s="17"/>
      <c r="AQ2071" s="17"/>
      <c r="AR2071" s="17"/>
      <c r="AS2071" s="17"/>
      <c r="AT2071" s="17"/>
      <c r="AU2071" s="17"/>
      <c r="AV2071" s="17"/>
      <c r="AW2071" s="17"/>
      <c r="AX2071" s="17"/>
      <c r="AY2071" s="17"/>
      <c r="AZ2071" s="17"/>
      <c r="BA2071" s="17"/>
      <c r="BB2071" s="17"/>
      <c r="BC2071" s="17"/>
      <c r="BD2071" s="17"/>
      <c r="BE2071" s="17"/>
      <c r="BF2071" s="17"/>
      <c r="BG2071" s="17"/>
      <c r="BH2071" s="17"/>
      <c r="BI2071" s="17"/>
      <c r="BJ2071" s="17"/>
      <c r="BK2071" s="17"/>
      <c r="BL2071" s="17"/>
    </row>
    <row r="2072">
      <c r="A2072" s="17"/>
      <c r="B2072" s="17"/>
      <c r="C2072" s="17"/>
      <c r="D2072" s="17"/>
      <c r="E2072" s="17"/>
      <c r="F2072" s="17"/>
      <c r="G2072" s="17"/>
      <c r="H2072" s="356"/>
      <c r="I2072" s="17"/>
      <c r="J2072" s="17"/>
      <c r="K2072" s="17"/>
      <c r="L2072" s="17"/>
      <c r="M2072" s="17"/>
      <c r="N2072" s="17"/>
      <c r="O2072" s="17"/>
      <c r="P2072" s="17"/>
      <c r="Q2072" s="17"/>
      <c r="R2072" s="17"/>
      <c r="S2072" s="17"/>
      <c r="T2072" s="17"/>
      <c r="U2072" s="17"/>
      <c r="V2072" s="17"/>
      <c r="W2072" s="17"/>
      <c r="X2072" s="17"/>
      <c r="Y2072" s="17"/>
      <c r="Z2072" s="17"/>
      <c r="AA2072" s="17"/>
      <c r="AB2072" s="17"/>
      <c r="AC2072" s="17"/>
      <c r="AD2072" s="17"/>
      <c r="AE2072" s="17"/>
      <c r="AF2072" s="17"/>
      <c r="AG2072" s="17"/>
      <c r="AH2072" s="17"/>
      <c r="AI2072" s="17"/>
      <c r="AJ2072" s="17"/>
      <c r="AK2072" s="17"/>
      <c r="AL2072" s="17"/>
      <c r="AM2072" s="17"/>
      <c r="AN2072" s="17"/>
      <c r="AO2072" s="17"/>
      <c r="AP2072" s="17"/>
      <c r="AQ2072" s="17"/>
      <c r="AR2072" s="17"/>
      <c r="AS2072" s="17"/>
      <c r="AT2072" s="17"/>
      <c r="AU2072" s="17"/>
      <c r="AV2072" s="17"/>
      <c r="AW2072" s="17"/>
      <c r="AX2072" s="17"/>
      <c r="AY2072" s="17"/>
      <c r="AZ2072" s="17"/>
      <c r="BA2072" s="17"/>
      <c r="BB2072" s="17"/>
      <c r="BC2072" s="17"/>
      <c r="BD2072" s="17"/>
      <c r="BE2072" s="17"/>
      <c r="BF2072" s="17"/>
      <c r="BG2072" s="17"/>
      <c r="BH2072" s="17"/>
      <c r="BI2072" s="17"/>
      <c r="BJ2072" s="17"/>
      <c r="BK2072" s="17"/>
      <c r="BL2072" s="17"/>
    </row>
    <row r="2073">
      <c r="A2073" s="17"/>
      <c r="B2073" s="17"/>
      <c r="C2073" s="17"/>
      <c r="D2073" s="17"/>
      <c r="E2073" s="17"/>
      <c r="F2073" s="17"/>
      <c r="G2073" s="17"/>
      <c r="H2073" s="356"/>
      <c r="I2073" s="17"/>
      <c r="J2073" s="17"/>
      <c r="K2073" s="17"/>
      <c r="L2073" s="17"/>
      <c r="M2073" s="17"/>
      <c r="N2073" s="17"/>
      <c r="O2073" s="17"/>
      <c r="P2073" s="17"/>
      <c r="Q2073" s="17"/>
      <c r="R2073" s="17"/>
      <c r="S2073" s="17"/>
      <c r="T2073" s="17"/>
      <c r="U2073" s="17"/>
      <c r="V2073" s="17"/>
      <c r="W2073" s="17"/>
      <c r="X2073" s="17"/>
      <c r="Y2073" s="17"/>
      <c r="Z2073" s="17"/>
      <c r="AA2073" s="17"/>
      <c r="AB2073" s="17"/>
      <c r="AC2073" s="17"/>
      <c r="AD2073" s="17"/>
      <c r="AE2073" s="17"/>
      <c r="AF2073" s="17"/>
      <c r="AG2073" s="17"/>
      <c r="AH2073" s="17"/>
      <c r="AI2073" s="17"/>
      <c r="AJ2073" s="17"/>
      <c r="AK2073" s="17"/>
      <c r="AL2073" s="17"/>
      <c r="AM2073" s="17"/>
      <c r="AN2073" s="17"/>
      <c r="AO2073" s="17"/>
      <c r="AP2073" s="17"/>
      <c r="AQ2073" s="17"/>
      <c r="AR2073" s="17"/>
      <c r="AS2073" s="17"/>
      <c r="AT2073" s="17"/>
      <c r="AU2073" s="17"/>
      <c r="AV2073" s="17"/>
      <c r="AW2073" s="17"/>
      <c r="AX2073" s="17"/>
      <c r="AY2073" s="17"/>
      <c r="AZ2073" s="17"/>
      <c r="BA2073" s="17"/>
      <c r="BB2073" s="17"/>
      <c r="BC2073" s="17"/>
      <c r="BD2073" s="17"/>
      <c r="BE2073" s="17"/>
      <c r="BF2073" s="17"/>
      <c r="BG2073" s="17"/>
      <c r="BH2073" s="17"/>
      <c r="BI2073" s="17"/>
      <c r="BJ2073" s="17"/>
      <c r="BK2073" s="17"/>
      <c r="BL2073" s="17"/>
    </row>
    <row r="2074">
      <c r="A2074" s="17"/>
      <c r="B2074" s="17"/>
      <c r="C2074" s="17"/>
      <c r="D2074" s="17"/>
      <c r="E2074" s="17"/>
      <c r="F2074" s="17"/>
      <c r="G2074" s="17"/>
      <c r="H2074" s="356"/>
      <c r="I2074" s="17"/>
      <c r="J2074" s="17"/>
      <c r="K2074" s="17"/>
      <c r="L2074" s="17"/>
      <c r="M2074" s="17"/>
      <c r="N2074" s="17"/>
      <c r="O2074" s="17"/>
      <c r="P2074" s="17"/>
      <c r="Q2074" s="17"/>
      <c r="R2074" s="17"/>
      <c r="S2074" s="17"/>
      <c r="T2074" s="17"/>
      <c r="U2074" s="17"/>
      <c r="V2074" s="17"/>
      <c r="W2074" s="17"/>
      <c r="X2074" s="17"/>
      <c r="Y2074" s="17"/>
      <c r="Z2074" s="17"/>
      <c r="AA2074" s="17"/>
      <c r="AB2074" s="17"/>
      <c r="AC2074" s="17"/>
      <c r="AD2074" s="17"/>
      <c r="AE2074" s="17"/>
      <c r="AF2074" s="17"/>
      <c r="AG2074" s="17"/>
      <c r="AH2074" s="17"/>
      <c r="AI2074" s="17"/>
      <c r="AJ2074" s="17"/>
      <c r="AK2074" s="17"/>
      <c r="AL2074" s="17"/>
      <c r="AM2074" s="17"/>
      <c r="AN2074" s="17"/>
      <c r="AO2074" s="17"/>
      <c r="AP2074" s="17"/>
      <c r="AQ2074" s="17"/>
      <c r="AR2074" s="17"/>
      <c r="AS2074" s="17"/>
      <c r="AT2074" s="17"/>
      <c r="AU2074" s="17"/>
      <c r="AV2074" s="17"/>
      <c r="AW2074" s="17"/>
      <c r="AX2074" s="17"/>
      <c r="AY2074" s="17"/>
      <c r="AZ2074" s="17"/>
      <c r="BA2074" s="17"/>
      <c r="BB2074" s="17"/>
      <c r="BC2074" s="17"/>
      <c r="BD2074" s="17"/>
      <c r="BE2074" s="17"/>
      <c r="BF2074" s="17"/>
      <c r="BG2074" s="17"/>
      <c r="BH2074" s="17"/>
      <c r="BI2074" s="17"/>
      <c r="BJ2074" s="17"/>
      <c r="BK2074" s="17"/>
      <c r="BL2074" s="17"/>
    </row>
    <row r="2075">
      <c r="A2075" s="17"/>
      <c r="B2075" s="17"/>
      <c r="C2075" s="17"/>
      <c r="D2075" s="17"/>
      <c r="E2075" s="17"/>
      <c r="F2075" s="17"/>
      <c r="G2075" s="17"/>
      <c r="H2075" s="356"/>
      <c r="I2075" s="17"/>
      <c r="J2075" s="17"/>
      <c r="K2075" s="17"/>
      <c r="L2075" s="17"/>
      <c r="M2075" s="17"/>
      <c r="N2075" s="17"/>
      <c r="O2075" s="17"/>
      <c r="P2075" s="17"/>
      <c r="Q2075" s="17"/>
      <c r="R2075" s="17"/>
      <c r="S2075" s="17"/>
      <c r="T2075" s="17"/>
      <c r="U2075" s="17"/>
      <c r="V2075" s="17"/>
      <c r="W2075" s="17"/>
      <c r="X2075" s="17"/>
      <c r="Y2075" s="17"/>
      <c r="Z2075" s="17"/>
      <c r="AA2075" s="17"/>
      <c r="AB2075" s="17"/>
      <c r="AC2075" s="17"/>
      <c r="AD2075" s="17"/>
      <c r="AE2075" s="17"/>
      <c r="AF2075" s="17"/>
      <c r="AG2075" s="17"/>
      <c r="AH2075" s="17"/>
      <c r="AI2075" s="17"/>
      <c r="AJ2075" s="17"/>
      <c r="AK2075" s="17"/>
      <c r="AL2075" s="17"/>
      <c r="AM2075" s="17"/>
      <c r="AN2075" s="17"/>
      <c r="AO2075" s="17"/>
      <c r="AP2075" s="17"/>
      <c r="AQ2075" s="17"/>
      <c r="AR2075" s="17"/>
      <c r="AS2075" s="17"/>
      <c r="AT2075" s="17"/>
      <c r="AU2075" s="17"/>
      <c r="AV2075" s="17"/>
      <c r="AW2075" s="17"/>
      <c r="AX2075" s="17"/>
      <c r="AY2075" s="17"/>
      <c r="AZ2075" s="17"/>
      <c r="BA2075" s="17"/>
      <c r="BB2075" s="17"/>
      <c r="BC2075" s="17"/>
      <c r="BD2075" s="17"/>
      <c r="BE2075" s="17"/>
      <c r="BF2075" s="17"/>
      <c r="BG2075" s="17"/>
      <c r="BH2075" s="17"/>
      <c r="BI2075" s="17"/>
      <c r="BJ2075" s="17"/>
      <c r="BK2075" s="17"/>
      <c r="BL2075" s="17"/>
    </row>
    <row r="2076">
      <c r="A2076" s="17"/>
      <c r="B2076" s="17"/>
      <c r="C2076" s="17"/>
      <c r="D2076" s="17"/>
      <c r="E2076" s="17"/>
      <c r="F2076" s="17"/>
      <c r="G2076" s="17"/>
      <c r="H2076" s="356"/>
      <c r="I2076" s="17"/>
      <c r="J2076" s="17"/>
      <c r="K2076" s="17"/>
      <c r="L2076" s="17"/>
      <c r="M2076" s="17"/>
      <c r="N2076" s="17"/>
      <c r="O2076" s="17"/>
      <c r="P2076" s="17"/>
      <c r="Q2076" s="17"/>
      <c r="R2076" s="17"/>
      <c r="S2076" s="17"/>
      <c r="T2076" s="17"/>
      <c r="U2076" s="17"/>
      <c r="V2076" s="17"/>
      <c r="W2076" s="17"/>
      <c r="X2076" s="17"/>
      <c r="Y2076" s="17"/>
      <c r="Z2076" s="17"/>
      <c r="AA2076" s="17"/>
      <c r="AB2076" s="17"/>
      <c r="AC2076" s="17"/>
      <c r="AD2076" s="17"/>
      <c r="AE2076" s="17"/>
      <c r="AF2076" s="17"/>
      <c r="AG2076" s="17"/>
      <c r="AH2076" s="17"/>
      <c r="AI2076" s="17"/>
      <c r="AJ2076" s="17"/>
      <c r="AK2076" s="17"/>
      <c r="AL2076" s="17"/>
      <c r="AM2076" s="17"/>
      <c r="AN2076" s="17"/>
      <c r="AO2076" s="17"/>
      <c r="AP2076" s="17"/>
      <c r="AQ2076" s="17"/>
      <c r="AR2076" s="17"/>
      <c r="AS2076" s="17"/>
      <c r="AT2076" s="17"/>
      <c r="AU2076" s="17"/>
      <c r="AV2076" s="17"/>
      <c r="AW2076" s="17"/>
      <c r="AX2076" s="17"/>
      <c r="AY2076" s="17"/>
      <c r="AZ2076" s="17"/>
      <c r="BA2076" s="17"/>
      <c r="BB2076" s="17"/>
      <c r="BC2076" s="17"/>
      <c r="BD2076" s="17"/>
      <c r="BE2076" s="17"/>
      <c r="BF2076" s="17"/>
      <c r="BG2076" s="17"/>
      <c r="BH2076" s="17"/>
      <c r="BI2076" s="17"/>
      <c r="BJ2076" s="17"/>
      <c r="BK2076" s="17"/>
      <c r="BL2076" s="17"/>
    </row>
    <row r="2077">
      <c r="A2077" s="17"/>
      <c r="B2077" s="17"/>
      <c r="C2077" s="17"/>
      <c r="D2077" s="17"/>
      <c r="E2077" s="17"/>
      <c r="F2077" s="17"/>
      <c r="G2077" s="17"/>
      <c r="H2077" s="356"/>
      <c r="I2077" s="17"/>
      <c r="J2077" s="17"/>
      <c r="K2077" s="17"/>
      <c r="L2077" s="17"/>
      <c r="M2077" s="17"/>
      <c r="N2077" s="17"/>
      <c r="O2077" s="17"/>
      <c r="P2077" s="17"/>
      <c r="Q2077" s="17"/>
      <c r="R2077" s="17"/>
      <c r="S2077" s="17"/>
      <c r="T2077" s="17"/>
      <c r="U2077" s="17"/>
      <c r="V2077" s="17"/>
      <c r="W2077" s="17"/>
      <c r="X2077" s="17"/>
      <c r="Y2077" s="17"/>
      <c r="Z2077" s="17"/>
      <c r="AA2077" s="17"/>
      <c r="AB2077" s="17"/>
      <c r="AC2077" s="17"/>
      <c r="AD2077" s="17"/>
      <c r="AE2077" s="17"/>
      <c r="AF2077" s="17"/>
      <c r="AG2077" s="17"/>
      <c r="AH2077" s="17"/>
      <c r="AI2077" s="17"/>
      <c r="AJ2077" s="17"/>
      <c r="AK2077" s="17"/>
      <c r="AL2077" s="17"/>
      <c r="AM2077" s="17"/>
      <c r="AN2077" s="17"/>
      <c r="AO2077" s="17"/>
      <c r="AP2077" s="17"/>
      <c r="AQ2077" s="17"/>
      <c r="AR2077" s="17"/>
      <c r="AS2077" s="17"/>
      <c r="AT2077" s="17"/>
      <c r="AU2077" s="17"/>
      <c r="AV2077" s="17"/>
      <c r="AW2077" s="17"/>
      <c r="AX2077" s="17"/>
      <c r="AY2077" s="17"/>
      <c r="AZ2077" s="17"/>
      <c r="BA2077" s="17"/>
      <c r="BB2077" s="17"/>
      <c r="BC2077" s="17"/>
      <c r="BD2077" s="17"/>
      <c r="BE2077" s="17"/>
      <c r="BF2077" s="17"/>
      <c r="BG2077" s="17"/>
      <c r="BH2077" s="17"/>
      <c r="BI2077" s="17"/>
      <c r="BJ2077" s="17"/>
      <c r="BK2077" s="17"/>
      <c r="BL2077" s="17"/>
    </row>
    <row r="2078">
      <c r="A2078" s="17"/>
      <c r="B2078" s="17"/>
      <c r="C2078" s="17"/>
      <c r="D2078" s="17"/>
      <c r="E2078" s="17"/>
      <c r="F2078" s="17"/>
      <c r="G2078" s="17"/>
      <c r="H2078" s="356"/>
      <c r="I2078" s="17"/>
      <c r="J2078" s="17"/>
      <c r="K2078" s="17"/>
      <c r="L2078" s="17"/>
      <c r="M2078" s="17"/>
      <c r="N2078" s="17"/>
      <c r="O2078" s="17"/>
      <c r="P2078" s="17"/>
      <c r="Q2078" s="17"/>
      <c r="R2078" s="17"/>
      <c r="S2078" s="17"/>
      <c r="T2078" s="17"/>
      <c r="U2078" s="17"/>
      <c r="V2078" s="17"/>
      <c r="W2078" s="17"/>
      <c r="X2078" s="17"/>
      <c r="Y2078" s="17"/>
      <c r="Z2078" s="17"/>
      <c r="AA2078" s="17"/>
      <c r="AB2078" s="17"/>
      <c r="AC2078" s="17"/>
      <c r="AD2078" s="17"/>
      <c r="AE2078" s="17"/>
      <c r="AF2078" s="17"/>
      <c r="AG2078" s="17"/>
      <c r="AH2078" s="17"/>
      <c r="AI2078" s="17"/>
      <c r="AJ2078" s="17"/>
      <c r="AK2078" s="17"/>
      <c r="AL2078" s="17"/>
      <c r="AM2078" s="17"/>
      <c r="AN2078" s="17"/>
      <c r="AO2078" s="17"/>
      <c r="AP2078" s="17"/>
      <c r="AQ2078" s="17"/>
      <c r="AR2078" s="17"/>
      <c r="AS2078" s="17"/>
      <c r="AT2078" s="17"/>
      <c r="AU2078" s="17"/>
      <c r="AV2078" s="17"/>
      <c r="AW2078" s="17"/>
      <c r="AX2078" s="17"/>
      <c r="AY2078" s="17"/>
      <c r="AZ2078" s="17"/>
      <c r="BA2078" s="17"/>
      <c r="BB2078" s="17"/>
      <c r="BC2078" s="17"/>
      <c r="BD2078" s="17"/>
      <c r="BE2078" s="17"/>
      <c r="BF2078" s="17"/>
      <c r="BG2078" s="17"/>
      <c r="BH2078" s="17"/>
      <c r="BI2078" s="17"/>
      <c r="BJ2078" s="17"/>
      <c r="BK2078" s="17"/>
      <c r="BL2078" s="17"/>
    </row>
    <row r="2079">
      <c r="A2079" s="17"/>
      <c r="B2079" s="17"/>
      <c r="C2079" s="17"/>
      <c r="D2079" s="17"/>
      <c r="E2079" s="17"/>
      <c r="F2079" s="17"/>
      <c r="G2079" s="17"/>
      <c r="H2079" s="356"/>
      <c r="I2079" s="17"/>
      <c r="J2079" s="17"/>
      <c r="K2079" s="17"/>
      <c r="L2079" s="17"/>
      <c r="M2079" s="17"/>
      <c r="N2079" s="17"/>
      <c r="O2079" s="17"/>
      <c r="P2079" s="17"/>
      <c r="Q2079" s="17"/>
      <c r="R2079" s="17"/>
      <c r="S2079" s="17"/>
      <c r="T2079" s="17"/>
      <c r="U2079" s="17"/>
      <c r="V2079" s="17"/>
      <c r="W2079" s="17"/>
      <c r="X2079" s="17"/>
      <c r="Y2079" s="17"/>
      <c r="Z2079" s="17"/>
      <c r="AA2079" s="17"/>
      <c r="AB2079" s="17"/>
      <c r="AC2079" s="17"/>
      <c r="AD2079" s="17"/>
      <c r="AE2079" s="17"/>
      <c r="AF2079" s="17"/>
      <c r="AG2079" s="17"/>
      <c r="AH2079" s="17"/>
      <c r="AI2079" s="17"/>
      <c r="AJ2079" s="17"/>
      <c r="AK2079" s="17"/>
      <c r="AL2079" s="17"/>
      <c r="AM2079" s="17"/>
      <c r="AN2079" s="17"/>
      <c r="AO2079" s="17"/>
      <c r="AP2079" s="17"/>
      <c r="AQ2079" s="17"/>
      <c r="AR2079" s="17"/>
      <c r="AS2079" s="17"/>
      <c r="AT2079" s="17"/>
      <c r="AU2079" s="17"/>
      <c r="AV2079" s="17"/>
      <c r="AW2079" s="17"/>
      <c r="AX2079" s="17"/>
      <c r="AY2079" s="17"/>
      <c r="AZ2079" s="17"/>
      <c r="BA2079" s="17"/>
      <c r="BB2079" s="17"/>
      <c r="BC2079" s="17"/>
      <c r="BD2079" s="17"/>
      <c r="BE2079" s="17"/>
      <c r="BF2079" s="17"/>
      <c r="BG2079" s="17"/>
      <c r="BH2079" s="17"/>
      <c r="BI2079" s="17"/>
      <c r="BJ2079" s="17"/>
      <c r="BK2079" s="17"/>
      <c r="BL2079" s="17"/>
    </row>
    <row r="2080">
      <c r="A2080" s="17"/>
      <c r="B2080" s="17"/>
      <c r="C2080" s="17"/>
      <c r="D2080" s="17"/>
      <c r="E2080" s="17"/>
      <c r="F2080" s="17"/>
      <c r="G2080" s="17"/>
      <c r="H2080" s="356"/>
      <c r="I2080" s="17"/>
      <c r="J2080" s="17"/>
      <c r="K2080" s="17"/>
      <c r="L2080" s="17"/>
      <c r="M2080" s="17"/>
      <c r="N2080" s="17"/>
      <c r="O2080" s="17"/>
      <c r="P2080" s="17"/>
      <c r="Q2080" s="17"/>
      <c r="R2080" s="17"/>
      <c r="S2080" s="17"/>
      <c r="T2080" s="17"/>
      <c r="U2080" s="17"/>
      <c r="V2080" s="17"/>
      <c r="W2080" s="17"/>
      <c r="X2080" s="17"/>
      <c r="Y2080" s="17"/>
      <c r="Z2080" s="17"/>
      <c r="AA2080" s="17"/>
      <c r="AB2080" s="17"/>
      <c r="AC2080" s="17"/>
      <c r="AD2080" s="17"/>
      <c r="AE2080" s="17"/>
      <c r="AF2080" s="17"/>
      <c r="AG2080" s="17"/>
      <c r="AH2080" s="17"/>
      <c r="AI2080" s="17"/>
      <c r="AJ2080" s="17"/>
      <c r="AK2080" s="17"/>
      <c r="AL2080" s="17"/>
      <c r="AM2080" s="17"/>
      <c r="AN2080" s="17"/>
      <c r="AO2080" s="17"/>
      <c r="AP2080" s="17"/>
      <c r="AQ2080" s="17"/>
      <c r="AR2080" s="17"/>
      <c r="AS2080" s="17"/>
      <c r="AT2080" s="17"/>
      <c r="AU2080" s="17"/>
      <c r="AV2080" s="17"/>
      <c r="AW2080" s="17"/>
      <c r="AX2080" s="17"/>
      <c r="AY2080" s="17"/>
      <c r="AZ2080" s="17"/>
      <c r="BA2080" s="17"/>
      <c r="BB2080" s="17"/>
      <c r="BC2080" s="17"/>
      <c r="BD2080" s="17"/>
      <c r="BE2080" s="17"/>
      <c r="BF2080" s="17"/>
      <c r="BG2080" s="17"/>
      <c r="BH2080" s="17"/>
      <c r="BI2080" s="17"/>
      <c r="BJ2080" s="17"/>
      <c r="BK2080" s="17"/>
      <c r="BL2080" s="17"/>
    </row>
    <row r="2081">
      <c r="A2081" s="17"/>
      <c r="B2081" s="17"/>
      <c r="C2081" s="17"/>
      <c r="D2081" s="17"/>
      <c r="E2081" s="17"/>
      <c r="F2081" s="17"/>
      <c r="G2081" s="17"/>
      <c r="H2081" s="356"/>
      <c r="I2081" s="17"/>
      <c r="J2081" s="17"/>
      <c r="K2081" s="17"/>
      <c r="L2081" s="17"/>
      <c r="M2081" s="17"/>
      <c r="N2081" s="17"/>
      <c r="O2081" s="17"/>
      <c r="P2081" s="17"/>
      <c r="Q2081" s="17"/>
      <c r="R2081" s="17"/>
      <c r="S2081" s="17"/>
      <c r="T2081" s="17"/>
      <c r="U2081" s="17"/>
      <c r="V2081" s="17"/>
      <c r="W2081" s="17"/>
      <c r="X2081" s="17"/>
      <c r="Y2081" s="17"/>
      <c r="Z2081" s="17"/>
      <c r="AA2081" s="17"/>
      <c r="AB2081" s="17"/>
      <c r="AC2081" s="17"/>
      <c r="AD2081" s="17"/>
      <c r="AE2081" s="17"/>
      <c r="AF2081" s="17"/>
      <c r="AG2081" s="17"/>
      <c r="AH2081" s="17"/>
      <c r="AI2081" s="17"/>
      <c r="AJ2081" s="17"/>
      <c r="AK2081" s="17"/>
      <c r="AL2081" s="17"/>
      <c r="AM2081" s="17"/>
      <c r="AN2081" s="17"/>
      <c r="AO2081" s="17"/>
      <c r="AP2081" s="17"/>
      <c r="AQ2081" s="17"/>
      <c r="AR2081" s="17"/>
      <c r="AS2081" s="17"/>
      <c r="AT2081" s="17"/>
      <c r="AU2081" s="17"/>
      <c r="AV2081" s="17"/>
      <c r="AW2081" s="17"/>
      <c r="AX2081" s="17"/>
      <c r="AY2081" s="17"/>
      <c r="AZ2081" s="17"/>
      <c r="BA2081" s="17"/>
      <c r="BB2081" s="17"/>
      <c r="BC2081" s="17"/>
      <c r="BD2081" s="17"/>
      <c r="BE2081" s="17"/>
      <c r="BF2081" s="17"/>
      <c r="BG2081" s="17"/>
      <c r="BH2081" s="17"/>
      <c r="BI2081" s="17"/>
      <c r="BJ2081" s="17"/>
      <c r="BK2081" s="17"/>
      <c r="BL2081" s="17"/>
    </row>
    <row r="2082">
      <c r="A2082" s="17"/>
      <c r="B2082" s="17"/>
      <c r="C2082" s="17"/>
      <c r="D2082" s="17"/>
      <c r="E2082" s="17"/>
      <c r="F2082" s="17"/>
      <c r="G2082" s="17"/>
      <c r="H2082" s="356"/>
      <c r="I2082" s="17"/>
      <c r="J2082" s="17"/>
      <c r="K2082" s="17"/>
      <c r="L2082" s="17"/>
      <c r="M2082" s="17"/>
      <c r="N2082" s="17"/>
      <c r="O2082" s="17"/>
      <c r="P2082" s="17"/>
      <c r="Q2082" s="17"/>
      <c r="R2082" s="17"/>
      <c r="S2082" s="17"/>
      <c r="T2082" s="17"/>
      <c r="U2082" s="17"/>
      <c r="V2082" s="17"/>
      <c r="W2082" s="17"/>
      <c r="X2082" s="17"/>
      <c r="Y2082" s="17"/>
      <c r="Z2082" s="17"/>
      <c r="AA2082" s="17"/>
      <c r="AB2082" s="17"/>
      <c r="AC2082" s="17"/>
      <c r="AD2082" s="17"/>
      <c r="AE2082" s="17"/>
      <c r="AF2082" s="17"/>
      <c r="AG2082" s="17"/>
      <c r="AH2082" s="17"/>
      <c r="AI2082" s="17"/>
      <c r="AJ2082" s="17"/>
      <c r="AK2082" s="17"/>
      <c r="AL2082" s="17"/>
      <c r="AM2082" s="17"/>
      <c r="AN2082" s="17"/>
      <c r="AO2082" s="17"/>
      <c r="AP2082" s="17"/>
      <c r="AQ2082" s="17"/>
      <c r="AR2082" s="17"/>
      <c r="AS2082" s="17"/>
      <c r="AT2082" s="17"/>
      <c r="AU2082" s="17"/>
      <c r="AV2082" s="17"/>
      <c r="AW2082" s="17"/>
      <c r="AX2082" s="17"/>
      <c r="AY2082" s="17"/>
      <c r="AZ2082" s="17"/>
      <c r="BA2082" s="17"/>
      <c r="BB2082" s="17"/>
      <c r="BC2082" s="17"/>
      <c r="BD2082" s="17"/>
      <c r="BE2082" s="17"/>
      <c r="BF2082" s="17"/>
      <c r="BG2082" s="17"/>
      <c r="BH2082" s="17"/>
      <c r="BI2082" s="17"/>
      <c r="BJ2082" s="17"/>
      <c r="BK2082" s="17"/>
      <c r="BL2082" s="17"/>
    </row>
    <row r="2083">
      <c r="A2083" s="17"/>
      <c r="B2083" s="17"/>
      <c r="C2083" s="17"/>
      <c r="D2083" s="17"/>
      <c r="E2083" s="17"/>
      <c r="F2083" s="17"/>
      <c r="G2083" s="17"/>
      <c r="H2083" s="356"/>
      <c r="I2083" s="17"/>
      <c r="J2083" s="17"/>
      <c r="K2083" s="17"/>
      <c r="L2083" s="17"/>
      <c r="M2083" s="17"/>
      <c r="N2083" s="17"/>
      <c r="O2083" s="17"/>
      <c r="P2083" s="17"/>
      <c r="Q2083" s="17"/>
      <c r="R2083" s="17"/>
      <c r="S2083" s="17"/>
      <c r="T2083" s="17"/>
      <c r="U2083" s="17"/>
      <c r="V2083" s="17"/>
      <c r="W2083" s="17"/>
      <c r="X2083" s="17"/>
      <c r="Y2083" s="17"/>
      <c r="Z2083" s="17"/>
      <c r="AA2083" s="17"/>
      <c r="AB2083" s="17"/>
      <c r="AC2083" s="17"/>
      <c r="AD2083" s="17"/>
      <c r="AE2083" s="17"/>
      <c r="AF2083" s="17"/>
      <c r="AG2083" s="17"/>
      <c r="AH2083" s="17"/>
      <c r="AI2083" s="17"/>
      <c r="AJ2083" s="17"/>
      <c r="AK2083" s="17"/>
      <c r="AL2083" s="17"/>
      <c r="AM2083" s="17"/>
      <c r="AN2083" s="17"/>
      <c r="AO2083" s="17"/>
      <c r="AP2083" s="17"/>
      <c r="AQ2083" s="17"/>
      <c r="AR2083" s="17"/>
      <c r="AS2083" s="17"/>
      <c r="AT2083" s="17"/>
      <c r="AU2083" s="17"/>
      <c r="AV2083" s="17"/>
      <c r="AW2083" s="17"/>
      <c r="AX2083" s="17"/>
      <c r="AY2083" s="17"/>
      <c r="AZ2083" s="17"/>
      <c r="BA2083" s="17"/>
      <c r="BB2083" s="17"/>
      <c r="BC2083" s="17"/>
      <c r="BD2083" s="17"/>
      <c r="BE2083" s="17"/>
      <c r="BF2083" s="17"/>
      <c r="BG2083" s="17"/>
      <c r="BH2083" s="17"/>
      <c r="BI2083" s="17"/>
      <c r="BJ2083" s="17"/>
      <c r="BK2083" s="17"/>
      <c r="BL2083" s="17"/>
    </row>
    <row r="2084">
      <c r="A2084" s="17"/>
      <c r="B2084" s="17"/>
      <c r="C2084" s="17"/>
      <c r="D2084" s="17"/>
      <c r="E2084" s="17"/>
      <c r="F2084" s="17"/>
      <c r="G2084" s="17"/>
      <c r="H2084" s="356"/>
      <c r="I2084" s="17"/>
      <c r="J2084" s="17"/>
      <c r="K2084" s="17"/>
      <c r="L2084" s="17"/>
      <c r="M2084" s="17"/>
      <c r="N2084" s="17"/>
      <c r="O2084" s="17"/>
      <c r="P2084" s="17"/>
      <c r="Q2084" s="17"/>
      <c r="R2084" s="17"/>
      <c r="S2084" s="17"/>
      <c r="T2084" s="17"/>
      <c r="U2084" s="17"/>
      <c r="V2084" s="17"/>
      <c r="W2084" s="17"/>
      <c r="X2084" s="17"/>
      <c r="Y2084" s="17"/>
      <c r="Z2084" s="17"/>
      <c r="AA2084" s="17"/>
      <c r="AB2084" s="17"/>
      <c r="AC2084" s="17"/>
      <c r="AD2084" s="17"/>
      <c r="AE2084" s="17"/>
      <c r="AF2084" s="17"/>
      <c r="AG2084" s="17"/>
      <c r="AH2084" s="17"/>
      <c r="AI2084" s="17"/>
      <c r="AJ2084" s="17"/>
      <c r="AK2084" s="17"/>
      <c r="AL2084" s="17"/>
      <c r="AM2084" s="17"/>
      <c r="AN2084" s="17"/>
      <c r="AO2084" s="17"/>
      <c r="AP2084" s="17"/>
      <c r="AQ2084" s="17"/>
      <c r="AR2084" s="17"/>
      <c r="AS2084" s="17"/>
      <c r="AT2084" s="17"/>
      <c r="AU2084" s="17"/>
      <c r="AV2084" s="17"/>
      <c r="AW2084" s="17"/>
      <c r="AX2084" s="17"/>
      <c r="AY2084" s="17"/>
      <c r="AZ2084" s="17"/>
      <c r="BA2084" s="17"/>
      <c r="BB2084" s="17"/>
      <c r="BC2084" s="17"/>
      <c r="BD2084" s="17"/>
      <c r="BE2084" s="17"/>
      <c r="BF2084" s="17"/>
      <c r="BG2084" s="17"/>
      <c r="BH2084" s="17"/>
      <c r="BI2084" s="17"/>
      <c r="BJ2084" s="17"/>
      <c r="BK2084" s="17"/>
      <c r="BL2084" s="17"/>
    </row>
    <row r="2085">
      <c r="A2085" s="17"/>
      <c r="B2085" s="17"/>
      <c r="C2085" s="17"/>
      <c r="D2085" s="17"/>
      <c r="E2085" s="17"/>
      <c r="F2085" s="17"/>
      <c r="G2085" s="17"/>
      <c r="H2085" s="356"/>
      <c r="I2085" s="17"/>
      <c r="J2085" s="17"/>
      <c r="K2085" s="17"/>
      <c r="L2085" s="17"/>
      <c r="M2085" s="17"/>
      <c r="N2085" s="17"/>
      <c r="O2085" s="17"/>
      <c r="P2085" s="17"/>
      <c r="Q2085" s="17"/>
      <c r="R2085" s="17"/>
      <c r="S2085" s="17"/>
      <c r="T2085" s="17"/>
      <c r="U2085" s="17"/>
      <c r="V2085" s="17"/>
      <c r="W2085" s="17"/>
      <c r="X2085" s="17"/>
      <c r="Y2085" s="17"/>
      <c r="Z2085" s="17"/>
      <c r="AA2085" s="17"/>
      <c r="AB2085" s="17"/>
      <c r="AC2085" s="17"/>
      <c r="AD2085" s="17"/>
      <c r="AE2085" s="17"/>
      <c r="AF2085" s="17"/>
      <c r="AG2085" s="17"/>
      <c r="AH2085" s="17"/>
      <c r="AI2085" s="17"/>
      <c r="AJ2085" s="17"/>
      <c r="AK2085" s="17"/>
      <c r="AL2085" s="17"/>
      <c r="AM2085" s="17"/>
      <c r="AN2085" s="17"/>
      <c r="AO2085" s="17"/>
      <c r="AP2085" s="17"/>
      <c r="AQ2085" s="17"/>
      <c r="AR2085" s="17"/>
      <c r="AS2085" s="17"/>
      <c r="AT2085" s="17"/>
      <c r="AU2085" s="17"/>
      <c r="AV2085" s="17"/>
      <c r="AW2085" s="17"/>
      <c r="AX2085" s="17"/>
      <c r="AY2085" s="17"/>
      <c r="AZ2085" s="17"/>
      <c r="BA2085" s="17"/>
      <c r="BB2085" s="17"/>
      <c r="BC2085" s="17"/>
      <c r="BD2085" s="17"/>
      <c r="BE2085" s="17"/>
      <c r="BF2085" s="17"/>
      <c r="BG2085" s="17"/>
      <c r="BH2085" s="17"/>
      <c r="BI2085" s="17"/>
      <c r="BJ2085" s="17"/>
      <c r="BK2085" s="17"/>
      <c r="BL2085" s="17"/>
    </row>
    <row r="2086">
      <c r="A2086" s="17"/>
      <c r="B2086" s="17"/>
      <c r="C2086" s="17"/>
      <c r="D2086" s="17"/>
      <c r="E2086" s="17"/>
      <c r="F2086" s="17"/>
      <c r="G2086" s="17"/>
      <c r="H2086" s="356"/>
      <c r="I2086" s="17"/>
      <c r="J2086" s="17"/>
      <c r="K2086" s="17"/>
      <c r="L2086" s="17"/>
      <c r="M2086" s="17"/>
      <c r="N2086" s="17"/>
      <c r="O2086" s="17"/>
      <c r="P2086" s="17"/>
      <c r="Q2086" s="17"/>
      <c r="R2086" s="17"/>
      <c r="S2086" s="17"/>
      <c r="T2086" s="17"/>
      <c r="U2086" s="17"/>
      <c r="V2086" s="17"/>
      <c r="W2086" s="17"/>
      <c r="X2086" s="17"/>
      <c r="Y2086" s="17"/>
      <c r="Z2086" s="17"/>
      <c r="AA2086" s="17"/>
      <c r="AB2086" s="17"/>
      <c r="AC2086" s="17"/>
      <c r="AD2086" s="17"/>
      <c r="AE2086" s="17"/>
      <c r="AF2086" s="17"/>
      <c r="AG2086" s="17"/>
      <c r="AH2086" s="17"/>
      <c r="AI2086" s="17"/>
      <c r="AJ2086" s="17"/>
      <c r="AK2086" s="17"/>
      <c r="AL2086" s="17"/>
      <c r="AM2086" s="17"/>
      <c r="AN2086" s="17"/>
      <c r="AO2086" s="17"/>
      <c r="AP2086" s="17"/>
      <c r="AQ2086" s="17"/>
      <c r="AR2086" s="17"/>
      <c r="AS2086" s="17"/>
      <c r="AT2086" s="17"/>
      <c r="AU2086" s="17"/>
      <c r="AV2086" s="17"/>
      <c r="AW2086" s="17"/>
      <c r="AX2086" s="17"/>
      <c r="AY2086" s="17"/>
      <c r="AZ2086" s="17"/>
      <c r="BA2086" s="17"/>
      <c r="BB2086" s="17"/>
      <c r="BC2086" s="17"/>
      <c r="BD2086" s="17"/>
      <c r="BE2086" s="17"/>
      <c r="BF2086" s="17"/>
      <c r="BG2086" s="17"/>
      <c r="BH2086" s="17"/>
      <c r="BI2086" s="17"/>
      <c r="BJ2086" s="17"/>
      <c r="BK2086" s="17"/>
      <c r="BL2086" s="17"/>
    </row>
    <row r="2087">
      <c r="A2087" s="17"/>
      <c r="B2087" s="17"/>
      <c r="C2087" s="17"/>
      <c r="D2087" s="17"/>
      <c r="E2087" s="17"/>
      <c r="F2087" s="17"/>
      <c r="G2087" s="17"/>
      <c r="H2087" s="356"/>
      <c r="I2087" s="17"/>
      <c r="J2087" s="17"/>
      <c r="K2087" s="17"/>
      <c r="L2087" s="17"/>
      <c r="M2087" s="17"/>
      <c r="N2087" s="17"/>
      <c r="O2087" s="17"/>
      <c r="P2087" s="17"/>
      <c r="Q2087" s="17"/>
      <c r="R2087" s="17"/>
      <c r="S2087" s="17"/>
      <c r="T2087" s="17"/>
      <c r="U2087" s="17"/>
      <c r="V2087" s="17"/>
      <c r="W2087" s="17"/>
      <c r="X2087" s="17"/>
      <c r="Y2087" s="17"/>
      <c r="Z2087" s="17"/>
      <c r="AA2087" s="17"/>
      <c r="AB2087" s="17"/>
      <c r="AC2087" s="17"/>
      <c r="AD2087" s="17"/>
      <c r="AE2087" s="17"/>
      <c r="AF2087" s="17"/>
      <c r="AG2087" s="17"/>
      <c r="AH2087" s="17"/>
      <c r="AI2087" s="17"/>
      <c r="AJ2087" s="17"/>
      <c r="AK2087" s="17"/>
      <c r="AL2087" s="17"/>
      <c r="AM2087" s="17"/>
      <c r="AN2087" s="17"/>
      <c r="AO2087" s="17"/>
      <c r="AP2087" s="17"/>
      <c r="AQ2087" s="17"/>
      <c r="AR2087" s="17"/>
      <c r="AS2087" s="17"/>
      <c r="AT2087" s="17"/>
      <c r="AU2087" s="17"/>
      <c r="AV2087" s="17"/>
      <c r="AW2087" s="17"/>
      <c r="AX2087" s="17"/>
      <c r="AY2087" s="17"/>
      <c r="AZ2087" s="17"/>
      <c r="BA2087" s="17"/>
      <c r="BB2087" s="17"/>
      <c r="BC2087" s="17"/>
      <c r="BD2087" s="17"/>
      <c r="BE2087" s="17"/>
      <c r="BF2087" s="17"/>
      <c r="BG2087" s="17"/>
      <c r="BH2087" s="17"/>
      <c r="BI2087" s="17"/>
      <c r="BJ2087" s="17"/>
      <c r="BK2087" s="17"/>
      <c r="BL2087" s="17"/>
    </row>
    <row r="2088">
      <c r="A2088" s="17"/>
      <c r="B2088" s="17"/>
      <c r="C2088" s="17"/>
      <c r="D2088" s="17"/>
      <c r="E2088" s="17"/>
      <c r="F2088" s="17"/>
      <c r="G2088" s="17"/>
      <c r="H2088" s="356"/>
      <c r="I2088" s="17"/>
      <c r="J2088" s="17"/>
      <c r="K2088" s="17"/>
      <c r="L2088" s="17"/>
      <c r="M2088" s="17"/>
      <c r="N2088" s="17"/>
      <c r="O2088" s="17"/>
      <c r="P2088" s="17"/>
      <c r="Q2088" s="17"/>
      <c r="R2088" s="17"/>
      <c r="S2088" s="17"/>
      <c r="T2088" s="17"/>
      <c r="U2088" s="17"/>
      <c r="V2088" s="17"/>
      <c r="W2088" s="17"/>
      <c r="X2088" s="17"/>
      <c r="Y2088" s="17"/>
      <c r="Z2088" s="17"/>
      <c r="AA2088" s="17"/>
      <c r="AB2088" s="17"/>
      <c r="AC2088" s="17"/>
      <c r="AD2088" s="17"/>
      <c r="AE2088" s="17"/>
      <c r="AF2088" s="17"/>
      <c r="AG2088" s="17"/>
      <c r="AH2088" s="17"/>
      <c r="AI2088" s="17"/>
      <c r="AJ2088" s="17"/>
      <c r="AK2088" s="17"/>
      <c r="AL2088" s="17"/>
      <c r="AM2088" s="17"/>
      <c r="AN2088" s="17"/>
      <c r="AO2088" s="17"/>
      <c r="AP2088" s="17"/>
      <c r="AQ2088" s="17"/>
      <c r="AR2088" s="17"/>
      <c r="AS2088" s="17"/>
      <c r="AT2088" s="17"/>
      <c r="AU2088" s="17"/>
      <c r="AV2088" s="17"/>
      <c r="AW2088" s="17"/>
      <c r="AX2088" s="17"/>
      <c r="AY2088" s="17"/>
      <c r="AZ2088" s="17"/>
      <c r="BA2088" s="17"/>
      <c r="BB2088" s="17"/>
      <c r="BC2088" s="17"/>
      <c r="BD2088" s="17"/>
      <c r="BE2088" s="17"/>
      <c r="BF2088" s="17"/>
      <c r="BG2088" s="17"/>
      <c r="BH2088" s="17"/>
      <c r="BI2088" s="17"/>
      <c r="BJ2088" s="17"/>
      <c r="BK2088" s="17"/>
      <c r="BL2088" s="17"/>
    </row>
    <row r="2089">
      <c r="A2089" s="17"/>
      <c r="B2089" s="17"/>
      <c r="C2089" s="17"/>
      <c r="D2089" s="17"/>
      <c r="E2089" s="17"/>
      <c r="F2089" s="17"/>
      <c r="G2089" s="17"/>
      <c r="H2089" s="356"/>
      <c r="I2089" s="17"/>
      <c r="J2089" s="17"/>
      <c r="K2089" s="17"/>
      <c r="L2089" s="17"/>
      <c r="M2089" s="17"/>
      <c r="N2089" s="17"/>
      <c r="O2089" s="17"/>
      <c r="P2089" s="17"/>
      <c r="Q2089" s="17"/>
      <c r="R2089" s="17"/>
      <c r="S2089" s="17"/>
      <c r="T2089" s="17"/>
      <c r="U2089" s="17"/>
      <c r="V2089" s="17"/>
      <c r="W2089" s="17"/>
      <c r="X2089" s="17"/>
      <c r="Y2089" s="17"/>
      <c r="Z2089" s="17"/>
      <c r="AA2089" s="17"/>
      <c r="AB2089" s="17"/>
      <c r="AC2089" s="17"/>
      <c r="AD2089" s="17"/>
      <c r="AE2089" s="17"/>
      <c r="AF2089" s="17"/>
      <c r="AG2089" s="17"/>
      <c r="AH2089" s="17"/>
      <c r="AI2089" s="17"/>
      <c r="AJ2089" s="17"/>
      <c r="AK2089" s="17"/>
      <c r="AL2089" s="17"/>
      <c r="AM2089" s="17"/>
      <c r="AN2089" s="17"/>
      <c r="AO2089" s="17"/>
      <c r="AP2089" s="17"/>
      <c r="AQ2089" s="17"/>
      <c r="AR2089" s="17"/>
      <c r="AS2089" s="17"/>
      <c r="AT2089" s="17"/>
      <c r="AU2089" s="17"/>
      <c r="AV2089" s="17"/>
      <c r="AW2089" s="17"/>
      <c r="AX2089" s="17"/>
      <c r="AY2089" s="17"/>
      <c r="AZ2089" s="17"/>
      <c r="BA2089" s="17"/>
      <c r="BB2089" s="17"/>
      <c r="BC2089" s="17"/>
      <c r="BD2089" s="17"/>
      <c r="BE2089" s="17"/>
      <c r="BF2089" s="17"/>
      <c r="BG2089" s="17"/>
      <c r="BH2089" s="17"/>
      <c r="BI2089" s="17"/>
      <c r="BJ2089" s="17"/>
      <c r="BK2089" s="17"/>
      <c r="BL2089" s="17"/>
    </row>
    <row r="2090">
      <c r="A2090" s="17"/>
      <c r="B2090" s="17"/>
      <c r="C2090" s="17"/>
      <c r="D2090" s="17"/>
      <c r="E2090" s="17"/>
      <c r="F2090" s="17"/>
      <c r="G2090" s="17"/>
      <c r="H2090" s="356"/>
      <c r="I2090" s="17"/>
      <c r="J2090" s="17"/>
      <c r="K2090" s="17"/>
      <c r="L2090" s="17"/>
      <c r="M2090" s="17"/>
      <c r="N2090" s="17"/>
      <c r="O2090" s="17"/>
      <c r="P2090" s="17"/>
      <c r="Q2090" s="17"/>
      <c r="R2090" s="17"/>
      <c r="S2090" s="17"/>
      <c r="T2090" s="17"/>
      <c r="U2090" s="17"/>
      <c r="V2090" s="17"/>
      <c r="W2090" s="17"/>
      <c r="X2090" s="17"/>
      <c r="Y2090" s="17"/>
      <c r="Z2090" s="17"/>
      <c r="AA2090" s="17"/>
      <c r="AB2090" s="17"/>
      <c r="AC2090" s="17"/>
      <c r="AD2090" s="17"/>
      <c r="AE2090" s="17"/>
      <c r="AF2090" s="17"/>
      <c r="AG2090" s="17"/>
      <c r="AH2090" s="17"/>
      <c r="AI2090" s="17"/>
      <c r="AJ2090" s="17"/>
      <c r="AK2090" s="17"/>
      <c r="AL2090" s="17"/>
      <c r="AM2090" s="17"/>
      <c r="AN2090" s="17"/>
      <c r="AO2090" s="17"/>
      <c r="AP2090" s="17"/>
      <c r="AQ2090" s="17"/>
      <c r="AR2090" s="17"/>
      <c r="AS2090" s="17"/>
      <c r="AT2090" s="17"/>
      <c r="AU2090" s="17"/>
      <c r="AV2090" s="17"/>
      <c r="AW2090" s="17"/>
      <c r="AX2090" s="17"/>
      <c r="AY2090" s="17"/>
      <c r="AZ2090" s="17"/>
      <c r="BA2090" s="17"/>
      <c r="BB2090" s="17"/>
      <c r="BC2090" s="17"/>
      <c r="BD2090" s="17"/>
      <c r="BE2090" s="17"/>
      <c r="BF2090" s="17"/>
      <c r="BG2090" s="17"/>
      <c r="BH2090" s="17"/>
      <c r="BI2090" s="17"/>
      <c r="BJ2090" s="17"/>
      <c r="BK2090" s="17"/>
      <c r="BL2090" s="17"/>
    </row>
    <row r="2091">
      <c r="A2091" s="17"/>
      <c r="B2091" s="17"/>
      <c r="C2091" s="17"/>
      <c r="D2091" s="17"/>
      <c r="E2091" s="17"/>
      <c r="F2091" s="17"/>
      <c r="G2091" s="17"/>
      <c r="H2091" s="356"/>
      <c r="I2091" s="17"/>
      <c r="J2091" s="17"/>
      <c r="K2091" s="17"/>
      <c r="L2091" s="17"/>
      <c r="M2091" s="17"/>
      <c r="N2091" s="17"/>
      <c r="O2091" s="17"/>
      <c r="P2091" s="17"/>
      <c r="Q2091" s="17"/>
      <c r="R2091" s="17"/>
      <c r="S2091" s="17"/>
      <c r="T2091" s="17"/>
      <c r="U2091" s="17"/>
      <c r="V2091" s="17"/>
      <c r="W2091" s="17"/>
      <c r="X2091" s="17"/>
      <c r="Y2091" s="17"/>
      <c r="Z2091" s="17"/>
      <c r="AA2091" s="17"/>
      <c r="AB2091" s="17"/>
      <c r="AC2091" s="17"/>
      <c r="AD2091" s="17"/>
      <c r="AE2091" s="17"/>
      <c r="AF2091" s="17"/>
      <c r="AG2091" s="17"/>
      <c r="AH2091" s="17"/>
      <c r="AI2091" s="17"/>
      <c r="AJ2091" s="17"/>
      <c r="AK2091" s="17"/>
      <c r="AL2091" s="17"/>
      <c r="AM2091" s="17"/>
      <c r="AN2091" s="17"/>
      <c r="AO2091" s="17"/>
      <c r="AP2091" s="17"/>
      <c r="AQ2091" s="17"/>
      <c r="AR2091" s="17"/>
      <c r="AS2091" s="17"/>
      <c r="AT2091" s="17"/>
      <c r="AU2091" s="17"/>
      <c r="AV2091" s="17"/>
      <c r="AW2091" s="17"/>
      <c r="AX2091" s="17"/>
      <c r="AY2091" s="17"/>
      <c r="AZ2091" s="17"/>
      <c r="BA2091" s="17"/>
      <c r="BB2091" s="17"/>
      <c r="BC2091" s="17"/>
      <c r="BD2091" s="17"/>
      <c r="BE2091" s="17"/>
      <c r="BF2091" s="17"/>
      <c r="BG2091" s="17"/>
      <c r="BH2091" s="17"/>
      <c r="BI2091" s="17"/>
      <c r="BJ2091" s="17"/>
      <c r="BK2091" s="17"/>
      <c r="BL2091" s="17"/>
    </row>
    <row r="2092">
      <c r="A2092" s="17"/>
      <c r="B2092" s="17"/>
      <c r="C2092" s="17"/>
      <c r="D2092" s="17"/>
      <c r="E2092" s="17"/>
      <c r="F2092" s="17"/>
      <c r="G2092" s="17"/>
      <c r="H2092" s="356"/>
      <c r="I2092" s="17"/>
      <c r="J2092" s="17"/>
      <c r="K2092" s="17"/>
      <c r="L2092" s="17"/>
      <c r="M2092" s="17"/>
      <c r="N2092" s="17"/>
      <c r="O2092" s="17"/>
      <c r="P2092" s="17"/>
      <c r="Q2092" s="17"/>
      <c r="R2092" s="17"/>
      <c r="S2092" s="17"/>
      <c r="T2092" s="17"/>
      <c r="U2092" s="17"/>
      <c r="V2092" s="17"/>
      <c r="W2092" s="17"/>
      <c r="X2092" s="17"/>
      <c r="Y2092" s="17"/>
      <c r="Z2092" s="17"/>
      <c r="AA2092" s="17"/>
      <c r="AB2092" s="17"/>
      <c r="AC2092" s="17"/>
      <c r="AD2092" s="17"/>
      <c r="AE2092" s="17"/>
      <c r="AF2092" s="17"/>
      <c r="AG2092" s="17"/>
      <c r="AH2092" s="17"/>
      <c r="AI2092" s="17"/>
      <c r="AJ2092" s="17"/>
      <c r="AK2092" s="17"/>
      <c r="AL2092" s="17"/>
      <c r="AM2092" s="17"/>
      <c r="AN2092" s="17"/>
      <c r="AO2092" s="17"/>
      <c r="AP2092" s="17"/>
      <c r="AQ2092" s="17"/>
      <c r="AR2092" s="17"/>
      <c r="AS2092" s="17"/>
      <c r="AT2092" s="17"/>
      <c r="AU2092" s="17"/>
      <c r="AV2092" s="17"/>
      <c r="AW2092" s="17"/>
      <c r="AX2092" s="17"/>
      <c r="AY2092" s="17"/>
      <c r="AZ2092" s="17"/>
      <c r="BA2092" s="17"/>
      <c r="BB2092" s="17"/>
      <c r="BC2092" s="17"/>
      <c r="BD2092" s="17"/>
      <c r="BE2092" s="17"/>
      <c r="BF2092" s="17"/>
      <c r="BG2092" s="17"/>
      <c r="BH2092" s="17"/>
      <c r="BI2092" s="17"/>
      <c r="BJ2092" s="17"/>
      <c r="BK2092" s="17"/>
      <c r="BL2092" s="17"/>
    </row>
    <row r="2093">
      <c r="A2093" s="17"/>
      <c r="B2093" s="17"/>
      <c r="C2093" s="17"/>
      <c r="D2093" s="17"/>
      <c r="E2093" s="17"/>
      <c r="F2093" s="17"/>
      <c r="G2093" s="17"/>
      <c r="H2093" s="356"/>
      <c r="I2093" s="17"/>
      <c r="J2093" s="17"/>
      <c r="K2093" s="17"/>
      <c r="L2093" s="17"/>
      <c r="M2093" s="17"/>
      <c r="N2093" s="17"/>
      <c r="O2093" s="17"/>
      <c r="P2093" s="17"/>
      <c r="Q2093" s="17"/>
      <c r="R2093" s="17"/>
      <c r="S2093" s="17"/>
      <c r="T2093" s="17"/>
      <c r="U2093" s="17"/>
      <c r="V2093" s="17"/>
      <c r="W2093" s="17"/>
      <c r="X2093" s="17"/>
      <c r="Y2093" s="17"/>
      <c r="Z2093" s="17"/>
      <c r="AA2093" s="17"/>
      <c r="AB2093" s="17"/>
      <c r="AC2093" s="17"/>
      <c r="AD2093" s="17"/>
      <c r="AE2093" s="17"/>
      <c r="AF2093" s="17"/>
      <c r="AG2093" s="17"/>
      <c r="AH2093" s="17"/>
      <c r="AI2093" s="17"/>
      <c r="AJ2093" s="17"/>
      <c r="AK2093" s="17"/>
      <c r="AL2093" s="17"/>
      <c r="AM2093" s="17"/>
      <c r="AN2093" s="17"/>
      <c r="AO2093" s="17"/>
      <c r="AP2093" s="17"/>
      <c r="AQ2093" s="17"/>
      <c r="AR2093" s="17"/>
      <c r="AS2093" s="17"/>
      <c r="AT2093" s="17"/>
      <c r="AU2093" s="17"/>
      <c r="AV2093" s="17"/>
      <c r="AW2093" s="17"/>
      <c r="AX2093" s="17"/>
      <c r="AY2093" s="17"/>
      <c r="AZ2093" s="17"/>
      <c r="BA2093" s="17"/>
      <c r="BB2093" s="17"/>
      <c r="BC2093" s="17"/>
      <c r="BD2093" s="17"/>
      <c r="BE2093" s="17"/>
      <c r="BF2093" s="17"/>
      <c r="BG2093" s="17"/>
      <c r="BH2093" s="17"/>
      <c r="BI2093" s="17"/>
      <c r="BJ2093" s="17"/>
      <c r="BK2093" s="17"/>
      <c r="BL2093" s="17"/>
    </row>
    <row r="2094">
      <c r="A2094" s="17"/>
      <c r="B2094" s="17"/>
      <c r="C2094" s="17"/>
      <c r="D2094" s="17"/>
      <c r="E2094" s="17"/>
      <c r="F2094" s="17"/>
      <c r="G2094" s="17"/>
      <c r="H2094" s="356"/>
      <c r="I2094" s="17"/>
      <c r="J2094" s="17"/>
      <c r="K2094" s="17"/>
      <c r="L2094" s="17"/>
      <c r="M2094" s="17"/>
      <c r="N2094" s="17"/>
      <c r="O2094" s="17"/>
      <c r="P2094" s="17"/>
      <c r="Q2094" s="17"/>
      <c r="R2094" s="17"/>
      <c r="S2094" s="17"/>
      <c r="T2094" s="17"/>
      <c r="U2094" s="17"/>
      <c r="V2094" s="17"/>
      <c r="W2094" s="17"/>
      <c r="X2094" s="17"/>
      <c r="Y2094" s="17"/>
      <c r="Z2094" s="17"/>
      <c r="AA2094" s="17"/>
      <c r="AB2094" s="17"/>
      <c r="AC2094" s="17"/>
      <c r="AD2094" s="17"/>
      <c r="AE2094" s="17"/>
      <c r="AF2094" s="17"/>
      <c r="AG2094" s="17"/>
      <c r="AH2094" s="17"/>
      <c r="AI2094" s="17"/>
      <c r="AJ2094" s="17"/>
      <c r="AK2094" s="17"/>
      <c r="AL2094" s="17"/>
      <c r="AM2094" s="17"/>
      <c r="AN2094" s="17"/>
      <c r="AO2094" s="17"/>
      <c r="AP2094" s="17"/>
      <c r="AQ2094" s="17"/>
      <c r="AR2094" s="17"/>
      <c r="AS2094" s="17"/>
      <c r="AT2094" s="17"/>
      <c r="AU2094" s="17"/>
      <c r="AV2094" s="17"/>
      <c r="AW2094" s="17"/>
      <c r="AX2094" s="17"/>
      <c r="AY2094" s="17"/>
      <c r="AZ2094" s="17"/>
      <c r="BA2094" s="17"/>
      <c r="BB2094" s="17"/>
      <c r="BC2094" s="17"/>
      <c r="BD2094" s="17"/>
      <c r="BE2094" s="17"/>
      <c r="BF2094" s="17"/>
      <c r="BG2094" s="17"/>
      <c r="BH2094" s="17"/>
      <c r="BI2094" s="17"/>
      <c r="BJ2094" s="17"/>
      <c r="BK2094" s="17"/>
      <c r="BL2094" s="17"/>
    </row>
    <row r="2095">
      <c r="A2095" s="17"/>
      <c r="B2095" s="17"/>
      <c r="C2095" s="17"/>
      <c r="D2095" s="17"/>
      <c r="E2095" s="17"/>
      <c r="F2095" s="17"/>
      <c r="G2095" s="17"/>
      <c r="H2095" s="356"/>
      <c r="I2095" s="17"/>
      <c r="J2095" s="17"/>
      <c r="K2095" s="17"/>
      <c r="L2095" s="17"/>
      <c r="M2095" s="17"/>
      <c r="N2095" s="17"/>
      <c r="O2095" s="17"/>
      <c r="P2095" s="17"/>
      <c r="Q2095" s="17"/>
      <c r="R2095" s="17"/>
      <c r="S2095" s="17"/>
      <c r="T2095" s="17"/>
      <c r="U2095" s="17"/>
      <c r="V2095" s="17"/>
      <c r="W2095" s="17"/>
      <c r="X2095" s="17"/>
      <c r="Y2095" s="17"/>
      <c r="Z2095" s="17"/>
      <c r="AA2095" s="17"/>
      <c r="AB2095" s="17"/>
      <c r="AC2095" s="17"/>
      <c r="AD2095" s="17"/>
      <c r="AE2095" s="17"/>
      <c r="AF2095" s="17"/>
      <c r="AG2095" s="17"/>
      <c r="AH2095" s="17"/>
      <c r="AI2095" s="17"/>
      <c r="AJ2095" s="17"/>
      <c r="AK2095" s="17"/>
      <c r="AL2095" s="17"/>
      <c r="AM2095" s="17"/>
      <c r="AN2095" s="17"/>
      <c r="AO2095" s="17"/>
      <c r="AP2095" s="17"/>
      <c r="AQ2095" s="17"/>
      <c r="AR2095" s="17"/>
      <c r="AS2095" s="17"/>
      <c r="AT2095" s="17"/>
      <c r="AU2095" s="17"/>
      <c r="AV2095" s="17"/>
      <c r="AW2095" s="17"/>
      <c r="AX2095" s="17"/>
      <c r="AY2095" s="17"/>
      <c r="AZ2095" s="17"/>
      <c r="BA2095" s="17"/>
      <c r="BB2095" s="17"/>
      <c r="BC2095" s="17"/>
      <c r="BD2095" s="17"/>
      <c r="BE2095" s="17"/>
      <c r="BF2095" s="17"/>
      <c r="BG2095" s="17"/>
      <c r="BH2095" s="17"/>
      <c r="BI2095" s="17"/>
      <c r="BJ2095" s="17"/>
      <c r="BK2095" s="17"/>
      <c r="BL2095" s="17"/>
    </row>
    <row r="2096">
      <c r="A2096" s="17"/>
      <c r="B2096" s="17"/>
      <c r="C2096" s="17"/>
      <c r="D2096" s="17"/>
      <c r="E2096" s="17"/>
      <c r="F2096" s="17"/>
      <c r="G2096" s="17"/>
      <c r="H2096" s="356"/>
      <c r="I2096" s="17"/>
      <c r="J2096" s="17"/>
      <c r="K2096" s="17"/>
      <c r="L2096" s="17"/>
      <c r="M2096" s="17"/>
      <c r="N2096" s="17"/>
      <c r="O2096" s="17"/>
      <c r="P2096" s="17"/>
      <c r="Q2096" s="17"/>
      <c r="R2096" s="17"/>
      <c r="S2096" s="17"/>
      <c r="T2096" s="17"/>
      <c r="U2096" s="17"/>
      <c r="V2096" s="17"/>
      <c r="W2096" s="17"/>
      <c r="X2096" s="17"/>
      <c r="Y2096" s="17"/>
      <c r="Z2096" s="17"/>
      <c r="AA2096" s="17"/>
      <c r="AB2096" s="17"/>
      <c r="AC2096" s="17"/>
      <c r="AD2096" s="17"/>
      <c r="AE2096" s="17"/>
      <c r="AF2096" s="17"/>
      <c r="AG2096" s="17"/>
      <c r="AH2096" s="17"/>
      <c r="AI2096" s="17"/>
      <c r="AJ2096" s="17"/>
      <c r="AK2096" s="17"/>
      <c r="AL2096" s="17"/>
      <c r="AM2096" s="17"/>
      <c r="AN2096" s="17"/>
      <c r="AO2096" s="17"/>
      <c r="AP2096" s="17"/>
      <c r="AQ2096" s="17"/>
      <c r="AR2096" s="17"/>
      <c r="AS2096" s="17"/>
      <c r="AT2096" s="17"/>
      <c r="AU2096" s="17"/>
      <c r="AV2096" s="17"/>
      <c r="AW2096" s="17"/>
      <c r="AX2096" s="17"/>
      <c r="AY2096" s="17"/>
      <c r="AZ2096" s="17"/>
      <c r="BA2096" s="17"/>
      <c r="BB2096" s="17"/>
      <c r="BC2096" s="17"/>
      <c r="BD2096" s="17"/>
      <c r="BE2096" s="17"/>
      <c r="BF2096" s="17"/>
      <c r="BG2096" s="17"/>
      <c r="BH2096" s="17"/>
      <c r="BI2096" s="17"/>
      <c r="BJ2096" s="17"/>
      <c r="BK2096" s="17"/>
      <c r="BL2096" s="17"/>
    </row>
    <row r="2097">
      <c r="A2097" s="17"/>
      <c r="B2097" s="17"/>
      <c r="C2097" s="17"/>
      <c r="D2097" s="17"/>
      <c r="E2097" s="17"/>
      <c r="F2097" s="17"/>
      <c r="G2097" s="17"/>
      <c r="H2097" s="356"/>
      <c r="I2097" s="17"/>
      <c r="J2097" s="17"/>
      <c r="K2097" s="17"/>
      <c r="L2097" s="17"/>
      <c r="M2097" s="17"/>
      <c r="N2097" s="17"/>
      <c r="O2097" s="17"/>
      <c r="P2097" s="17"/>
      <c r="Q2097" s="17"/>
      <c r="R2097" s="17"/>
      <c r="S2097" s="17"/>
      <c r="T2097" s="17"/>
      <c r="U2097" s="17"/>
      <c r="V2097" s="17"/>
      <c r="W2097" s="17"/>
      <c r="X2097" s="17"/>
      <c r="Y2097" s="17"/>
      <c r="Z2097" s="17"/>
      <c r="AA2097" s="17"/>
      <c r="AB2097" s="17"/>
      <c r="AC2097" s="17"/>
      <c r="AD2097" s="17"/>
      <c r="AE2097" s="17"/>
      <c r="AF2097" s="17"/>
      <c r="AG2097" s="17"/>
      <c r="AH2097" s="17"/>
      <c r="AI2097" s="17"/>
      <c r="AJ2097" s="17"/>
      <c r="AK2097" s="17"/>
      <c r="AL2097" s="17"/>
      <c r="AM2097" s="17"/>
      <c r="AN2097" s="17"/>
      <c r="AO2097" s="17"/>
      <c r="AP2097" s="17"/>
      <c r="AQ2097" s="17"/>
      <c r="AR2097" s="17"/>
      <c r="AS2097" s="17"/>
      <c r="AT2097" s="17"/>
      <c r="AU2097" s="17"/>
      <c r="AV2097" s="17"/>
      <c r="AW2097" s="17"/>
      <c r="AX2097" s="17"/>
      <c r="AY2097" s="17"/>
      <c r="AZ2097" s="17"/>
      <c r="BA2097" s="17"/>
      <c r="BB2097" s="17"/>
      <c r="BC2097" s="17"/>
      <c r="BD2097" s="17"/>
      <c r="BE2097" s="17"/>
      <c r="BF2097" s="17"/>
      <c r="BG2097" s="17"/>
      <c r="BH2097" s="17"/>
      <c r="BI2097" s="17"/>
      <c r="BJ2097" s="17"/>
      <c r="BK2097" s="17"/>
      <c r="BL2097" s="17"/>
    </row>
    <row r="2098">
      <c r="A2098" s="17"/>
      <c r="B2098" s="17"/>
      <c r="C2098" s="17"/>
      <c r="D2098" s="17"/>
      <c r="E2098" s="17"/>
      <c r="F2098" s="17"/>
      <c r="G2098" s="17"/>
      <c r="H2098" s="356"/>
      <c r="I2098" s="17"/>
      <c r="J2098" s="17"/>
      <c r="K2098" s="17"/>
      <c r="L2098" s="17"/>
      <c r="M2098" s="17"/>
      <c r="N2098" s="17"/>
      <c r="O2098" s="17"/>
      <c r="P2098" s="17"/>
      <c r="Q2098" s="17"/>
      <c r="R2098" s="17"/>
      <c r="S2098" s="17"/>
      <c r="T2098" s="17"/>
      <c r="U2098" s="17"/>
      <c r="V2098" s="17"/>
      <c r="W2098" s="17"/>
      <c r="X2098" s="17"/>
      <c r="Y2098" s="17"/>
      <c r="Z2098" s="17"/>
      <c r="AA2098" s="17"/>
      <c r="AB2098" s="17"/>
      <c r="AC2098" s="17"/>
      <c r="AD2098" s="17"/>
      <c r="AE2098" s="17"/>
      <c r="AF2098" s="17"/>
      <c r="AG2098" s="17"/>
      <c r="AH2098" s="17"/>
      <c r="AI2098" s="17"/>
      <c r="AJ2098" s="17"/>
      <c r="AK2098" s="17"/>
      <c r="AL2098" s="17"/>
      <c r="AM2098" s="17"/>
      <c r="AN2098" s="17"/>
      <c r="AO2098" s="17"/>
      <c r="AP2098" s="17"/>
      <c r="AQ2098" s="17"/>
      <c r="AR2098" s="17"/>
      <c r="AS2098" s="17"/>
      <c r="AT2098" s="17"/>
      <c r="AU2098" s="17"/>
      <c r="AV2098" s="17"/>
      <c r="AW2098" s="17"/>
      <c r="AX2098" s="17"/>
      <c r="AY2098" s="17"/>
      <c r="AZ2098" s="17"/>
      <c r="BA2098" s="17"/>
      <c r="BB2098" s="17"/>
      <c r="BC2098" s="17"/>
      <c r="BD2098" s="17"/>
      <c r="BE2098" s="17"/>
      <c r="BF2098" s="17"/>
      <c r="BG2098" s="17"/>
      <c r="BH2098" s="17"/>
      <c r="BI2098" s="17"/>
      <c r="BJ2098" s="17"/>
      <c r="BK2098" s="17"/>
      <c r="BL2098" s="17"/>
    </row>
    <row r="2099">
      <c r="A2099" s="17"/>
      <c r="B2099" s="17"/>
      <c r="C2099" s="17"/>
      <c r="D2099" s="17"/>
      <c r="E2099" s="17"/>
      <c r="F2099" s="17"/>
      <c r="G2099" s="17"/>
      <c r="H2099" s="356"/>
      <c r="I2099" s="17"/>
      <c r="J2099" s="17"/>
      <c r="K2099" s="17"/>
      <c r="L2099" s="17"/>
      <c r="M2099" s="17"/>
      <c r="N2099" s="17"/>
      <c r="O2099" s="17"/>
      <c r="P2099" s="17"/>
      <c r="Q2099" s="17"/>
      <c r="R2099" s="17"/>
      <c r="S2099" s="17"/>
      <c r="T2099" s="17"/>
      <c r="U2099" s="17"/>
      <c r="V2099" s="17"/>
      <c r="W2099" s="17"/>
      <c r="X2099" s="17"/>
      <c r="Y2099" s="17"/>
      <c r="Z2099" s="17"/>
      <c r="AA2099" s="17"/>
      <c r="AB2099" s="17"/>
      <c r="AC2099" s="17"/>
      <c r="AD2099" s="17"/>
      <c r="AE2099" s="17"/>
      <c r="AF2099" s="17"/>
      <c r="AG2099" s="17"/>
      <c r="AH2099" s="17"/>
      <c r="AI2099" s="17"/>
      <c r="AJ2099" s="17"/>
      <c r="AK2099" s="17"/>
      <c r="AL2099" s="17"/>
      <c r="AM2099" s="17"/>
      <c r="AN2099" s="17"/>
      <c r="AO2099" s="17"/>
      <c r="AP2099" s="17"/>
      <c r="AQ2099" s="17"/>
      <c r="AR2099" s="17"/>
      <c r="AS2099" s="17"/>
      <c r="AT2099" s="17"/>
      <c r="AU2099" s="17"/>
      <c r="AV2099" s="17"/>
      <c r="AW2099" s="17"/>
      <c r="AX2099" s="17"/>
      <c r="AY2099" s="17"/>
      <c r="AZ2099" s="17"/>
      <c r="BA2099" s="17"/>
      <c r="BB2099" s="17"/>
      <c r="BC2099" s="17"/>
      <c r="BD2099" s="17"/>
      <c r="BE2099" s="17"/>
      <c r="BF2099" s="17"/>
      <c r="BG2099" s="17"/>
      <c r="BH2099" s="17"/>
      <c r="BI2099" s="17"/>
      <c r="BJ2099" s="17"/>
      <c r="BK2099" s="17"/>
      <c r="BL2099" s="17"/>
    </row>
    <row r="2100">
      <c r="A2100" s="17"/>
      <c r="B2100" s="17"/>
      <c r="C2100" s="17"/>
      <c r="D2100" s="17"/>
      <c r="E2100" s="17"/>
      <c r="F2100" s="17"/>
      <c r="G2100" s="17"/>
      <c r="H2100" s="356"/>
      <c r="I2100" s="17"/>
      <c r="J2100" s="17"/>
      <c r="K2100" s="17"/>
      <c r="L2100" s="17"/>
      <c r="M2100" s="17"/>
      <c r="N2100" s="17"/>
      <c r="O2100" s="17"/>
      <c r="P2100" s="17"/>
      <c r="Q2100" s="17"/>
      <c r="R2100" s="17"/>
      <c r="S2100" s="17"/>
      <c r="T2100" s="17"/>
      <c r="U2100" s="17"/>
      <c r="V2100" s="17"/>
      <c r="W2100" s="17"/>
      <c r="X2100" s="17"/>
      <c r="Y2100" s="17"/>
      <c r="Z2100" s="17"/>
      <c r="AA2100" s="17"/>
      <c r="AB2100" s="17"/>
      <c r="AC2100" s="17"/>
      <c r="AD2100" s="17"/>
      <c r="AE2100" s="17"/>
      <c r="AF2100" s="17"/>
      <c r="AG2100" s="17"/>
      <c r="AH2100" s="17"/>
      <c r="AI2100" s="17"/>
      <c r="AJ2100" s="17"/>
      <c r="AK2100" s="17"/>
      <c r="AL2100" s="17"/>
      <c r="AM2100" s="17"/>
      <c r="AN2100" s="17"/>
      <c r="AO2100" s="17"/>
      <c r="AP2100" s="17"/>
      <c r="AQ2100" s="17"/>
      <c r="AR2100" s="17"/>
      <c r="AS2100" s="17"/>
      <c r="AT2100" s="17"/>
      <c r="AU2100" s="17"/>
      <c r="AV2100" s="17"/>
      <c r="AW2100" s="17"/>
      <c r="AX2100" s="17"/>
      <c r="AY2100" s="17"/>
      <c r="AZ2100" s="17"/>
      <c r="BA2100" s="17"/>
      <c r="BB2100" s="17"/>
      <c r="BC2100" s="17"/>
      <c r="BD2100" s="17"/>
      <c r="BE2100" s="17"/>
      <c r="BF2100" s="17"/>
      <c r="BG2100" s="17"/>
      <c r="BH2100" s="17"/>
      <c r="BI2100" s="17"/>
      <c r="BJ2100" s="17"/>
      <c r="BK2100" s="17"/>
      <c r="BL2100" s="17"/>
    </row>
    <row r="2101">
      <c r="A2101" s="17"/>
      <c r="B2101" s="17"/>
      <c r="C2101" s="17"/>
      <c r="D2101" s="17"/>
      <c r="E2101" s="17"/>
      <c r="F2101" s="17"/>
      <c r="G2101" s="17"/>
      <c r="H2101" s="356"/>
      <c r="I2101" s="17"/>
      <c r="J2101" s="17"/>
      <c r="K2101" s="17"/>
      <c r="L2101" s="17"/>
      <c r="M2101" s="17"/>
      <c r="N2101" s="17"/>
      <c r="O2101" s="17"/>
      <c r="P2101" s="17"/>
      <c r="Q2101" s="17"/>
      <c r="R2101" s="17"/>
      <c r="S2101" s="17"/>
      <c r="T2101" s="17"/>
      <c r="U2101" s="17"/>
      <c r="V2101" s="17"/>
      <c r="W2101" s="17"/>
      <c r="X2101" s="17"/>
      <c r="Y2101" s="17"/>
      <c r="Z2101" s="17"/>
      <c r="AA2101" s="17"/>
      <c r="AB2101" s="17"/>
      <c r="AC2101" s="17"/>
      <c r="AD2101" s="17"/>
      <c r="AE2101" s="17"/>
      <c r="AF2101" s="17"/>
      <c r="AG2101" s="17"/>
      <c r="AH2101" s="17"/>
      <c r="AI2101" s="17"/>
      <c r="AJ2101" s="17"/>
      <c r="AK2101" s="17"/>
      <c r="AL2101" s="17"/>
      <c r="AM2101" s="17"/>
      <c r="AN2101" s="17"/>
      <c r="AO2101" s="17"/>
      <c r="AP2101" s="17"/>
      <c r="AQ2101" s="17"/>
      <c r="AR2101" s="17"/>
      <c r="AS2101" s="17"/>
      <c r="AT2101" s="17"/>
      <c r="AU2101" s="17"/>
      <c r="AV2101" s="17"/>
      <c r="AW2101" s="17"/>
      <c r="AX2101" s="17"/>
      <c r="AY2101" s="17"/>
      <c r="AZ2101" s="17"/>
      <c r="BA2101" s="17"/>
      <c r="BB2101" s="17"/>
      <c r="BC2101" s="17"/>
      <c r="BD2101" s="17"/>
      <c r="BE2101" s="17"/>
      <c r="BF2101" s="17"/>
      <c r="BG2101" s="17"/>
      <c r="BH2101" s="17"/>
      <c r="BI2101" s="17"/>
      <c r="BJ2101" s="17"/>
      <c r="BK2101" s="17"/>
      <c r="BL2101" s="17"/>
    </row>
  </sheetData>
  <customSheetViews>
    <customSheetView guid="{6D971A23-1B65-45EE-9D1A-FB4F3C6ABA54}" filter="1" showAutoFilter="1">
      <autoFilter ref="$A$1:$U$158">
        <filterColumn colId="14">
          <filters>
            <filter val="N/A"/>
          </filters>
        </filterColumn>
      </autoFilter>
    </customSheetView>
    <customSheetView guid="{CCF5AF0E-19DA-4016-A92E-733A0E5E20A2}" filter="1" showAutoFilter="1">
      <autoFilter ref="$F$2:$F$2101">
        <filterColumn colId="0">
          <filters>
            <filter val="Statefarm"/>
            <filter val="Progressive Flood"/>
            <filter val="American integrity"/>
            <filter val="National Fire and Insurance Company"/>
            <filter val="Farmers Insurance"/>
            <filter val="First Community Insurance Company"/>
            <filter val="TAPCO"/>
            <filter val="Fednat / FIGA"/>
            <filter val="Travelers of Florida"/>
            <filter val="Lloyds of London / Orchid"/>
            <filter val="USAA"/>
            <filter val="Avatar / FIGA"/>
            <filter val="National Fire &amp; Marine Inc Co."/>
            <filter val="Farmers"/>
            <filter val="Tokio Marine Highland"/>
            <filter val="Security first"/>
            <filter val="Progressive"/>
            <filter val="Homeowner Choice"/>
            <filter val="Kin Insurance"/>
            <filter val="Velocity Risk Underwriters"/>
            <filter val="State farm"/>
            <filter val="People’s Trust"/>
            <filter val="Security First"/>
            <filter val="StateFarm"/>
            <filter val="Slide"/>
            <filter val="UPC / FIGA"/>
            <filter val="Nation Wide"/>
            <filter val="Florida Peninsula"/>
            <filter val="American Tradition"/>
            <filter val="Citizens"/>
            <filter val="Frontline"/>
            <filter val="Arch"/>
            <filter val="Typ Tap"/>
            <filter val="American Security"/>
          </filters>
        </filterColumn>
      </autoFilter>
    </customSheetView>
    <customSheetView guid="{8F5F396D-3707-4306-AA19-4A116E9D9D61}" filter="1" showAutoFilter="1">
      <autoFilter ref="$A$2:$S$108"/>
    </customSheetView>
    <customSheetView guid="{1144A3EB-C9AE-4E4E-A98C-F42C9B3F0732}" filter="1" showAutoFilter="1">
      <autoFilter ref="$F$2:$F$2101">
        <filterColumn colId="0">
          <filters>
            <filter val="Progressive Flood"/>
            <filter val="American integrity"/>
            <filter val="Farmers Insurance"/>
            <filter val="First Community Insurance Company"/>
            <filter val="TAPCO"/>
            <filter val="Fednat / FIGA"/>
            <filter val="Travelers of Florida"/>
            <filter val="Lloyds of London / Orchid"/>
            <filter val="USAA"/>
            <filter val="Avatar / FIGA"/>
            <filter val="Security first"/>
            <filter val="Progressive"/>
            <filter val="Homeowner Choice"/>
            <filter val="Kin Insurance"/>
            <filter val="Velocity Risk Underwriters"/>
            <filter val="State farm"/>
            <filter val="StateFarm"/>
            <filter val="UPC / FIGA"/>
            <filter val="Nation Wide"/>
            <filter val="Florida Peninsula"/>
            <filter val="Frontline"/>
            <filter val="Typ Tap"/>
          </filters>
        </filterColumn>
      </autoFilter>
    </customSheetView>
    <customSheetView guid="{CA3FC007-33A4-484A-AA60-86090A26E6E0}" filter="1" showAutoFilter="1">
      <autoFilter ref="$F$2:$F$2101">
        <filterColumn colId="0">
          <filters>
            <filter val="Statefarm"/>
            <filter val="Progressive Flood"/>
            <filter val="American integrity"/>
            <filter val="National Fire and Insurance Company"/>
            <filter val="Farmers Insurance"/>
            <filter val="First Community Insurance Company"/>
            <filter val="TAPCO"/>
            <filter val="Fednat / FIGA"/>
            <filter val="Travelers of Florida"/>
            <filter val="Lloyds of London / Orchid"/>
            <filter val="USAA"/>
            <filter val="Avatar / FIGA"/>
            <filter val="National Fire &amp; Marine Inc Co."/>
            <filter val="Farmers"/>
            <filter val="Tokio Marine Highland"/>
            <filter val="Security first"/>
            <filter val="Progressive"/>
            <filter val="Homeowner Choice"/>
            <filter val="Kin Insurance"/>
            <filter val="Velocity Risk Underwriters"/>
            <filter val="State farm"/>
            <filter val="People’s Trust"/>
            <filter val="Security First"/>
            <filter val="StateFarm"/>
            <filter val="Slide"/>
            <filter val="UPC / FIGA"/>
            <filter val="Nation Wide"/>
            <filter val="Florida Peninsula"/>
            <filter val="American Tradition"/>
            <filter val="Citizens"/>
            <filter val="Frontline"/>
            <filter val="Arch"/>
            <filter val="Typ Tap"/>
            <filter val="American Security"/>
          </filters>
        </filterColumn>
      </autoFilter>
    </customSheetView>
  </customSheetViews>
  <mergeCells count="4">
    <mergeCell ref="B1:C1"/>
    <mergeCell ref="A161:B161"/>
    <mergeCell ref="A182:B182"/>
    <mergeCell ref="A192:B192"/>
  </mergeCells>
  <dataValidations>
    <dataValidation type="list" allowBlank="1" showErrorMessage="1" sqref="L1:L2101">
      <formula1>"SENT,UPLOADED Univ/Front,WAITING IA to sent,Waiting PA approval,Notified Perry to upload,DO &amp; SEND,ESTIMATE FOR INS,UPLOADED"</formula1>
    </dataValidation>
    <dataValidation type="list" allowBlank="1" showErrorMessage="1" sqref="O3:O188 O193:O194">
      <formula1>"IA Report &amp; Policy,New IA &amp; Policy,Old IA &amp; Policy,Both IA report,New IA Report,Old IA Report,IA Report,Policy,N/A"</formula1>
    </dataValidation>
    <dataValidation type="list" allowBlank="1" showErrorMessage="1" sqref="M3:M212">
      <formula1>"WAITING INFO,IN PROCESS,SENT TO PA,APPROVED,REVISION,APPROVED-REOPEN"</formula1>
    </dataValidation>
    <dataValidation type="list" allowBlank="1" showErrorMessage="1" sqref="N3:N212">
      <formula1>"SENT to CLIENT,SENT to INS.,ASKED B.SPOL,ASKED  client EMAIL,Ready to be sent,N/A,DO &amp; SEND,Sent to Sarah"</formula1>
    </dataValidation>
  </dataValidations>
  <hyperlinks>
    <hyperlink r:id="rId4" ref="E3"/>
    <hyperlink r:id="rId5" ref="E4"/>
    <hyperlink r:id="rId6" ref="E128"/>
    <hyperlink r:id="rId7" ref="E157"/>
    <hyperlink r:id="rId8" ref="E170"/>
  </hyperlinks>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2.75"/>
    <col customWidth="1" min="2" max="2" width="12.13"/>
    <col customWidth="1" min="3" max="3" width="31.0"/>
    <col customWidth="1" min="4" max="4" width="29.25"/>
    <col customWidth="1" min="5" max="5" width="28.38"/>
    <col customWidth="1" min="6" max="6" width="53.0"/>
    <col customWidth="1" min="7" max="7" width="20.13"/>
    <col customWidth="1" min="8" max="8" width="19.63"/>
    <col customWidth="1" min="9" max="9" width="3.38"/>
    <col customWidth="1" min="10" max="10" width="3.13"/>
    <col customWidth="1" min="11" max="11" width="54.0"/>
    <col customWidth="1" min="12" max="12" width="3.5"/>
    <col customWidth="1" min="13" max="13" width="3.63"/>
    <col customWidth="1" min="14" max="14" width="48.0"/>
    <col customWidth="1" min="15" max="15" width="3.5"/>
    <col customWidth="1" min="16" max="16" width="3.63"/>
    <col customWidth="1" min="17" max="17" width="53.5"/>
    <col customWidth="1" min="18" max="18" width="3.5"/>
    <col customWidth="1" min="19" max="19" width="3.13"/>
    <col customWidth="1" min="20" max="20" width="57.25"/>
    <col customWidth="1" min="21" max="21" width="3.5"/>
    <col customWidth="1" min="22" max="22" width="3.63"/>
    <col customWidth="1" min="23" max="23" width="47.63"/>
    <col customWidth="1" min="24" max="24" width="3.5"/>
    <col customWidth="1" min="25" max="25" width="3.63"/>
    <col customWidth="1" min="26" max="26" width="44.0"/>
    <col customWidth="1" min="27" max="27" width="3.5"/>
    <col customWidth="1" min="28" max="28" width="3.63"/>
    <col customWidth="1" min="29" max="29" width="39.0"/>
    <col customWidth="1" min="30" max="30" width="3.5"/>
    <col customWidth="1" min="31" max="31" width="3.63"/>
    <col customWidth="1" min="32" max="32" width="51.75"/>
    <col customWidth="1" min="33" max="33" width="3.5"/>
    <col customWidth="1" min="34" max="34" width="3.63"/>
    <col customWidth="1" min="35" max="35" width="62.63"/>
    <col customWidth="1" min="36" max="36" width="3.5"/>
    <col customWidth="1" min="37" max="37" width="3.63"/>
    <col customWidth="1" min="38" max="38" width="53.5"/>
    <col customWidth="1" min="39" max="39" width="3.5"/>
    <col customWidth="1" min="40" max="40" width="3.63"/>
    <col customWidth="1" min="41" max="41" width="31.38"/>
  </cols>
  <sheetData>
    <row r="1" ht="13.5" customHeight="1">
      <c r="A1" s="105"/>
      <c r="B1" s="105"/>
      <c r="C1" s="107"/>
      <c r="D1" s="107"/>
      <c r="E1" s="105"/>
      <c r="F1" s="107"/>
      <c r="G1" s="107"/>
      <c r="H1" s="107"/>
      <c r="I1" s="110"/>
      <c r="J1" s="111"/>
      <c r="K1" s="112"/>
      <c r="L1" s="110"/>
      <c r="M1" s="115"/>
      <c r="N1" s="112"/>
      <c r="O1" s="110"/>
      <c r="P1" s="115"/>
      <c r="Q1" s="116"/>
      <c r="R1" s="110"/>
      <c r="S1" s="115"/>
      <c r="T1" s="117"/>
      <c r="U1" s="110"/>
      <c r="V1" s="115"/>
      <c r="W1" s="118"/>
      <c r="X1" s="110"/>
      <c r="Y1" s="115"/>
      <c r="Z1" s="119"/>
      <c r="AA1" s="110"/>
      <c r="AB1" s="115"/>
      <c r="AC1" s="121"/>
      <c r="AD1" s="110"/>
      <c r="AE1" s="115"/>
      <c r="AF1" s="125"/>
      <c r="AG1" s="110"/>
      <c r="AH1" s="115"/>
      <c r="AI1" s="105"/>
      <c r="AJ1" s="110"/>
      <c r="AK1" s="115"/>
      <c r="AL1" s="126"/>
      <c r="AM1" s="110"/>
      <c r="AN1" s="115"/>
      <c r="AO1" s="105"/>
      <c r="AP1" s="105"/>
      <c r="AQ1" s="105"/>
      <c r="AR1" s="105"/>
      <c r="AS1" s="105"/>
      <c r="AT1" s="105"/>
      <c r="AU1" s="105"/>
      <c r="AV1" s="105"/>
      <c r="AW1" s="105"/>
      <c r="AX1" s="105"/>
      <c r="AY1" s="105"/>
      <c r="AZ1" s="105"/>
      <c r="BA1" s="105"/>
    </row>
    <row r="2">
      <c r="A2" s="135" t="str">
        <f>IFERROR(__xludf.DUMMYFUNCTION("IMPORTRANGE(""https://docs.google.com/spreadsheets/d/15d-QB-oqTPKeNxk2d1wmE0xY1H7iFXwJukplI9p7p50/edit?gid=0#gid=0"",""New ClientList!A:A"")"),"status")</f>
        <v>status</v>
      </c>
      <c r="B2" s="135" t="str">
        <f>IFERROR(__xludf.DUMMYFUNCTION("IMPORTRANGE(""https://docs.google.com/spreadsheets/d/15d-QB-oqTPKeNxk2d1wmE0xY1H7iFXwJukplI9p7p50/edit?gid=0#gid=0"",""New ClientList!B:B"")"),"ADJUSTER")</f>
        <v>ADJUSTER</v>
      </c>
      <c r="C2" s="135" t="str">
        <f>IFERROR(__xludf.DUMMYFUNCTION("IMPORTRANGE(""https://docs.google.com/spreadsheets/d/15d-QB-oqTPKeNxk2d1wmE0xY1H7iFXwJukplI9p7p50/edit?gid=0#gid=0"",""New ClientList!D:D"")"),"CLIENT")</f>
        <v>CLIENT</v>
      </c>
      <c r="D2" s="135" t="str">
        <f>IFERROR(__xludf.DUMMYFUNCTION("IMPORTRANGE(""https://docs.google.com/spreadsheets/d/15d-QB-oqTPKeNxk2d1wmE0xY1H7iFXwJukplI9p7p50/edit?gid=0#gid=0"",""New ClientList!E:F"")"),"PHONE#")</f>
        <v>PHONE#</v>
      </c>
      <c r="E2" s="135" t="str">
        <f>IFERROR(__xludf.DUMMYFUNCTION("""COMPUTED_VALUE"""),"EMAIL")</f>
        <v>EMAIL</v>
      </c>
      <c r="F2" s="135" t="str">
        <f>IFERROR(__xludf.DUMMYFUNCTION("IMPORTRANGE(""https://docs.google.com/spreadsheets/d/15d-QB-oqTPKeNxk2d1wmE0xY1H7iFXwJukplI9p7p50/edit?gid=0#gid=0"",""New ClientList!H:H"")"),"ADDRESS")</f>
        <v>ADDRESS</v>
      </c>
      <c r="G2" s="135" t="str">
        <f>IFERROR(__xludf.DUMMYFUNCTION("IMPORTRANGE(""https://docs.google.com/spreadsheets/d/15d-QB-oqTPKeNxk2d1wmE0xY1H7iFXwJukplI9p7p50/edit?gid=0#gid=0"",""New ClientList!K:K"")"),"TYPE OF LOSS ")</f>
        <v>TYPE OF LOSS </v>
      </c>
      <c r="H2" s="135" t="str">
        <f>IFERROR(__xludf.DUMMYFUNCTION("IMPORTRANGE(""https://docs.google.com/spreadsheets/d/15d-QB-oqTPKeNxk2d1wmE0xY1H7iFXwJukplI9p7p50/edit?gid=0#gid=0"",""New ClientList!T:T"")"),"TYPE OF CLAIM")</f>
        <v>TYPE OF CLAIM</v>
      </c>
      <c r="I2" s="140" t="s">
        <v>1550</v>
      </c>
      <c r="J2" s="142" t="s">
        <v>1555</v>
      </c>
      <c r="K2" s="143" t="s">
        <v>1563</v>
      </c>
      <c r="L2" s="140" t="s">
        <v>1550</v>
      </c>
      <c r="M2" s="147" t="s">
        <v>1555</v>
      </c>
      <c r="N2" s="143" t="s">
        <v>1567</v>
      </c>
      <c r="O2" s="140" t="s">
        <v>1550</v>
      </c>
      <c r="P2" s="147" t="s">
        <v>1555</v>
      </c>
      <c r="Q2" s="149" t="s">
        <v>1439</v>
      </c>
      <c r="R2" s="140" t="s">
        <v>1550</v>
      </c>
      <c r="S2" s="147" t="s">
        <v>1555</v>
      </c>
      <c r="T2" s="151" t="s">
        <v>1434</v>
      </c>
      <c r="U2" s="140" t="s">
        <v>1550</v>
      </c>
      <c r="V2" s="147" t="s">
        <v>1555</v>
      </c>
      <c r="W2" s="152" t="s">
        <v>1589</v>
      </c>
      <c r="X2" s="140" t="s">
        <v>1550</v>
      </c>
      <c r="Y2" s="147" t="s">
        <v>1555</v>
      </c>
      <c r="Z2" s="153" t="s">
        <v>1597</v>
      </c>
      <c r="AA2" s="140" t="s">
        <v>1550</v>
      </c>
      <c r="AB2" s="147" t="s">
        <v>1555</v>
      </c>
      <c r="AC2" s="155" t="s">
        <v>1602</v>
      </c>
      <c r="AD2" s="140" t="s">
        <v>1550</v>
      </c>
      <c r="AE2" s="147" t="s">
        <v>1555</v>
      </c>
      <c r="AF2" s="158" t="s">
        <v>1609</v>
      </c>
      <c r="AG2" s="140" t="s">
        <v>1550</v>
      </c>
      <c r="AH2" s="147" t="s">
        <v>1555</v>
      </c>
      <c r="AI2" s="160" t="s">
        <v>1613</v>
      </c>
      <c r="AJ2" s="140" t="s">
        <v>1550</v>
      </c>
      <c r="AK2" s="147" t="s">
        <v>1555</v>
      </c>
      <c r="AL2" s="162" t="s">
        <v>1623</v>
      </c>
      <c r="AM2" s="140" t="s">
        <v>1550</v>
      </c>
      <c r="AN2" s="147" t="s">
        <v>1555</v>
      </c>
      <c r="AO2" s="163" t="s">
        <v>1631</v>
      </c>
      <c r="AP2" s="164"/>
      <c r="AQ2" s="164"/>
      <c r="AR2" s="164"/>
      <c r="AS2" s="164"/>
      <c r="AT2" s="164"/>
      <c r="AU2" s="164"/>
      <c r="AV2" s="164"/>
      <c r="AW2" s="164"/>
      <c r="AX2" s="164"/>
      <c r="AY2" s="164"/>
      <c r="AZ2" s="164"/>
      <c r="BA2" s="164"/>
    </row>
    <row r="3" ht="30.0" customHeight="1">
      <c r="A3" s="165" t="str">
        <f>IFERROR(__xludf.DUMMYFUNCTION("""COMPUTED_VALUE"""),"CLSD CLAIMS")</f>
        <v>CLSD CLAIMS</v>
      </c>
      <c r="B3" s="166" t="str">
        <f>IFERROR(__xludf.DUMMYFUNCTION("""COMPUTED_VALUE"""),"David")</f>
        <v>David</v>
      </c>
      <c r="C3" s="166" t="str">
        <f>IFERROR(__xludf.DUMMYFUNCTION("""COMPUTED_VALUE"""),"Donna Wilson")</f>
        <v>Donna Wilson</v>
      </c>
      <c r="D3" s="166" t="str">
        <f>IFERROR(__xludf.DUMMYFUNCTION("""COMPUTED_VALUE"""),"863-661-8812")</f>
        <v>863-661-8812</v>
      </c>
      <c r="E3" s="166" t="str">
        <f>IFERROR(__xludf.DUMMYFUNCTION("""COMPUTED_VALUE"""),"onesolidwoman@yahoo.com")</f>
        <v>onesolidwoman@yahoo.com</v>
      </c>
      <c r="F3" s="166" t="str">
        <f>IFERROR(__xludf.DUMMYFUNCTION("""COMPUTED_VALUE"""),"2113 Monticello Ave, Lakeland FL 33801")</f>
        <v>2113 Monticello Ave, Lakeland FL 33801</v>
      </c>
      <c r="G3" s="166" t="str">
        <f>IFERROR(__xludf.DUMMYFUNCTION("""COMPUTED_VALUE"""),"Hurricane Ian")</f>
        <v>Hurricane Ian</v>
      </c>
      <c r="H3" s="165"/>
      <c r="I3" s="173" t="b">
        <v>0</v>
      </c>
      <c r="J3" s="176" t="b">
        <v>0</v>
      </c>
      <c r="K3" s="178"/>
      <c r="L3" s="173" t="b">
        <v>0</v>
      </c>
      <c r="M3" s="183" t="b">
        <v>0</v>
      </c>
      <c r="N3" s="178"/>
      <c r="O3" s="173" t="b">
        <v>0</v>
      </c>
      <c r="P3" s="183" t="b">
        <v>0</v>
      </c>
      <c r="Q3" s="186"/>
      <c r="R3" s="190" t="b">
        <v>1</v>
      </c>
      <c r="S3" s="192" t="b">
        <v>1</v>
      </c>
      <c r="T3" s="194" t="s">
        <v>1695</v>
      </c>
      <c r="U3" s="173" t="b">
        <v>0</v>
      </c>
      <c r="V3" s="183" t="b">
        <v>0</v>
      </c>
      <c r="W3" s="195"/>
      <c r="X3" s="173" t="b">
        <v>0</v>
      </c>
      <c r="Y3" s="183" t="b">
        <v>0</v>
      </c>
      <c r="Z3" s="197"/>
      <c r="AA3" s="173" t="b">
        <v>0</v>
      </c>
      <c r="AB3" s="183" t="b">
        <v>0</v>
      </c>
      <c r="AC3" s="200"/>
      <c r="AD3" s="173" t="b">
        <v>0</v>
      </c>
      <c r="AE3" s="183" t="b">
        <v>0</v>
      </c>
      <c r="AF3" s="202"/>
      <c r="AG3" s="173" t="b">
        <v>0</v>
      </c>
      <c r="AH3" s="183" t="b">
        <v>0</v>
      </c>
      <c r="AI3" s="165"/>
      <c r="AJ3" s="173" t="b">
        <v>0</v>
      </c>
      <c r="AK3" s="183" t="b">
        <v>0</v>
      </c>
      <c r="AL3" s="204"/>
      <c r="AM3" s="173" t="b">
        <v>0</v>
      </c>
      <c r="AN3" s="183" t="b">
        <v>0</v>
      </c>
      <c r="AO3" s="165"/>
      <c r="AP3" s="165"/>
      <c r="AQ3" s="165"/>
      <c r="AR3" s="165"/>
      <c r="AS3" s="165"/>
      <c r="AT3" s="165"/>
      <c r="AU3" s="165"/>
      <c r="AV3" s="165"/>
      <c r="AW3" s="165"/>
      <c r="AX3" s="165"/>
      <c r="AY3" s="165"/>
      <c r="AZ3" s="165"/>
      <c r="BA3" s="165"/>
    </row>
    <row r="4" ht="26.25" customHeight="1">
      <c r="A4" s="207" t="str">
        <f>IFERROR(__xludf.DUMMYFUNCTION("""COMPUTED_VALUE"""),"CLSD CLAIMS")</f>
        <v>CLSD CLAIMS</v>
      </c>
      <c r="B4" s="209" t="str">
        <f>IFERROR(__xludf.DUMMYFUNCTION("""COMPUTED_VALUE"""),"Ivan")</f>
        <v>Ivan</v>
      </c>
      <c r="C4" s="209" t="str">
        <f>IFERROR(__xludf.DUMMYFUNCTION("""COMPUTED_VALUE"""),"Josh Lee")</f>
        <v>Josh Lee</v>
      </c>
      <c r="D4" s="209" t="str">
        <f>IFERROR(__xludf.DUMMYFUNCTION("""COMPUTED_VALUE"""),"305-915-7233")</f>
        <v>305-915-7233</v>
      </c>
      <c r="E4" s="209" t="str">
        <f>IFERROR(__xludf.DUMMYFUNCTION("""COMPUTED_VALUE"""),"josh7426@gmail.com")</f>
        <v>josh7426@gmail.com</v>
      </c>
      <c r="F4" s="209" t="str">
        <f>IFERROR(__xludf.DUMMYFUNCTION("""COMPUTED_VALUE"""),"7607 NW 40th Court, Coral Springs FL, 33065")</f>
        <v>7607 NW 40th Court, Coral Springs FL, 33065</v>
      </c>
      <c r="G4" s="209" t="str">
        <f>IFERROR(__xludf.DUMMYFUNCTION("""COMPUTED_VALUE"""),"Windstorm")</f>
        <v>Windstorm</v>
      </c>
      <c r="H4" s="207"/>
      <c r="I4" s="210" t="b">
        <v>1</v>
      </c>
      <c r="J4" s="212" t="b">
        <v>1</v>
      </c>
      <c r="K4" s="213" t="s">
        <v>1713</v>
      </c>
      <c r="L4" s="210" t="b">
        <v>0</v>
      </c>
      <c r="M4" s="214" t="b">
        <v>0</v>
      </c>
      <c r="N4" s="213"/>
      <c r="O4" s="210" t="b">
        <v>1</v>
      </c>
      <c r="P4" s="215" t="b">
        <v>1</v>
      </c>
      <c r="Q4" s="216" t="s">
        <v>1718</v>
      </c>
      <c r="R4" s="217" t="b">
        <v>0</v>
      </c>
      <c r="S4" s="214" t="b">
        <v>0</v>
      </c>
      <c r="T4" s="218"/>
      <c r="U4" s="217" t="b">
        <v>0</v>
      </c>
      <c r="V4" s="214" t="b">
        <v>0</v>
      </c>
      <c r="W4" s="219"/>
      <c r="X4" s="210" t="b">
        <v>1</v>
      </c>
      <c r="Y4" s="214" t="b">
        <v>1</v>
      </c>
      <c r="Z4" s="220" t="s">
        <v>1722</v>
      </c>
      <c r="AA4" s="217" t="b">
        <v>0</v>
      </c>
      <c r="AB4" s="214" t="b">
        <v>0</v>
      </c>
      <c r="AC4" s="221"/>
      <c r="AD4" s="217" t="b">
        <v>0</v>
      </c>
      <c r="AE4" s="214" t="b">
        <v>0</v>
      </c>
      <c r="AF4" s="222"/>
      <c r="AG4" s="217" t="b">
        <v>0</v>
      </c>
      <c r="AH4" s="214" t="b">
        <v>0</v>
      </c>
      <c r="AI4" s="207"/>
      <c r="AJ4" s="217" t="b">
        <v>0</v>
      </c>
      <c r="AK4" s="214" t="b">
        <v>0</v>
      </c>
      <c r="AL4" s="224"/>
      <c r="AM4" s="217" t="b">
        <v>0</v>
      </c>
      <c r="AN4" s="214" t="b">
        <v>0</v>
      </c>
      <c r="AO4" s="207"/>
      <c r="AP4" s="207"/>
      <c r="AQ4" s="207"/>
      <c r="AR4" s="207"/>
      <c r="AS4" s="207"/>
      <c r="AT4" s="207"/>
      <c r="AU4" s="207"/>
      <c r="AV4" s="207"/>
      <c r="AW4" s="207"/>
      <c r="AX4" s="207"/>
      <c r="AY4" s="207"/>
      <c r="AZ4" s="207"/>
      <c r="BA4" s="207"/>
    </row>
    <row r="5">
      <c r="A5" s="165" t="str">
        <f>IFERROR(__xludf.DUMMYFUNCTION("""COMPUTED_VALUE"""),"CLSD CLAIMS")</f>
        <v>CLSD CLAIMS</v>
      </c>
      <c r="B5" s="166" t="str">
        <f>IFERROR(__xludf.DUMMYFUNCTION("""COMPUTED_VALUE"""),"Peter")</f>
        <v>Peter</v>
      </c>
      <c r="C5" s="166" t="str">
        <f>IFERROR(__xludf.DUMMYFUNCTION("""COMPUTED_VALUE"""),"Mathew Rose")</f>
        <v>Mathew Rose</v>
      </c>
      <c r="D5" s="166" t="str">
        <f>IFERROR(__xludf.DUMMYFUNCTION("""COMPUTED_VALUE"""),"239-645-6588")</f>
        <v>239-645-6588</v>
      </c>
      <c r="E5" s="166" t="str">
        <f>IFERROR(__xludf.DUMMYFUNCTION("""COMPUTED_VALUE"""),"rose.mat78@gmail.com")</f>
        <v>rose.mat78@gmail.com</v>
      </c>
      <c r="F5" s="166" t="str">
        <f>IFERROR(__xludf.DUMMYFUNCTION("""COMPUTED_VALUE"""),"2230 Aldridge Ave Fort Myers FL, 33907")</f>
        <v>2230 Aldridge Ave Fort Myers FL, 33907</v>
      </c>
      <c r="G5" s="166" t="str">
        <f>IFERROR(__xludf.DUMMYFUNCTION("""COMPUTED_VALUE"""),"Hurricane Ian")</f>
        <v>Hurricane Ian</v>
      </c>
      <c r="H5" s="165"/>
      <c r="I5" s="173" t="b">
        <v>0</v>
      </c>
      <c r="J5" s="225" t="b">
        <v>0</v>
      </c>
      <c r="K5" s="178"/>
      <c r="L5" s="173" t="b">
        <v>0</v>
      </c>
      <c r="M5" s="226" t="b">
        <v>0</v>
      </c>
      <c r="N5" s="178"/>
      <c r="O5" s="173" t="b">
        <v>0</v>
      </c>
      <c r="P5" s="226" t="b">
        <v>0</v>
      </c>
      <c r="Q5" s="227"/>
      <c r="R5" s="173" t="b">
        <v>0</v>
      </c>
      <c r="S5" s="226" t="b">
        <v>0</v>
      </c>
      <c r="T5" s="228"/>
      <c r="U5" s="173" t="b">
        <v>0</v>
      </c>
      <c r="V5" s="226" t="b">
        <v>0</v>
      </c>
      <c r="W5" s="195"/>
      <c r="X5" s="173" t="b">
        <v>0</v>
      </c>
      <c r="Y5" s="226" t="b">
        <v>0</v>
      </c>
      <c r="Z5" s="197"/>
      <c r="AA5" s="173" t="b">
        <v>0</v>
      </c>
      <c r="AB5" s="226" t="b">
        <v>0</v>
      </c>
      <c r="AC5" s="200"/>
      <c r="AD5" s="173" t="b">
        <v>0</v>
      </c>
      <c r="AE5" s="226" t="b">
        <v>0</v>
      </c>
      <c r="AF5" s="202"/>
      <c r="AG5" s="173" t="b">
        <v>0</v>
      </c>
      <c r="AH5" s="226" t="b">
        <v>0</v>
      </c>
      <c r="AI5" s="165"/>
      <c r="AJ5" s="173" t="b">
        <v>0</v>
      </c>
      <c r="AK5" s="226" t="b">
        <v>0</v>
      </c>
      <c r="AL5" s="204"/>
      <c r="AM5" s="173" t="b">
        <v>0</v>
      </c>
      <c r="AN5" s="226" t="b">
        <v>0</v>
      </c>
      <c r="AO5" s="165"/>
      <c r="AP5" s="165"/>
      <c r="AQ5" s="165"/>
      <c r="AR5" s="165"/>
      <c r="AS5" s="165"/>
      <c r="AT5" s="165"/>
      <c r="AU5" s="165"/>
      <c r="AV5" s="165"/>
      <c r="AW5" s="165"/>
      <c r="AX5" s="165"/>
      <c r="AY5" s="165"/>
      <c r="AZ5" s="165"/>
      <c r="BA5" s="165"/>
    </row>
    <row r="6">
      <c r="A6" s="207" t="str">
        <f>IFERROR(__xludf.DUMMYFUNCTION("""COMPUTED_VALUE"""),"CLSD CLAIMS")</f>
        <v>CLSD CLAIMS</v>
      </c>
      <c r="B6" s="209" t="str">
        <f>IFERROR(__xludf.DUMMYFUNCTION("""COMPUTED_VALUE"""),"Juan")</f>
        <v>Juan</v>
      </c>
      <c r="C6" s="209" t="str">
        <f>IFERROR(__xludf.DUMMYFUNCTION("""COMPUTED_VALUE"""),"Carlos and Eva Carrizales")</f>
        <v>Carlos and Eva Carrizales</v>
      </c>
      <c r="D6" s="209" t="str">
        <f>IFERROR(__xludf.DUMMYFUNCTION("""COMPUTED_VALUE"""),"205-863-9976")</f>
        <v>205-863-9976</v>
      </c>
      <c r="E6" s="209" t="str">
        <f>IFERROR(__xludf.DUMMYFUNCTION("""COMPUTED_VALUE"""),"evacarrizales6160@gmail.com")</f>
        <v>evacarrizales6160@gmail.com</v>
      </c>
      <c r="F6" s="209" t="str">
        <f>IFERROR(__xludf.DUMMYFUNCTION("""COMPUTED_VALUE"""),"2147 Rigdon Rd Wauchula, FL 33873")</f>
        <v>2147 Rigdon Rd Wauchula, FL 33873</v>
      </c>
      <c r="G6" s="209" t="str">
        <f>IFERROR(__xludf.DUMMYFUNCTION("""COMPUTED_VALUE"""),"Hurricane Ian")</f>
        <v>Hurricane Ian</v>
      </c>
      <c r="H6" s="207"/>
      <c r="I6" s="217" t="b">
        <v>0</v>
      </c>
      <c r="J6" s="229" t="b">
        <v>0</v>
      </c>
      <c r="K6" s="213"/>
      <c r="L6" s="210" t="b">
        <v>1</v>
      </c>
      <c r="M6" s="214" t="b">
        <v>1</v>
      </c>
      <c r="N6" s="213" t="s">
        <v>1772</v>
      </c>
      <c r="O6" s="217" t="b">
        <v>0</v>
      </c>
      <c r="P6" s="215" t="b">
        <v>0</v>
      </c>
      <c r="Q6" s="230"/>
      <c r="R6" s="217" t="b">
        <v>0</v>
      </c>
      <c r="S6" s="215" t="b">
        <v>0</v>
      </c>
      <c r="T6" s="218"/>
      <c r="U6" s="217" t="b">
        <v>0</v>
      </c>
      <c r="V6" s="215" t="b">
        <v>0</v>
      </c>
      <c r="W6" s="219"/>
      <c r="X6" s="217" t="b">
        <v>0</v>
      </c>
      <c r="Y6" s="215" t="b">
        <v>0</v>
      </c>
      <c r="Z6" s="232"/>
      <c r="AA6" s="217" t="b">
        <v>0</v>
      </c>
      <c r="AB6" s="215" t="b">
        <v>0</v>
      </c>
      <c r="AC6" s="221"/>
      <c r="AD6" s="217" t="b">
        <v>0</v>
      </c>
      <c r="AE6" s="215" t="b">
        <v>0</v>
      </c>
      <c r="AF6" s="222"/>
      <c r="AG6" s="217" t="b">
        <v>0</v>
      </c>
      <c r="AH6" s="215" t="b">
        <v>0</v>
      </c>
      <c r="AI6" s="207"/>
      <c r="AJ6" s="217" t="b">
        <v>0</v>
      </c>
      <c r="AK6" s="215" t="b">
        <v>0</v>
      </c>
      <c r="AL6" s="224"/>
      <c r="AM6" s="217" t="b">
        <v>0</v>
      </c>
      <c r="AN6" s="215" t="b">
        <v>0</v>
      </c>
      <c r="AO6" s="207"/>
      <c r="AP6" s="207"/>
      <c r="AQ6" s="207"/>
      <c r="AR6" s="207"/>
      <c r="AS6" s="207"/>
      <c r="AT6" s="207"/>
      <c r="AU6" s="207"/>
      <c r="AV6" s="207"/>
      <c r="AW6" s="207"/>
      <c r="AX6" s="207"/>
      <c r="AY6" s="207"/>
      <c r="AZ6" s="207"/>
      <c r="BA6" s="207"/>
    </row>
    <row r="7">
      <c r="A7" s="207" t="str">
        <f>IFERROR(__xludf.DUMMYFUNCTION("""COMPUTED_VALUE"""),"CLSD CLAIMS")</f>
        <v>CLSD CLAIMS</v>
      </c>
      <c r="B7" s="209" t="str">
        <f>IFERROR(__xludf.DUMMYFUNCTION("""COMPUTED_VALUE"""),"Juan")</f>
        <v>Juan</v>
      </c>
      <c r="C7" s="209" t="str">
        <f>IFERROR(__xludf.DUMMYFUNCTION("""COMPUTED_VALUE"""),"Delphine Purser")</f>
        <v>Delphine Purser</v>
      </c>
      <c r="D7" s="209" t="str">
        <f>IFERROR(__xludf.DUMMYFUNCTION("""COMPUTED_VALUE"""),"863-375-2307")</f>
        <v>863-375-2307</v>
      </c>
      <c r="E7" s="209" t="str">
        <f>IFERROR(__xludf.DUMMYFUNCTION("""COMPUTED_VALUE"""),"stevenpurser51@gmail.com")</f>
        <v>stevenpurser51@gmail.com</v>
      </c>
      <c r="F7" s="209" t="str">
        <f>IFERROR(__xludf.DUMMYFUNCTION("""COMPUTED_VALUE"""),"630 Grove St, Bowling Green, FL 33834")</f>
        <v>630 Grove St, Bowling Green, FL 33834</v>
      </c>
      <c r="G7" s="209" t="str">
        <f>IFERROR(__xludf.DUMMYFUNCTION("""COMPUTED_VALUE"""),"Hurricane Ian")</f>
        <v>Hurricane Ian</v>
      </c>
      <c r="H7" s="207"/>
      <c r="I7" s="217" t="b">
        <v>0</v>
      </c>
      <c r="J7" s="229" t="b">
        <v>0</v>
      </c>
      <c r="K7" s="213"/>
      <c r="L7" s="217" t="b">
        <v>0</v>
      </c>
      <c r="M7" s="215" t="b">
        <v>0</v>
      </c>
      <c r="N7" s="213" t="s">
        <v>1800</v>
      </c>
      <c r="O7" s="217" t="b">
        <v>0</v>
      </c>
      <c r="P7" s="215" t="b">
        <v>0</v>
      </c>
      <c r="Q7" s="230"/>
      <c r="R7" s="217" t="b">
        <v>0</v>
      </c>
      <c r="S7" s="215" t="b">
        <v>0</v>
      </c>
      <c r="T7" s="218"/>
      <c r="U7" s="217" t="b">
        <v>0</v>
      </c>
      <c r="V7" s="215" t="b">
        <v>0</v>
      </c>
      <c r="W7" s="219"/>
      <c r="X7" s="217" t="b">
        <v>0</v>
      </c>
      <c r="Y7" s="215" t="b">
        <v>0</v>
      </c>
      <c r="Z7" s="232"/>
      <c r="AA7" s="217" t="b">
        <v>0</v>
      </c>
      <c r="AB7" s="215" t="b">
        <v>0</v>
      </c>
      <c r="AC7" s="221"/>
      <c r="AD7" s="217" t="b">
        <v>0</v>
      </c>
      <c r="AE7" s="215" t="b">
        <v>0</v>
      </c>
      <c r="AF7" s="222"/>
      <c r="AG7" s="217" t="b">
        <v>0</v>
      </c>
      <c r="AH7" s="215" t="b">
        <v>0</v>
      </c>
      <c r="AI7" s="207"/>
      <c r="AJ7" s="217" t="b">
        <v>0</v>
      </c>
      <c r="AK7" s="215" t="b">
        <v>0</v>
      </c>
      <c r="AL7" s="224"/>
      <c r="AM7" s="217" t="b">
        <v>0</v>
      </c>
      <c r="AN7" s="215" t="b">
        <v>0</v>
      </c>
      <c r="AO7" s="207"/>
      <c r="AP7" s="207"/>
      <c r="AQ7" s="207"/>
      <c r="AR7" s="207"/>
      <c r="AS7" s="207"/>
      <c r="AT7" s="207"/>
      <c r="AU7" s="207"/>
      <c r="AV7" s="207"/>
      <c r="AW7" s="207"/>
      <c r="AX7" s="207"/>
      <c r="AY7" s="207"/>
      <c r="AZ7" s="207"/>
      <c r="BA7" s="207"/>
    </row>
    <row r="8">
      <c r="A8" s="207" t="str">
        <f>IFERROR(__xludf.DUMMYFUNCTION("""COMPUTED_VALUE"""),"CLSD CLAIMS")</f>
        <v>CLSD CLAIMS</v>
      </c>
      <c r="B8" s="209" t="str">
        <f>IFERROR(__xludf.DUMMYFUNCTION("""COMPUTED_VALUE"""),"Juan")</f>
        <v>Juan</v>
      </c>
      <c r="C8" s="209" t="str">
        <f>IFERROR(__xludf.DUMMYFUNCTION("""COMPUTED_VALUE"""),"Christopher Russell")</f>
        <v>Christopher Russell</v>
      </c>
      <c r="D8" s="209" t="str">
        <f>IFERROR(__xludf.DUMMYFUNCTION("""COMPUTED_VALUE"""),"863-245-6249")</f>
        <v>863-245-6249</v>
      </c>
      <c r="E8" s="237" t="str">
        <f>IFERROR(__xludf.DUMMYFUNCTION("""COMPUTED_VALUE"""),"russelchristopher@gmail.com")</f>
        <v>russelchristopher@gmail.com</v>
      </c>
      <c r="F8" s="209" t="str">
        <f>IFERROR(__xludf.DUMMYFUNCTION("""COMPUTED_VALUE"""),"516 3rd CT SW, Fort Meade FL 33841")</f>
        <v>516 3rd CT SW, Fort Meade FL 33841</v>
      </c>
      <c r="G8" s="209" t="str">
        <f>IFERROR(__xludf.DUMMYFUNCTION("""COMPUTED_VALUE"""),"Hurricane Ian")</f>
        <v>Hurricane Ian</v>
      </c>
      <c r="H8" s="207"/>
      <c r="I8" s="210" t="b">
        <v>1</v>
      </c>
      <c r="J8" s="212" t="b">
        <v>1</v>
      </c>
      <c r="K8" s="213" t="s">
        <v>1842</v>
      </c>
      <c r="L8" s="217" t="b">
        <v>0</v>
      </c>
      <c r="M8" s="215" t="b">
        <v>0</v>
      </c>
      <c r="N8" s="238"/>
      <c r="O8" s="217" t="b">
        <v>0</v>
      </c>
      <c r="P8" s="215" t="b">
        <v>0</v>
      </c>
      <c r="Q8" s="230"/>
      <c r="R8" s="217" t="b">
        <v>0</v>
      </c>
      <c r="S8" s="215" t="b">
        <v>0</v>
      </c>
      <c r="T8" s="218"/>
      <c r="U8" s="217" t="b">
        <v>0</v>
      </c>
      <c r="V8" s="215" t="b">
        <v>0</v>
      </c>
      <c r="W8" s="219"/>
      <c r="X8" s="217" t="b">
        <v>0</v>
      </c>
      <c r="Y8" s="215" t="b">
        <v>0</v>
      </c>
      <c r="Z8" s="232"/>
      <c r="AA8" s="217" t="b">
        <v>0</v>
      </c>
      <c r="AB8" s="215" t="b">
        <v>0</v>
      </c>
      <c r="AC8" s="221"/>
      <c r="AD8" s="217" t="b">
        <v>0</v>
      </c>
      <c r="AE8" s="215" t="b">
        <v>0</v>
      </c>
      <c r="AF8" s="222"/>
      <c r="AG8" s="217" t="b">
        <v>0</v>
      </c>
      <c r="AH8" s="215" t="b">
        <v>0</v>
      </c>
      <c r="AI8" s="207"/>
      <c r="AJ8" s="217" t="b">
        <v>0</v>
      </c>
      <c r="AK8" s="215" t="b">
        <v>0</v>
      </c>
      <c r="AL8" s="224"/>
      <c r="AM8" s="217" t="b">
        <v>0</v>
      </c>
      <c r="AN8" s="215" t="b">
        <v>0</v>
      </c>
      <c r="AO8" s="207"/>
      <c r="AP8" s="207"/>
      <c r="AQ8" s="207"/>
      <c r="AR8" s="207"/>
      <c r="AS8" s="207"/>
      <c r="AT8" s="207"/>
      <c r="AU8" s="207"/>
      <c r="AV8" s="207"/>
      <c r="AW8" s="207"/>
      <c r="AX8" s="207"/>
      <c r="AY8" s="207"/>
      <c r="AZ8" s="207"/>
      <c r="BA8" s="207"/>
    </row>
    <row r="9">
      <c r="A9" s="207" t="str">
        <f>IFERROR(__xludf.DUMMYFUNCTION("""COMPUTED_VALUE"""),"CLSD CLAIMS")</f>
        <v>CLSD CLAIMS</v>
      </c>
      <c r="B9" s="209" t="str">
        <f>IFERROR(__xludf.DUMMYFUNCTION("""COMPUTED_VALUE"""),"Ivan")</f>
        <v>Ivan</v>
      </c>
      <c r="C9" s="209" t="str">
        <f>IFERROR(__xludf.DUMMYFUNCTION("""COMPUTED_VALUE"""),"Consuelo Mendoza")</f>
        <v>Consuelo Mendoza</v>
      </c>
      <c r="D9" s="209" t="str">
        <f>IFERROR(__xludf.DUMMYFUNCTION("""COMPUTED_VALUE"""),"863-832-1276")</f>
        <v>863-832-1276</v>
      </c>
      <c r="E9" s="209"/>
      <c r="F9" s="209" t="str">
        <f>IFERROR(__xludf.DUMMYFUNCTION("""COMPUTED_VALUE"""),"211 9th Ave N. Wauchula FL, 33873")</f>
        <v>211 9th Ave N. Wauchula FL, 33873</v>
      </c>
      <c r="G9" s="209" t="str">
        <f>IFERROR(__xludf.DUMMYFUNCTION("""COMPUTED_VALUE"""),"Hurricane Ian")</f>
        <v>Hurricane Ian</v>
      </c>
      <c r="H9" s="207"/>
      <c r="I9" s="217" t="b">
        <v>0</v>
      </c>
      <c r="J9" s="229" t="b">
        <v>0</v>
      </c>
      <c r="K9" s="238"/>
      <c r="L9" s="217" t="b">
        <v>0</v>
      </c>
      <c r="M9" s="215" t="b">
        <v>0</v>
      </c>
      <c r="N9" s="238"/>
      <c r="O9" s="210" t="b">
        <v>1</v>
      </c>
      <c r="P9" s="214" t="b">
        <v>1</v>
      </c>
      <c r="Q9" s="216" t="s">
        <v>1876</v>
      </c>
      <c r="R9" s="217" t="b">
        <v>0</v>
      </c>
      <c r="S9" s="215" t="b">
        <v>0</v>
      </c>
      <c r="T9" s="218"/>
      <c r="U9" s="217" t="b">
        <v>0</v>
      </c>
      <c r="V9" s="215" t="b">
        <v>0</v>
      </c>
      <c r="W9" s="219"/>
      <c r="X9" s="217" t="b">
        <v>0</v>
      </c>
      <c r="Y9" s="215" t="b">
        <v>0</v>
      </c>
      <c r="Z9" s="232"/>
      <c r="AA9" s="217" t="b">
        <v>0</v>
      </c>
      <c r="AB9" s="215" t="b">
        <v>0</v>
      </c>
      <c r="AC9" s="221"/>
      <c r="AD9" s="217" t="b">
        <v>0</v>
      </c>
      <c r="AE9" s="215" t="b">
        <v>0</v>
      </c>
      <c r="AF9" s="222"/>
      <c r="AG9" s="217" t="b">
        <v>0</v>
      </c>
      <c r="AH9" s="215" t="b">
        <v>0</v>
      </c>
      <c r="AI9" s="207"/>
      <c r="AJ9" s="217" t="b">
        <v>0</v>
      </c>
      <c r="AK9" s="215" t="b">
        <v>0</v>
      </c>
      <c r="AL9" s="224"/>
      <c r="AM9" s="217" t="b">
        <v>0</v>
      </c>
      <c r="AN9" s="215" t="b">
        <v>0</v>
      </c>
      <c r="AO9" s="207"/>
      <c r="AP9" s="207"/>
      <c r="AQ9" s="207"/>
      <c r="AR9" s="207"/>
      <c r="AS9" s="207"/>
      <c r="AT9" s="207"/>
      <c r="AU9" s="207"/>
      <c r="AV9" s="207"/>
      <c r="AW9" s="207"/>
      <c r="AX9" s="207"/>
      <c r="AY9" s="207"/>
      <c r="AZ9" s="207"/>
      <c r="BA9" s="207"/>
    </row>
    <row r="10">
      <c r="A10" s="207" t="str">
        <f>IFERROR(__xludf.DUMMYFUNCTION("""COMPUTED_VALUE"""),"CLSD CLAIMS")</f>
        <v>CLSD CLAIMS</v>
      </c>
      <c r="B10" s="209" t="str">
        <f>IFERROR(__xludf.DUMMYFUNCTION("""COMPUTED_VALUE"""),"Joshua")</f>
        <v>Joshua</v>
      </c>
      <c r="C10" s="209" t="str">
        <f>IFERROR(__xludf.DUMMYFUNCTION("""COMPUTED_VALUE"""),"Adela Olivo Ryals")</f>
        <v>Adela Olivo Ryals</v>
      </c>
      <c r="D10" s="209" t="str">
        <f>IFERROR(__xludf.DUMMYFUNCTION("""COMPUTED_VALUE"""),"863-864-9107")</f>
        <v>863-864-9107</v>
      </c>
      <c r="E10" s="209" t="str">
        <f>IFERROR(__xludf.DUMMYFUNCTION("""COMPUTED_VALUE"""),"dellaryals@gmail.com")</f>
        <v>dellaryals@gmail.com</v>
      </c>
      <c r="F10" s="209" t="str">
        <f>IFERROR(__xludf.DUMMYFUNCTION("""COMPUTED_VALUE"""),"5028 Myrick Ave Bowling Green, FL 33834")</f>
        <v>5028 Myrick Ave Bowling Green, FL 33834</v>
      </c>
      <c r="G10" s="209" t="str">
        <f>IFERROR(__xludf.DUMMYFUNCTION("""COMPUTED_VALUE"""),"Hurricane Ian")</f>
        <v>Hurricane Ian</v>
      </c>
      <c r="H10" s="207"/>
      <c r="I10" s="210" t="b">
        <v>1</v>
      </c>
      <c r="J10" s="212" t="b">
        <v>1</v>
      </c>
      <c r="K10" s="213" t="s">
        <v>1905</v>
      </c>
      <c r="L10" s="217" t="b">
        <v>0</v>
      </c>
      <c r="M10" s="215" t="b">
        <v>0</v>
      </c>
      <c r="N10" s="238"/>
      <c r="O10" s="217" t="b">
        <v>0</v>
      </c>
      <c r="P10" s="214" t="b">
        <v>0</v>
      </c>
      <c r="Q10" s="230"/>
      <c r="R10" s="217" t="b">
        <v>0</v>
      </c>
      <c r="S10" s="215" t="b">
        <v>0</v>
      </c>
      <c r="T10" s="218"/>
      <c r="U10" s="217" t="b">
        <v>0</v>
      </c>
      <c r="V10" s="215" t="b">
        <v>0</v>
      </c>
      <c r="W10" s="219"/>
      <c r="X10" s="217" t="b">
        <v>0</v>
      </c>
      <c r="Y10" s="215" t="b">
        <v>0</v>
      </c>
      <c r="Z10" s="232"/>
      <c r="AA10" s="217" t="b">
        <v>0</v>
      </c>
      <c r="AB10" s="215" t="b">
        <v>0</v>
      </c>
      <c r="AC10" s="221"/>
      <c r="AD10" s="217" t="b">
        <v>0</v>
      </c>
      <c r="AE10" s="215" t="b">
        <v>0</v>
      </c>
      <c r="AF10" s="222"/>
      <c r="AG10" s="217" t="b">
        <v>0</v>
      </c>
      <c r="AH10" s="215" t="b">
        <v>0</v>
      </c>
      <c r="AI10" s="207"/>
      <c r="AJ10" s="217" t="b">
        <v>0</v>
      </c>
      <c r="AK10" s="215" t="b">
        <v>0</v>
      </c>
      <c r="AL10" s="224"/>
      <c r="AM10" s="217" t="b">
        <v>0</v>
      </c>
      <c r="AN10" s="215" t="b">
        <v>0</v>
      </c>
      <c r="AO10" s="207"/>
      <c r="AP10" s="207"/>
      <c r="AQ10" s="207"/>
      <c r="AR10" s="207"/>
      <c r="AS10" s="207"/>
      <c r="AT10" s="207"/>
      <c r="AU10" s="207"/>
      <c r="AV10" s="207"/>
      <c r="AW10" s="207"/>
      <c r="AX10" s="207"/>
      <c r="AY10" s="207"/>
      <c r="AZ10" s="207"/>
      <c r="BA10" s="207"/>
    </row>
    <row r="11">
      <c r="A11" s="207" t="str">
        <f>IFERROR(__xludf.DUMMYFUNCTION("""COMPUTED_VALUE"""),"CLSD CLAIMS")</f>
        <v>CLSD CLAIMS</v>
      </c>
      <c r="B11" s="209" t="str">
        <f>IFERROR(__xludf.DUMMYFUNCTION("""COMPUTED_VALUE"""),"Jakey")</f>
        <v>Jakey</v>
      </c>
      <c r="C11" s="209" t="str">
        <f>IFERROR(__xludf.DUMMYFUNCTION("""COMPUTED_VALUE"""),"Ella McMillan")</f>
        <v>Ella McMillan</v>
      </c>
      <c r="D11" s="209" t="str">
        <f>IFERROR(__xludf.DUMMYFUNCTION("""COMPUTED_VALUE"""),"863-410-4785")</f>
        <v>863-410-4785</v>
      </c>
      <c r="E11" s="209" t="str">
        <f>IFERROR(__xludf.DUMMYFUNCTION("""COMPUTED_VALUE"""),"ellamcmlln@gmail.com")</f>
        <v>ellamcmlln@gmail.com</v>
      </c>
      <c r="F11" s="209" t="str">
        <f>IFERROR(__xludf.DUMMYFUNCTION("""COMPUTED_VALUE"""),"809 S Morrison Ave Fort Meade, FL 33841")</f>
        <v>809 S Morrison Ave Fort Meade, FL 33841</v>
      </c>
      <c r="G11" s="209" t="str">
        <f>IFERROR(__xludf.DUMMYFUNCTION("""COMPUTED_VALUE"""),"Hurricane Ian")</f>
        <v>Hurricane Ian</v>
      </c>
      <c r="H11" s="207"/>
      <c r="I11" s="210" t="b">
        <v>1</v>
      </c>
      <c r="J11" s="212" t="b">
        <v>1</v>
      </c>
      <c r="K11" s="213" t="s">
        <v>1932</v>
      </c>
      <c r="L11" s="217" t="b">
        <v>0</v>
      </c>
      <c r="M11" s="215" t="b">
        <v>0</v>
      </c>
      <c r="N11" s="238"/>
      <c r="O11" s="210" t="b">
        <v>1</v>
      </c>
      <c r="P11" s="214" t="b">
        <v>1</v>
      </c>
      <c r="Q11" s="216" t="s">
        <v>1935</v>
      </c>
      <c r="R11" s="217" t="b">
        <v>0</v>
      </c>
      <c r="S11" s="215" t="b">
        <v>0</v>
      </c>
      <c r="T11" s="218"/>
      <c r="U11" s="217" t="b">
        <v>0</v>
      </c>
      <c r="V11" s="215" t="b">
        <v>0</v>
      </c>
      <c r="W11" s="219"/>
      <c r="X11" s="217" t="b">
        <v>0</v>
      </c>
      <c r="Y11" s="215" t="b">
        <v>0</v>
      </c>
      <c r="Z11" s="232"/>
      <c r="AA11" s="217" t="b">
        <v>0</v>
      </c>
      <c r="AB11" s="215" t="b">
        <v>0</v>
      </c>
      <c r="AC11" s="221"/>
      <c r="AD11" s="217" t="b">
        <v>0</v>
      </c>
      <c r="AE11" s="215" t="b">
        <v>0</v>
      </c>
      <c r="AF11" s="222"/>
      <c r="AG11" s="217" t="b">
        <v>0</v>
      </c>
      <c r="AH11" s="215" t="b">
        <v>0</v>
      </c>
      <c r="AI11" s="207"/>
      <c r="AJ11" s="217" t="b">
        <v>0</v>
      </c>
      <c r="AK11" s="215" t="b">
        <v>0</v>
      </c>
      <c r="AL11" s="224"/>
      <c r="AM11" s="217" t="b">
        <v>0</v>
      </c>
      <c r="AN11" s="215" t="b">
        <v>0</v>
      </c>
      <c r="AO11" s="207"/>
      <c r="AP11" s="207"/>
      <c r="AQ11" s="207"/>
      <c r="AR11" s="207"/>
      <c r="AS11" s="207"/>
      <c r="AT11" s="207"/>
      <c r="AU11" s="207"/>
      <c r="AV11" s="207"/>
      <c r="AW11" s="207"/>
      <c r="AX11" s="207"/>
      <c r="AY11" s="207"/>
      <c r="AZ11" s="207"/>
      <c r="BA11" s="207"/>
    </row>
    <row r="12">
      <c r="A12" s="207" t="str">
        <f>IFERROR(__xludf.DUMMYFUNCTION("""COMPUTED_VALUE"""),"CLSD CLAIMS")</f>
        <v>CLSD CLAIMS</v>
      </c>
      <c r="B12" s="209" t="str">
        <f>IFERROR(__xludf.DUMMYFUNCTION("""COMPUTED_VALUE"""),"Ivan")</f>
        <v>Ivan</v>
      </c>
      <c r="C12" s="209" t="str">
        <f>IFERROR(__xludf.DUMMYFUNCTION("""COMPUTED_VALUE"""),"Kathleen Torrens (Levis)")</f>
        <v>Kathleen Torrens (Levis)</v>
      </c>
      <c r="D12" s="209" t="str">
        <f>IFERROR(__xludf.DUMMYFUNCTION("""COMPUTED_VALUE"""),"786-397-0207 (Levis)")</f>
        <v>786-397-0207 (Levis)</v>
      </c>
      <c r="E12" s="209" t="str">
        <f>IFERROR(__xludf.DUMMYFUNCTION("""COMPUTED_VALUE"""),"ktorrens1992@yahoo.com")</f>
        <v>ktorrens1992@yahoo.com</v>
      </c>
      <c r="F12" s="209" t="str">
        <f>IFERROR(__xludf.DUMMYFUNCTION("""COMPUTED_VALUE"""),"13731 SW 84th St Unit C-11 Miami, FL 33183")</f>
        <v>13731 SW 84th St Unit C-11 Miami, FL 33183</v>
      </c>
      <c r="G12" s="209" t="str">
        <f>IFERROR(__xludf.DUMMYFUNCTION("""COMPUTED_VALUE"""),"Hurricane Ian")</f>
        <v>Hurricane Ian</v>
      </c>
      <c r="H12" s="207"/>
      <c r="I12" s="210" t="b">
        <v>1</v>
      </c>
      <c r="J12" s="212" t="b">
        <v>1</v>
      </c>
      <c r="K12" s="213" t="s">
        <v>1955</v>
      </c>
      <c r="L12" s="217" t="b">
        <v>0</v>
      </c>
      <c r="M12" s="215" t="b">
        <v>0</v>
      </c>
      <c r="N12" s="238"/>
      <c r="O12" s="210" t="b">
        <v>1</v>
      </c>
      <c r="P12" s="214" t="b">
        <v>1</v>
      </c>
      <c r="Q12" s="216" t="s">
        <v>1962</v>
      </c>
      <c r="R12" s="217" t="b">
        <v>0</v>
      </c>
      <c r="S12" s="215" t="b">
        <v>0</v>
      </c>
      <c r="T12" s="218"/>
      <c r="U12" s="217" t="b">
        <v>0</v>
      </c>
      <c r="V12" s="215" t="b">
        <v>0</v>
      </c>
      <c r="W12" s="219"/>
      <c r="X12" s="217" t="b">
        <v>0</v>
      </c>
      <c r="Y12" s="215" t="b">
        <v>0</v>
      </c>
      <c r="Z12" s="232"/>
      <c r="AA12" s="217" t="b">
        <v>0</v>
      </c>
      <c r="AB12" s="215" t="b">
        <v>0</v>
      </c>
      <c r="AC12" s="221"/>
      <c r="AD12" s="217" t="b">
        <v>0</v>
      </c>
      <c r="AE12" s="215" t="b">
        <v>0</v>
      </c>
      <c r="AF12" s="222"/>
      <c r="AG12" s="217" t="b">
        <v>0</v>
      </c>
      <c r="AH12" s="215" t="b">
        <v>0</v>
      </c>
      <c r="AI12" s="207"/>
      <c r="AJ12" s="217" t="b">
        <v>0</v>
      </c>
      <c r="AK12" s="215" t="b">
        <v>0</v>
      </c>
      <c r="AL12" s="224"/>
      <c r="AM12" s="217" t="b">
        <v>0</v>
      </c>
      <c r="AN12" s="215" t="b">
        <v>0</v>
      </c>
      <c r="AO12" s="207"/>
      <c r="AP12" s="207"/>
      <c r="AQ12" s="207"/>
      <c r="AR12" s="207"/>
      <c r="AS12" s="207"/>
      <c r="AT12" s="207"/>
      <c r="AU12" s="207"/>
      <c r="AV12" s="207"/>
      <c r="AW12" s="207"/>
      <c r="AX12" s="207"/>
      <c r="AY12" s="207"/>
      <c r="AZ12" s="207"/>
      <c r="BA12" s="207"/>
    </row>
    <row r="13">
      <c r="A13" s="207" t="str">
        <f>IFERROR(__xludf.DUMMYFUNCTION("""COMPUTED_VALUE"""),"CLSD CLAIMS")</f>
        <v>CLSD CLAIMS</v>
      </c>
      <c r="B13" s="209" t="str">
        <f>IFERROR(__xludf.DUMMYFUNCTION("""COMPUTED_VALUE"""),"Joshua")</f>
        <v>Joshua</v>
      </c>
      <c r="C13" s="209" t="str">
        <f>IFERROR(__xludf.DUMMYFUNCTION("""COMPUTED_VALUE"""),"Gil Perez Hawkins")</f>
        <v>Gil Perez Hawkins</v>
      </c>
      <c r="D13" s="209" t="str">
        <f>IFERROR(__xludf.DUMMYFUNCTION("""COMPUTED_VALUE"""),"239-200-8783")</f>
        <v>239-200-8783</v>
      </c>
      <c r="E13" s="209" t="str">
        <f>IFERROR(__xludf.DUMMYFUNCTION("""COMPUTED_VALUE"""),"worldman7201@hotmail.com")</f>
        <v>worldman7201@hotmail.com</v>
      </c>
      <c r="F13" s="209" t="str">
        <f>IFERROR(__xludf.DUMMYFUNCTION("""COMPUTED_VALUE"""),"442 NE Van Loon Ln Cape Coral Fl 33909")</f>
        <v>442 NE Van Loon Ln Cape Coral Fl 33909</v>
      </c>
      <c r="G13" s="209" t="str">
        <f>IFERROR(__xludf.DUMMYFUNCTION("""COMPUTED_VALUE"""),"Hurricane Ian")</f>
        <v>Hurricane Ian</v>
      </c>
      <c r="H13" s="207"/>
      <c r="I13" s="210" t="b">
        <v>1</v>
      </c>
      <c r="J13" s="212" t="b">
        <v>1</v>
      </c>
      <c r="K13" s="213" t="s">
        <v>1976</v>
      </c>
      <c r="L13" s="217" t="b">
        <v>0</v>
      </c>
      <c r="M13" s="215" t="b">
        <v>0</v>
      </c>
      <c r="N13" s="238"/>
      <c r="O13" s="210" t="b">
        <v>1</v>
      </c>
      <c r="P13" s="214" t="b">
        <v>1</v>
      </c>
      <c r="Q13" s="216" t="s">
        <v>1979</v>
      </c>
      <c r="R13" s="217" t="b">
        <v>0</v>
      </c>
      <c r="S13" s="215" t="b">
        <v>0</v>
      </c>
      <c r="T13" s="218"/>
      <c r="U13" s="217" t="b">
        <v>0</v>
      </c>
      <c r="V13" s="215" t="b">
        <v>0</v>
      </c>
      <c r="W13" s="219"/>
      <c r="X13" s="217" t="b">
        <v>0</v>
      </c>
      <c r="Y13" s="215" t="b">
        <v>0</v>
      </c>
      <c r="Z13" s="232"/>
      <c r="AA13" s="217" t="b">
        <v>0</v>
      </c>
      <c r="AB13" s="215" t="b">
        <v>0</v>
      </c>
      <c r="AC13" s="221"/>
      <c r="AD13" s="217" t="b">
        <v>0</v>
      </c>
      <c r="AE13" s="215" t="b">
        <v>0</v>
      </c>
      <c r="AF13" s="222"/>
      <c r="AG13" s="217" t="b">
        <v>0</v>
      </c>
      <c r="AH13" s="215" t="b">
        <v>0</v>
      </c>
      <c r="AI13" s="207"/>
      <c r="AJ13" s="217" t="b">
        <v>0</v>
      </c>
      <c r="AK13" s="215" t="b">
        <v>0</v>
      </c>
      <c r="AL13" s="224"/>
      <c r="AM13" s="217" t="b">
        <v>0</v>
      </c>
      <c r="AN13" s="215" t="b">
        <v>0</v>
      </c>
      <c r="AO13" s="207"/>
      <c r="AP13" s="207"/>
      <c r="AQ13" s="207"/>
      <c r="AR13" s="207"/>
      <c r="AS13" s="207"/>
      <c r="AT13" s="207"/>
      <c r="AU13" s="207"/>
      <c r="AV13" s="207"/>
      <c r="AW13" s="207"/>
      <c r="AX13" s="207"/>
      <c r="AY13" s="207"/>
      <c r="AZ13" s="207"/>
      <c r="BA13" s="207"/>
    </row>
    <row r="14">
      <c r="A14" s="207" t="str">
        <f>IFERROR(__xludf.DUMMYFUNCTION("""COMPUTED_VALUE"""),"CLSD CLAIMS")</f>
        <v>CLSD CLAIMS</v>
      </c>
      <c r="B14" s="209" t="str">
        <f>IFERROR(__xludf.DUMMYFUNCTION("""COMPUTED_VALUE"""),"Ivan")</f>
        <v>Ivan</v>
      </c>
      <c r="C14" s="209" t="str">
        <f>IFERROR(__xludf.DUMMYFUNCTION("""COMPUTED_VALUE"""),"Oak Park Villas of Brevard Condominium Association Inc")</f>
        <v>Oak Park Villas of Brevard Condominium Association Inc</v>
      </c>
      <c r="D14" s="209" t="str">
        <f>IFERROR(__xludf.DUMMYFUNCTION("""COMPUTED_VALUE"""),"Travis Gardner 321-313-3310")</f>
        <v>Travis Gardner 321-313-3310</v>
      </c>
      <c r="E14" s="209" t="str">
        <f>IFERROR(__xludf.DUMMYFUNCTION("""COMPUTED_VALUE"""),"gggred42@gmail.com")</f>
        <v>gggred42@gmail.com</v>
      </c>
      <c r="F14" s="209" t="str">
        <f>IFERROR(__xludf.DUMMYFUNCTION("""COMPUTED_VALUE"""),"3600 Dairy Road Titusville, FL 32796")</f>
        <v>3600 Dairy Road Titusville, FL 32796</v>
      </c>
      <c r="G14" s="209" t="str">
        <f>IFERROR(__xludf.DUMMYFUNCTION("""COMPUTED_VALUE"""),"Windstorm")</f>
        <v>Windstorm</v>
      </c>
      <c r="H14" s="207"/>
      <c r="I14" s="210" t="b">
        <v>1</v>
      </c>
      <c r="J14" s="212" t="b">
        <v>1</v>
      </c>
      <c r="K14" s="213" t="s">
        <v>1998</v>
      </c>
      <c r="L14" s="217" t="b">
        <v>0</v>
      </c>
      <c r="M14" s="215" t="b">
        <v>0</v>
      </c>
      <c r="N14" s="238"/>
      <c r="O14" s="217" t="b">
        <v>0</v>
      </c>
      <c r="P14" s="215" t="b">
        <v>0</v>
      </c>
      <c r="Q14" s="230"/>
      <c r="R14" s="217" t="b">
        <v>0</v>
      </c>
      <c r="S14" s="215" t="b">
        <v>0</v>
      </c>
      <c r="T14" s="218"/>
      <c r="U14" s="217" t="b">
        <v>0</v>
      </c>
      <c r="V14" s="215" t="b">
        <v>0</v>
      </c>
      <c r="W14" s="219"/>
      <c r="X14" s="217" t="b">
        <v>0</v>
      </c>
      <c r="Y14" s="215" t="b">
        <v>0</v>
      </c>
      <c r="Z14" s="232"/>
      <c r="AA14" s="217" t="b">
        <v>0</v>
      </c>
      <c r="AB14" s="214" t="b">
        <v>0</v>
      </c>
      <c r="AC14" s="221"/>
      <c r="AD14" s="217" t="b">
        <v>0</v>
      </c>
      <c r="AE14" s="214" t="b">
        <v>0</v>
      </c>
      <c r="AF14" s="222"/>
      <c r="AG14" s="217" t="b">
        <v>0</v>
      </c>
      <c r="AH14" s="214" t="b">
        <v>0</v>
      </c>
      <c r="AI14" s="207"/>
      <c r="AJ14" s="217" t="b">
        <v>0</v>
      </c>
      <c r="AK14" s="214" t="b">
        <v>0</v>
      </c>
      <c r="AL14" s="224"/>
      <c r="AM14" s="217" t="b">
        <v>0</v>
      </c>
      <c r="AN14" s="214" t="b">
        <v>0</v>
      </c>
      <c r="AO14" s="207"/>
      <c r="AP14" s="207"/>
      <c r="AQ14" s="207"/>
      <c r="AR14" s="207"/>
      <c r="AS14" s="207"/>
      <c r="AT14" s="207"/>
      <c r="AU14" s="207"/>
      <c r="AV14" s="207"/>
      <c r="AW14" s="207"/>
      <c r="AX14" s="207"/>
      <c r="AY14" s="207"/>
      <c r="AZ14" s="207"/>
      <c r="BA14" s="207"/>
    </row>
    <row r="15">
      <c r="A15" s="207" t="str">
        <f>IFERROR(__xludf.DUMMYFUNCTION("""COMPUTED_VALUE"""),"CLSD CLAIMS")</f>
        <v>CLSD CLAIMS</v>
      </c>
      <c r="B15" s="209" t="str">
        <f>IFERROR(__xludf.DUMMYFUNCTION("""COMPUTED_VALUE"""),"David")</f>
        <v>David</v>
      </c>
      <c r="C15" s="209" t="str">
        <f>IFERROR(__xludf.DUMMYFUNCTION("""COMPUTED_VALUE"""),"Claire Gladley ")</f>
        <v>Claire Gladley </v>
      </c>
      <c r="D15" s="209" t="str">
        <f>IFERROR(__xludf.DUMMYFUNCTION("""COMPUTED_VALUE"""),"863-712-2976")</f>
        <v>863-712-2976</v>
      </c>
      <c r="E15" s="209" t="str">
        <f>IFERROR(__xludf.DUMMYFUNCTION("""COMPUTED_VALUE"""),"cglad2002@yahoo.com")</f>
        <v>cglad2002@yahoo.com</v>
      </c>
      <c r="F15" s="209" t="str">
        <f>IFERROR(__xludf.DUMMYFUNCTION("""COMPUTED_VALUE"""),"1031 Beach Lane, Winter Haven Fl 33880")</f>
        <v>1031 Beach Lane, Winter Haven Fl 33880</v>
      </c>
      <c r="G15" s="209" t="str">
        <f>IFERROR(__xludf.DUMMYFUNCTION("""COMPUTED_VALUE"""),"Hurricane Ian")</f>
        <v>Hurricane Ian</v>
      </c>
      <c r="H15" s="207"/>
      <c r="I15" s="210" t="b">
        <v>1</v>
      </c>
      <c r="J15" s="212" t="b">
        <v>1</v>
      </c>
      <c r="K15" s="213" t="s">
        <v>2027</v>
      </c>
      <c r="L15" s="217" t="b">
        <v>0</v>
      </c>
      <c r="M15" s="215" t="b">
        <v>0</v>
      </c>
      <c r="N15" s="238"/>
      <c r="O15" s="210" t="b">
        <v>1</v>
      </c>
      <c r="P15" s="214" t="b">
        <v>1</v>
      </c>
      <c r="Q15" s="216" t="s">
        <v>2031</v>
      </c>
      <c r="R15" s="217" t="b">
        <v>0</v>
      </c>
      <c r="S15" s="215" t="b">
        <v>0</v>
      </c>
      <c r="T15" s="218"/>
      <c r="U15" s="217" t="b">
        <v>0</v>
      </c>
      <c r="V15" s="215" t="b">
        <v>0</v>
      </c>
      <c r="W15" s="219"/>
      <c r="X15" s="217" t="b">
        <v>0</v>
      </c>
      <c r="Y15" s="215" t="b">
        <v>0</v>
      </c>
      <c r="Z15" s="232"/>
      <c r="AA15" s="217" t="b">
        <v>0</v>
      </c>
      <c r="AB15" s="215" t="b">
        <v>0</v>
      </c>
      <c r="AC15" s="221"/>
      <c r="AD15" s="217" t="b">
        <v>0</v>
      </c>
      <c r="AE15" s="215" t="b">
        <v>0</v>
      </c>
      <c r="AF15" s="222"/>
      <c r="AG15" s="217" t="b">
        <v>0</v>
      </c>
      <c r="AH15" s="215" t="b">
        <v>0</v>
      </c>
      <c r="AI15" s="207"/>
      <c r="AJ15" s="217" t="b">
        <v>0</v>
      </c>
      <c r="AK15" s="215" t="b">
        <v>0</v>
      </c>
      <c r="AL15" s="224"/>
      <c r="AM15" s="217" t="b">
        <v>0</v>
      </c>
      <c r="AN15" s="215" t="b">
        <v>0</v>
      </c>
      <c r="AO15" s="207"/>
      <c r="AP15" s="207"/>
      <c r="AQ15" s="207"/>
      <c r="AR15" s="207"/>
      <c r="AS15" s="207"/>
      <c r="AT15" s="207"/>
      <c r="AU15" s="207"/>
      <c r="AV15" s="207"/>
      <c r="AW15" s="207"/>
      <c r="AX15" s="207"/>
      <c r="AY15" s="207"/>
      <c r="AZ15" s="207"/>
      <c r="BA15" s="207"/>
    </row>
    <row r="16">
      <c r="A16" s="207" t="str">
        <f>IFERROR(__xludf.DUMMYFUNCTION("""COMPUTED_VALUE"""),"CLSD CLAIMS")</f>
        <v>CLSD CLAIMS</v>
      </c>
      <c r="B16" s="209" t="str">
        <f>IFERROR(__xludf.DUMMYFUNCTION("""COMPUTED_VALUE"""),"Joshua")</f>
        <v>Joshua</v>
      </c>
      <c r="C16" s="209" t="str">
        <f>IFERROR(__xludf.DUMMYFUNCTION("""COMPUTED_VALUE"""),"Patricia Sigala")</f>
        <v>Patricia Sigala</v>
      </c>
      <c r="D16" s="209" t="str">
        <f>IFERROR(__xludf.DUMMYFUNCTION("""COMPUTED_VALUE"""),"863-245-7195")</f>
        <v>863-245-7195</v>
      </c>
      <c r="E16" s="209" t="str">
        <f>IFERROR(__xludf.DUMMYFUNCTION("""COMPUTED_VALUE"""),"Pathy66@icloud.com")</f>
        <v>Pathy66@icloud.com</v>
      </c>
      <c r="F16" s="209" t="str">
        <f>IFERROR(__xludf.DUMMYFUNCTION("""COMPUTED_VALUE"""),"342 Rainey Blvd Wauchula, FL 33873")</f>
        <v>342 Rainey Blvd Wauchula, FL 33873</v>
      </c>
      <c r="G16" s="209" t="str">
        <f>IFERROR(__xludf.DUMMYFUNCTION("""COMPUTED_VALUE"""),"Windstorm")</f>
        <v>Windstorm</v>
      </c>
      <c r="H16" s="207"/>
      <c r="I16" s="210" t="b">
        <v>1</v>
      </c>
      <c r="J16" s="212" t="b">
        <v>1</v>
      </c>
      <c r="K16" s="213" t="s">
        <v>2062</v>
      </c>
      <c r="L16" s="217" t="b">
        <v>0</v>
      </c>
      <c r="M16" s="215" t="b">
        <v>0</v>
      </c>
      <c r="N16" s="238"/>
      <c r="O16" s="217" t="b">
        <v>0</v>
      </c>
      <c r="P16" s="215" t="b">
        <v>0</v>
      </c>
      <c r="Q16" s="230"/>
      <c r="R16" s="217" t="b">
        <v>0</v>
      </c>
      <c r="S16" s="215" t="b">
        <v>0</v>
      </c>
      <c r="T16" s="218"/>
      <c r="U16" s="217" t="b">
        <v>0</v>
      </c>
      <c r="V16" s="215" t="b">
        <v>0</v>
      </c>
      <c r="W16" s="219"/>
      <c r="X16" s="217" t="b">
        <v>0</v>
      </c>
      <c r="Y16" s="215" t="b">
        <v>0</v>
      </c>
      <c r="Z16" s="232"/>
      <c r="AA16" s="217" t="b">
        <v>0</v>
      </c>
      <c r="AB16" s="215" t="b">
        <v>0</v>
      </c>
      <c r="AC16" s="221"/>
      <c r="AD16" s="210" t="b">
        <v>1</v>
      </c>
      <c r="AE16" s="214" t="b">
        <v>1</v>
      </c>
      <c r="AF16" s="256"/>
      <c r="AG16" s="210" t="b">
        <v>1</v>
      </c>
      <c r="AH16" s="214" t="b">
        <v>1</v>
      </c>
      <c r="AI16" s="258" t="s">
        <v>2087</v>
      </c>
      <c r="AJ16" s="217" t="b">
        <v>0</v>
      </c>
      <c r="AK16" s="215" t="b">
        <v>0</v>
      </c>
      <c r="AL16" s="260"/>
      <c r="AM16" s="217" t="b">
        <v>0</v>
      </c>
      <c r="AN16" s="215" t="b">
        <v>0</v>
      </c>
      <c r="AO16" s="207"/>
      <c r="AP16" s="207"/>
      <c r="AQ16" s="207"/>
      <c r="AR16" s="207"/>
      <c r="AS16" s="207"/>
      <c r="AT16" s="207"/>
      <c r="AU16" s="207"/>
      <c r="AV16" s="207"/>
      <c r="AW16" s="207"/>
      <c r="AX16" s="207"/>
      <c r="AY16" s="207"/>
      <c r="AZ16" s="207"/>
      <c r="BA16" s="207"/>
    </row>
    <row r="17">
      <c r="A17" s="207" t="str">
        <f>IFERROR(__xludf.DUMMYFUNCTION("""COMPUTED_VALUE"""),"CLSD CLAIMS")</f>
        <v>CLSD CLAIMS</v>
      </c>
      <c r="B17" s="209" t="str">
        <f>IFERROR(__xludf.DUMMYFUNCTION("""COMPUTED_VALUE"""),"Joshua")</f>
        <v>Joshua</v>
      </c>
      <c r="C17" s="209" t="str">
        <f>IFERROR(__xludf.DUMMYFUNCTION("""COMPUTED_VALUE"""),"Maria Suarez")</f>
        <v>Maria Suarez</v>
      </c>
      <c r="D17" s="209" t="str">
        <f>IFERROR(__xludf.DUMMYFUNCTION("""COMPUTED_VALUE"""),"863-245-8889")</f>
        <v>863-245-8889</v>
      </c>
      <c r="E17" s="209" t="str">
        <f>IFERROR(__xludf.DUMMYFUNCTION("""COMPUTED_VALUE"""),"leosuarez863@gmail.com")</f>
        <v>leosuarez863@gmail.com</v>
      </c>
      <c r="F17" s="209" t="str">
        <f>IFERROR(__xludf.DUMMYFUNCTION("""COMPUTED_VALUE"""),"311 Keaton Rd Wauchula, FL 33873")</f>
        <v>311 Keaton Rd Wauchula, FL 33873</v>
      </c>
      <c r="G17" s="209" t="str">
        <f>IFERROR(__xludf.DUMMYFUNCTION("""COMPUTED_VALUE"""),"Hurricane Ian")</f>
        <v>Hurricane Ian</v>
      </c>
      <c r="H17" s="207"/>
      <c r="I17" s="217" t="b">
        <v>0</v>
      </c>
      <c r="J17" s="229" t="b">
        <v>0</v>
      </c>
      <c r="K17" s="238"/>
      <c r="L17" s="217" t="b">
        <v>0</v>
      </c>
      <c r="M17" s="215" t="b">
        <v>0</v>
      </c>
      <c r="N17" s="213" t="s">
        <v>2114</v>
      </c>
      <c r="O17" s="210" t="b">
        <v>1</v>
      </c>
      <c r="P17" s="214" t="b">
        <v>1</v>
      </c>
      <c r="Q17" s="216" t="s">
        <v>2117</v>
      </c>
      <c r="R17" s="217" t="b">
        <v>0</v>
      </c>
      <c r="S17" s="215" t="b">
        <v>0</v>
      </c>
      <c r="T17" s="218"/>
      <c r="U17" s="217" t="b">
        <v>0</v>
      </c>
      <c r="V17" s="215" t="b">
        <v>0</v>
      </c>
      <c r="W17" s="219"/>
      <c r="X17" s="217" t="b">
        <v>0</v>
      </c>
      <c r="Y17" s="215" t="b">
        <v>0</v>
      </c>
      <c r="Z17" s="232"/>
      <c r="AA17" s="217" t="b">
        <v>0</v>
      </c>
      <c r="AB17" s="215" t="b">
        <v>0</v>
      </c>
      <c r="AC17" s="221"/>
      <c r="AD17" s="217" t="b">
        <v>0</v>
      </c>
      <c r="AE17" s="215" t="b">
        <v>0</v>
      </c>
      <c r="AF17" s="222"/>
      <c r="AG17" s="217" t="b">
        <v>0</v>
      </c>
      <c r="AH17" s="215" t="b">
        <v>0</v>
      </c>
      <c r="AI17" s="207"/>
      <c r="AJ17" s="217" t="b">
        <v>0</v>
      </c>
      <c r="AK17" s="215" t="b">
        <v>0</v>
      </c>
      <c r="AL17" s="224"/>
      <c r="AM17" s="217" t="b">
        <v>0</v>
      </c>
      <c r="AN17" s="215" t="b">
        <v>0</v>
      </c>
      <c r="AO17" s="207"/>
      <c r="AP17" s="207"/>
      <c r="AQ17" s="207"/>
      <c r="AR17" s="207"/>
      <c r="AS17" s="207"/>
      <c r="AT17" s="207"/>
      <c r="AU17" s="207"/>
      <c r="AV17" s="207"/>
      <c r="AW17" s="207"/>
      <c r="AX17" s="207"/>
      <c r="AY17" s="207"/>
      <c r="AZ17" s="207"/>
      <c r="BA17" s="207"/>
    </row>
    <row r="18">
      <c r="A18" s="165" t="str">
        <f>IFERROR(__xludf.DUMMYFUNCTION("""COMPUTED_VALUE"""),"CLSD CLAIMS")</f>
        <v>CLSD CLAIMS</v>
      </c>
      <c r="B18" s="166" t="str">
        <f>IFERROR(__xludf.DUMMYFUNCTION("""COMPUTED_VALUE"""),"Jakey")</f>
        <v>Jakey</v>
      </c>
      <c r="C18" s="267" t="str">
        <f>IFERROR(__xludf.DUMMYFUNCTION("""COMPUTED_VALUE"""),"Amber Westberry")</f>
        <v>Amber Westberry</v>
      </c>
      <c r="D18" s="166" t="str">
        <f>IFERROR(__xludf.DUMMYFUNCTION("""COMPUTED_VALUE"""),"863-245-5652")</f>
        <v>863-245-5652</v>
      </c>
      <c r="E18" s="166" t="str">
        <f>IFERROR(__xludf.DUMMYFUNCTION("""COMPUTED_VALUE"""),"awestbe2@gmail.com")</f>
        <v>awestbe2@gmail.com</v>
      </c>
      <c r="F18" s="166" t="str">
        <f>IFERROR(__xludf.DUMMYFUNCTION("""COMPUTED_VALUE"""),"411 E Oak St Wauchula, FL 33873")</f>
        <v>411 E Oak St Wauchula, FL 33873</v>
      </c>
      <c r="G18" s="166" t="str">
        <f>IFERROR(__xludf.DUMMYFUNCTION("""COMPUTED_VALUE"""),"Hurricane Ian")</f>
        <v>Hurricane Ian</v>
      </c>
      <c r="H18" s="166" t="str">
        <f>IFERROR(__xludf.DUMMYFUNCTION("""COMPUTED_VALUE"""),"New Claim")</f>
        <v>New Claim</v>
      </c>
      <c r="I18" s="173" t="b">
        <v>0</v>
      </c>
      <c r="J18" s="176" t="b">
        <v>0</v>
      </c>
      <c r="K18" s="178"/>
      <c r="L18" s="190" t="b">
        <v>1</v>
      </c>
      <c r="M18" s="192" t="b">
        <v>1</v>
      </c>
      <c r="N18" s="268" t="s">
        <v>2155</v>
      </c>
      <c r="O18" s="173" t="b">
        <v>0</v>
      </c>
      <c r="P18" s="226" t="b">
        <v>0</v>
      </c>
      <c r="Q18" s="227"/>
      <c r="R18" s="190" t="b">
        <v>1</v>
      </c>
      <c r="S18" s="192" t="b">
        <v>1</v>
      </c>
      <c r="T18" s="194" t="s">
        <v>2166</v>
      </c>
      <c r="U18" s="173" t="b">
        <v>0</v>
      </c>
      <c r="V18" s="226" t="b">
        <v>0</v>
      </c>
      <c r="W18" s="195"/>
      <c r="X18" s="173" t="b">
        <v>0</v>
      </c>
      <c r="Y18" s="226" t="b">
        <v>0</v>
      </c>
      <c r="Z18" s="197"/>
      <c r="AA18" s="173" t="b">
        <v>0</v>
      </c>
      <c r="AB18" s="226" t="b">
        <v>0</v>
      </c>
      <c r="AC18" s="200"/>
      <c r="AD18" s="173" t="b">
        <v>0</v>
      </c>
      <c r="AE18" s="226" t="b">
        <v>0</v>
      </c>
      <c r="AF18" s="202"/>
      <c r="AG18" s="173" t="b">
        <v>0</v>
      </c>
      <c r="AH18" s="226" t="b">
        <v>0</v>
      </c>
      <c r="AI18" s="165"/>
      <c r="AJ18" s="190" t="b">
        <v>1</v>
      </c>
      <c r="AK18" s="192" t="b">
        <v>1</v>
      </c>
      <c r="AL18" s="270" t="s">
        <v>2180</v>
      </c>
      <c r="AM18" s="190" t="b">
        <v>0</v>
      </c>
      <c r="AN18" s="192" t="b">
        <v>0</v>
      </c>
      <c r="AO18" s="165"/>
      <c r="AP18" s="165"/>
      <c r="AQ18" s="165"/>
      <c r="AR18" s="165"/>
      <c r="AS18" s="165"/>
      <c r="AT18" s="165"/>
      <c r="AU18" s="165"/>
      <c r="AV18" s="165"/>
      <c r="AW18" s="165"/>
      <c r="AX18" s="165"/>
      <c r="AY18" s="165"/>
      <c r="AZ18" s="165"/>
      <c r="BA18" s="165"/>
    </row>
    <row r="19">
      <c r="A19" s="207" t="str">
        <f>IFERROR(__xludf.DUMMYFUNCTION("""COMPUTED_VALUE"""),"CLSD CLAIMS")</f>
        <v>CLSD CLAIMS</v>
      </c>
      <c r="B19" s="209" t="str">
        <f>IFERROR(__xludf.DUMMYFUNCTION("""COMPUTED_VALUE"""),"Joshua")</f>
        <v>Joshua</v>
      </c>
      <c r="C19" s="209" t="str">
        <f>IFERROR(__xludf.DUMMYFUNCTION("""COMPUTED_VALUE"""),"Adela Olivo Ryals")</f>
        <v>Adela Olivo Ryals</v>
      </c>
      <c r="D19" s="209" t="str">
        <f>IFERROR(__xludf.DUMMYFUNCTION("""COMPUTED_VALUE"""),"863-864-9107")</f>
        <v>863-864-9107</v>
      </c>
      <c r="E19" s="209" t="str">
        <f>IFERROR(__xludf.DUMMYFUNCTION("""COMPUTED_VALUE"""),"dellaryals@gmail.com")</f>
        <v>dellaryals@gmail.com</v>
      </c>
      <c r="F19" s="209" t="str">
        <f>IFERROR(__xludf.DUMMYFUNCTION("""COMPUTED_VALUE"""),"5028 Myrick Ave Bowling Green, FL 33834")</f>
        <v>5028 Myrick Ave Bowling Green, FL 33834</v>
      </c>
      <c r="G19" s="209" t="str">
        <f>IFERROR(__xludf.DUMMYFUNCTION("""COMPUTED_VALUE"""),"Hurricane")</f>
        <v>Hurricane</v>
      </c>
      <c r="H19" s="209" t="str">
        <f>IFERROR(__xludf.DUMMYFUNCTION("""COMPUTED_VALUE"""),"Reopen")</f>
        <v>Reopen</v>
      </c>
      <c r="I19" s="210" t="b">
        <v>1</v>
      </c>
      <c r="J19" s="212" t="b">
        <v>1</v>
      </c>
      <c r="K19" s="213" t="s">
        <v>2197</v>
      </c>
      <c r="L19" s="217" t="b">
        <v>0</v>
      </c>
      <c r="M19" s="215" t="b">
        <v>0</v>
      </c>
      <c r="N19" s="238"/>
      <c r="O19" s="217" t="b">
        <v>0</v>
      </c>
      <c r="P19" s="215" t="b">
        <v>0</v>
      </c>
      <c r="Q19" s="230"/>
      <c r="R19" s="217" t="b">
        <v>0</v>
      </c>
      <c r="S19" s="215" t="b">
        <v>0</v>
      </c>
      <c r="T19" s="218"/>
      <c r="U19" s="217" t="b">
        <v>0</v>
      </c>
      <c r="V19" s="215" t="b">
        <v>0</v>
      </c>
      <c r="W19" s="219"/>
      <c r="X19" s="217" t="b">
        <v>0</v>
      </c>
      <c r="Y19" s="215" t="b">
        <v>0</v>
      </c>
      <c r="Z19" s="232"/>
      <c r="AA19" s="217" t="b">
        <v>0</v>
      </c>
      <c r="AB19" s="215" t="b">
        <v>0</v>
      </c>
      <c r="AC19" s="221"/>
      <c r="AD19" s="217" t="b">
        <v>0</v>
      </c>
      <c r="AE19" s="215" t="b">
        <v>0</v>
      </c>
      <c r="AF19" s="222"/>
      <c r="AG19" s="217" t="b">
        <v>0</v>
      </c>
      <c r="AH19" s="215" t="b">
        <v>0</v>
      </c>
      <c r="AI19" s="207"/>
      <c r="AJ19" s="217" t="b">
        <v>0</v>
      </c>
      <c r="AK19" s="215" t="b">
        <v>0</v>
      </c>
      <c r="AL19" s="224"/>
      <c r="AM19" s="217" t="b">
        <v>0</v>
      </c>
      <c r="AN19" s="215" t="b">
        <v>0</v>
      </c>
      <c r="AO19" s="207"/>
      <c r="AP19" s="207"/>
      <c r="AQ19" s="207"/>
      <c r="AR19" s="207"/>
      <c r="AS19" s="207"/>
      <c r="AT19" s="207"/>
      <c r="AU19" s="207"/>
      <c r="AV19" s="207"/>
      <c r="AW19" s="207"/>
      <c r="AX19" s="207"/>
      <c r="AY19" s="207"/>
      <c r="AZ19" s="207"/>
      <c r="BA19" s="207"/>
    </row>
    <row r="20">
      <c r="A20" s="207" t="str">
        <f>IFERROR(__xludf.DUMMYFUNCTION("""COMPUTED_VALUE"""),"CLSD CLAIMS")</f>
        <v>CLSD CLAIMS</v>
      </c>
      <c r="B20" s="209" t="str">
        <f>IFERROR(__xludf.DUMMYFUNCTION("""COMPUTED_VALUE"""),"Ivan")</f>
        <v>Ivan</v>
      </c>
      <c r="C20" s="209" t="str">
        <f>IFERROR(__xludf.DUMMYFUNCTION("""COMPUTED_VALUE"""),"Christina Maglione")</f>
        <v>Christina Maglione</v>
      </c>
      <c r="D20" s="209" t="str">
        <f>IFERROR(__xludf.DUMMYFUNCTION("""COMPUTED_VALUE"""),"239-234-8175")</f>
        <v>239-234-8175</v>
      </c>
      <c r="E20" s="209" t="str">
        <f>IFERROR(__xludf.DUMMYFUNCTION("""COMPUTED_VALUE"""),"tina3k2005@yahoo.com")</f>
        <v>tina3k2005@yahoo.com</v>
      </c>
      <c r="F20" s="209" t="str">
        <f>IFERROR(__xludf.DUMMYFUNCTION("""COMPUTED_VALUE"""),"859 Bedford Dr., Lehigh Acres, FL 33974")</f>
        <v>859 Bedford Dr., Lehigh Acres, FL 33974</v>
      </c>
      <c r="G20" s="209" t="str">
        <f>IFERROR(__xludf.DUMMYFUNCTION("""COMPUTED_VALUE"""),"AWD")</f>
        <v>AWD</v>
      </c>
      <c r="H20" s="209" t="str">
        <f>IFERROR(__xludf.DUMMYFUNCTION("""COMPUTED_VALUE"""),"New Claim")</f>
        <v>New Claim</v>
      </c>
      <c r="I20" s="210" t="b">
        <v>1</v>
      </c>
      <c r="J20" s="212" t="b">
        <v>1</v>
      </c>
      <c r="K20" s="213" t="s">
        <v>2223</v>
      </c>
      <c r="L20" s="217" t="b">
        <v>0</v>
      </c>
      <c r="M20" s="215" t="b">
        <v>0</v>
      </c>
      <c r="N20" s="238"/>
      <c r="O20" s="217" t="b">
        <v>0</v>
      </c>
      <c r="P20" s="215" t="b">
        <v>0</v>
      </c>
      <c r="Q20" s="230"/>
      <c r="R20" s="217" t="b">
        <v>0</v>
      </c>
      <c r="S20" s="215" t="b">
        <v>0</v>
      </c>
      <c r="T20" s="218"/>
      <c r="U20" s="217" t="b">
        <v>0</v>
      </c>
      <c r="V20" s="215" t="b">
        <v>0</v>
      </c>
      <c r="W20" s="219"/>
      <c r="X20" s="210" t="b">
        <v>1</v>
      </c>
      <c r="Y20" s="214" t="b">
        <v>1</v>
      </c>
      <c r="Z20" s="220" t="s">
        <v>2235</v>
      </c>
      <c r="AA20" s="217" t="b">
        <v>0</v>
      </c>
      <c r="AB20" s="215" t="b">
        <v>0</v>
      </c>
      <c r="AC20" s="221"/>
      <c r="AD20" s="217" t="b">
        <v>0</v>
      </c>
      <c r="AE20" s="215" t="b">
        <v>0</v>
      </c>
      <c r="AF20" s="222"/>
      <c r="AG20" s="217" t="b">
        <v>0</v>
      </c>
      <c r="AH20" s="215" t="b">
        <v>0</v>
      </c>
      <c r="AI20" s="207"/>
      <c r="AJ20" s="217" t="b">
        <v>0</v>
      </c>
      <c r="AK20" s="215" t="b">
        <v>0</v>
      </c>
      <c r="AL20" s="224"/>
      <c r="AM20" s="217" t="b">
        <v>0</v>
      </c>
      <c r="AN20" s="215" t="b">
        <v>0</v>
      </c>
      <c r="AO20" s="207"/>
      <c r="AP20" s="207"/>
      <c r="AQ20" s="207"/>
      <c r="AR20" s="207"/>
      <c r="AS20" s="207"/>
      <c r="AT20" s="207"/>
      <c r="AU20" s="207"/>
      <c r="AV20" s="207"/>
      <c r="AW20" s="207"/>
      <c r="AX20" s="207"/>
      <c r="AY20" s="207"/>
      <c r="AZ20" s="207"/>
      <c r="BA20" s="207"/>
    </row>
    <row r="21">
      <c r="A21" s="207" t="str">
        <f>IFERROR(__xludf.DUMMYFUNCTION("""COMPUTED_VALUE"""),"CLSD CLAIMS")</f>
        <v>CLSD CLAIMS</v>
      </c>
      <c r="B21" s="209" t="str">
        <f>IFERROR(__xludf.DUMMYFUNCTION("""COMPUTED_VALUE"""),"David")</f>
        <v>David</v>
      </c>
      <c r="C21" s="209" t="str">
        <f>IFERROR(__xludf.DUMMYFUNCTION("""COMPUTED_VALUE"""),"Gary John &amp; Diane R Beaupre")</f>
        <v>Gary John &amp; Diane R Beaupre</v>
      </c>
      <c r="D21" s="209" t="str">
        <f>IFERROR(__xludf.DUMMYFUNCTION("""COMPUTED_VALUE"""),"863-990-4978/ 863-990-4970")</f>
        <v>863-990-4978/ 863-990-4970</v>
      </c>
      <c r="E21" s="209" t="str">
        <f>IFERROR(__xludf.DUMMYFUNCTION("""COMPUTED_VALUE"""),"Roseisfishing@yahoo.com")</f>
        <v>Roseisfishing@yahoo.com</v>
      </c>
      <c r="F21" s="209" t="str">
        <f>IFERROR(__xludf.DUMMYFUNCTION("""COMPUTED_VALUE"""),"1500 SE Maple Dr Arcadia Fl 34266")</f>
        <v>1500 SE Maple Dr Arcadia Fl 34266</v>
      </c>
      <c r="G21" s="209" t="str">
        <f>IFERROR(__xludf.DUMMYFUNCTION("""COMPUTED_VALUE"""),"Hurricane Ian")</f>
        <v>Hurricane Ian</v>
      </c>
      <c r="H21" s="209" t="str">
        <f>IFERROR(__xludf.DUMMYFUNCTION("""COMPUTED_VALUE"""),"New Claim")</f>
        <v>New Claim</v>
      </c>
      <c r="I21" s="210" t="b">
        <v>1</v>
      </c>
      <c r="J21" s="212" t="b">
        <v>1</v>
      </c>
      <c r="K21" s="213" t="s">
        <v>2258</v>
      </c>
      <c r="L21" s="217" t="b">
        <v>0</v>
      </c>
      <c r="M21" s="215" t="b">
        <v>0</v>
      </c>
      <c r="N21" s="238"/>
      <c r="O21" s="217" t="b">
        <v>0</v>
      </c>
      <c r="P21" s="215" t="b">
        <v>0</v>
      </c>
      <c r="Q21" s="230"/>
      <c r="R21" s="217" t="b">
        <v>0</v>
      </c>
      <c r="S21" s="215" t="b">
        <v>0</v>
      </c>
      <c r="T21" s="218"/>
      <c r="U21" s="217" t="b">
        <v>0</v>
      </c>
      <c r="V21" s="215" t="b">
        <v>0</v>
      </c>
      <c r="W21" s="219"/>
      <c r="X21" s="217" t="b">
        <v>0</v>
      </c>
      <c r="Y21" s="215" t="b">
        <v>0</v>
      </c>
      <c r="Z21" s="220"/>
      <c r="AA21" s="217" t="b">
        <v>0</v>
      </c>
      <c r="AB21" s="215" t="b">
        <v>0</v>
      </c>
      <c r="AC21" s="221"/>
      <c r="AD21" s="217" t="b">
        <v>0</v>
      </c>
      <c r="AE21" s="215" t="b">
        <v>0</v>
      </c>
      <c r="AF21" s="222"/>
      <c r="AG21" s="217" t="b">
        <v>0</v>
      </c>
      <c r="AH21" s="215" t="b">
        <v>0</v>
      </c>
      <c r="AI21" s="207"/>
      <c r="AJ21" s="217" t="b">
        <v>0</v>
      </c>
      <c r="AK21" s="215" t="b">
        <v>0</v>
      </c>
      <c r="AL21" s="224"/>
      <c r="AM21" s="217" t="b">
        <v>0</v>
      </c>
      <c r="AN21" s="215" t="b">
        <v>0</v>
      </c>
      <c r="AO21" s="207"/>
      <c r="AP21" s="207"/>
      <c r="AQ21" s="207"/>
      <c r="AR21" s="207"/>
      <c r="AS21" s="207"/>
      <c r="AT21" s="207"/>
      <c r="AU21" s="207"/>
      <c r="AV21" s="207"/>
      <c r="AW21" s="207"/>
      <c r="AX21" s="207"/>
      <c r="AY21" s="207"/>
      <c r="AZ21" s="207"/>
      <c r="BA21" s="207"/>
    </row>
    <row r="22">
      <c r="A22" s="207" t="str">
        <f>IFERROR(__xludf.DUMMYFUNCTION("""COMPUTED_VALUE"""),"CLSD CLAIMS")</f>
        <v>CLSD CLAIMS</v>
      </c>
      <c r="B22" s="209" t="str">
        <f>IFERROR(__xludf.DUMMYFUNCTION("""COMPUTED_VALUE"""),"Joshua")</f>
        <v>Joshua</v>
      </c>
      <c r="C22" s="209" t="str">
        <f>IFERROR(__xludf.DUMMYFUNCTION("""COMPUTED_VALUE"""),"Donald Gordon ")</f>
        <v>Donald Gordon </v>
      </c>
      <c r="D22" s="209" t="str">
        <f>IFERROR(__xludf.DUMMYFUNCTION("""COMPUTED_VALUE"""),"401-623-1145")</f>
        <v>401-623-1145</v>
      </c>
      <c r="E22" s="209" t="str">
        <f>IFERROR(__xludf.DUMMYFUNCTION("""COMPUTED_VALUE"""),"addygordon@icloud.com")</f>
        <v>addygordon@icloud.com</v>
      </c>
      <c r="F22" s="209" t="str">
        <f>IFERROR(__xludf.DUMMYFUNCTION("""COMPUTED_VALUE"""),"7415 Mizner Reserve Ct Lakeland Ranch, FL 34202")</f>
        <v>7415 Mizner Reserve Ct Lakeland Ranch, FL 34202</v>
      </c>
      <c r="G22" s="209" t="str">
        <f>IFERROR(__xludf.DUMMYFUNCTION("""COMPUTED_VALUE"""),"Windstorm")</f>
        <v>Windstorm</v>
      </c>
      <c r="H22" s="209" t="str">
        <f>IFERROR(__xludf.DUMMYFUNCTION("""COMPUTED_VALUE"""),"New Claim")</f>
        <v>New Claim</v>
      </c>
      <c r="I22" s="210" t="b">
        <v>1</v>
      </c>
      <c r="J22" s="212" t="b">
        <v>1</v>
      </c>
      <c r="K22" s="213" t="s">
        <v>2319</v>
      </c>
      <c r="L22" s="217" t="b">
        <v>0</v>
      </c>
      <c r="M22" s="215" t="b">
        <v>0</v>
      </c>
      <c r="N22" s="238"/>
      <c r="O22" s="217" t="b">
        <v>0</v>
      </c>
      <c r="P22" s="215" t="b">
        <v>0</v>
      </c>
      <c r="Q22" s="230"/>
      <c r="R22" s="217" t="b">
        <v>0</v>
      </c>
      <c r="S22" s="215" t="b">
        <v>0</v>
      </c>
      <c r="T22" s="218"/>
      <c r="U22" s="217" t="b">
        <v>0</v>
      </c>
      <c r="V22" s="215" t="b">
        <v>0</v>
      </c>
      <c r="W22" s="219"/>
      <c r="X22" s="217" t="b">
        <v>0</v>
      </c>
      <c r="Y22" s="215" t="b">
        <v>0</v>
      </c>
      <c r="Z22" s="232"/>
      <c r="AA22" s="217" t="b">
        <v>0</v>
      </c>
      <c r="AB22" s="215" t="b">
        <v>0</v>
      </c>
      <c r="AC22" s="221"/>
      <c r="AD22" s="217" t="b">
        <v>0</v>
      </c>
      <c r="AE22" s="215" t="b">
        <v>0</v>
      </c>
      <c r="AF22" s="222"/>
      <c r="AG22" s="217" t="b">
        <v>0</v>
      </c>
      <c r="AH22" s="215" t="b">
        <v>0</v>
      </c>
      <c r="AI22" s="207"/>
      <c r="AJ22" s="217" t="b">
        <v>0</v>
      </c>
      <c r="AK22" s="215" t="b">
        <v>0</v>
      </c>
      <c r="AL22" s="224"/>
      <c r="AM22" s="217" t="b">
        <v>0</v>
      </c>
      <c r="AN22" s="215" t="b">
        <v>0</v>
      </c>
      <c r="AO22" s="207"/>
      <c r="AP22" s="207"/>
      <c r="AQ22" s="207"/>
      <c r="AR22" s="207"/>
      <c r="AS22" s="207"/>
      <c r="AT22" s="207"/>
      <c r="AU22" s="207"/>
      <c r="AV22" s="207"/>
      <c r="AW22" s="207"/>
      <c r="AX22" s="207"/>
      <c r="AY22" s="207"/>
      <c r="AZ22" s="207"/>
      <c r="BA22" s="207"/>
    </row>
    <row r="23">
      <c r="A23" s="207" t="str">
        <f>IFERROR(__xludf.DUMMYFUNCTION("""COMPUTED_VALUE"""),"CLSD CLAIMS")</f>
        <v>CLSD CLAIMS</v>
      </c>
      <c r="B23" s="209" t="str">
        <f>IFERROR(__xludf.DUMMYFUNCTION("""COMPUTED_VALUE"""),"Ivan")</f>
        <v>Ivan</v>
      </c>
      <c r="C23" s="209" t="str">
        <f>IFERROR(__xludf.DUMMYFUNCTION("""COMPUTED_VALUE"""),"Hector &amp; Elsa Padron")</f>
        <v>Hector &amp; Elsa Padron</v>
      </c>
      <c r="D23" s="209" t="str">
        <f>IFERROR(__xludf.DUMMYFUNCTION("""COMPUTED_VALUE"""),"772-307-7879")</f>
        <v>772-307-7879</v>
      </c>
      <c r="E23" s="209" t="str">
        <f>IFERROR(__xludf.DUMMYFUNCTION("""COMPUTED_VALUE"""),"ad4c@comcast.net")</f>
        <v>ad4c@comcast.net</v>
      </c>
      <c r="F23" s="209" t="str">
        <f>IFERROR(__xludf.DUMMYFUNCTION("""COMPUTED_VALUE"""),"368 SE Tranquilla Ave. Port Saint Lucie, FL 34983")</f>
        <v>368 SE Tranquilla Ave. Port Saint Lucie, FL 34983</v>
      </c>
      <c r="G23" s="209" t="str">
        <f>IFERROR(__xludf.DUMMYFUNCTION("""COMPUTED_VALUE"""),"AWD")</f>
        <v>AWD</v>
      </c>
      <c r="H23" s="209" t="str">
        <f>IFERROR(__xludf.DUMMYFUNCTION("""COMPUTED_VALUE"""),"New Claim")</f>
        <v>New Claim</v>
      </c>
      <c r="I23" s="210" t="b">
        <v>1</v>
      </c>
      <c r="J23" s="212" t="b">
        <v>1</v>
      </c>
      <c r="K23" s="213" t="s">
        <v>2343</v>
      </c>
      <c r="L23" s="217" t="b">
        <v>0</v>
      </c>
      <c r="M23" s="215" t="b">
        <v>0</v>
      </c>
      <c r="N23" s="238"/>
      <c r="O23" s="210" t="b">
        <v>1</v>
      </c>
      <c r="P23" s="214" t="b">
        <v>1</v>
      </c>
      <c r="Q23" s="216" t="s">
        <v>2349</v>
      </c>
      <c r="R23" s="217" t="b">
        <v>0</v>
      </c>
      <c r="S23" s="215" t="b">
        <v>0</v>
      </c>
      <c r="T23" s="218"/>
      <c r="U23" s="217" t="b">
        <v>0</v>
      </c>
      <c r="V23" s="215" t="b">
        <v>0</v>
      </c>
      <c r="W23" s="219"/>
      <c r="X23" s="217" t="b">
        <v>0</v>
      </c>
      <c r="Y23" s="215" t="b">
        <v>0</v>
      </c>
      <c r="Z23" s="232"/>
      <c r="AA23" s="217" t="b">
        <v>0</v>
      </c>
      <c r="AB23" s="215" t="b">
        <v>0</v>
      </c>
      <c r="AC23" s="221"/>
      <c r="AD23" s="217" t="b">
        <v>0</v>
      </c>
      <c r="AE23" s="215" t="b">
        <v>0</v>
      </c>
      <c r="AF23" s="222"/>
      <c r="AG23" s="217" t="b">
        <v>0</v>
      </c>
      <c r="AH23" s="215" t="b">
        <v>0</v>
      </c>
      <c r="AI23" s="207"/>
      <c r="AJ23" s="217" t="b">
        <v>0</v>
      </c>
      <c r="AK23" s="215" t="b">
        <v>0</v>
      </c>
      <c r="AL23" s="224"/>
      <c r="AM23" s="217" t="b">
        <v>0</v>
      </c>
      <c r="AN23" s="215" t="b">
        <v>0</v>
      </c>
      <c r="AO23" s="207"/>
      <c r="AP23" s="207"/>
      <c r="AQ23" s="207"/>
      <c r="AR23" s="207"/>
      <c r="AS23" s="207"/>
      <c r="AT23" s="207"/>
      <c r="AU23" s="207"/>
      <c r="AV23" s="207"/>
      <c r="AW23" s="207"/>
      <c r="AX23" s="207"/>
      <c r="AY23" s="207"/>
      <c r="AZ23" s="207"/>
      <c r="BA23" s="207"/>
    </row>
    <row r="24">
      <c r="A24" s="207" t="str">
        <f>IFERROR(__xludf.DUMMYFUNCTION("""COMPUTED_VALUE"""),"CLSD CLAIMS")</f>
        <v>CLSD CLAIMS</v>
      </c>
      <c r="B24" s="209" t="str">
        <f>IFERROR(__xludf.DUMMYFUNCTION("""COMPUTED_VALUE"""),"Joshua")</f>
        <v>Joshua</v>
      </c>
      <c r="C24" s="209" t="str">
        <f>IFERROR(__xludf.DUMMYFUNCTION("""COMPUTED_VALUE"""),"Robin Beemer")</f>
        <v>Robin Beemer</v>
      </c>
      <c r="D24" s="209" t="str">
        <f>IFERROR(__xludf.DUMMYFUNCTION("""COMPUTED_VALUE"""),"734-308-3889")</f>
        <v>734-308-3889</v>
      </c>
      <c r="E24" s="209" t="str">
        <f>IFERROR(__xludf.DUMMYFUNCTION("""COMPUTED_VALUE"""),"Rkbeem@outlook.com")</f>
        <v>Rkbeem@outlook.com</v>
      </c>
      <c r="F24" s="209" t="str">
        <f>IFERROR(__xludf.DUMMYFUNCTION("""COMPUTED_VALUE"""),"3549 Vassar St, Port Charlotte, FL 33980")</f>
        <v>3549 Vassar St, Port Charlotte, FL 33980</v>
      </c>
      <c r="G24" s="209" t="str">
        <f>IFERROR(__xludf.DUMMYFUNCTION("""COMPUTED_VALUE"""),"Hurricane Ian")</f>
        <v>Hurricane Ian</v>
      </c>
      <c r="H24" s="209" t="str">
        <f>IFERROR(__xludf.DUMMYFUNCTION("""COMPUTED_VALUE"""),"New Claim")</f>
        <v>New Claim</v>
      </c>
      <c r="I24" s="217" t="b">
        <v>0</v>
      </c>
      <c r="J24" s="229" t="b">
        <v>0</v>
      </c>
      <c r="K24" s="238"/>
      <c r="L24" s="217" t="b">
        <v>0</v>
      </c>
      <c r="M24" s="215" t="b">
        <v>0</v>
      </c>
      <c r="N24" s="238"/>
      <c r="O24" s="210" t="b">
        <v>1</v>
      </c>
      <c r="P24" s="214" t="b">
        <v>1</v>
      </c>
      <c r="Q24" s="216" t="s">
        <v>2374</v>
      </c>
      <c r="R24" s="217" t="b">
        <v>0</v>
      </c>
      <c r="S24" s="215" t="b">
        <v>0</v>
      </c>
      <c r="T24" s="218"/>
      <c r="U24" s="217" t="b">
        <v>0</v>
      </c>
      <c r="V24" s="215" t="b">
        <v>0</v>
      </c>
      <c r="W24" s="219"/>
      <c r="X24" s="217" t="b">
        <v>0</v>
      </c>
      <c r="Y24" s="215" t="b">
        <v>0</v>
      </c>
      <c r="Z24" s="232"/>
      <c r="AA24" s="217" t="b">
        <v>0</v>
      </c>
      <c r="AB24" s="215" t="b">
        <v>0</v>
      </c>
      <c r="AC24" s="221"/>
      <c r="AD24" s="217" t="b">
        <v>0</v>
      </c>
      <c r="AE24" s="215" t="b">
        <v>0</v>
      </c>
      <c r="AF24" s="222"/>
      <c r="AG24" s="217" t="b">
        <v>0</v>
      </c>
      <c r="AH24" s="215" t="b">
        <v>0</v>
      </c>
      <c r="AI24" s="207"/>
      <c r="AJ24" s="217" t="b">
        <v>0</v>
      </c>
      <c r="AK24" s="215" t="b">
        <v>0</v>
      </c>
      <c r="AL24" s="224"/>
      <c r="AM24" s="217" t="b">
        <v>0</v>
      </c>
      <c r="AN24" s="215" t="b">
        <v>0</v>
      </c>
      <c r="AO24" s="207"/>
      <c r="AP24" s="207"/>
      <c r="AQ24" s="207"/>
      <c r="AR24" s="207"/>
      <c r="AS24" s="207"/>
      <c r="AT24" s="207"/>
      <c r="AU24" s="207"/>
      <c r="AV24" s="207"/>
      <c r="AW24" s="207"/>
      <c r="AX24" s="207"/>
      <c r="AY24" s="207"/>
      <c r="AZ24" s="207"/>
      <c r="BA24" s="207"/>
    </row>
    <row r="25">
      <c r="A25" s="207" t="str">
        <f>IFERROR(__xludf.DUMMYFUNCTION("""COMPUTED_VALUE"""),"CLSD CLAIMS")</f>
        <v>CLSD CLAIMS</v>
      </c>
      <c r="B25" s="209" t="str">
        <f>IFERROR(__xludf.DUMMYFUNCTION("""COMPUTED_VALUE"""),"Joshua")</f>
        <v>Joshua</v>
      </c>
      <c r="C25" s="209" t="str">
        <f>IFERROR(__xludf.DUMMYFUNCTION("""COMPUTED_VALUE"""),"Ketly Saint-Cyr")</f>
        <v>Ketly Saint-Cyr</v>
      </c>
      <c r="D25" s="209" t="str">
        <f>IFERROR(__xludf.DUMMYFUNCTION("""COMPUTED_VALUE"""),"239-313-7074")</f>
        <v>239-313-7074</v>
      </c>
      <c r="E25" s="209" t="str">
        <f>IFERROR(__xludf.DUMMYFUNCTION("""COMPUTED_VALUE"""),"Ketlysaintcyr@ymail.com")</f>
        <v>Ketlysaintcyr@ymail.com</v>
      </c>
      <c r="F25" s="209" t="str">
        <f>IFERROR(__xludf.DUMMYFUNCTION("""COMPUTED_VALUE"""),"3216 Willian St Fort Myers Fl 33916")</f>
        <v>3216 Willian St Fort Myers Fl 33916</v>
      </c>
      <c r="G25" s="209" t="str">
        <f>IFERROR(__xludf.DUMMYFUNCTION("""COMPUTED_VALUE"""),"Hurricane Ian")</f>
        <v>Hurricane Ian</v>
      </c>
      <c r="H25" s="209" t="str">
        <f>IFERROR(__xludf.DUMMYFUNCTION("""COMPUTED_VALUE"""),"Reopen")</f>
        <v>Reopen</v>
      </c>
      <c r="I25" s="217" t="b">
        <v>0</v>
      </c>
      <c r="J25" s="229" t="b">
        <v>0</v>
      </c>
      <c r="K25" s="238"/>
      <c r="L25" s="217" t="b">
        <v>0</v>
      </c>
      <c r="M25" s="215" t="b">
        <v>0</v>
      </c>
      <c r="N25" s="213" t="s">
        <v>2404</v>
      </c>
      <c r="O25" s="217" t="b">
        <v>0</v>
      </c>
      <c r="P25" s="215" t="b">
        <v>0</v>
      </c>
      <c r="Q25" s="230"/>
      <c r="R25" s="217" t="b">
        <v>0</v>
      </c>
      <c r="S25" s="215" t="b">
        <v>0</v>
      </c>
      <c r="T25" s="218"/>
      <c r="U25" s="217" t="b">
        <v>0</v>
      </c>
      <c r="V25" s="215" t="b">
        <v>0</v>
      </c>
      <c r="W25" s="219"/>
      <c r="X25" s="217" t="b">
        <v>0</v>
      </c>
      <c r="Y25" s="215" t="b">
        <v>0</v>
      </c>
      <c r="Z25" s="232"/>
      <c r="AA25" s="217" t="b">
        <v>0</v>
      </c>
      <c r="AB25" s="215" t="b">
        <v>0</v>
      </c>
      <c r="AC25" s="221"/>
      <c r="AD25" s="217" t="b">
        <v>0</v>
      </c>
      <c r="AE25" s="215" t="b">
        <v>0</v>
      </c>
      <c r="AF25" s="222"/>
      <c r="AG25" s="217" t="b">
        <v>0</v>
      </c>
      <c r="AH25" s="215" t="b">
        <v>0</v>
      </c>
      <c r="AI25" s="207"/>
      <c r="AJ25" s="217" t="b">
        <v>0</v>
      </c>
      <c r="AK25" s="215" t="b">
        <v>0</v>
      </c>
      <c r="AL25" s="224"/>
      <c r="AM25" s="217" t="b">
        <v>0</v>
      </c>
      <c r="AN25" s="215" t="b">
        <v>0</v>
      </c>
      <c r="AO25" s="207"/>
      <c r="AP25" s="207"/>
      <c r="AQ25" s="207"/>
      <c r="AR25" s="207"/>
      <c r="AS25" s="207"/>
      <c r="AT25" s="207"/>
      <c r="AU25" s="207"/>
      <c r="AV25" s="207"/>
      <c r="AW25" s="207"/>
      <c r="AX25" s="207"/>
      <c r="AY25" s="207"/>
      <c r="AZ25" s="207"/>
      <c r="BA25" s="207"/>
    </row>
    <row r="26">
      <c r="A26" s="207" t="str">
        <f>IFERROR(__xludf.DUMMYFUNCTION("""COMPUTED_VALUE"""),"CLSD CLAIMS")</f>
        <v>CLSD CLAIMS</v>
      </c>
      <c r="B26" s="209" t="str">
        <f>IFERROR(__xludf.DUMMYFUNCTION("""COMPUTED_VALUE"""),"Juan")</f>
        <v>Juan</v>
      </c>
      <c r="C26" s="209" t="str">
        <f>IFERROR(__xludf.DUMMYFUNCTION("""COMPUTED_VALUE"""),"Fern Hernandez")</f>
        <v>Fern Hernandez</v>
      </c>
      <c r="D26" s="209" t="str">
        <f>IFERROR(__xludf.DUMMYFUNCTION("""COMPUTED_VALUE"""),"863-832-4044")</f>
        <v>863-832-4044</v>
      </c>
      <c r="E26" s="209" t="str">
        <f>IFERROR(__xludf.DUMMYFUNCTION("""COMPUTED_VALUE"""),"fernhernandez54@yahoo.com")</f>
        <v>fernhernandez54@yahoo.com</v>
      </c>
      <c r="F26" s="209" t="str">
        <f>IFERROR(__xludf.DUMMYFUNCTION("""COMPUTED_VALUE"""),"1355 Grady Revell Rd, Wauchula, FL 33873")</f>
        <v>1355 Grady Revell Rd, Wauchula, FL 33873</v>
      </c>
      <c r="G26" s="209" t="str">
        <f>IFERROR(__xludf.DUMMYFUNCTION("""COMPUTED_VALUE"""),"Hurricane Ian")</f>
        <v>Hurricane Ian</v>
      </c>
      <c r="H26" s="209" t="str">
        <f>IFERROR(__xludf.DUMMYFUNCTION("""COMPUTED_VALUE"""),"New Claim")</f>
        <v>New Claim</v>
      </c>
      <c r="I26" s="210" t="b">
        <v>1</v>
      </c>
      <c r="J26" s="212" t="b">
        <v>1</v>
      </c>
      <c r="K26" s="213" t="s">
        <v>2447</v>
      </c>
      <c r="L26" s="217" t="b">
        <v>0</v>
      </c>
      <c r="M26" s="215" t="b">
        <v>0</v>
      </c>
      <c r="N26" s="238"/>
      <c r="O26" s="217" t="b">
        <v>0</v>
      </c>
      <c r="P26" s="215" t="b">
        <v>0</v>
      </c>
      <c r="Q26" s="216" t="s">
        <v>2455</v>
      </c>
      <c r="R26" s="217" t="b">
        <v>0</v>
      </c>
      <c r="S26" s="215" t="b">
        <v>0</v>
      </c>
      <c r="T26" s="218"/>
      <c r="U26" s="217" t="b">
        <v>0</v>
      </c>
      <c r="V26" s="215" t="b">
        <v>0</v>
      </c>
      <c r="W26" s="219"/>
      <c r="X26" s="217" t="b">
        <v>0</v>
      </c>
      <c r="Y26" s="215" t="b">
        <v>0</v>
      </c>
      <c r="Z26" s="232"/>
      <c r="AA26" s="217" t="b">
        <v>0</v>
      </c>
      <c r="AB26" s="215" t="b">
        <v>0</v>
      </c>
      <c r="AC26" s="221"/>
      <c r="AD26" s="217" t="b">
        <v>0</v>
      </c>
      <c r="AE26" s="215" t="b">
        <v>0</v>
      </c>
      <c r="AF26" s="222"/>
      <c r="AG26" s="217" t="b">
        <v>0</v>
      </c>
      <c r="AH26" s="215" t="b">
        <v>0</v>
      </c>
      <c r="AI26" s="207"/>
      <c r="AJ26" s="217" t="b">
        <v>0</v>
      </c>
      <c r="AK26" s="215" t="b">
        <v>0</v>
      </c>
      <c r="AL26" s="224"/>
      <c r="AM26" s="217" t="b">
        <v>0</v>
      </c>
      <c r="AN26" s="215" t="b">
        <v>0</v>
      </c>
      <c r="AO26" s="207"/>
      <c r="AP26" s="207"/>
      <c r="AQ26" s="207"/>
      <c r="AR26" s="207"/>
      <c r="AS26" s="207"/>
      <c r="AT26" s="207"/>
      <c r="AU26" s="207"/>
      <c r="AV26" s="207"/>
      <c r="AW26" s="207"/>
      <c r="AX26" s="207"/>
      <c r="AY26" s="207"/>
      <c r="AZ26" s="207"/>
      <c r="BA26" s="207"/>
    </row>
    <row r="27">
      <c r="A27" s="207" t="str">
        <f>IFERROR(__xludf.DUMMYFUNCTION("""COMPUTED_VALUE"""),"CLSD CLAIMS")</f>
        <v>CLSD CLAIMS</v>
      </c>
      <c r="B27" s="209" t="str">
        <f>IFERROR(__xludf.DUMMYFUNCTION("""COMPUTED_VALUE"""),"Jakey")</f>
        <v>Jakey</v>
      </c>
      <c r="C27" s="209" t="str">
        <f>IFERROR(__xludf.DUMMYFUNCTION("""COMPUTED_VALUE"""),"James &amp; Sharon Theriault")</f>
        <v>James &amp; Sharon Theriault</v>
      </c>
      <c r="D27" s="209" t="str">
        <f>IFERROR(__xludf.DUMMYFUNCTION("""COMPUTED_VALUE"""),"978-880-5988")</f>
        <v>978-880-5988</v>
      </c>
      <c r="E27" s="209" t="str">
        <f>IFERROR(__xludf.DUMMYFUNCTION("""COMPUTED_VALUE"""),"Jimt7315@gmail.com")</f>
        <v>Jimt7315@gmail.com</v>
      </c>
      <c r="F27" s="209" t="str">
        <f>IFERROR(__xludf.DUMMYFUNCTION("""COMPUTED_VALUE"""),"620 57th ave West unit 10F Bradenton, FL 34207")</f>
        <v>620 57th ave West unit 10F Bradenton, FL 34207</v>
      </c>
      <c r="G27" s="209" t="str">
        <f>IFERROR(__xludf.DUMMYFUNCTION("""COMPUTED_VALUE"""),"Hurricane Milton")</f>
        <v>Hurricane Milton</v>
      </c>
      <c r="H27" s="209" t="str">
        <f>IFERROR(__xludf.DUMMYFUNCTION("""COMPUTED_VALUE"""),"New Claim")</f>
        <v>New Claim</v>
      </c>
      <c r="I27" s="210" t="b">
        <v>1</v>
      </c>
      <c r="J27" s="212" t="b">
        <v>1</v>
      </c>
      <c r="K27" s="213" t="s">
        <v>2498</v>
      </c>
      <c r="L27" s="217" t="b">
        <v>0</v>
      </c>
      <c r="M27" s="215" t="b">
        <v>0</v>
      </c>
      <c r="N27" s="238"/>
      <c r="O27" s="217" t="b">
        <v>0</v>
      </c>
      <c r="P27" s="215" t="b">
        <v>0</v>
      </c>
      <c r="Q27" s="230"/>
      <c r="R27" s="217" t="b">
        <v>0</v>
      </c>
      <c r="S27" s="215" t="b">
        <v>0</v>
      </c>
      <c r="T27" s="218"/>
      <c r="U27" s="217" t="b">
        <v>0</v>
      </c>
      <c r="V27" s="215" t="b">
        <v>0</v>
      </c>
      <c r="W27" s="219"/>
      <c r="X27" s="210" t="b">
        <v>1</v>
      </c>
      <c r="Y27" s="214" t="b">
        <v>1</v>
      </c>
      <c r="Z27" s="220" t="s">
        <v>2512</v>
      </c>
      <c r="AA27" s="217" t="b">
        <v>0</v>
      </c>
      <c r="AB27" s="215" t="b">
        <v>0</v>
      </c>
      <c r="AC27" s="221"/>
      <c r="AD27" s="217" t="b">
        <v>0</v>
      </c>
      <c r="AE27" s="215" t="b">
        <v>0</v>
      </c>
      <c r="AF27" s="222"/>
      <c r="AG27" s="217" t="b">
        <v>0</v>
      </c>
      <c r="AH27" s="215" t="b">
        <v>0</v>
      </c>
      <c r="AI27" s="207"/>
      <c r="AJ27" s="217" t="b">
        <v>0</v>
      </c>
      <c r="AK27" s="215" t="b">
        <v>0</v>
      </c>
      <c r="AL27" s="224"/>
      <c r="AM27" s="217" t="b">
        <v>0</v>
      </c>
      <c r="AN27" s="215" t="b">
        <v>0</v>
      </c>
      <c r="AO27" s="207"/>
      <c r="AP27" s="207"/>
      <c r="AQ27" s="207"/>
      <c r="AR27" s="207"/>
      <c r="AS27" s="207"/>
      <c r="AT27" s="207"/>
      <c r="AU27" s="207"/>
      <c r="AV27" s="207"/>
      <c r="AW27" s="207"/>
      <c r="AX27" s="207"/>
      <c r="AY27" s="207"/>
      <c r="AZ27" s="207"/>
      <c r="BA27" s="207"/>
    </row>
    <row r="28">
      <c r="A28" s="165" t="str">
        <f>IFERROR(__xludf.DUMMYFUNCTION("""COMPUTED_VALUE"""),"CLSD CLAIMS")</f>
        <v>CLSD CLAIMS</v>
      </c>
      <c r="B28" s="166" t="str">
        <f>IFERROR(__xludf.DUMMYFUNCTION("""COMPUTED_VALUE"""),"Jakey")</f>
        <v>Jakey</v>
      </c>
      <c r="C28" s="309" t="str">
        <f>IFERROR(__xludf.DUMMYFUNCTION("""COMPUTED_VALUE"""),"Sandra Fox")</f>
        <v>Sandra Fox</v>
      </c>
      <c r="D28" s="166" t="str">
        <f>IFERROR(__xludf.DUMMYFUNCTION("""COMPUTED_VALUE"""),"239-478-1465")</f>
        <v>239-478-1465</v>
      </c>
      <c r="E28" s="166" t="str">
        <f>IFERROR(__xludf.DUMMYFUNCTION("""COMPUTED_VALUE"""),"Sandra.fox8910@gmail.com")</f>
        <v>Sandra.fox8910@gmail.com</v>
      </c>
      <c r="F28" s="166" t="str">
        <f>IFERROR(__xludf.DUMMYFUNCTION("""COMPUTED_VALUE"""),"1807 NW 2nd pl Cape Coral 33993")</f>
        <v>1807 NW 2nd pl Cape Coral 33993</v>
      </c>
      <c r="G28" s="166" t="str">
        <f>IFERROR(__xludf.DUMMYFUNCTION("""COMPUTED_VALUE"""),"Hurricane")</f>
        <v>Hurricane</v>
      </c>
      <c r="H28" s="166" t="str">
        <f>IFERROR(__xludf.DUMMYFUNCTION("""COMPUTED_VALUE"""),"Reopen")</f>
        <v>Reopen</v>
      </c>
      <c r="I28" s="173" t="b">
        <v>0</v>
      </c>
      <c r="J28" s="225" t="b">
        <v>0</v>
      </c>
      <c r="K28" s="178"/>
      <c r="L28" s="173" t="b">
        <v>0</v>
      </c>
      <c r="M28" s="226" t="b">
        <v>0</v>
      </c>
      <c r="N28" s="178"/>
      <c r="O28" s="190" t="b">
        <v>1</v>
      </c>
      <c r="P28" s="192" t="b">
        <v>1</v>
      </c>
      <c r="Q28" s="311" t="s">
        <v>2534</v>
      </c>
      <c r="R28" s="173" t="b">
        <v>0</v>
      </c>
      <c r="S28" s="226" t="b">
        <v>0</v>
      </c>
      <c r="T28" s="228"/>
      <c r="U28" s="173" t="b">
        <v>0</v>
      </c>
      <c r="V28" s="226" t="b">
        <v>0</v>
      </c>
      <c r="W28" s="195"/>
      <c r="X28" s="173" t="b">
        <v>0</v>
      </c>
      <c r="Y28" s="226" t="b">
        <v>0</v>
      </c>
      <c r="Z28" s="197"/>
      <c r="AA28" s="173" t="b">
        <v>0</v>
      </c>
      <c r="AB28" s="226" t="b">
        <v>0</v>
      </c>
      <c r="AC28" s="200"/>
      <c r="AD28" s="173" t="b">
        <v>0</v>
      </c>
      <c r="AE28" s="226" t="b">
        <v>0</v>
      </c>
      <c r="AF28" s="202"/>
      <c r="AG28" s="173" t="b">
        <v>0</v>
      </c>
      <c r="AH28" s="226" t="b">
        <v>0</v>
      </c>
      <c r="AI28" s="165"/>
      <c r="AJ28" s="173" t="b">
        <v>0</v>
      </c>
      <c r="AK28" s="226" t="b">
        <v>0</v>
      </c>
      <c r="AL28" s="204"/>
      <c r="AM28" s="173" t="b">
        <v>0</v>
      </c>
      <c r="AN28" s="226" t="b">
        <v>0</v>
      </c>
      <c r="AO28" s="165"/>
      <c r="AP28" s="165"/>
      <c r="AQ28" s="165"/>
      <c r="AR28" s="165"/>
      <c r="AS28" s="165"/>
      <c r="AT28" s="165"/>
      <c r="AU28" s="165"/>
      <c r="AV28" s="165"/>
      <c r="AW28" s="165"/>
      <c r="AX28" s="165"/>
      <c r="AY28" s="165"/>
      <c r="AZ28" s="165"/>
      <c r="BA28" s="165"/>
    </row>
    <row r="29">
      <c r="A29" s="207" t="str">
        <f>IFERROR(__xludf.DUMMYFUNCTION("""COMPUTED_VALUE"""),"CLSD CLAIMS")</f>
        <v>CLSD CLAIMS</v>
      </c>
      <c r="B29" s="209" t="str">
        <f>IFERROR(__xludf.DUMMYFUNCTION("""COMPUTED_VALUE"""),"Ivan")</f>
        <v>Ivan</v>
      </c>
      <c r="C29" s="209" t="str">
        <f>IFERROR(__xludf.DUMMYFUNCTION("""COMPUTED_VALUE"""),"Daniel &amp; Denise Fowlie")</f>
        <v>Daniel &amp; Denise Fowlie</v>
      </c>
      <c r="D29" s="209" t="str">
        <f>IFERROR(__xludf.DUMMYFUNCTION("""COMPUTED_VALUE"""),"941-769-1533")</f>
        <v>941-769-1533</v>
      </c>
      <c r="E29" s="209" t="str">
        <f>IFERROR(__xludf.DUMMYFUNCTION("""COMPUTED_VALUE"""),"denise.fowlie@verizonwireless.com")</f>
        <v>denise.fowlie@verizonwireless.com</v>
      </c>
      <c r="F29" s="209" t="str">
        <f>IFERROR(__xludf.DUMMYFUNCTION("""COMPUTED_VALUE"""),"346 Japura St. Punta Gorda, FL 33983")</f>
        <v>346 Japura St. Punta Gorda, FL 33983</v>
      </c>
      <c r="G29" s="209" t="str">
        <f>IFERROR(__xludf.DUMMYFUNCTION("""COMPUTED_VALUE"""),"Hurricane Ian")</f>
        <v>Hurricane Ian</v>
      </c>
      <c r="H29" s="209" t="str">
        <f>IFERROR(__xludf.DUMMYFUNCTION("""COMPUTED_VALUE"""),"New Claim")</f>
        <v>New Claim</v>
      </c>
      <c r="I29" s="210" t="b">
        <v>1</v>
      </c>
      <c r="J29" s="212" t="b">
        <v>1</v>
      </c>
      <c r="K29" s="213" t="s">
        <v>2561</v>
      </c>
      <c r="L29" s="217" t="b">
        <v>0</v>
      </c>
      <c r="M29" s="215" t="b">
        <v>0</v>
      </c>
      <c r="N29" s="238"/>
      <c r="O29" s="210" t="b">
        <v>1</v>
      </c>
      <c r="P29" s="214" t="b">
        <v>1</v>
      </c>
      <c r="Q29" s="216" t="s">
        <v>2564</v>
      </c>
      <c r="R29" s="217" t="b">
        <v>0</v>
      </c>
      <c r="S29" s="215" t="b">
        <v>0</v>
      </c>
      <c r="T29" s="218"/>
      <c r="U29" s="217" t="b">
        <v>0</v>
      </c>
      <c r="V29" s="215" t="b">
        <v>0</v>
      </c>
      <c r="W29" s="219"/>
      <c r="X29" s="217" t="b">
        <v>0</v>
      </c>
      <c r="Y29" s="215" t="b">
        <v>0</v>
      </c>
      <c r="Z29" s="232"/>
      <c r="AA29" s="217" t="b">
        <v>0</v>
      </c>
      <c r="AB29" s="215" t="b">
        <v>0</v>
      </c>
      <c r="AC29" s="221"/>
      <c r="AD29" s="217" t="b">
        <v>0</v>
      </c>
      <c r="AE29" s="215" t="b">
        <v>0</v>
      </c>
      <c r="AF29" s="222"/>
      <c r="AG29" s="217" t="b">
        <v>0</v>
      </c>
      <c r="AH29" s="215" t="b">
        <v>0</v>
      </c>
      <c r="AI29" s="207"/>
      <c r="AJ29" s="217" t="b">
        <v>0</v>
      </c>
      <c r="AK29" s="215" t="b">
        <v>0</v>
      </c>
      <c r="AL29" s="224"/>
      <c r="AM29" s="217" t="b">
        <v>0</v>
      </c>
      <c r="AN29" s="215" t="b">
        <v>0</v>
      </c>
      <c r="AO29" s="207"/>
      <c r="AP29" s="207"/>
      <c r="AQ29" s="207"/>
      <c r="AR29" s="207"/>
      <c r="AS29" s="207"/>
      <c r="AT29" s="207"/>
      <c r="AU29" s="207"/>
      <c r="AV29" s="207"/>
      <c r="AW29" s="207"/>
      <c r="AX29" s="207"/>
      <c r="AY29" s="207"/>
      <c r="AZ29" s="207"/>
      <c r="BA29" s="207"/>
    </row>
    <row r="30">
      <c r="A30" s="207" t="str">
        <f>IFERROR(__xludf.DUMMYFUNCTION("""COMPUTED_VALUE"""),"CLSD CLAIMS")</f>
        <v>CLSD CLAIMS</v>
      </c>
      <c r="B30" s="209" t="str">
        <f>IFERROR(__xludf.DUMMYFUNCTION("""COMPUTED_VALUE"""),"David M.")</f>
        <v>David M.</v>
      </c>
      <c r="C30" s="209" t="str">
        <f>IFERROR(__xludf.DUMMYFUNCTION("""COMPUTED_VALUE"""),"Nichole Davila-Orford ")</f>
        <v>Nichole Davila-Orford </v>
      </c>
      <c r="D30" s="209" t="str">
        <f>IFERROR(__xludf.DUMMYFUNCTION("""COMPUTED_VALUE"""),"863-212-1272")</f>
        <v>863-212-1272</v>
      </c>
      <c r="E30" s="209" t="str">
        <f>IFERROR(__xludf.DUMMYFUNCTION("""COMPUTED_VALUE"""),"Nicholemdavila@gmail.com")</f>
        <v>Nicholemdavila@gmail.com</v>
      </c>
      <c r="F30" s="209" t="str">
        <f>IFERROR(__xludf.DUMMYFUNCTION("""COMPUTED_VALUE"""),"214 Pennsylvania Ave Wauchula, FL 33873")</f>
        <v>214 Pennsylvania Ave Wauchula, FL 33873</v>
      </c>
      <c r="G30" s="209" t="str">
        <f>IFERROR(__xludf.DUMMYFUNCTION("""COMPUTED_VALUE"""),"Windstorm")</f>
        <v>Windstorm</v>
      </c>
      <c r="H30" s="209" t="str">
        <f>IFERROR(__xludf.DUMMYFUNCTION("""COMPUTED_VALUE"""),"Reopen")</f>
        <v>Reopen</v>
      </c>
      <c r="I30" s="210" t="b">
        <v>1</v>
      </c>
      <c r="J30" s="212" t="b">
        <v>1</v>
      </c>
      <c r="K30" s="213" t="s">
        <v>2592</v>
      </c>
      <c r="L30" s="217" t="b">
        <v>0</v>
      </c>
      <c r="M30" s="215" t="b">
        <v>0</v>
      </c>
      <c r="N30" s="238"/>
      <c r="O30" s="217" t="b">
        <v>0</v>
      </c>
      <c r="P30" s="215" t="b">
        <v>0</v>
      </c>
      <c r="Q30" s="230"/>
      <c r="R30" s="217" t="b">
        <v>0</v>
      </c>
      <c r="S30" s="215" t="b">
        <v>0</v>
      </c>
      <c r="T30" s="218"/>
      <c r="U30" s="210" t="b">
        <v>1</v>
      </c>
      <c r="V30" s="214" t="b">
        <v>1</v>
      </c>
      <c r="W30" s="316" t="s">
        <v>2602</v>
      </c>
      <c r="X30" s="217" t="b">
        <v>0</v>
      </c>
      <c r="Y30" s="215" t="b">
        <v>0</v>
      </c>
      <c r="Z30" s="232"/>
      <c r="AA30" s="217" t="b">
        <v>0</v>
      </c>
      <c r="AB30" s="215" t="b">
        <v>0</v>
      </c>
      <c r="AC30" s="221"/>
      <c r="AD30" s="217" t="b">
        <v>0</v>
      </c>
      <c r="AE30" s="215" t="b">
        <v>0</v>
      </c>
      <c r="AF30" s="222"/>
      <c r="AG30" s="217" t="b">
        <v>0</v>
      </c>
      <c r="AH30" s="215" t="b">
        <v>0</v>
      </c>
      <c r="AI30" s="207"/>
      <c r="AJ30" s="217" t="b">
        <v>0</v>
      </c>
      <c r="AK30" s="215" t="b">
        <v>0</v>
      </c>
      <c r="AL30" s="224"/>
      <c r="AM30" s="217" t="b">
        <v>0</v>
      </c>
      <c r="AN30" s="215" t="b">
        <v>0</v>
      </c>
      <c r="AO30" s="207"/>
      <c r="AP30" s="207"/>
      <c r="AQ30" s="207"/>
      <c r="AR30" s="207"/>
      <c r="AS30" s="207"/>
      <c r="AT30" s="207"/>
      <c r="AU30" s="207"/>
      <c r="AV30" s="207"/>
      <c r="AW30" s="207"/>
      <c r="AX30" s="207"/>
      <c r="AY30" s="207"/>
      <c r="AZ30" s="207"/>
      <c r="BA30" s="207"/>
    </row>
    <row r="31">
      <c r="A31" s="207" t="str">
        <f>IFERROR(__xludf.DUMMYFUNCTION("""COMPUTED_VALUE"""),"CLSD CLAIMS")</f>
        <v>CLSD CLAIMS</v>
      </c>
      <c r="B31" s="209" t="str">
        <f>IFERROR(__xludf.DUMMYFUNCTION("""COMPUTED_VALUE"""),"Jakey, Joshua")</f>
        <v>Jakey, Joshua</v>
      </c>
      <c r="C31" s="209" t="str">
        <f>IFERROR(__xludf.DUMMYFUNCTION("""COMPUTED_VALUE"""),"Diane Edwards ")</f>
        <v>Diane Edwards </v>
      </c>
      <c r="D31" s="207" t="str">
        <f>IFERROR(__xludf.DUMMYFUNCTION("""COMPUTED_VALUE"""),"941-228-0730")</f>
        <v>941-228-0730</v>
      </c>
      <c r="E31" s="209" t="str">
        <f>IFERROR(__xludf.DUMMYFUNCTION("""COMPUTED_VALUE"""),"Prpledi@yahoo.com")</f>
        <v>Prpledi@yahoo.com</v>
      </c>
      <c r="F31" s="209" t="str">
        <f>IFERROR(__xludf.DUMMYFUNCTION("""COMPUTED_VALUE"""),"1352 mackeral ave Sarasota, FL 34237 ")</f>
        <v>1352 mackeral ave Sarasota, FL 34237 </v>
      </c>
      <c r="G31" s="209" t="str">
        <f>IFERROR(__xludf.DUMMYFUNCTION("""COMPUTED_VALUE"""),"Hurricane Milton")</f>
        <v>Hurricane Milton</v>
      </c>
      <c r="H31" s="209" t="str">
        <f>IFERROR(__xludf.DUMMYFUNCTION("""COMPUTED_VALUE"""),"New Claim")</f>
        <v>New Claim</v>
      </c>
      <c r="I31" s="210" t="b">
        <v>1</v>
      </c>
      <c r="J31" s="212" t="b">
        <v>1</v>
      </c>
      <c r="K31" s="213" t="s">
        <v>2622</v>
      </c>
      <c r="L31" s="217" t="b">
        <v>0</v>
      </c>
      <c r="M31" s="215" t="b">
        <v>0</v>
      </c>
      <c r="N31" s="238"/>
      <c r="O31" s="210" t="b">
        <v>1</v>
      </c>
      <c r="P31" s="214" t="b">
        <v>1</v>
      </c>
      <c r="Q31" s="216" t="s">
        <v>2627</v>
      </c>
      <c r="R31" s="217" t="b">
        <v>0</v>
      </c>
      <c r="S31" s="215" t="b">
        <v>0</v>
      </c>
      <c r="T31" s="218"/>
      <c r="U31" s="217" t="b">
        <v>0</v>
      </c>
      <c r="V31" s="215" t="b">
        <v>0</v>
      </c>
      <c r="W31" s="219"/>
      <c r="X31" s="210" t="b">
        <v>1</v>
      </c>
      <c r="Y31" s="214" t="b">
        <v>1</v>
      </c>
      <c r="Z31" s="220" t="s">
        <v>2637</v>
      </c>
      <c r="AA31" s="217" t="b">
        <v>0</v>
      </c>
      <c r="AB31" s="215" t="b">
        <v>0</v>
      </c>
      <c r="AC31" s="221"/>
      <c r="AD31" s="217" t="b">
        <v>0</v>
      </c>
      <c r="AE31" s="215" t="b">
        <v>0</v>
      </c>
      <c r="AF31" s="222"/>
      <c r="AG31" s="217" t="b">
        <v>0</v>
      </c>
      <c r="AH31" s="215" t="b">
        <v>0</v>
      </c>
      <c r="AI31" s="207"/>
      <c r="AJ31" s="217" t="b">
        <v>0</v>
      </c>
      <c r="AK31" s="215" t="b">
        <v>0</v>
      </c>
      <c r="AL31" s="224"/>
      <c r="AM31" s="217" t="b">
        <v>0</v>
      </c>
      <c r="AN31" s="215" t="b">
        <v>0</v>
      </c>
      <c r="AO31" s="207"/>
      <c r="AP31" s="207"/>
      <c r="AQ31" s="207"/>
      <c r="AR31" s="207"/>
      <c r="AS31" s="207"/>
      <c r="AT31" s="207"/>
      <c r="AU31" s="207"/>
      <c r="AV31" s="207"/>
      <c r="AW31" s="207"/>
      <c r="AX31" s="207"/>
      <c r="AY31" s="207"/>
      <c r="AZ31" s="207"/>
      <c r="BA31" s="207"/>
    </row>
    <row r="32">
      <c r="A32" s="207" t="str">
        <f>IFERROR(__xludf.DUMMYFUNCTION("""COMPUTED_VALUE"""),"CLSD CLAIMS")</f>
        <v>CLSD CLAIMS</v>
      </c>
      <c r="B32" s="209" t="str">
        <f>IFERROR(__xludf.DUMMYFUNCTION("""COMPUTED_VALUE"""),"Peter")</f>
        <v>Peter</v>
      </c>
      <c r="C32" s="209" t="str">
        <f>IFERROR(__xludf.DUMMYFUNCTION("""COMPUTED_VALUE"""),"Tyler Miller")</f>
        <v>Tyler Miller</v>
      </c>
      <c r="D32" s="209" t="str">
        <f>IFERROR(__xludf.DUMMYFUNCTION("""COMPUTED_VALUE"""),"330-275-7272")</f>
        <v>330-275-7272</v>
      </c>
      <c r="E32" s="209" t="str">
        <f>IFERROR(__xludf.DUMMYFUNCTION("""COMPUTED_VALUE"""),"tylermiller4040@gmail.com")</f>
        <v>tylermiller4040@gmail.com</v>
      </c>
      <c r="F32" s="209" t="str">
        <f>IFERROR(__xludf.DUMMYFUNCTION("""COMPUTED_VALUE"""),"101 Ingles Way, Wauchula, FL 33873")</f>
        <v>101 Ingles Way, Wauchula, FL 33873</v>
      </c>
      <c r="G32" s="209" t="str">
        <f>IFERROR(__xludf.DUMMYFUNCTION("""COMPUTED_VALUE"""),"Hurricane Ian")</f>
        <v>Hurricane Ian</v>
      </c>
      <c r="H32" s="207"/>
      <c r="I32" s="210" t="b">
        <v>1</v>
      </c>
      <c r="J32" s="212" t="b">
        <v>1</v>
      </c>
      <c r="K32" s="321">
        <v>45265.0</v>
      </c>
      <c r="L32" s="217" t="b">
        <v>0</v>
      </c>
      <c r="M32" s="215" t="b">
        <v>0</v>
      </c>
      <c r="N32" s="238"/>
      <c r="O32" s="217" t="b">
        <v>0</v>
      </c>
      <c r="P32" s="215" t="b">
        <v>0</v>
      </c>
      <c r="Q32" s="230"/>
      <c r="R32" s="217" t="b">
        <v>0</v>
      </c>
      <c r="S32" s="215" t="b">
        <v>0</v>
      </c>
      <c r="T32" s="218"/>
      <c r="U32" s="217" t="b">
        <v>0</v>
      </c>
      <c r="V32" s="215" t="b">
        <v>0</v>
      </c>
      <c r="W32" s="219"/>
      <c r="X32" s="217" t="b">
        <v>0</v>
      </c>
      <c r="Y32" s="215" t="b">
        <v>0</v>
      </c>
      <c r="Z32" s="232"/>
      <c r="AA32" s="217" t="b">
        <v>0</v>
      </c>
      <c r="AB32" s="215" t="b">
        <v>0</v>
      </c>
      <c r="AC32" s="221"/>
      <c r="AD32" s="217" t="b">
        <v>0</v>
      </c>
      <c r="AE32" s="215" t="b">
        <v>0</v>
      </c>
      <c r="AF32" s="222"/>
      <c r="AG32" s="217" t="b">
        <v>0</v>
      </c>
      <c r="AH32" s="215" t="b">
        <v>0</v>
      </c>
      <c r="AI32" s="207"/>
      <c r="AJ32" s="217" t="b">
        <v>0</v>
      </c>
      <c r="AK32" s="215" t="b">
        <v>0</v>
      </c>
      <c r="AL32" s="224"/>
      <c r="AM32" s="217" t="b">
        <v>0</v>
      </c>
      <c r="AN32" s="215" t="b">
        <v>0</v>
      </c>
      <c r="AO32" s="207"/>
      <c r="AP32" s="207"/>
      <c r="AQ32" s="207"/>
      <c r="AR32" s="207"/>
      <c r="AS32" s="207"/>
      <c r="AT32" s="207"/>
      <c r="AU32" s="207"/>
      <c r="AV32" s="207"/>
      <c r="AW32" s="207"/>
      <c r="AX32" s="207"/>
      <c r="AY32" s="207"/>
      <c r="AZ32" s="207"/>
      <c r="BA32" s="207"/>
    </row>
    <row r="33">
      <c r="A33" s="207" t="str">
        <f>IFERROR(__xludf.DUMMYFUNCTION("""COMPUTED_VALUE"""),"CLSD CLAIMS")</f>
        <v>CLSD CLAIMS</v>
      </c>
      <c r="B33" s="209" t="str">
        <f>IFERROR(__xludf.DUMMYFUNCTION("""COMPUTED_VALUE"""),"Peter")</f>
        <v>Peter</v>
      </c>
      <c r="C33" s="209" t="str">
        <f>IFERROR(__xludf.DUMMYFUNCTION("""COMPUTED_VALUE"""),"Edward Apanowicz")</f>
        <v>Edward Apanowicz</v>
      </c>
      <c r="D33" s="209" t="str">
        <f>IFERROR(__xludf.DUMMYFUNCTION("""COMPUTED_VALUE"""),"941-240-6391")</f>
        <v>941-240-6391</v>
      </c>
      <c r="E33" s="209" t="str">
        <f>IFERROR(__xludf.DUMMYFUNCTION("""COMPUTED_VALUE"""),"e.apanowicz@gmail.com")</f>
        <v>e.apanowicz@gmail.com</v>
      </c>
      <c r="F33" s="209" t="str">
        <f>IFERROR(__xludf.DUMMYFUNCTION("""COMPUTED_VALUE"""),"1327 Gerona Ter North Port, FL 34286")</f>
        <v>1327 Gerona Ter North Port, FL 34286</v>
      </c>
      <c r="G33" s="209" t="str">
        <f>IFERROR(__xludf.DUMMYFUNCTION("""COMPUTED_VALUE"""),"Hurricane Ian")</f>
        <v>Hurricane Ian</v>
      </c>
      <c r="H33" s="207"/>
      <c r="I33" s="210" t="b">
        <v>1</v>
      </c>
      <c r="J33" s="212" t="b">
        <v>1</v>
      </c>
      <c r="K33" s="213" t="s">
        <v>2687</v>
      </c>
      <c r="L33" s="210" t="b">
        <v>1</v>
      </c>
      <c r="M33" s="214" t="b">
        <v>1</v>
      </c>
      <c r="N33" s="213" t="s">
        <v>2688</v>
      </c>
      <c r="O33" s="217" t="b">
        <v>0</v>
      </c>
      <c r="P33" s="215" t="b">
        <v>0</v>
      </c>
      <c r="Q33" s="230"/>
      <c r="R33" s="217" t="b">
        <v>0</v>
      </c>
      <c r="S33" s="215" t="b">
        <v>0</v>
      </c>
      <c r="T33" s="218"/>
      <c r="U33" s="217" t="b">
        <v>0</v>
      </c>
      <c r="V33" s="215" t="b">
        <v>0</v>
      </c>
      <c r="W33" s="219"/>
      <c r="X33" s="217" t="b">
        <v>0</v>
      </c>
      <c r="Y33" s="215" t="b">
        <v>0</v>
      </c>
      <c r="Z33" s="232"/>
      <c r="AA33" s="217" t="b">
        <v>0</v>
      </c>
      <c r="AB33" s="215" t="b">
        <v>0</v>
      </c>
      <c r="AC33" s="325" t="s">
        <v>2696</v>
      </c>
      <c r="AD33" s="217" t="b">
        <v>0</v>
      </c>
      <c r="AE33" s="215" t="b">
        <v>0</v>
      </c>
      <c r="AF33" s="222"/>
      <c r="AG33" s="217" t="b">
        <v>0</v>
      </c>
      <c r="AH33" s="215" t="b">
        <v>0</v>
      </c>
      <c r="AI33" s="207"/>
      <c r="AJ33" s="217" t="b">
        <v>0</v>
      </c>
      <c r="AK33" s="215" t="b">
        <v>0</v>
      </c>
      <c r="AL33" s="224"/>
      <c r="AM33" s="217" t="b">
        <v>0</v>
      </c>
      <c r="AN33" s="215" t="b">
        <v>0</v>
      </c>
      <c r="AO33" s="207"/>
      <c r="AP33" s="207"/>
      <c r="AQ33" s="207"/>
      <c r="AR33" s="207"/>
      <c r="AS33" s="207"/>
      <c r="AT33" s="207"/>
      <c r="AU33" s="207"/>
      <c r="AV33" s="207"/>
      <c r="AW33" s="207"/>
      <c r="AX33" s="207"/>
      <c r="AY33" s="207"/>
      <c r="AZ33" s="207"/>
      <c r="BA33" s="207"/>
    </row>
    <row r="34">
      <c r="A34" s="207" t="str">
        <f>IFERROR(__xludf.DUMMYFUNCTION("""COMPUTED_VALUE"""),"CLSD CLAIMS")</f>
        <v>CLSD CLAIMS</v>
      </c>
      <c r="B34" s="209" t="str">
        <f>IFERROR(__xludf.DUMMYFUNCTION("""COMPUTED_VALUE"""),"David F., Ivan")</f>
        <v>David F., Ivan</v>
      </c>
      <c r="C34" s="209" t="str">
        <f>IFERROR(__xludf.DUMMYFUNCTION("""COMPUTED_VALUE"""),"DSM Holdings LLC")</f>
        <v>DSM Holdings LLC</v>
      </c>
      <c r="D34" s="209" t="str">
        <f>IFERROR(__xludf.DUMMYFUNCTION("""COMPUTED_VALUE"""),"561-201-1100")</f>
        <v>561-201-1100</v>
      </c>
      <c r="E34" s="209" t="str">
        <f>IFERROR(__xludf.DUMMYFUNCTION("""COMPUTED_VALUE"""),"dasmartin@pedimhealthcare.com")</f>
        <v>dasmartin@pedimhealthcare.com</v>
      </c>
      <c r="F34" s="209" t="str">
        <f>IFERROR(__xludf.DUMMYFUNCTION("""COMPUTED_VALUE"""),"2676 N Comanche Pt, Crystal River, FL 34429-5229")</f>
        <v>2676 N Comanche Pt, Crystal River, FL 34429-5229</v>
      </c>
      <c r="G34" s="209" t="str">
        <f>IFERROR(__xludf.DUMMYFUNCTION("""COMPUTED_VALUE"""),"Hurricane Milton")</f>
        <v>Hurricane Milton</v>
      </c>
      <c r="H34" s="209" t="str">
        <f>IFERROR(__xludf.DUMMYFUNCTION("""COMPUTED_VALUE"""),"New Claim")</f>
        <v>New Claim</v>
      </c>
      <c r="I34" s="210" t="b">
        <v>1</v>
      </c>
      <c r="J34" s="212" t="b">
        <v>1</v>
      </c>
      <c r="K34" s="213" t="s">
        <v>2705</v>
      </c>
      <c r="L34" s="217" t="b">
        <v>0</v>
      </c>
      <c r="M34" s="215" t="b">
        <v>0</v>
      </c>
      <c r="N34" s="238"/>
      <c r="O34" s="210" t="b">
        <v>1</v>
      </c>
      <c r="P34" s="214" t="b">
        <v>1</v>
      </c>
      <c r="Q34" s="216" t="s">
        <v>2706</v>
      </c>
      <c r="R34" s="217" t="b">
        <v>0</v>
      </c>
      <c r="S34" s="215" t="b">
        <v>0</v>
      </c>
      <c r="T34" s="218"/>
      <c r="U34" s="217" t="b">
        <v>0</v>
      </c>
      <c r="V34" s="215" t="b">
        <v>0</v>
      </c>
      <c r="W34" s="219"/>
      <c r="X34" s="217" t="b">
        <v>0</v>
      </c>
      <c r="Y34" s="215" t="b">
        <v>0</v>
      </c>
      <c r="Z34" s="232"/>
      <c r="AA34" s="217" t="b">
        <v>0</v>
      </c>
      <c r="AB34" s="215" t="b">
        <v>0</v>
      </c>
      <c r="AC34" s="221"/>
      <c r="AD34" s="217" t="b">
        <v>0</v>
      </c>
      <c r="AE34" s="215" t="b">
        <v>0</v>
      </c>
      <c r="AF34" s="222"/>
      <c r="AG34" s="217" t="b">
        <v>0</v>
      </c>
      <c r="AH34" s="215" t="b">
        <v>0</v>
      </c>
      <c r="AI34" s="207"/>
      <c r="AJ34" s="217" t="b">
        <v>0</v>
      </c>
      <c r="AK34" s="215" t="b">
        <v>0</v>
      </c>
      <c r="AL34" s="224"/>
      <c r="AM34" s="217" t="b">
        <v>0</v>
      </c>
      <c r="AN34" s="215" t="b">
        <v>0</v>
      </c>
      <c r="AO34" s="207"/>
      <c r="AP34" s="207"/>
      <c r="AQ34" s="207"/>
      <c r="AR34" s="207"/>
      <c r="AS34" s="207"/>
      <c r="AT34" s="207"/>
      <c r="AU34" s="207"/>
      <c r="AV34" s="207"/>
      <c r="AW34" s="207"/>
      <c r="AX34" s="207"/>
      <c r="AY34" s="207"/>
      <c r="AZ34" s="207"/>
      <c r="BA34" s="207"/>
    </row>
    <row r="35">
      <c r="A35" s="207" t="str">
        <f>IFERROR(__xludf.DUMMYFUNCTION("""COMPUTED_VALUE"""),"CLSD CLAIMS")</f>
        <v>CLSD CLAIMS</v>
      </c>
      <c r="B35" s="209" t="str">
        <f>IFERROR(__xludf.DUMMYFUNCTION("""COMPUTED_VALUE"""),"Ivan, David F.")</f>
        <v>Ivan, David F.</v>
      </c>
      <c r="C35" s="209" t="str">
        <f>IFERROR(__xludf.DUMMYFUNCTION("""COMPUTED_VALUE"""),"DSM Holdings LLC")</f>
        <v>DSM Holdings LLC</v>
      </c>
      <c r="D35" s="209" t="str">
        <f>IFERROR(__xludf.DUMMYFUNCTION("""COMPUTED_VALUE"""),"561-201-1100")</f>
        <v>561-201-1100</v>
      </c>
      <c r="E35" s="209" t="str">
        <f>IFERROR(__xludf.DUMMYFUNCTION("""COMPUTED_VALUE"""),"dasmartin@pedimhealthcare.com")</f>
        <v>dasmartin@pedimhealthcare.com</v>
      </c>
      <c r="F35" s="209" t="str">
        <f>IFERROR(__xludf.DUMMYFUNCTION("""COMPUTED_VALUE"""),"2686 N Comanche Pt, Crystal River, FL 34429-5229")</f>
        <v>2686 N Comanche Pt, Crystal River, FL 34429-5229</v>
      </c>
      <c r="G35" s="209" t="str">
        <f>IFERROR(__xludf.DUMMYFUNCTION("""COMPUTED_VALUE"""),"Hurricane Milton")</f>
        <v>Hurricane Milton</v>
      </c>
      <c r="H35" s="209" t="str">
        <f>IFERROR(__xludf.DUMMYFUNCTION("""COMPUTED_VALUE"""),"New Claim")</f>
        <v>New Claim</v>
      </c>
      <c r="I35" s="210" t="b">
        <v>1</v>
      </c>
      <c r="J35" s="212" t="b">
        <v>1</v>
      </c>
      <c r="K35" s="213" t="s">
        <v>2718</v>
      </c>
      <c r="L35" s="217" t="b">
        <v>0</v>
      </c>
      <c r="M35" s="215" t="b">
        <v>0</v>
      </c>
      <c r="N35" s="238"/>
      <c r="O35" s="217" t="b">
        <v>0</v>
      </c>
      <c r="P35" s="215" t="b">
        <v>0</v>
      </c>
      <c r="Q35" s="216" t="s">
        <v>2722</v>
      </c>
      <c r="R35" s="217" t="b">
        <v>0</v>
      </c>
      <c r="S35" s="215" t="b">
        <v>0</v>
      </c>
      <c r="T35" s="218"/>
      <c r="U35" s="217" t="b">
        <v>0</v>
      </c>
      <c r="V35" s="215" t="b">
        <v>0</v>
      </c>
      <c r="W35" s="219"/>
      <c r="X35" s="217" t="b">
        <v>0</v>
      </c>
      <c r="Y35" s="215" t="b">
        <v>0</v>
      </c>
      <c r="Z35" s="232"/>
      <c r="AA35" s="217" t="b">
        <v>0</v>
      </c>
      <c r="AB35" s="215" t="b">
        <v>0</v>
      </c>
      <c r="AC35" s="221"/>
      <c r="AD35" s="217" t="b">
        <v>0</v>
      </c>
      <c r="AE35" s="215" t="b">
        <v>0</v>
      </c>
      <c r="AF35" s="222"/>
      <c r="AG35" s="217" t="b">
        <v>0</v>
      </c>
      <c r="AH35" s="215" t="b">
        <v>0</v>
      </c>
      <c r="AI35" s="207"/>
      <c r="AJ35" s="217" t="b">
        <v>0</v>
      </c>
      <c r="AK35" s="215" t="b">
        <v>0</v>
      </c>
      <c r="AL35" s="224"/>
      <c r="AM35" s="217" t="b">
        <v>0</v>
      </c>
      <c r="AN35" s="215" t="b">
        <v>0</v>
      </c>
      <c r="AO35" s="207"/>
      <c r="AP35" s="207"/>
      <c r="AQ35" s="207"/>
      <c r="AR35" s="207"/>
      <c r="AS35" s="207"/>
      <c r="AT35" s="207"/>
      <c r="AU35" s="207"/>
      <c r="AV35" s="207"/>
      <c r="AW35" s="207"/>
      <c r="AX35" s="207"/>
      <c r="AY35" s="207"/>
      <c r="AZ35" s="207"/>
      <c r="BA35" s="207"/>
    </row>
    <row r="36">
      <c r="A36" s="207" t="str">
        <f>IFERROR(__xludf.DUMMYFUNCTION("""COMPUTED_VALUE"""),"CLSD CLAIMS")</f>
        <v>CLSD CLAIMS</v>
      </c>
      <c r="B36" s="209" t="str">
        <f>IFERROR(__xludf.DUMMYFUNCTION("""COMPUTED_VALUE"""),"Ivan, Juan")</f>
        <v>Ivan, Juan</v>
      </c>
      <c r="C36" s="209" t="str">
        <f>IFERROR(__xludf.DUMMYFUNCTION("""COMPUTED_VALUE"""),"Stephen &amp; Robin Ruggiero")</f>
        <v>Stephen &amp; Robin Ruggiero</v>
      </c>
      <c r="D36" s="209" t="str">
        <f>IFERROR(__xludf.DUMMYFUNCTION("""COMPUTED_VALUE"""),"941-586-2226")</f>
        <v>941-586-2226</v>
      </c>
      <c r="E36" s="209" t="str">
        <f>IFERROR(__xludf.DUMMYFUNCTION("""COMPUTED_VALUE"""),"Ruggierose@aol.com")</f>
        <v>Ruggierose@aol.com</v>
      </c>
      <c r="F36" s="209" t="str">
        <f>IFERROR(__xludf.DUMMYFUNCTION("""COMPUTED_VALUE"""),"2671 Novus PL. Sarasota, FL 34237")</f>
        <v>2671 Novus PL. Sarasota, FL 34237</v>
      </c>
      <c r="G36" s="209" t="str">
        <f>IFERROR(__xludf.DUMMYFUNCTION("""COMPUTED_VALUE"""),"Hurricane Milton")</f>
        <v>Hurricane Milton</v>
      </c>
      <c r="H36" s="209" t="str">
        <f>IFERROR(__xludf.DUMMYFUNCTION("""COMPUTED_VALUE"""),"New Claim")</f>
        <v>New Claim</v>
      </c>
      <c r="I36" s="210" t="b">
        <v>1</v>
      </c>
      <c r="J36" s="212" t="b">
        <v>1</v>
      </c>
      <c r="K36" s="213" t="s">
        <v>2732</v>
      </c>
      <c r="L36" s="217" t="b">
        <v>0</v>
      </c>
      <c r="M36" s="215" t="b">
        <v>0</v>
      </c>
      <c r="N36" s="238"/>
      <c r="O36" s="210" t="b">
        <v>1</v>
      </c>
      <c r="P36" s="214" t="b">
        <v>1</v>
      </c>
      <c r="Q36" s="216" t="s">
        <v>2739</v>
      </c>
      <c r="R36" s="217" t="b">
        <v>0</v>
      </c>
      <c r="S36" s="215" t="b">
        <v>0</v>
      </c>
      <c r="T36" s="218"/>
      <c r="U36" s="217" t="b">
        <v>0</v>
      </c>
      <c r="V36" s="215" t="b">
        <v>0</v>
      </c>
      <c r="W36" s="219"/>
      <c r="X36" s="210" t="b">
        <v>1</v>
      </c>
      <c r="Y36" s="214" t="b">
        <v>1</v>
      </c>
      <c r="Z36" s="220" t="s">
        <v>2742</v>
      </c>
      <c r="AA36" s="217" t="b">
        <v>0</v>
      </c>
      <c r="AB36" s="215" t="b">
        <v>0</v>
      </c>
      <c r="AC36" s="221"/>
      <c r="AD36" s="217" t="b">
        <v>0</v>
      </c>
      <c r="AE36" s="215" t="b">
        <v>0</v>
      </c>
      <c r="AF36" s="222"/>
      <c r="AG36" s="217" t="b">
        <v>0</v>
      </c>
      <c r="AH36" s="215" t="b">
        <v>0</v>
      </c>
      <c r="AI36" s="207"/>
      <c r="AJ36" s="217" t="b">
        <v>0</v>
      </c>
      <c r="AK36" s="215" t="b">
        <v>0</v>
      </c>
      <c r="AL36" s="224"/>
      <c r="AM36" s="217" t="b">
        <v>0</v>
      </c>
      <c r="AN36" s="215" t="b">
        <v>0</v>
      </c>
      <c r="AO36" s="207"/>
      <c r="AP36" s="207"/>
      <c r="AQ36" s="207"/>
      <c r="AR36" s="207"/>
      <c r="AS36" s="207"/>
      <c r="AT36" s="207"/>
      <c r="AU36" s="207"/>
      <c r="AV36" s="207"/>
      <c r="AW36" s="207"/>
      <c r="AX36" s="207"/>
      <c r="AY36" s="207"/>
      <c r="AZ36" s="207"/>
      <c r="BA36" s="207"/>
    </row>
    <row r="37">
      <c r="A37" s="207" t="str">
        <f>IFERROR(__xludf.DUMMYFUNCTION("""COMPUTED_VALUE"""),"CLSD CLAIMS")</f>
        <v>CLSD CLAIMS</v>
      </c>
      <c r="B37" s="209" t="str">
        <f>IFERROR(__xludf.DUMMYFUNCTION("""COMPUTED_VALUE"""),"Joshua, David M.")</f>
        <v>Joshua, David M.</v>
      </c>
      <c r="C37" s="209" t="str">
        <f>IFERROR(__xludf.DUMMYFUNCTION("""COMPUTED_VALUE"""),"Fern Hernandez")</f>
        <v>Fern Hernandez</v>
      </c>
      <c r="D37" s="209" t="str">
        <f>IFERROR(__xludf.DUMMYFUNCTION("""COMPUTED_VALUE"""),"941-448-3655")</f>
        <v>941-448-3655</v>
      </c>
      <c r="E37" s="209" t="str">
        <f>IFERROR(__xludf.DUMMYFUNCTION("""COMPUTED_VALUE"""),"Suncoastmikef@yahoo.com")</f>
        <v>Suncoastmikef@yahoo.com</v>
      </c>
      <c r="F37" s="209" t="str">
        <f>IFERROR(__xludf.DUMMYFUNCTION("""COMPUTED_VALUE"""),"620 57th Ave W Lot i6, Bradenton FL 34207")</f>
        <v>620 57th Ave W Lot i6, Bradenton FL 34207</v>
      </c>
      <c r="G37" s="209" t="str">
        <f>IFERROR(__xludf.DUMMYFUNCTION("""COMPUTED_VALUE"""),"Hurricane Milton")</f>
        <v>Hurricane Milton</v>
      </c>
      <c r="H37" s="209" t="str">
        <f>IFERROR(__xludf.DUMMYFUNCTION("""COMPUTED_VALUE"""),"New Claim")</f>
        <v>New Claim</v>
      </c>
      <c r="I37" s="210" t="b">
        <v>1</v>
      </c>
      <c r="J37" s="212" t="b">
        <v>1</v>
      </c>
      <c r="K37" s="213" t="s">
        <v>2765</v>
      </c>
      <c r="L37" s="217" t="b">
        <v>0</v>
      </c>
      <c r="M37" s="215" t="b">
        <v>0</v>
      </c>
      <c r="N37" s="238"/>
      <c r="O37" s="210" t="b">
        <v>1</v>
      </c>
      <c r="P37" s="214" t="b">
        <v>1</v>
      </c>
      <c r="Q37" s="216" t="s">
        <v>2766</v>
      </c>
      <c r="R37" s="217" t="b">
        <v>0</v>
      </c>
      <c r="S37" s="215" t="b">
        <v>0</v>
      </c>
      <c r="T37" s="218"/>
      <c r="U37" s="217" t="b">
        <v>0</v>
      </c>
      <c r="V37" s="215" t="b">
        <v>0</v>
      </c>
      <c r="W37" s="219"/>
      <c r="X37" s="217" t="b">
        <v>0</v>
      </c>
      <c r="Y37" s="215" t="b">
        <v>0</v>
      </c>
      <c r="Z37" s="232"/>
      <c r="AA37" s="210" t="b">
        <v>1</v>
      </c>
      <c r="AB37" s="214" t="b">
        <v>1</v>
      </c>
      <c r="AC37" s="325" t="s">
        <v>2768</v>
      </c>
      <c r="AD37" s="217" t="b">
        <v>0</v>
      </c>
      <c r="AE37" s="215" t="b">
        <v>0</v>
      </c>
      <c r="AF37" s="222"/>
      <c r="AG37" s="217" t="b">
        <v>0</v>
      </c>
      <c r="AH37" s="215" t="b">
        <v>0</v>
      </c>
      <c r="AI37" s="207"/>
      <c r="AJ37" s="217" t="b">
        <v>0</v>
      </c>
      <c r="AK37" s="215" t="b">
        <v>0</v>
      </c>
      <c r="AL37" s="224"/>
      <c r="AM37" s="217" t="b">
        <v>0</v>
      </c>
      <c r="AN37" s="215" t="b">
        <v>0</v>
      </c>
      <c r="AO37" s="207"/>
      <c r="AP37" s="207"/>
      <c r="AQ37" s="207"/>
      <c r="AR37" s="207"/>
      <c r="AS37" s="207"/>
      <c r="AT37" s="207"/>
      <c r="AU37" s="207"/>
      <c r="AV37" s="207"/>
      <c r="AW37" s="207"/>
      <c r="AX37" s="207"/>
      <c r="AY37" s="207"/>
      <c r="AZ37" s="207"/>
      <c r="BA37" s="207"/>
    </row>
    <row r="38">
      <c r="A38" s="207" t="str">
        <f>IFERROR(__xludf.DUMMYFUNCTION("""COMPUTED_VALUE"""),"CLSD CLAIMS")</f>
        <v>CLSD CLAIMS</v>
      </c>
      <c r="B38" s="209" t="str">
        <f>IFERROR(__xludf.DUMMYFUNCTION("""COMPUTED_VALUE"""),"Juan")</f>
        <v>Juan</v>
      </c>
      <c r="C38" s="209" t="str">
        <f>IFERROR(__xludf.DUMMYFUNCTION("""COMPUTED_VALUE"""),"Randolph Smith")</f>
        <v>Randolph Smith</v>
      </c>
      <c r="D38" s="209" t="str">
        <f>IFERROR(__xludf.DUMMYFUNCTION("""COMPUTED_VALUE"""),"708-715-2770")</f>
        <v>708-715-2770</v>
      </c>
      <c r="E38" s="209" t="str">
        <f>IFERROR(__xludf.DUMMYFUNCTION("""COMPUTED_VALUE"""),"Nancy52@msn.com")</f>
        <v>Nancy52@msn.com</v>
      </c>
      <c r="F38" s="209" t="str">
        <f>IFERROR(__xludf.DUMMYFUNCTION("""COMPUTED_VALUE"""),"521 Fairhope Dr, Apollo Beach, FL 33572 ")</f>
        <v>521 Fairhope Dr, Apollo Beach, FL 33572 </v>
      </c>
      <c r="G38" s="209" t="str">
        <f>IFERROR(__xludf.DUMMYFUNCTION("""COMPUTED_VALUE"""),"Hurricane Milton")</f>
        <v>Hurricane Milton</v>
      </c>
      <c r="H38" s="209" t="str">
        <f>IFERROR(__xludf.DUMMYFUNCTION("""COMPUTED_VALUE"""),"New Claim")</f>
        <v>New Claim</v>
      </c>
      <c r="I38" s="210" t="b">
        <v>1</v>
      </c>
      <c r="J38" s="212" t="b">
        <v>1</v>
      </c>
      <c r="K38" s="213" t="s">
        <v>2769</v>
      </c>
      <c r="L38" s="210" t="b">
        <v>1</v>
      </c>
      <c r="M38" s="214" t="b">
        <v>1</v>
      </c>
      <c r="N38" s="213" t="s">
        <v>2770</v>
      </c>
      <c r="O38" s="217" t="b">
        <v>0</v>
      </c>
      <c r="P38" s="215" t="b">
        <v>0</v>
      </c>
      <c r="Q38" s="230"/>
      <c r="R38" s="217" t="b">
        <v>0</v>
      </c>
      <c r="S38" s="215" t="b">
        <v>0</v>
      </c>
      <c r="T38" s="218"/>
      <c r="U38" s="217" t="b">
        <v>0</v>
      </c>
      <c r="V38" s="215" t="b">
        <v>0</v>
      </c>
      <c r="W38" s="219"/>
      <c r="X38" s="217" t="b">
        <v>0</v>
      </c>
      <c r="Y38" s="215" t="b">
        <v>0</v>
      </c>
      <c r="Z38" s="232"/>
      <c r="AA38" s="217" t="b">
        <v>0</v>
      </c>
      <c r="AB38" s="215" t="b">
        <v>0</v>
      </c>
      <c r="AC38" s="221"/>
      <c r="AD38" s="217" t="b">
        <v>0</v>
      </c>
      <c r="AE38" s="215" t="b">
        <v>0</v>
      </c>
      <c r="AF38" s="222"/>
      <c r="AG38" s="217" t="b">
        <v>0</v>
      </c>
      <c r="AH38" s="215" t="b">
        <v>0</v>
      </c>
      <c r="AI38" s="207"/>
      <c r="AJ38" s="217" t="b">
        <v>0</v>
      </c>
      <c r="AK38" s="215" t="b">
        <v>0</v>
      </c>
      <c r="AL38" s="224"/>
      <c r="AM38" s="217" t="b">
        <v>0</v>
      </c>
      <c r="AN38" s="215" t="b">
        <v>0</v>
      </c>
      <c r="AO38" s="207"/>
      <c r="AP38" s="207"/>
      <c r="AQ38" s="207"/>
      <c r="AR38" s="207"/>
      <c r="AS38" s="207"/>
      <c r="AT38" s="207"/>
      <c r="AU38" s="207"/>
      <c r="AV38" s="207"/>
      <c r="AW38" s="207"/>
      <c r="AX38" s="207"/>
      <c r="AY38" s="207"/>
      <c r="AZ38" s="207"/>
      <c r="BA38" s="207"/>
    </row>
    <row r="39">
      <c r="A39" s="207" t="str">
        <f>IFERROR(__xludf.DUMMYFUNCTION("""COMPUTED_VALUE"""),"FORCE PLACED")</f>
        <v>FORCE PLACED</v>
      </c>
      <c r="B39" s="209" t="str">
        <f>IFERROR(__xludf.DUMMYFUNCTION("""COMPUTED_VALUE"""),"Joshua")</f>
        <v>Joshua</v>
      </c>
      <c r="C39" s="209" t="str">
        <f>IFERROR(__xludf.DUMMYFUNCTION("""COMPUTED_VALUE"""),"Louisa Marie Eugene")</f>
        <v>Louisa Marie Eugene</v>
      </c>
      <c r="D39" s="209" t="str">
        <f>IFERROR(__xludf.DUMMYFUNCTION("""COMPUTED_VALUE"""),"863-585-5846")</f>
        <v>863-585-5846</v>
      </c>
      <c r="E39" s="209"/>
      <c r="F39" s="209" t="str">
        <f>IFERROR(__xludf.DUMMYFUNCTION("""COMPUTED_VALUE"""),"3001 Ave K NW Winter Haven, FL 33881")</f>
        <v>3001 Ave K NW Winter Haven, FL 33881</v>
      </c>
      <c r="G39" s="209" t="str">
        <f>IFERROR(__xludf.DUMMYFUNCTION("""COMPUTED_VALUE"""),"Hurricane Ian")</f>
        <v>Hurricane Ian</v>
      </c>
      <c r="H39" s="207"/>
      <c r="I39" s="210" t="b">
        <v>1</v>
      </c>
      <c r="J39" s="212" t="b">
        <v>1</v>
      </c>
      <c r="K39" s="331">
        <v>45633.0</v>
      </c>
      <c r="L39" s="173" t="b">
        <v>0</v>
      </c>
      <c r="M39" s="226" t="b">
        <v>0</v>
      </c>
      <c r="N39" s="178"/>
      <c r="O39" s="217" t="b">
        <v>0</v>
      </c>
      <c r="P39" s="215" t="b">
        <v>0</v>
      </c>
      <c r="Q39" s="216" t="s">
        <v>2794</v>
      </c>
      <c r="R39" s="217" t="b">
        <v>0</v>
      </c>
      <c r="S39" s="215" t="b">
        <v>0</v>
      </c>
      <c r="T39" s="218"/>
      <c r="U39" s="217" t="b">
        <v>0</v>
      </c>
      <c r="V39" s="215" t="b">
        <v>0</v>
      </c>
      <c r="W39" s="219"/>
      <c r="X39" s="217" t="b">
        <v>0</v>
      </c>
      <c r="Y39" s="215" t="b">
        <v>0</v>
      </c>
      <c r="Z39" s="232"/>
      <c r="AA39" s="217" t="b">
        <v>0</v>
      </c>
      <c r="AB39" s="215" t="b">
        <v>0</v>
      </c>
      <c r="AC39" s="221"/>
      <c r="AD39" s="217" t="b">
        <v>0</v>
      </c>
      <c r="AE39" s="215" t="b">
        <v>0</v>
      </c>
      <c r="AF39" s="222"/>
      <c r="AG39" s="217" t="b">
        <v>0</v>
      </c>
      <c r="AH39" s="215" t="b">
        <v>0</v>
      </c>
      <c r="AI39" s="207"/>
      <c r="AJ39" s="217" t="b">
        <v>0</v>
      </c>
      <c r="AK39" s="215" t="b">
        <v>0</v>
      </c>
      <c r="AL39" s="224"/>
      <c r="AM39" s="217" t="b">
        <v>0</v>
      </c>
      <c r="AN39" s="215" t="b">
        <v>0</v>
      </c>
      <c r="AO39" s="207"/>
      <c r="AP39" s="207"/>
      <c r="AQ39" s="207"/>
      <c r="AR39" s="207"/>
      <c r="AS39" s="207"/>
      <c r="AT39" s="207"/>
      <c r="AU39" s="207"/>
      <c r="AV39" s="207"/>
      <c r="AW39" s="207"/>
      <c r="AX39" s="207"/>
      <c r="AY39" s="207"/>
      <c r="AZ39" s="207"/>
      <c r="BA39" s="207"/>
    </row>
    <row r="40">
      <c r="A40" s="332" t="str">
        <f>IFERROR(__xludf.DUMMYFUNCTION("""COMPUTED_VALUE"""),"FORCE PLACED")</f>
        <v>FORCE PLACED</v>
      </c>
      <c r="B40" s="333" t="str">
        <f>IFERROR(__xludf.DUMMYFUNCTION("""COMPUTED_VALUE"""),"David")</f>
        <v>David</v>
      </c>
      <c r="C40" s="333" t="str">
        <f>IFERROR(__xludf.DUMMYFUNCTION("""COMPUTED_VALUE"""),"Federico &amp; Maria Mata ")</f>
        <v>Federico &amp; Maria Mata </v>
      </c>
      <c r="D40" s="333" t="str">
        <f>IFERROR(__xludf.DUMMYFUNCTION("""COMPUTED_VALUE"""),"863-605-0787")</f>
        <v>863-605-0787</v>
      </c>
      <c r="E40" s="333" t="str">
        <f>IFERROR(__xludf.DUMMYFUNCTION("""COMPUTED_VALUE"""),"feomcn@gmail.com")</f>
        <v>feomcn@gmail.com</v>
      </c>
      <c r="F40" s="333" t="str">
        <f>IFERROR(__xludf.DUMMYFUNCTION("""COMPUTED_VALUE"""),"1855 Kissingen Ave, Bartow FL 33830")</f>
        <v>1855 Kissingen Ave, Bartow FL 33830</v>
      </c>
      <c r="G40" s="333" t="str">
        <f>IFERROR(__xludf.DUMMYFUNCTION("""COMPUTED_VALUE"""),"Hurricane Ian")</f>
        <v>Hurricane Ian</v>
      </c>
      <c r="H40" s="332"/>
      <c r="I40" s="334" t="b">
        <v>1</v>
      </c>
      <c r="J40" s="335" t="b">
        <v>1</v>
      </c>
      <c r="K40" s="336" t="s">
        <v>2817</v>
      </c>
      <c r="L40" s="337" t="b">
        <v>0</v>
      </c>
      <c r="M40" s="338" t="b">
        <v>0</v>
      </c>
      <c r="N40" s="339"/>
      <c r="O40" s="334" t="b">
        <v>1</v>
      </c>
      <c r="P40" s="340" t="b">
        <v>1</v>
      </c>
      <c r="Q40" s="341" t="s">
        <v>2831</v>
      </c>
      <c r="R40" s="337" t="b">
        <v>0</v>
      </c>
      <c r="S40" s="338" t="b">
        <v>0</v>
      </c>
      <c r="T40" s="342"/>
      <c r="U40" s="337" t="b">
        <v>0</v>
      </c>
      <c r="V40" s="338" t="b">
        <v>0</v>
      </c>
      <c r="W40" s="343"/>
      <c r="X40" s="337" t="b">
        <v>0</v>
      </c>
      <c r="Y40" s="338" t="b">
        <v>0</v>
      </c>
      <c r="Z40" s="344"/>
      <c r="AA40" s="337" t="b">
        <v>0</v>
      </c>
      <c r="AB40" s="338" t="b">
        <v>0</v>
      </c>
      <c r="AC40" s="345"/>
      <c r="AD40" s="337" t="b">
        <v>0</v>
      </c>
      <c r="AE40" s="338" t="b">
        <v>0</v>
      </c>
      <c r="AF40" s="346"/>
      <c r="AG40" s="337" t="b">
        <v>0</v>
      </c>
      <c r="AH40" s="338" t="b">
        <v>0</v>
      </c>
      <c r="AI40" s="332"/>
      <c r="AJ40" s="337" t="b">
        <v>0</v>
      </c>
      <c r="AK40" s="338" t="b">
        <v>0</v>
      </c>
      <c r="AL40" s="347"/>
      <c r="AM40" s="337" t="b">
        <v>0</v>
      </c>
      <c r="AN40" s="338" t="b">
        <v>0</v>
      </c>
      <c r="AO40" s="332"/>
      <c r="AP40" s="332"/>
      <c r="AQ40" s="332"/>
      <c r="AR40" s="332"/>
      <c r="AS40" s="332"/>
      <c r="AT40" s="332"/>
      <c r="AU40" s="332"/>
      <c r="AV40" s="332"/>
      <c r="AW40" s="332"/>
      <c r="AX40" s="332"/>
      <c r="AY40" s="332"/>
      <c r="AZ40" s="332"/>
      <c r="BA40" s="332"/>
    </row>
    <row r="41">
      <c r="A41" s="207" t="str">
        <f>IFERROR(__xludf.DUMMYFUNCTION("""COMPUTED_VALUE"""),"FORCE PLACED")</f>
        <v>FORCE PLACED</v>
      </c>
      <c r="B41" s="209" t="str">
        <f>IFERROR(__xludf.DUMMYFUNCTION("""COMPUTED_VALUE"""),"Juan")</f>
        <v>Juan</v>
      </c>
      <c r="C41" s="209" t="str">
        <f>IFERROR(__xludf.DUMMYFUNCTION("""COMPUTED_VALUE"""),"Maria Montejo y Miguel Sariol")</f>
        <v>Maria Montejo y Miguel Sariol</v>
      </c>
      <c r="D41" s="209" t="str">
        <f>IFERROR(__xludf.DUMMYFUNCTION("""COMPUTED_VALUE"""),"505-415-9241")</f>
        <v>505-415-9241</v>
      </c>
      <c r="E41" s="209" t="str">
        <f>IFERROR(__xludf.DUMMYFUNCTION("""COMPUTED_VALUE"""),"martha.sariol@gmail.com")</f>
        <v>martha.sariol@gmail.com</v>
      </c>
      <c r="F41" s="209" t="str">
        <f>IFERROR(__xludf.DUMMYFUNCTION("""COMPUTED_VALUE"""),"4020 N Edgewater Cir LaBelle, FL 33935")</f>
        <v>4020 N Edgewater Cir LaBelle, FL 33935</v>
      </c>
      <c r="G41" s="209" t="str">
        <f>IFERROR(__xludf.DUMMYFUNCTION("""COMPUTED_VALUE"""),"Hurricane Ian")</f>
        <v>Hurricane Ian</v>
      </c>
      <c r="H41" s="207"/>
      <c r="I41" s="210" t="b">
        <v>0</v>
      </c>
      <c r="J41" s="212" t="b">
        <v>0</v>
      </c>
      <c r="K41" s="238"/>
      <c r="L41" s="217" t="b">
        <v>0</v>
      </c>
      <c r="M41" s="215" t="b">
        <v>0</v>
      </c>
      <c r="N41" s="238"/>
      <c r="O41" s="210" t="b">
        <v>1</v>
      </c>
      <c r="P41" s="214" t="b">
        <v>1</v>
      </c>
      <c r="Q41" s="216" t="s">
        <v>2852</v>
      </c>
      <c r="R41" s="217" t="b">
        <v>0</v>
      </c>
      <c r="S41" s="215" t="b">
        <v>0</v>
      </c>
      <c r="T41" s="218"/>
      <c r="U41" s="217" t="b">
        <v>0</v>
      </c>
      <c r="V41" s="215" t="b">
        <v>0</v>
      </c>
      <c r="W41" s="219"/>
      <c r="X41" s="217" t="b">
        <v>0</v>
      </c>
      <c r="Y41" s="215" t="b">
        <v>0</v>
      </c>
      <c r="Z41" s="232"/>
      <c r="AA41" s="217" t="b">
        <v>0</v>
      </c>
      <c r="AB41" s="215" t="b">
        <v>0</v>
      </c>
      <c r="AC41" s="221"/>
      <c r="AD41" s="217" t="b">
        <v>0</v>
      </c>
      <c r="AE41" s="215" t="b">
        <v>0</v>
      </c>
      <c r="AF41" s="222"/>
      <c r="AG41" s="217" t="b">
        <v>0</v>
      </c>
      <c r="AH41" s="215" t="b">
        <v>0</v>
      </c>
      <c r="AI41" s="207"/>
      <c r="AJ41" s="217" t="b">
        <v>0</v>
      </c>
      <c r="AK41" s="215" t="b">
        <v>0</v>
      </c>
      <c r="AL41" s="224"/>
      <c r="AM41" s="217" t="b">
        <v>0</v>
      </c>
      <c r="AN41" s="215" t="b">
        <v>0</v>
      </c>
      <c r="AO41" s="207"/>
      <c r="AP41" s="207"/>
      <c r="AQ41" s="207"/>
      <c r="AR41" s="207"/>
      <c r="AS41" s="207"/>
      <c r="AT41" s="207"/>
      <c r="AU41" s="207"/>
      <c r="AV41" s="207"/>
      <c r="AW41" s="207"/>
      <c r="AX41" s="207"/>
      <c r="AY41" s="207"/>
      <c r="AZ41" s="207"/>
      <c r="BA41" s="207"/>
    </row>
    <row r="42">
      <c r="A42" s="207" t="str">
        <f>IFERROR(__xludf.DUMMYFUNCTION("""COMPUTED_VALUE"""),"FORCE PLACED")</f>
        <v>FORCE PLACED</v>
      </c>
      <c r="B42" s="209" t="str">
        <f>IFERROR(__xludf.DUMMYFUNCTION("""COMPUTED_VALUE"""),"Joshua")</f>
        <v>Joshua</v>
      </c>
      <c r="C42" s="209" t="str">
        <f>IFERROR(__xludf.DUMMYFUNCTION("""COMPUTED_VALUE"""),"Martha Belmares")</f>
        <v>Martha Belmares</v>
      </c>
      <c r="D42" s="209" t="str">
        <f>IFERROR(__xludf.DUMMYFUNCTION("""COMPUTED_VALUE"""),"863-448-3950")</f>
        <v>863-448-3950</v>
      </c>
      <c r="E42" s="209" t="str">
        <f>IFERROR(__xludf.DUMMYFUNCTION("""COMPUTED_VALUE"""),"belmaresmartha114@gmail.com")</f>
        <v>belmaresmartha114@gmail.com</v>
      </c>
      <c r="F42" s="209" t="str">
        <f>IFERROR(__xludf.DUMMYFUNCTION("""COMPUTED_VALUE"""),"5165 Martin Luther King DR Bowling Green, FL 33834")</f>
        <v>5165 Martin Luther King DR Bowling Green, FL 33834</v>
      </c>
      <c r="G42" s="209" t="str">
        <f>IFERROR(__xludf.DUMMYFUNCTION("""COMPUTED_VALUE"""),"Hurricane Ian")</f>
        <v>Hurricane Ian</v>
      </c>
      <c r="H42" s="207"/>
      <c r="I42" s="217" t="b">
        <v>0</v>
      </c>
      <c r="J42" s="229" t="b">
        <v>0</v>
      </c>
      <c r="K42" s="238"/>
      <c r="L42" s="210" t="b">
        <v>1</v>
      </c>
      <c r="M42" s="214" t="b">
        <v>1</v>
      </c>
      <c r="N42" s="213" t="s">
        <v>2885</v>
      </c>
      <c r="O42" s="210" t="b">
        <v>1</v>
      </c>
      <c r="P42" s="214" t="b">
        <v>1</v>
      </c>
      <c r="Q42" s="216" t="s">
        <v>2890</v>
      </c>
      <c r="R42" s="217" t="b">
        <v>0</v>
      </c>
      <c r="S42" s="215" t="b">
        <v>0</v>
      </c>
      <c r="T42" s="218"/>
      <c r="U42" s="217" t="b">
        <v>0</v>
      </c>
      <c r="V42" s="215" t="b">
        <v>0</v>
      </c>
      <c r="W42" s="219"/>
      <c r="X42" s="217" t="b">
        <v>0</v>
      </c>
      <c r="Y42" s="215" t="b">
        <v>0</v>
      </c>
      <c r="Z42" s="232"/>
      <c r="AA42" s="217" t="b">
        <v>0</v>
      </c>
      <c r="AB42" s="215" t="b">
        <v>0</v>
      </c>
      <c r="AC42" s="221"/>
      <c r="AD42" s="210" t="b">
        <v>1</v>
      </c>
      <c r="AE42" s="214" t="b">
        <v>1</v>
      </c>
      <c r="AF42" s="256"/>
      <c r="AG42" s="210" t="b">
        <v>1</v>
      </c>
      <c r="AH42" s="214" t="b">
        <v>1</v>
      </c>
      <c r="AI42" s="258" t="s">
        <v>2904</v>
      </c>
      <c r="AJ42" s="217" t="b">
        <v>0</v>
      </c>
      <c r="AK42" s="215" t="b">
        <v>0</v>
      </c>
      <c r="AL42" s="224"/>
      <c r="AM42" s="217" t="b">
        <v>0</v>
      </c>
      <c r="AN42" s="215" t="b">
        <v>0</v>
      </c>
      <c r="AO42" s="207"/>
      <c r="AP42" s="207"/>
      <c r="AQ42" s="207"/>
      <c r="AR42" s="207"/>
      <c r="AS42" s="207"/>
      <c r="AT42" s="207"/>
      <c r="AU42" s="207"/>
      <c r="AV42" s="207"/>
      <c r="AW42" s="207"/>
      <c r="AX42" s="207"/>
      <c r="AY42" s="207"/>
      <c r="AZ42" s="207"/>
      <c r="BA42" s="207"/>
    </row>
    <row r="43">
      <c r="A43" s="207" t="str">
        <f>IFERROR(__xludf.DUMMYFUNCTION("""COMPUTED_VALUE"""),"FORCE PLACED")</f>
        <v>FORCE PLACED</v>
      </c>
      <c r="B43" s="209" t="str">
        <f>IFERROR(__xludf.DUMMYFUNCTION("""COMPUTED_VALUE"""),"Juan")</f>
        <v>Juan</v>
      </c>
      <c r="C43" s="209" t="str">
        <f>IFERROR(__xludf.DUMMYFUNCTION("""COMPUTED_VALUE"""),"Melvin Thomas")</f>
        <v>Melvin Thomas</v>
      </c>
      <c r="D43" s="209" t="str">
        <f>IFERROR(__xludf.DUMMYFUNCTION("""COMPUTED_VALUE"""),"863-409-2240")</f>
        <v>863-409-2240</v>
      </c>
      <c r="E43" s="209" t="str">
        <f>IFERROR(__xludf.DUMMYFUNCTION("""COMPUTED_VALUE"""),"melvin863@gmail.com")</f>
        <v>melvin863@gmail.com</v>
      </c>
      <c r="F43" s="209" t="str">
        <f>IFERROR(__xludf.DUMMYFUNCTION("""COMPUTED_VALUE"""),"523 S Oak Ave Fort Meade, FL 33841")</f>
        <v>523 S Oak Ave Fort Meade, FL 33841</v>
      </c>
      <c r="G43" s="209" t="str">
        <f>IFERROR(__xludf.DUMMYFUNCTION("""COMPUTED_VALUE"""),"Hurricane Ian")</f>
        <v>Hurricane Ian</v>
      </c>
      <c r="H43" s="207"/>
      <c r="I43" s="210" t="b">
        <v>1</v>
      </c>
      <c r="J43" s="212" t="b">
        <v>1</v>
      </c>
      <c r="K43" s="213" t="s">
        <v>2917</v>
      </c>
      <c r="L43" s="217" t="b">
        <v>0</v>
      </c>
      <c r="M43" s="215" t="b">
        <v>0</v>
      </c>
      <c r="N43" s="238"/>
      <c r="O43" s="210" t="b">
        <v>1</v>
      </c>
      <c r="P43" s="214" t="b">
        <v>1</v>
      </c>
      <c r="Q43" s="216" t="s">
        <v>2920</v>
      </c>
      <c r="R43" s="217" t="b">
        <v>0</v>
      </c>
      <c r="S43" s="215" t="b">
        <v>0</v>
      </c>
      <c r="T43" s="218"/>
      <c r="U43" s="217" t="b">
        <v>0</v>
      </c>
      <c r="V43" s="215" t="b">
        <v>0</v>
      </c>
      <c r="W43" s="219"/>
      <c r="X43" s="217" t="b">
        <v>0</v>
      </c>
      <c r="Y43" s="215" t="b">
        <v>0</v>
      </c>
      <c r="Z43" s="232"/>
      <c r="AA43" s="217" t="b">
        <v>0</v>
      </c>
      <c r="AB43" s="215" t="b">
        <v>0</v>
      </c>
      <c r="AC43" s="221"/>
      <c r="AD43" s="217" t="b">
        <v>0</v>
      </c>
      <c r="AE43" s="215" t="b">
        <v>0</v>
      </c>
      <c r="AF43" s="222"/>
      <c r="AG43" s="217" t="b">
        <v>0</v>
      </c>
      <c r="AH43" s="215" t="b">
        <v>0</v>
      </c>
      <c r="AI43" s="207"/>
      <c r="AJ43" s="217" t="b">
        <v>0</v>
      </c>
      <c r="AK43" s="215" t="b">
        <v>0</v>
      </c>
      <c r="AL43" s="224"/>
      <c r="AM43" s="217" t="b">
        <v>0</v>
      </c>
      <c r="AN43" s="215" t="b">
        <v>0</v>
      </c>
      <c r="AO43" s="207"/>
      <c r="AP43" s="207"/>
      <c r="AQ43" s="207"/>
      <c r="AR43" s="207"/>
      <c r="AS43" s="207"/>
      <c r="AT43" s="207"/>
      <c r="AU43" s="207"/>
      <c r="AV43" s="207"/>
      <c r="AW43" s="207"/>
      <c r="AX43" s="207"/>
      <c r="AY43" s="207"/>
      <c r="AZ43" s="207"/>
      <c r="BA43" s="207"/>
    </row>
    <row r="44">
      <c r="A44" s="207" t="str">
        <f>IFERROR(__xludf.DUMMYFUNCTION("""COMPUTED_VALUE"""),"FORCE PLACED")</f>
        <v>FORCE PLACED</v>
      </c>
      <c r="B44" s="209" t="str">
        <f>IFERROR(__xludf.DUMMYFUNCTION("""COMPUTED_VALUE"""),"Peter")</f>
        <v>Peter</v>
      </c>
      <c r="C44" s="209" t="str">
        <f>IFERROR(__xludf.DUMMYFUNCTION("""COMPUTED_VALUE"""),"Luisa M. Figueredo")</f>
        <v>Luisa M. Figueredo</v>
      </c>
      <c r="D44" s="209" t="str">
        <f>IFERROR(__xludf.DUMMYFUNCTION("""COMPUTED_VALUE"""),"786-277-3113")</f>
        <v>786-277-3113</v>
      </c>
      <c r="E44" s="209"/>
      <c r="F44" s="209" t="str">
        <f>IFERROR(__xludf.DUMMYFUNCTION("""COMPUTED_VALUE"""),"11760 SW 184 St Miami, FL 33177")</f>
        <v>11760 SW 184 St Miami, FL 33177</v>
      </c>
      <c r="G44" s="209" t="str">
        <f>IFERROR(__xludf.DUMMYFUNCTION("""COMPUTED_VALUE"""),"Hurricane Ian")</f>
        <v>Hurricane Ian</v>
      </c>
      <c r="H44" s="207"/>
      <c r="I44" s="210" t="b">
        <v>1</v>
      </c>
      <c r="J44" s="212" t="b">
        <v>1</v>
      </c>
      <c r="K44" s="213" t="s">
        <v>2954</v>
      </c>
      <c r="L44" s="217" t="b">
        <v>0</v>
      </c>
      <c r="M44" s="215" t="b">
        <v>0</v>
      </c>
      <c r="N44" s="238"/>
      <c r="O44" s="210" t="b">
        <v>1</v>
      </c>
      <c r="P44" s="214" t="b">
        <v>1</v>
      </c>
      <c r="Q44" s="216" t="s">
        <v>2960</v>
      </c>
      <c r="R44" s="217" t="b">
        <v>0</v>
      </c>
      <c r="S44" s="215" t="b">
        <v>0</v>
      </c>
      <c r="T44" s="218"/>
      <c r="U44" s="217" t="b">
        <v>0</v>
      </c>
      <c r="V44" s="215" t="b">
        <v>0</v>
      </c>
      <c r="W44" s="219"/>
      <c r="X44" s="217" t="b">
        <v>0</v>
      </c>
      <c r="Y44" s="215" t="b">
        <v>0</v>
      </c>
      <c r="Z44" s="232"/>
      <c r="AA44" s="217" t="b">
        <v>0</v>
      </c>
      <c r="AB44" s="215" t="b">
        <v>0</v>
      </c>
      <c r="AC44" s="221"/>
      <c r="AD44" s="217" t="b">
        <v>0</v>
      </c>
      <c r="AE44" s="215" t="b">
        <v>0</v>
      </c>
      <c r="AF44" s="222"/>
      <c r="AG44" s="217" t="b">
        <v>0</v>
      </c>
      <c r="AH44" s="215" t="b">
        <v>0</v>
      </c>
      <c r="AI44" s="207"/>
      <c r="AJ44" s="217" t="b">
        <v>0</v>
      </c>
      <c r="AK44" s="215" t="b">
        <v>0</v>
      </c>
      <c r="AL44" s="224"/>
      <c r="AM44" s="217" t="b">
        <v>0</v>
      </c>
      <c r="AN44" s="215" t="b">
        <v>0</v>
      </c>
      <c r="AO44" s="207"/>
      <c r="AP44" s="207"/>
      <c r="AQ44" s="207"/>
      <c r="AR44" s="207"/>
      <c r="AS44" s="207"/>
      <c r="AT44" s="207"/>
      <c r="AU44" s="207"/>
      <c r="AV44" s="207"/>
      <c r="AW44" s="207"/>
      <c r="AX44" s="207"/>
      <c r="AY44" s="207"/>
      <c r="AZ44" s="207"/>
      <c r="BA44" s="207"/>
    </row>
    <row r="45">
      <c r="A45" s="207" t="str">
        <f>IFERROR(__xludf.DUMMYFUNCTION("""COMPUTED_VALUE"""),"STAND BY")</f>
        <v>STAND BY</v>
      </c>
      <c r="B45" s="209" t="str">
        <f>IFERROR(__xludf.DUMMYFUNCTION("""COMPUTED_VALUE"""),"Joshua")</f>
        <v>Joshua</v>
      </c>
      <c r="C45" s="209" t="str">
        <f>IFERROR(__xludf.DUMMYFUNCTION("""COMPUTED_VALUE"""),"Donghong Min")</f>
        <v>Donghong Min</v>
      </c>
      <c r="D45" s="209" t="str">
        <f>IFERROR(__xludf.DUMMYFUNCTION("""COMPUTED_VALUE"""),"423-314-9363 / - 9367 ")</f>
        <v>423-314-9363 / - 9367 </v>
      </c>
      <c r="E45" s="209" t="str">
        <f>IFERROR(__xludf.DUMMYFUNCTION("""COMPUTED_VALUE"""),"claramin668@gmail.com")</f>
        <v>claramin668@gmail.com</v>
      </c>
      <c r="F45" s="209" t="str">
        <f>IFERROR(__xludf.DUMMYFUNCTION("""COMPUTED_VALUE"""),"6186 9th Ave Cir NE Brandenton , FL 34212")</f>
        <v>6186 9th Ave Cir NE Brandenton , FL 34212</v>
      </c>
      <c r="G45" s="209" t="str">
        <f>IFERROR(__xludf.DUMMYFUNCTION("""COMPUTED_VALUE"""),"Hurricane Idalia")</f>
        <v>Hurricane Idalia</v>
      </c>
      <c r="H45" s="209" t="str">
        <f>IFERROR(__xludf.DUMMYFUNCTION("""COMPUTED_VALUE"""),"New Claim")</f>
        <v>New Claim</v>
      </c>
      <c r="I45" s="210" t="b">
        <v>1</v>
      </c>
      <c r="J45" s="212" t="b">
        <v>1</v>
      </c>
      <c r="K45" s="213" t="s">
        <v>2993</v>
      </c>
      <c r="L45" s="217" t="b">
        <v>0</v>
      </c>
      <c r="M45" s="215" t="b">
        <v>0</v>
      </c>
      <c r="N45" s="238"/>
      <c r="O45" s="217" t="b">
        <v>0</v>
      </c>
      <c r="P45" s="215" t="b">
        <v>0</v>
      </c>
      <c r="Q45" s="230"/>
      <c r="R45" s="217" t="b">
        <v>0</v>
      </c>
      <c r="S45" s="215" t="b">
        <v>0</v>
      </c>
      <c r="T45" s="218"/>
      <c r="U45" s="210" t="b">
        <v>1</v>
      </c>
      <c r="V45" s="214" t="b">
        <v>1</v>
      </c>
      <c r="W45" s="316" t="s">
        <v>3000</v>
      </c>
      <c r="X45" s="217" t="b">
        <v>0</v>
      </c>
      <c r="Y45" s="215" t="b">
        <v>0</v>
      </c>
      <c r="Z45" s="232"/>
      <c r="AA45" s="217" t="b">
        <v>0</v>
      </c>
      <c r="AB45" s="215" t="b">
        <v>0</v>
      </c>
      <c r="AC45" s="221"/>
      <c r="AD45" s="217" t="b">
        <v>0</v>
      </c>
      <c r="AE45" s="215" t="b">
        <v>0</v>
      </c>
      <c r="AF45" s="222"/>
      <c r="AG45" s="217" t="b">
        <v>0</v>
      </c>
      <c r="AH45" s="215" t="b">
        <v>0</v>
      </c>
      <c r="AI45" s="207"/>
      <c r="AJ45" s="217" t="b">
        <v>0</v>
      </c>
      <c r="AK45" s="215" t="b">
        <v>0</v>
      </c>
      <c r="AL45" s="224"/>
      <c r="AM45" s="217" t="b">
        <v>0</v>
      </c>
      <c r="AN45" s="215" t="b">
        <v>0</v>
      </c>
      <c r="AO45" s="207"/>
      <c r="AP45" s="207"/>
      <c r="AQ45" s="207"/>
      <c r="AR45" s="207"/>
      <c r="AS45" s="207"/>
      <c r="AT45" s="207"/>
      <c r="AU45" s="207"/>
      <c r="AV45" s="207"/>
      <c r="AW45" s="207"/>
      <c r="AX45" s="207"/>
      <c r="AY45" s="207"/>
      <c r="AZ45" s="207"/>
      <c r="BA45" s="207"/>
    </row>
    <row r="46">
      <c r="A46" s="209" t="str">
        <f>IFERROR(__xludf.DUMMYFUNCTION("""COMPUTED_VALUE"""),"SETTLED")</f>
        <v>SETTLED</v>
      </c>
      <c r="B46" s="209" t="str">
        <f>IFERROR(__xludf.DUMMYFUNCTION("""COMPUTED_VALUE"""),"Ivan, Jose P.")</f>
        <v>Ivan, Jose P.</v>
      </c>
      <c r="C46" s="209" t="str">
        <f>IFERROR(__xludf.DUMMYFUNCTION("""COMPUTED_VALUE"""),"Devon Dowling")</f>
        <v>Devon Dowling</v>
      </c>
      <c r="D46" s="209" t="str">
        <f>IFERROR(__xludf.DUMMYFUNCTION("""COMPUTED_VALUE"""),"239-919-7971")</f>
        <v>239-919-7971</v>
      </c>
      <c r="E46" s="237" t="str">
        <f>IFERROR(__xludf.DUMMYFUNCTION("""COMPUTED_VALUE"""),"deaconblue1125@gmail.com")</f>
        <v>deaconblue1125@gmail.com</v>
      </c>
      <c r="F46" s="209" t="str">
        <f>IFERROR(__xludf.DUMMYFUNCTION("""COMPUTED_VALUE""")," 2157 Treehaven Cir S, Fort Myers, FL 33907")</f>
        <v> 2157 Treehaven Cir S, Fort Myers, FL 33907</v>
      </c>
      <c r="G46" s="209" t="str">
        <f>IFERROR(__xludf.DUMMYFUNCTION("""COMPUTED_VALUE"""),"Hurricane Ian")</f>
        <v>Hurricane Ian</v>
      </c>
      <c r="H46" s="209" t="str">
        <f>IFERROR(__xludf.DUMMYFUNCTION("""COMPUTED_VALUE"""),"New Claim")</f>
        <v>New Claim</v>
      </c>
      <c r="I46" s="210" t="b">
        <v>1</v>
      </c>
      <c r="J46" s="212" t="b">
        <v>1</v>
      </c>
      <c r="K46" s="238"/>
      <c r="L46" s="217" t="b">
        <v>0</v>
      </c>
      <c r="M46" s="215" t="b">
        <v>0</v>
      </c>
      <c r="N46" s="238"/>
      <c r="O46" s="217" t="b">
        <v>0</v>
      </c>
      <c r="P46" s="215" t="b">
        <v>0</v>
      </c>
      <c r="Q46" s="230"/>
      <c r="R46" s="217" t="b">
        <v>0</v>
      </c>
      <c r="S46" s="215" t="b">
        <v>0</v>
      </c>
      <c r="T46" s="218"/>
      <c r="U46" s="217" t="b">
        <v>0</v>
      </c>
      <c r="V46" s="215" t="b">
        <v>0</v>
      </c>
      <c r="W46" s="219"/>
      <c r="X46" s="217" t="b">
        <v>0</v>
      </c>
      <c r="Y46" s="215" t="b">
        <v>0</v>
      </c>
      <c r="Z46" s="232"/>
      <c r="AA46" s="217" t="b">
        <v>0</v>
      </c>
      <c r="AB46" s="215" t="b">
        <v>0</v>
      </c>
      <c r="AC46" s="221"/>
      <c r="AD46" s="217" t="b">
        <v>0</v>
      </c>
      <c r="AE46" s="215" t="b">
        <v>0</v>
      </c>
      <c r="AF46" s="222"/>
      <c r="AG46" s="217" t="b">
        <v>0</v>
      </c>
      <c r="AH46" s="215" t="b">
        <v>0</v>
      </c>
      <c r="AI46" s="207"/>
      <c r="AJ46" s="217" t="b">
        <v>0</v>
      </c>
      <c r="AK46" s="215" t="b">
        <v>0</v>
      </c>
      <c r="AL46" s="224"/>
      <c r="AM46" s="217" t="b">
        <v>0</v>
      </c>
      <c r="AN46" s="215" t="b">
        <v>0</v>
      </c>
      <c r="AO46" s="207"/>
      <c r="AP46" s="207"/>
      <c r="AQ46" s="207"/>
      <c r="AR46" s="207"/>
      <c r="AS46" s="207"/>
      <c r="AT46" s="207"/>
      <c r="AU46" s="207"/>
      <c r="AV46" s="207"/>
      <c r="AW46" s="207"/>
      <c r="AX46" s="207"/>
      <c r="AY46" s="207"/>
      <c r="AZ46" s="207"/>
      <c r="BA46" s="207"/>
    </row>
    <row r="47">
      <c r="A47" s="209" t="str">
        <f>IFERROR(__xludf.DUMMYFUNCTION("""COMPUTED_VALUE"""),"CLSD CLAIMS")</f>
        <v>CLSD CLAIMS</v>
      </c>
      <c r="B47" s="209" t="str">
        <f>IFERROR(__xludf.DUMMYFUNCTION("""COMPUTED_VALUE"""),"Peter")</f>
        <v>Peter</v>
      </c>
      <c r="C47" s="209" t="str">
        <f>IFERROR(__xludf.DUMMYFUNCTION("""COMPUTED_VALUE"""),"Yusimi Nunez")</f>
        <v>Yusimi Nunez</v>
      </c>
      <c r="D47" s="209" t="str">
        <f>IFERROR(__xludf.DUMMYFUNCTION("""COMPUTED_VALUE"""),"305-798-5548")</f>
        <v>305-798-5548</v>
      </c>
      <c r="E47" s="237" t="str">
        <f>IFERROR(__xludf.DUMMYFUNCTION("""COMPUTED_VALUE"""),"yusyrealtor@gmail.com")</f>
        <v>yusyrealtor@gmail.com</v>
      </c>
      <c r="F47" s="209" t="str">
        <f>IFERROR(__xludf.DUMMYFUNCTION("""COMPUTED_VALUE"""),"8605 SW 160th St Palmetto Bay Ave, Miami, FL 33157")</f>
        <v>8605 SW 160th St Palmetto Bay Ave, Miami, FL 33157</v>
      </c>
      <c r="G47" s="209" t="str">
        <f>IFERROR(__xludf.DUMMYFUNCTION("""COMPUTED_VALUE"""),"Hurricane Ian")</f>
        <v>Hurricane Ian</v>
      </c>
      <c r="H47" s="209" t="str">
        <f>IFERROR(__xludf.DUMMYFUNCTION("""COMPUTED_VALUE"""),"New Claim")</f>
        <v>New Claim</v>
      </c>
      <c r="I47" s="217" t="b">
        <v>0</v>
      </c>
      <c r="J47" s="229" t="b">
        <v>0</v>
      </c>
      <c r="K47" s="238"/>
      <c r="L47" s="217" t="b">
        <v>0</v>
      </c>
      <c r="M47" s="215" t="b">
        <v>0</v>
      </c>
      <c r="N47" s="238"/>
      <c r="O47" s="217" t="b">
        <v>0</v>
      </c>
      <c r="P47" s="215" t="b">
        <v>0</v>
      </c>
      <c r="Q47" s="230"/>
      <c r="R47" s="217" t="b">
        <v>0</v>
      </c>
      <c r="S47" s="215" t="b">
        <v>0</v>
      </c>
      <c r="T47" s="218"/>
      <c r="U47" s="217" t="b">
        <v>0</v>
      </c>
      <c r="V47" s="215" t="b">
        <v>0</v>
      </c>
      <c r="W47" s="219"/>
      <c r="X47" s="217" t="b">
        <v>0</v>
      </c>
      <c r="Y47" s="215" t="b">
        <v>0</v>
      </c>
      <c r="Z47" s="232"/>
      <c r="AA47" s="217" t="b">
        <v>0</v>
      </c>
      <c r="AB47" s="215" t="b">
        <v>0</v>
      </c>
      <c r="AC47" s="221"/>
      <c r="AD47" s="217" t="b">
        <v>0</v>
      </c>
      <c r="AE47" s="215" t="b">
        <v>0</v>
      </c>
      <c r="AF47" s="222"/>
      <c r="AG47" s="217" t="b">
        <v>0</v>
      </c>
      <c r="AH47" s="215" t="b">
        <v>0</v>
      </c>
      <c r="AI47" s="207"/>
      <c r="AJ47" s="217" t="b">
        <v>0</v>
      </c>
      <c r="AK47" s="215" t="b">
        <v>0</v>
      </c>
      <c r="AL47" s="224"/>
      <c r="AM47" s="217" t="b">
        <v>0</v>
      </c>
      <c r="AN47" s="215" t="b">
        <v>0</v>
      </c>
      <c r="AO47" s="207"/>
      <c r="AP47" s="207"/>
      <c r="AQ47" s="207"/>
      <c r="AR47" s="207"/>
      <c r="AS47" s="207"/>
      <c r="AT47" s="207"/>
      <c r="AU47" s="207"/>
      <c r="AV47" s="207"/>
      <c r="AW47" s="207"/>
      <c r="AX47" s="207"/>
      <c r="AY47" s="207"/>
      <c r="AZ47" s="207"/>
      <c r="BA47" s="207"/>
    </row>
    <row r="48">
      <c r="A48" s="209" t="str">
        <f>IFERROR(__xludf.DUMMYFUNCTION("""COMPUTED_VALUE"""),"SETTLED")</f>
        <v>SETTLED</v>
      </c>
      <c r="B48" s="209" t="str">
        <f>IFERROR(__xludf.DUMMYFUNCTION("""COMPUTED_VALUE"""),"Joshua")</f>
        <v>Joshua</v>
      </c>
      <c r="C48" s="209" t="str">
        <f>IFERROR(__xludf.DUMMYFUNCTION("""COMPUTED_VALUE"""),"Raul Perez &amp; Mileidy Hernandez")</f>
        <v>Raul Perez &amp; Mileidy Hernandez</v>
      </c>
      <c r="D48" s="209" t="str">
        <f>IFERROR(__xludf.DUMMYFUNCTION("""COMPUTED_VALUE"""),"239-645-3075")</f>
        <v>239-645-3075</v>
      </c>
      <c r="E48" s="209" t="str">
        <f>IFERROR(__xludf.DUMMYFUNCTION("""COMPUTED_VALUE"""),"jafeevans12@gmail.com")</f>
        <v>jafeevans12@gmail.com</v>
      </c>
      <c r="F48" s="209" t="str">
        <f>IFERROR(__xludf.DUMMYFUNCTION("""COMPUTED_VALUE"""),"8513 Beacon St, Fort Myers, FL 33907")</f>
        <v>8513 Beacon St, Fort Myers, FL 33907</v>
      </c>
      <c r="G48" s="209" t="str">
        <f>IFERROR(__xludf.DUMMYFUNCTION("""COMPUTED_VALUE"""),"Hurricane Ian")</f>
        <v>Hurricane Ian</v>
      </c>
      <c r="H48" s="209" t="str">
        <f>IFERROR(__xludf.DUMMYFUNCTION("""COMPUTED_VALUE"""),"Reopen")</f>
        <v>Reopen</v>
      </c>
      <c r="I48" s="210" t="b">
        <v>1</v>
      </c>
      <c r="J48" s="212" t="b">
        <v>1</v>
      </c>
      <c r="K48" s="213" t="s">
        <v>3055</v>
      </c>
      <c r="L48" s="217" t="b">
        <v>0</v>
      </c>
      <c r="M48" s="214" t="b">
        <v>0</v>
      </c>
      <c r="N48" s="238"/>
      <c r="O48" s="217" t="b">
        <v>0</v>
      </c>
      <c r="P48" s="215" t="b">
        <v>0</v>
      </c>
      <c r="Q48" s="230"/>
      <c r="R48" s="217" t="b">
        <v>0</v>
      </c>
      <c r="S48" s="215" t="b">
        <v>0</v>
      </c>
      <c r="T48" s="218"/>
      <c r="U48" s="217" t="b">
        <v>0</v>
      </c>
      <c r="V48" s="215" t="b">
        <v>0</v>
      </c>
      <c r="W48" s="219"/>
      <c r="X48" s="217" t="b">
        <v>0</v>
      </c>
      <c r="Y48" s="215" t="b">
        <v>0</v>
      </c>
      <c r="Z48" s="232"/>
      <c r="AA48" s="217" t="b">
        <v>0</v>
      </c>
      <c r="AB48" s="215" t="b">
        <v>0</v>
      </c>
      <c r="AC48" s="221"/>
      <c r="AD48" s="217" t="b">
        <v>0</v>
      </c>
      <c r="AE48" s="215" t="b">
        <v>0</v>
      </c>
      <c r="AF48" s="222"/>
      <c r="AG48" s="217" t="b">
        <v>0</v>
      </c>
      <c r="AH48" s="215" t="b">
        <v>0</v>
      </c>
      <c r="AI48" s="207"/>
      <c r="AJ48" s="217" t="b">
        <v>0</v>
      </c>
      <c r="AK48" s="215" t="b">
        <v>0</v>
      </c>
      <c r="AL48" s="224"/>
      <c r="AM48" s="217" t="b">
        <v>0</v>
      </c>
      <c r="AN48" s="215" t="b">
        <v>0</v>
      </c>
      <c r="AO48" s="207"/>
      <c r="AP48" s="207"/>
      <c r="AQ48" s="207"/>
      <c r="AR48" s="207"/>
      <c r="AS48" s="207"/>
      <c r="AT48" s="207"/>
      <c r="AU48" s="207"/>
      <c r="AV48" s="207"/>
      <c r="AW48" s="207"/>
      <c r="AX48" s="207"/>
      <c r="AY48" s="207"/>
      <c r="AZ48" s="207"/>
      <c r="BA48" s="207"/>
    </row>
    <row r="49">
      <c r="A49" s="209" t="str">
        <f>IFERROR(__xludf.DUMMYFUNCTION("""COMPUTED_VALUE"""),"SETTLED")</f>
        <v>SETTLED</v>
      </c>
      <c r="B49" s="209" t="str">
        <f>IFERROR(__xludf.DUMMYFUNCTION("""COMPUTED_VALUE"""),"Peter")</f>
        <v>Peter</v>
      </c>
      <c r="C49" s="209" t="str">
        <f>IFERROR(__xludf.DUMMYFUNCTION("""COMPUTED_VALUE"""),"Christian Aguirre")</f>
        <v>Christian Aguirre</v>
      </c>
      <c r="D49" s="209" t="str">
        <f>IFERROR(__xludf.DUMMYFUNCTION("""COMPUTED_VALUE"""),"305-720-0931")</f>
        <v>305-720-0931</v>
      </c>
      <c r="E49" s="209" t="str">
        <f>IFERROR(__xludf.DUMMYFUNCTION("""COMPUTED_VALUE"""),"aguirre.christian07@gmail.com")</f>
        <v>aguirre.christian07@gmail.com</v>
      </c>
      <c r="F49" s="209" t="str">
        <f>IFERROR(__xludf.DUMMYFUNCTION("""COMPUTED_VALUE"""),"5201 SW 31ST AVE APT 245 Fort Lauderdale, FL 33312")</f>
        <v>5201 SW 31ST AVE APT 245 Fort Lauderdale, FL 33312</v>
      </c>
      <c r="G49" s="209" t="str">
        <f>IFERROR(__xludf.DUMMYFUNCTION("""COMPUTED_VALUE"""),"AWD")</f>
        <v>AWD</v>
      </c>
      <c r="H49" s="209" t="str">
        <f>IFERROR(__xludf.DUMMYFUNCTION("""COMPUTED_VALUE"""),"New Claim")</f>
        <v>New Claim</v>
      </c>
      <c r="I49" s="210" t="b">
        <v>1</v>
      </c>
      <c r="J49" s="212" t="b">
        <v>1</v>
      </c>
      <c r="K49" s="213" t="s">
        <v>3061</v>
      </c>
      <c r="L49" s="217" t="b">
        <v>0</v>
      </c>
      <c r="M49" s="215" t="b">
        <v>0</v>
      </c>
      <c r="N49" s="238"/>
      <c r="O49" s="210" t="b">
        <v>1</v>
      </c>
      <c r="P49" s="214" t="b">
        <v>1</v>
      </c>
      <c r="Q49" s="216" t="s">
        <v>3062</v>
      </c>
      <c r="R49" s="217" t="b">
        <v>0</v>
      </c>
      <c r="S49" s="215" t="b">
        <v>0</v>
      </c>
      <c r="T49" s="218"/>
      <c r="U49" s="217" t="b">
        <v>0</v>
      </c>
      <c r="V49" s="215" t="b">
        <v>0</v>
      </c>
      <c r="W49" s="219"/>
      <c r="X49" s="217" t="b">
        <v>0</v>
      </c>
      <c r="Y49" s="215" t="b">
        <v>0</v>
      </c>
      <c r="Z49" s="232"/>
      <c r="AA49" s="217" t="b">
        <v>0</v>
      </c>
      <c r="AB49" s="215" t="b">
        <v>0</v>
      </c>
      <c r="AC49" s="221"/>
      <c r="AD49" s="210" t="b">
        <v>1</v>
      </c>
      <c r="AE49" s="214" t="b">
        <v>1</v>
      </c>
      <c r="AF49" s="256"/>
      <c r="AG49" s="210" t="b">
        <v>1</v>
      </c>
      <c r="AH49" s="214" t="b">
        <v>1</v>
      </c>
      <c r="AI49" s="258" t="s">
        <v>3064</v>
      </c>
      <c r="AJ49" s="217" t="b">
        <v>0</v>
      </c>
      <c r="AK49" s="215" t="b">
        <v>0</v>
      </c>
      <c r="AL49" s="224"/>
      <c r="AM49" s="217" t="b">
        <v>0</v>
      </c>
      <c r="AN49" s="215" t="b">
        <v>0</v>
      </c>
      <c r="AO49" s="207"/>
      <c r="AP49" s="207"/>
      <c r="AQ49" s="207"/>
      <c r="AR49" s="207"/>
      <c r="AS49" s="207"/>
      <c r="AT49" s="207"/>
      <c r="AU49" s="207"/>
      <c r="AV49" s="207"/>
      <c r="AW49" s="207"/>
      <c r="AX49" s="207"/>
      <c r="AY49" s="207"/>
      <c r="AZ49" s="207"/>
      <c r="BA49" s="207"/>
    </row>
    <row r="50">
      <c r="A50" s="209" t="str">
        <f>IFERROR(__xludf.DUMMYFUNCTION("""COMPUTED_VALUE"""),"CLSD CLAIMS")</f>
        <v>CLSD CLAIMS</v>
      </c>
      <c r="B50" s="209" t="str">
        <f>IFERROR(__xludf.DUMMYFUNCTION("""COMPUTED_VALUE"""),"Peter")</f>
        <v>Peter</v>
      </c>
      <c r="C50" s="209" t="str">
        <f>IFERROR(__xludf.DUMMYFUNCTION("""COMPUTED_VALUE"""),"Yohandry Nunez")</f>
        <v>Yohandry Nunez</v>
      </c>
      <c r="D50" s="209" t="str">
        <f>IFERROR(__xludf.DUMMYFUNCTION("""COMPUTED_VALUE"""),"786-322-9088 ")</f>
        <v>786-322-9088 </v>
      </c>
      <c r="E50" s="209" t="str">
        <f>IFERROR(__xludf.DUMMYFUNCTION("""COMPUTED_VALUE"""),"yohandry8@hotmail.com")</f>
        <v>yohandry8@hotmail.com</v>
      </c>
      <c r="F50" s="209" t="str">
        <f>IFERROR(__xludf.DUMMYFUNCTION("""COMPUTED_VALUE"""),"6210 SW 163RD PL, Miami, FL 33193")</f>
        <v>6210 SW 163RD PL, Miami, FL 33193</v>
      </c>
      <c r="G50" s="209" t="str">
        <f>IFERROR(__xludf.DUMMYFUNCTION("""COMPUTED_VALUE"""),"Hurricane Ian")</f>
        <v>Hurricane Ian</v>
      </c>
      <c r="H50" s="209" t="str">
        <f>IFERROR(__xludf.DUMMYFUNCTION("""COMPUTED_VALUE"""),"New Claim")</f>
        <v>New Claim</v>
      </c>
      <c r="I50" s="210" t="b">
        <v>1</v>
      </c>
      <c r="J50" s="212" t="b">
        <v>1</v>
      </c>
      <c r="K50" s="213" t="s">
        <v>3069</v>
      </c>
      <c r="L50" s="217" t="b">
        <v>0</v>
      </c>
      <c r="M50" s="215" t="b">
        <v>0</v>
      </c>
      <c r="N50" s="238"/>
      <c r="O50" s="217" t="b">
        <v>0</v>
      </c>
      <c r="P50" s="215" t="b">
        <v>0</v>
      </c>
      <c r="Q50" s="230"/>
      <c r="R50" s="217" t="b">
        <v>0</v>
      </c>
      <c r="S50" s="215" t="b">
        <v>0</v>
      </c>
      <c r="T50" s="218"/>
      <c r="U50" s="217" t="b">
        <v>0</v>
      </c>
      <c r="V50" s="215" t="b">
        <v>0</v>
      </c>
      <c r="W50" s="219"/>
      <c r="X50" s="210" t="b">
        <v>1</v>
      </c>
      <c r="Y50" s="214" t="b">
        <v>1</v>
      </c>
      <c r="Z50" s="220" t="s">
        <v>3076</v>
      </c>
      <c r="AA50" s="217" t="b">
        <v>0</v>
      </c>
      <c r="AB50" s="215" t="b">
        <v>0</v>
      </c>
      <c r="AC50" s="221"/>
      <c r="AD50" s="217" t="b">
        <v>0</v>
      </c>
      <c r="AE50" s="215" t="b">
        <v>0</v>
      </c>
      <c r="AF50" s="222"/>
      <c r="AG50" s="217" t="b">
        <v>0</v>
      </c>
      <c r="AH50" s="215" t="b">
        <v>0</v>
      </c>
      <c r="AI50" s="207"/>
      <c r="AJ50" s="217" t="b">
        <v>0</v>
      </c>
      <c r="AK50" s="215" t="b">
        <v>0</v>
      </c>
      <c r="AL50" s="224"/>
      <c r="AM50" s="217" t="b">
        <v>0</v>
      </c>
      <c r="AN50" s="215" t="b">
        <v>0</v>
      </c>
      <c r="AO50" s="207"/>
      <c r="AP50" s="207"/>
      <c r="AQ50" s="207"/>
      <c r="AR50" s="207"/>
      <c r="AS50" s="207"/>
      <c r="AT50" s="207"/>
      <c r="AU50" s="207"/>
      <c r="AV50" s="207"/>
      <c r="AW50" s="207"/>
      <c r="AX50" s="207"/>
      <c r="AY50" s="207"/>
      <c r="AZ50" s="207"/>
      <c r="BA50" s="207"/>
    </row>
    <row r="51">
      <c r="A51" s="209" t="str">
        <f>IFERROR(__xludf.DUMMYFUNCTION("""COMPUTED_VALUE"""),"SETTLED")</f>
        <v>SETTLED</v>
      </c>
      <c r="B51" s="209" t="str">
        <f>IFERROR(__xludf.DUMMYFUNCTION("""COMPUTED_VALUE"""),"Peter")</f>
        <v>Peter</v>
      </c>
      <c r="C51" s="209" t="str">
        <f>IFERROR(__xludf.DUMMYFUNCTION("""COMPUTED_VALUE"""),"Cefie Metayer")</f>
        <v>Cefie Metayer</v>
      </c>
      <c r="D51" s="209" t="str">
        <f>IFERROR(__xludf.DUMMYFUNCTION("""COMPUTED_VALUE"""),"863-832-2302")</f>
        <v>863-832-2302</v>
      </c>
      <c r="E51" s="209" t="str">
        <f>IFERROR(__xludf.DUMMYFUNCTION("""COMPUTED_VALUE"""),"metayer132@gmail.com")</f>
        <v>metayer132@gmail.com</v>
      </c>
      <c r="F51" s="209" t="str">
        <f>IFERROR(__xludf.DUMMYFUNCTION("""COMPUTED_VALUE"""),"802 Sally PL, Wauchula, FL 33873")</f>
        <v>802 Sally PL, Wauchula, FL 33873</v>
      </c>
      <c r="G51" s="209" t="str">
        <f>IFERROR(__xludf.DUMMYFUNCTION("""COMPUTED_VALUE"""),"Hurricane Ian")</f>
        <v>Hurricane Ian</v>
      </c>
      <c r="H51" s="209" t="str">
        <f>IFERROR(__xludf.DUMMYFUNCTION("""COMPUTED_VALUE"""),"New Claim")</f>
        <v>New Claim</v>
      </c>
      <c r="I51" s="210" t="b">
        <v>1</v>
      </c>
      <c r="J51" s="212" t="b">
        <v>1</v>
      </c>
      <c r="K51" s="213" t="s">
        <v>3082</v>
      </c>
      <c r="L51" s="217" t="b">
        <v>0</v>
      </c>
      <c r="M51" s="215" t="b">
        <v>0</v>
      </c>
      <c r="N51" s="238"/>
      <c r="O51" s="210" t="b">
        <v>1</v>
      </c>
      <c r="P51" s="214" t="b">
        <v>1</v>
      </c>
      <c r="Q51" s="216" t="s">
        <v>3083</v>
      </c>
      <c r="R51" s="217" t="b">
        <v>0</v>
      </c>
      <c r="S51" s="215" t="b">
        <v>0</v>
      </c>
      <c r="T51" s="218"/>
      <c r="U51" s="217" t="b">
        <v>0</v>
      </c>
      <c r="V51" s="215" t="b">
        <v>0</v>
      </c>
      <c r="W51" s="219"/>
      <c r="X51" s="217" t="b">
        <v>0</v>
      </c>
      <c r="Y51" s="215" t="b">
        <v>0</v>
      </c>
      <c r="Z51" s="232"/>
      <c r="AA51" s="217" t="b">
        <v>0</v>
      </c>
      <c r="AB51" s="215" t="b">
        <v>0</v>
      </c>
      <c r="AC51" s="221"/>
      <c r="AD51" s="217" t="b">
        <v>0</v>
      </c>
      <c r="AE51" s="215" t="b">
        <v>0</v>
      </c>
      <c r="AF51" s="222"/>
      <c r="AG51" s="217" t="b">
        <v>0</v>
      </c>
      <c r="AH51" s="215" t="b">
        <v>0</v>
      </c>
      <c r="AI51" s="207"/>
      <c r="AJ51" s="217" t="b">
        <v>0</v>
      </c>
      <c r="AK51" s="215" t="b">
        <v>0</v>
      </c>
      <c r="AL51" s="224"/>
      <c r="AM51" s="217" t="b">
        <v>0</v>
      </c>
      <c r="AN51" s="215" t="b">
        <v>0</v>
      </c>
      <c r="AO51" s="207"/>
      <c r="AP51" s="207"/>
      <c r="AQ51" s="207"/>
      <c r="AR51" s="207"/>
      <c r="AS51" s="207"/>
      <c r="AT51" s="207"/>
      <c r="AU51" s="207"/>
      <c r="AV51" s="207"/>
      <c r="AW51" s="207"/>
      <c r="AX51" s="207"/>
      <c r="AY51" s="207"/>
      <c r="AZ51" s="207"/>
      <c r="BA51" s="207"/>
    </row>
    <row r="52">
      <c r="A52" s="209" t="str">
        <f>IFERROR(__xludf.DUMMYFUNCTION("""COMPUTED_VALUE"""),"STAND BY")</f>
        <v>STAND BY</v>
      </c>
      <c r="B52" s="209" t="str">
        <f>IFERROR(__xludf.DUMMYFUNCTION("""COMPUTED_VALUE"""),"Peter")</f>
        <v>Peter</v>
      </c>
      <c r="C52" s="209" t="str">
        <f>IFERROR(__xludf.DUMMYFUNCTION("""COMPUTED_VALUE"""),"Anthony Nova")</f>
        <v>Anthony Nova</v>
      </c>
      <c r="D52" s="209" t="str">
        <f>IFERROR(__xludf.DUMMYFUNCTION("""COMPUTED_VALUE"""),"786-975-3079")</f>
        <v>786-975-3079</v>
      </c>
      <c r="E52" s="209" t="str">
        <f>IFERROR(__xludf.DUMMYFUNCTION("""COMPUTED_VALUE"""),"anthonynova56@yahoo.com")</f>
        <v>anthonynova56@yahoo.com</v>
      </c>
      <c r="F52" s="209" t="str">
        <f>IFERROR(__xludf.DUMMYFUNCTION("""COMPUTED_VALUE"""),"11450 SW 185th ST, Miami, FL 33157")</f>
        <v>11450 SW 185th ST, Miami, FL 33157</v>
      </c>
      <c r="G52" s="209" t="str">
        <f>IFERROR(__xludf.DUMMYFUNCTION("""COMPUTED_VALUE"""),"Hurricane Ian")</f>
        <v>Hurricane Ian</v>
      </c>
      <c r="H52" s="209" t="str">
        <f>IFERROR(__xludf.DUMMYFUNCTION("""COMPUTED_VALUE"""),"New Claim")</f>
        <v>New Claim</v>
      </c>
      <c r="I52" s="210" t="b">
        <v>1</v>
      </c>
      <c r="J52" s="212" t="b">
        <v>1</v>
      </c>
      <c r="K52" s="213" t="s">
        <v>3085</v>
      </c>
      <c r="L52" s="217" t="b">
        <v>0</v>
      </c>
      <c r="M52" s="215" t="b">
        <v>0</v>
      </c>
      <c r="N52" s="238"/>
      <c r="O52" s="217" t="b">
        <v>0</v>
      </c>
      <c r="P52" s="215" t="b">
        <v>0</v>
      </c>
      <c r="Q52" s="230"/>
      <c r="R52" s="217" t="b">
        <v>0</v>
      </c>
      <c r="S52" s="215" t="b">
        <v>0</v>
      </c>
      <c r="T52" s="218"/>
      <c r="U52" s="210" t="b">
        <v>1</v>
      </c>
      <c r="V52" s="214" t="b">
        <v>1</v>
      </c>
      <c r="W52" s="316" t="s">
        <v>3087</v>
      </c>
      <c r="X52" s="217" t="b">
        <v>0</v>
      </c>
      <c r="Y52" s="215" t="b">
        <v>0</v>
      </c>
      <c r="Z52" s="232"/>
      <c r="AA52" s="217" t="b">
        <v>0</v>
      </c>
      <c r="AB52" s="215" t="b">
        <v>0</v>
      </c>
      <c r="AC52" s="221"/>
      <c r="AD52" s="217" t="b">
        <v>0</v>
      </c>
      <c r="AE52" s="215" t="b">
        <v>0</v>
      </c>
      <c r="AF52" s="222"/>
      <c r="AG52" s="217" t="b">
        <v>0</v>
      </c>
      <c r="AH52" s="215" t="b">
        <v>0</v>
      </c>
      <c r="AI52" s="207"/>
      <c r="AJ52" s="217" t="b">
        <v>0</v>
      </c>
      <c r="AK52" s="215" t="b">
        <v>0</v>
      </c>
      <c r="AL52" s="224"/>
      <c r="AM52" s="217" t="b">
        <v>0</v>
      </c>
      <c r="AN52" s="215" t="b">
        <v>0</v>
      </c>
      <c r="AO52" s="207"/>
      <c r="AP52" s="207"/>
      <c r="AQ52" s="207"/>
      <c r="AR52" s="207"/>
      <c r="AS52" s="207"/>
      <c r="AT52" s="207"/>
      <c r="AU52" s="207"/>
      <c r="AV52" s="207"/>
      <c r="AW52" s="207"/>
      <c r="AX52" s="207"/>
      <c r="AY52" s="207"/>
      <c r="AZ52" s="207"/>
      <c r="BA52" s="207"/>
    </row>
    <row r="53">
      <c r="A53" s="209" t="str">
        <f>IFERROR(__xludf.DUMMYFUNCTION("""COMPUTED_VALUE"""),"SETTLED")</f>
        <v>SETTLED</v>
      </c>
      <c r="B53" s="209" t="str">
        <f>IFERROR(__xludf.DUMMYFUNCTION("""COMPUTED_VALUE"""),"Jakey")</f>
        <v>Jakey</v>
      </c>
      <c r="C53" s="209" t="str">
        <f>IFERROR(__xludf.DUMMYFUNCTION("""COMPUTED_VALUE"""),"Linda Sandoval")</f>
        <v>Linda Sandoval</v>
      </c>
      <c r="D53" s="209" t="str">
        <f>IFERROR(__xludf.DUMMYFUNCTION("""COMPUTED_VALUE"""),"863-773-7800")</f>
        <v>863-773-7800</v>
      </c>
      <c r="E53" s="209" t="str">
        <f>IFERROR(__xludf.DUMMYFUNCTION("""COMPUTED_VALUE"""),"lindasandoval71@gmail.com")</f>
        <v>lindasandoval71@gmail.com</v>
      </c>
      <c r="F53" s="209" t="str">
        <f>IFERROR(__xludf.DUMMYFUNCTION("""COMPUTED_VALUE"""),"207 Rust Ave Wauchula, FL 33873")</f>
        <v>207 Rust Ave Wauchula, FL 33873</v>
      </c>
      <c r="G53" s="209" t="str">
        <f>IFERROR(__xludf.DUMMYFUNCTION("""COMPUTED_VALUE"""),"Hurricane Ian")</f>
        <v>Hurricane Ian</v>
      </c>
      <c r="H53" s="209" t="str">
        <f>IFERROR(__xludf.DUMMYFUNCTION("""COMPUTED_VALUE"""),"New Claim")</f>
        <v>New Claim</v>
      </c>
      <c r="I53" s="210" t="b">
        <v>1</v>
      </c>
      <c r="J53" s="212" t="b">
        <v>1</v>
      </c>
      <c r="K53" s="213" t="s">
        <v>3115</v>
      </c>
      <c r="L53" s="210" t="b">
        <v>1</v>
      </c>
      <c r="M53" s="214" t="b">
        <v>1</v>
      </c>
      <c r="N53" s="213" t="s">
        <v>3120</v>
      </c>
      <c r="O53" s="210" t="b">
        <v>1</v>
      </c>
      <c r="P53" s="214" t="b">
        <v>1</v>
      </c>
      <c r="Q53" s="216" t="s">
        <v>3123</v>
      </c>
      <c r="R53" s="217" t="b">
        <v>0</v>
      </c>
      <c r="S53" s="215" t="b">
        <v>0</v>
      </c>
      <c r="T53" s="218"/>
      <c r="U53" s="217" t="b">
        <v>0</v>
      </c>
      <c r="V53" s="215" t="b">
        <v>0</v>
      </c>
      <c r="W53" s="219"/>
      <c r="X53" s="217" t="b">
        <v>0</v>
      </c>
      <c r="Y53" s="215" t="b">
        <v>0</v>
      </c>
      <c r="Z53" s="232"/>
      <c r="AA53" s="217" t="b">
        <v>0</v>
      </c>
      <c r="AB53" s="215" t="b">
        <v>0</v>
      </c>
      <c r="AC53" s="221"/>
      <c r="AD53" s="217" t="b">
        <v>0</v>
      </c>
      <c r="AE53" s="215" t="b">
        <v>0</v>
      </c>
      <c r="AF53" s="222"/>
      <c r="AG53" s="217" t="b">
        <v>0</v>
      </c>
      <c r="AH53" s="215" t="b">
        <v>0</v>
      </c>
      <c r="AI53" s="207"/>
      <c r="AJ53" s="217" t="b">
        <v>0</v>
      </c>
      <c r="AK53" s="215" t="b">
        <v>0</v>
      </c>
      <c r="AL53" s="224"/>
      <c r="AM53" s="217" t="b">
        <v>0</v>
      </c>
      <c r="AN53" s="215" t="b">
        <v>0</v>
      </c>
      <c r="AO53" s="207"/>
      <c r="AP53" s="207"/>
      <c r="AQ53" s="207"/>
      <c r="AR53" s="207"/>
      <c r="AS53" s="207"/>
      <c r="AT53" s="207"/>
      <c r="AU53" s="207"/>
      <c r="AV53" s="207"/>
      <c r="AW53" s="207"/>
      <c r="AX53" s="207"/>
      <c r="AY53" s="207"/>
      <c r="AZ53" s="207"/>
      <c r="BA53" s="207"/>
    </row>
    <row r="54">
      <c r="A54" s="209" t="str">
        <f>IFERROR(__xludf.DUMMYFUNCTION("""COMPUTED_VALUE"""),"SETTLED")</f>
        <v>SETTLED</v>
      </c>
      <c r="B54" s="209" t="str">
        <f>IFERROR(__xludf.DUMMYFUNCTION("""COMPUTED_VALUE"""),"Jakey")</f>
        <v>Jakey</v>
      </c>
      <c r="C54" s="209" t="str">
        <f>IFERROR(__xludf.DUMMYFUNCTION("""COMPUTED_VALUE"""),"Kathleen Judy Whaley")</f>
        <v>Kathleen Judy Whaley</v>
      </c>
      <c r="D54" s="209" t="str">
        <f>IFERROR(__xludf.DUMMYFUNCTION("""COMPUTED_VALUE"""),"863-781-7736")</f>
        <v>863-781-7736</v>
      </c>
      <c r="E54" s="209" t="str">
        <f>IFERROR(__xludf.DUMMYFUNCTION("""COMPUTED_VALUE"""),"jase12jaylin13@gmail.com")</f>
        <v>jase12jaylin13@gmail.com</v>
      </c>
      <c r="F54" s="209" t="str">
        <f>IFERROR(__xludf.DUMMYFUNCTION("""COMPUTED_VALUE"""),"326 Heard Bridge RD Wauchula, FL 33873")</f>
        <v>326 Heard Bridge RD Wauchula, FL 33873</v>
      </c>
      <c r="G54" s="209" t="str">
        <f>IFERROR(__xludf.DUMMYFUNCTION("""COMPUTED_VALUE"""),"Hurricane Ian")</f>
        <v>Hurricane Ian</v>
      </c>
      <c r="H54" s="209" t="str">
        <f>IFERROR(__xludf.DUMMYFUNCTION("""COMPUTED_VALUE"""),"New Claim")</f>
        <v>New Claim</v>
      </c>
      <c r="I54" s="210" t="b">
        <v>1</v>
      </c>
      <c r="J54" s="212" t="b">
        <v>1</v>
      </c>
      <c r="K54" s="213" t="s">
        <v>3145</v>
      </c>
      <c r="L54" s="217" t="b">
        <v>0</v>
      </c>
      <c r="M54" s="215" t="b">
        <v>0</v>
      </c>
      <c r="N54" s="238"/>
      <c r="O54" s="210" t="b">
        <v>1</v>
      </c>
      <c r="P54" s="214" t="b">
        <v>1</v>
      </c>
      <c r="Q54" s="216" t="s">
        <v>3147</v>
      </c>
      <c r="R54" s="210" t="b">
        <v>1</v>
      </c>
      <c r="S54" s="214" t="b">
        <v>1</v>
      </c>
      <c r="T54" s="388" t="s">
        <v>3149</v>
      </c>
      <c r="U54" s="217" t="b">
        <v>0</v>
      </c>
      <c r="V54" s="215" t="b">
        <v>0</v>
      </c>
      <c r="W54" s="219"/>
      <c r="X54" s="217" t="b">
        <v>0</v>
      </c>
      <c r="Y54" s="215" t="b">
        <v>0</v>
      </c>
      <c r="Z54" s="232"/>
      <c r="AA54" s="217" t="b">
        <v>0</v>
      </c>
      <c r="AB54" s="215" t="b">
        <v>0</v>
      </c>
      <c r="AC54" s="221"/>
      <c r="AD54" s="217" t="b">
        <v>0</v>
      </c>
      <c r="AE54" s="215" t="b">
        <v>0</v>
      </c>
      <c r="AF54" s="222"/>
      <c r="AG54" s="217" t="b">
        <v>0</v>
      </c>
      <c r="AH54" s="215" t="b">
        <v>0</v>
      </c>
      <c r="AI54" s="207"/>
      <c r="AJ54" s="217" t="b">
        <v>0</v>
      </c>
      <c r="AK54" s="215" t="b">
        <v>0</v>
      </c>
      <c r="AL54" s="224"/>
      <c r="AM54" s="217" t="b">
        <v>0</v>
      </c>
      <c r="AN54" s="215" t="b">
        <v>0</v>
      </c>
      <c r="AO54" s="207"/>
      <c r="AP54" s="207"/>
      <c r="AQ54" s="207"/>
      <c r="AR54" s="207"/>
      <c r="AS54" s="207"/>
      <c r="AT54" s="207"/>
      <c r="AU54" s="207"/>
      <c r="AV54" s="207"/>
      <c r="AW54" s="207"/>
      <c r="AX54" s="207"/>
      <c r="AY54" s="207"/>
      <c r="AZ54" s="207"/>
      <c r="BA54" s="207"/>
    </row>
    <row r="55">
      <c r="A55" s="209" t="str">
        <f>IFERROR(__xludf.DUMMYFUNCTION("""COMPUTED_VALUE"""),"SETTLED")</f>
        <v>SETTLED</v>
      </c>
      <c r="B55" s="209" t="str">
        <f>IFERROR(__xludf.DUMMYFUNCTION("""COMPUTED_VALUE"""),"Peter")</f>
        <v>Peter</v>
      </c>
      <c r="C55" s="209" t="str">
        <f>IFERROR(__xludf.DUMMYFUNCTION("""COMPUTED_VALUE"""),"Vivian Carey")</f>
        <v>Vivian Carey</v>
      </c>
      <c r="D55" s="209" t="str">
        <f>IFERROR(__xludf.DUMMYFUNCTION("""COMPUTED_VALUE"""),"863-832-4961")</f>
        <v>863-832-4961</v>
      </c>
      <c r="E55" s="209" t="str">
        <f>IFERROR(__xludf.DUMMYFUNCTION("""COMPUTED_VALUE"""),"mrc.blc114@gmail.com")</f>
        <v>mrc.blc114@gmail.com</v>
      </c>
      <c r="F55" s="209" t="str">
        <f>IFERROR(__xludf.DUMMYFUNCTION("""COMPUTED_VALUE"""),"114 Pennsylvania Avenue Wauchula, FL 33873")</f>
        <v>114 Pennsylvania Avenue Wauchula, FL 33873</v>
      </c>
      <c r="G55" s="209" t="str">
        <f>IFERROR(__xludf.DUMMYFUNCTION("""COMPUTED_VALUE"""),"Hurricane Ian")</f>
        <v>Hurricane Ian</v>
      </c>
      <c r="H55" s="209" t="str">
        <f>IFERROR(__xludf.DUMMYFUNCTION("""COMPUTED_VALUE"""),"New Claim")</f>
        <v>New Claim</v>
      </c>
      <c r="I55" s="210" t="b">
        <v>1</v>
      </c>
      <c r="J55" s="212" t="b">
        <v>1</v>
      </c>
      <c r="K55" s="213" t="s">
        <v>3154</v>
      </c>
      <c r="L55" s="217" t="b">
        <v>0</v>
      </c>
      <c r="M55" s="215" t="b">
        <v>0</v>
      </c>
      <c r="N55" s="238"/>
      <c r="O55" s="210" t="b">
        <v>1</v>
      </c>
      <c r="P55" s="214" t="b">
        <v>1</v>
      </c>
      <c r="Q55" s="216" t="s">
        <v>3155</v>
      </c>
      <c r="R55" s="217" t="b">
        <v>0</v>
      </c>
      <c r="S55" s="215" t="b">
        <v>0</v>
      </c>
      <c r="T55" s="218"/>
      <c r="U55" s="217" t="b">
        <v>0</v>
      </c>
      <c r="V55" s="215" t="b">
        <v>0</v>
      </c>
      <c r="W55" s="219"/>
      <c r="X55" s="217" t="b">
        <v>0</v>
      </c>
      <c r="Y55" s="215" t="b">
        <v>0</v>
      </c>
      <c r="Z55" s="232"/>
      <c r="AA55" s="217" t="b">
        <v>0</v>
      </c>
      <c r="AB55" s="215" t="b">
        <v>0</v>
      </c>
      <c r="AC55" s="221"/>
      <c r="AD55" s="217" t="b">
        <v>0</v>
      </c>
      <c r="AE55" s="215" t="b">
        <v>0</v>
      </c>
      <c r="AF55" s="222"/>
      <c r="AG55" s="217" t="b">
        <v>0</v>
      </c>
      <c r="AH55" s="215" t="b">
        <v>0</v>
      </c>
      <c r="AI55" s="207"/>
      <c r="AJ55" s="217" t="b">
        <v>0</v>
      </c>
      <c r="AK55" s="215" t="b">
        <v>0</v>
      </c>
      <c r="AL55" s="224"/>
      <c r="AM55" s="217" t="b">
        <v>0</v>
      </c>
      <c r="AN55" s="215" t="b">
        <v>0</v>
      </c>
      <c r="AO55" s="207"/>
      <c r="AP55" s="207"/>
      <c r="AQ55" s="207"/>
      <c r="AR55" s="207"/>
      <c r="AS55" s="207"/>
      <c r="AT55" s="207"/>
      <c r="AU55" s="207"/>
      <c r="AV55" s="207"/>
      <c r="AW55" s="207"/>
      <c r="AX55" s="207"/>
      <c r="AY55" s="207"/>
      <c r="AZ55" s="207"/>
      <c r="BA55" s="207"/>
    </row>
    <row r="56">
      <c r="A56" s="209" t="str">
        <f>IFERROR(__xludf.DUMMYFUNCTION("""COMPUTED_VALUE"""),"SETTLED")</f>
        <v>SETTLED</v>
      </c>
      <c r="B56" s="209" t="str">
        <f>IFERROR(__xludf.DUMMYFUNCTION("""COMPUTED_VALUE"""),"Jakey")</f>
        <v>Jakey</v>
      </c>
      <c r="C56" s="209" t="str">
        <f>IFERROR(__xludf.DUMMYFUNCTION("""COMPUTED_VALUE"""),"Jose Santos Olmos Jr")</f>
        <v>Jose Santos Olmos Jr</v>
      </c>
      <c r="D56" s="209" t="str">
        <f>IFERROR(__xludf.DUMMYFUNCTION("""COMPUTED_VALUE"""),"863-781-5892")</f>
        <v>863-781-5892</v>
      </c>
      <c r="E56" s="209"/>
      <c r="F56" s="209" t="str">
        <f>IFERROR(__xludf.DUMMYFUNCTION("""COMPUTED_VALUE"""),"427 3rd St E Zolfo Springs, FL 33890")</f>
        <v>427 3rd St E Zolfo Springs, FL 33890</v>
      </c>
      <c r="G56" s="209" t="str">
        <f>IFERROR(__xludf.DUMMYFUNCTION("""COMPUTED_VALUE"""),"Hurricane Ian")</f>
        <v>Hurricane Ian</v>
      </c>
      <c r="H56" s="209" t="str">
        <f>IFERROR(__xludf.DUMMYFUNCTION("""COMPUTED_VALUE"""),"New Claim")</f>
        <v>New Claim</v>
      </c>
      <c r="I56" s="210" t="b">
        <v>1</v>
      </c>
      <c r="J56" s="212" t="b">
        <v>1</v>
      </c>
      <c r="K56" s="213" t="s">
        <v>3156</v>
      </c>
      <c r="L56" s="217" t="b">
        <v>0</v>
      </c>
      <c r="M56" s="215" t="b">
        <v>0</v>
      </c>
      <c r="N56" s="238"/>
      <c r="O56" s="217" t="b">
        <v>0</v>
      </c>
      <c r="P56" s="215" t="b">
        <v>0</v>
      </c>
      <c r="Q56" s="230"/>
      <c r="R56" s="217" t="b">
        <v>0</v>
      </c>
      <c r="S56" s="215" t="b">
        <v>0</v>
      </c>
      <c r="T56" s="218"/>
      <c r="U56" s="217" t="b">
        <v>0</v>
      </c>
      <c r="V56" s="215" t="b">
        <v>0</v>
      </c>
      <c r="W56" s="219"/>
      <c r="X56" s="217" t="b">
        <v>0</v>
      </c>
      <c r="Y56" s="215" t="b">
        <v>0</v>
      </c>
      <c r="Z56" s="232"/>
      <c r="AA56" s="210" t="b">
        <v>1</v>
      </c>
      <c r="AB56" s="214" t="b">
        <v>1</v>
      </c>
      <c r="AC56" s="325" t="s">
        <v>3159</v>
      </c>
      <c r="AD56" s="217" t="b">
        <v>0</v>
      </c>
      <c r="AE56" s="215" t="b">
        <v>0</v>
      </c>
      <c r="AF56" s="256" t="s">
        <v>3160</v>
      </c>
      <c r="AG56" s="217" t="b">
        <v>0</v>
      </c>
      <c r="AH56" s="215" t="b">
        <v>0</v>
      </c>
      <c r="AI56" s="207"/>
      <c r="AJ56" s="217" t="b">
        <v>0</v>
      </c>
      <c r="AK56" s="215" t="b">
        <v>0</v>
      </c>
      <c r="AL56" s="224"/>
      <c r="AM56" s="217" t="b">
        <v>0</v>
      </c>
      <c r="AN56" s="215" t="b">
        <v>0</v>
      </c>
      <c r="AO56" s="207"/>
      <c r="AP56" s="207"/>
      <c r="AQ56" s="207"/>
      <c r="AR56" s="207"/>
      <c r="AS56" s="207"/>
      <c r="AT56" s="207"/>
      <c r="AU56" s="207"/>
      <c r="AV56" s="207"/>
      <c r="AW56" s="207"/>
      <c r="AX56" s="207"/>
      <c r="AY56" s="207"/>
      <c r="AZ56" s="207"/>
      <c r="BA56" s="207"/>
    </row>
    <row r="57">
      <c r="A57" s="209" t="str">
        <f>IFERROR(__xludf.DUMMYFUNCTION("""COMPUTED_VALUE"""),"FEES PENDING")</f>
        <v>FEES PENDING</v>
      </c>
      <c r="B57" s="209" t="str">
        <f>IFERROR(__xludf.DUMMYFUNCTION("""COMPUTED_VALUE"""),"Jakey")</f>
        <v>Jakey</v>
      </c>
      <c r="C57" s="209" t="str">
        <f>IFERROR(__xludf.DUMMYFUNCTION("""COMPUTED_VALUE"""),"Gregoria Naranjo")</f>
        <v>Gregoria Naranjo</v>
      </c>
      <c r="D57" s="209" t="str">
        <f>IFERROR(__xludf.DUMMYFUNCTION("""COMPUTED_VALUE"""),"(863) 273-9670 / 863-222-1714")</f>
        <v>(863) 273-9670 / 863-222-1714</v>
      </c>
      <c r="E57" s="209" t="str">
        <f>IFERROR(__xludf.DUMMYFUNCTION("""COMPUTED_VALUE"""),"saragosanaranjo13@gmail.com")</f>
        <v>saragosanaranjo13@gmail.com</v>
      </c>
      <c r="F57" s="209" t="str">
        <f>IFERROR(__xludf.DUMMYFUNCTION("""COMPUTED_VALUE"""),"3015 Hickory CT Zolfo Springs, FL 33890")</f>
        <v>3015 Hickory CT Zolfo Springs, FL 33890</v>
      </c>
      <c r="G57" s="209" t="str">
        <f>IFERROR(__xludf.DUMMYFUNCTION("""COMPUTED_VALUE"""),"Hurricane Ian")</f>
        <v>Hurricane Ian</v>
      </c>
      <c r="H57" s="209" t="str">
        <f>IFERROR(__xludf.DUMMYFUNCTION("""COMPUTED_VALUE"""),"New Claim")</f>
        <v>New Claim</v>
      </c>
      <c r="I57" s="210" t="b">
        <v>1</v>
      </c>
      <c r="J57" s="212" t="b">
        <v>1</v>
      </c>
      <c r="K57" s="213" t="s">
        <v>3168</v>
      </c>
      <c r="L57" s="217" t="b">
        <v>0</v>
      </c>
      <c r="M57" s="215" t="b">
        <v>0</v>
      </c>
      <c r="N57" s="238"/>
      <c r="O57" s="217" t="b">
        <v>0</v>
      </c>
      <c r="P57" s="215" t="b">
        <v>0</v>
      </c>
      <c r="Q57" s="230"/>
      <c r="R57" s="210" t="b">
        <v>1</v>
      </c>
      <c r="S57" s="214" t="b">
        <v>1</v>
      </c>
      <c r="T57" s="388" t="s">
        <v>3169</v>
      </c>
      <c r="U57" s="217" t="b">
        <v>0</v>
      </c>
      <c r="V57" s="215" t="b">
        <v>0</v>
      </c>
      <c r="W57" s="219"/>
      <c r="X57" s="217" t="b">
        <v>0</v>
      </c>
      <c r="Y57" s="215" t="b">
        <v>0</v>
      </c>
      <c r="Z57" s="232"/>
      <c r="AA57" s="217" t="b">
        <v>0</v>
      </c>
      <c r="AB57" s="215" t="b">
        <v>0</v>
      </c>
      <c r="AC57" s="221"/>
      <c r="AD57" s="217" t="b">
        <v>0</v>
      </c>
      <c r="AE57" s="215" t="b">
        <v>0</v>
      </c>
      <c r="AF57" s="222"/>
      <c r="AG57" s="217" t="b">
        <v>0</v>
      </c>
      <c r="AH57" s="215" t="b">
        <v>0</v>
      </c>
      <c r="AI57" s="207"/>
      <c r="AJ57" s="217" t="b">
        <v>0</v>
      </c>
      <c r="AK57" s="215" t="b">
        <v>0</v>
      </c>
      <c r="AL57" s="224"/>
      <c r="AM57" s="217" t="b">
        <v>0</v>
      </c>
      <c r="AN57" s="215" t="b">
        <v>0</v>
      </c>
      <c r="AO57" s="207"/>
      <c r="AP57" s="207"/>
      <c r="AQ57" s="207"/>
      <c r="AR57" s="207"/>
      <c r="AS57" s="207"/>
      <c r="AT57" s="207"/>
      <c r="AU57" s="207"/>
      <c r="AV57" s="207"/>
      <c r="AW57" s="207"/>
      <c r="AX57" s="207"/>
      <c r="AY57" s="207"/>
      <c r="AZ57" s="207"/>
      <c r="BA57" s="207"/>
    </row>
    <row r="58">
      <c r="A58" s="209" t="str">
        <f>IFERROR(__xludf.DUMMYFUNCTION("""COMPUTED_VALUE"""),"SETTLED")</f>
        <v>SETTLED</v>
      </c>
      <c r="B58" s="209" t="str">
        <f>IFERROR(__xludf.DUMMYFUNCTION("""COMPUTED_VALUE"""),"Joshua")</f>
        <v>Joshua</v>
      </c>
      <c r="C58" s="209" t="str">
        <f>IFERROR(__xludf.DUMMYFUNCTION("""COMPUTED_VALUE"""),"Samuel Dela Torre")</f>
        <v>Samuel Dela Torre</v>
      </c>
      <c r="D58" s="209" t="str">
        <f>IFERROR(__xludf.DUMMYFUNCTION("""COMPUTED_VALUE"""),"863-781-0707/Casandra 863-832-4598")</f>
        <v>863-781-0707/Casandra 863-832-4598</v>
      </c>
      <c r="E58" s="209" t="str">
        <f>IFERROR(__xludf.DUMMYFUNCTION("""COMPUTED_VALUE"""),"delatorrerentals@live.com")</f>
        <v>delatorrerentals@live.com</v>
      </c>
      <c r="F58" s="209" t="str">
        <f>IFERROR(__xludf.DUMMYFUNCTION("""COMPUTED_VALUE"""),"817 E Main St. Wauchula, FL 33873")</f>
        <v>817 E Main St. Wauchula, FL 33873</v>
      </c>
      <c r="G58" s="209" t="str">
        <f>IFERROR(__xludf.DUMMYFUNCTION("""COMPUTED_VALUE"""),"Hurricane Ian")</f>
        <v>Hurricane Ian</v>
      </c>
      <c r="H58" s="209" t="str">
        <f>IFERROR(__xludf.DUMMYFUNCTION("""COMPUTED_VALUE"""),"New Claim")</f>
        <v>New Claim</v>
      </c>
      <c r="I58" s="210" t="b">
        <v>1</v>
      </c>
      <c r="J58" s="212" t="b">
        <v>1</v>
      </c>
      <c r="K58" s="213" t="s">
        <v>3173</v>
      </c>
      <c r="L58" s="217" t="b">
        <v>0</v>
      </c>
      <c r="M58" s="215" t="b">
        <v>0</v>
      </c>
      <c r="N58" s="238"/>
      <c r="O58" s="210" t="b">
        <v>1</v>
      </c>
      <c r="P58" s="214" t="b">
        <v>1</v>
      </c>
      <c r="Q58" s="216" t="s">
        <v>3174</v>
      </c>
      <c r="R58" s="217" t="b">
        <v>0</v>
      </c>
      <c r="S58" s="215" t="b">
        <v>0</v>
      </c>
      <c r="T58" s="218"/>
      <c r="U58" s="217" t="b">
        <v>0</v>
      </c>
      <c r="V58" s="215" t="b">
        <v>0</v>
      </c>
      <c r="W58" s="219"/>
      <c r="X58" s="217" t="b">
        <v>0</v>
      </c>
      <c r="Y58" s="215" t="b">
        <v>0</v>
      </c>
      <c r="Z58" s="232"/>
      <c r="AA58" s="217" t="b">
        <v>0</v>
      </c>
      <c r="AB58" s="215" t="b">
        <v>0</v>
      </c>
      <c r="AC58" s="221"/>
      <c r="AD58" s="217" t="b">
        <v>0</v>
      </c>
      <c r="AE58" s="215" t="b">
        <v>0</v>
      </c>
      <c r="AF58" s="222"/>
      <c r="AG58" s="217" t="b">
        <v>0</v>
      </c>
      <c r="AH58" s="215" t="b">
        <v>0</v>
      </c>
      <c r="AI58" s="207"/>
      <c r="AJ58" s="217" t="b">
        <v>0</v>
      </c>
      <c r="AK58" s="215" t="b">
        <v>0</v>
      </c>
      <c r="AL58" s="224"/>
      <c r="AM58" s="217" t="b">
        <v>0</v>
      </c>
      <c r="AN58" s="215" t="b">
        <v>0</v>
      </c>
      <c r="AO58" s="207"/>
      <c r="AP58" s="207"/>
      <c r="AQ58" s="207"/>
      <c r="AR58" s="207"/>
      <c r="AS58" s="207"/>
      <c r="AT58" s="207"/>
      <c r="AU58" s="207"/>
      <c r="AV58" s="207"/>
      <c r="AW58" s="207"/>
      <c r="AX58" s="207"/>
      <c r="AY58" s="207"/>
      <c r="AZ58" s="207"/>
      <c r="BA58" s="207"/>
    </row>
    <row r="59">
      <c r="A59" s="209" t="str">
        <f>IFERROR(__xludf.DUMMYFUNCTION("""COMPUTED_VALUE"""),"SETTLED")</f>
        <v>SETTLED</v>
      </c>
      <c r="B59" s="209" t="str">
        <f>IFERROR(__xludf.DUMMYFUNCTION("""COMPUTED_VALUE"""),"Ivan")</f>
        <v>Ivan</v>
      </c>
      <c r="C59" s="209" t="str">
        <f>IFERROR(__xludf.DUMMYFUNCTION("""COMPUTED_VALUE"""),"Samuel Dela Torre")</f>
        <v>Samuel Dela Torre</v>
      </c>
      <c r="D59" s="209" t="str">
        <f>IFERROR(__xludf.DUMMYFUNCTION("""COMPUTED_VALUE"""),"863-781-0707/Casandra 863-832-4598")</f>
        <v>863-781-0707/Casandra 863-832-4598</v>
      </c>
      <c r="E59" s="209" t="str">
        <f>IFERROR(__xludf.DUMMYFUNCTION("""COMPUTED_VALUE"""),"delatorrerentals@live.com")</f>
        <v>delatorrerentals@live.com</v>
      </c>
      <c r="F59" s="209" t="str">
        <f>IFERROR(__xludf.DUMMYFUNCTION("""COMPUTED_VALUE"""),"503 South Florida Ave. Wauchula, FL 33873")</f>
        <v>503 South Florida Ave. Wauchula, FL 33873</v>
      </c>
      <c r="G59" s="209" t="str">
        <f>IFERROR(__xludf.DUMMYFUNCTION("""COMPUTED_VALUE"""),"Hurricane Ian")</f>
        <v>Hurricane Ian</v>
      </c>
      <c r="H59" s="209" t="str">
        <f>IFERROR(__xludf.DUMMYFUNCTION("""COMPUTED_VALUE"""),"Reopen")</f>
        <v>Reopen</v>
      </c>
      <c r="I59" s="210" t="b">
        <v>1</v>
      </c>
      <c r="J59" s="212" t="b">
        <v>1</v>
      </c>
      <c r="K59" s="213" t="s">
        <v>3175</v>
      </c>
      <c r="L59" s="210" t="b">
        <v>1</v>
      </c>
      <c r="M59" s="214" t="b">
        <v>1</v>
      </c>
      <c r="N59" s="213" t="s">
        <v>3176</v>
      </c>
      <c r="O59" s="217" t="b">
        <v>0</v>
      </c>
      <c r="P59" s="215" t="b">
        <v>0</v>
      </c>
      <c r="Q59" s="230"/>
      <c r="R59" s="217" t="b">
        <v>0</v>
      </c>
      <c r="S59" s="215" t="b">
        <v>0</v>
      </c>
      <c r="T59" s="218"/>
      <c r="U59" s="217" t="b">
        <v>0</v>
      </c>
      <c r="V59" s="215" t="b">
        <v>0</v>
      </c>
      <c r="W59" s="219"/>
      <c r="X59" s="217" t="b">
        <v>0</v>
      </c>
      <c r="Y59" s="215" t="b">
        <v>0</v>
      </c>
      <c r="Z59" s="232"/>
      <c r="AA59" s="217" t="b">
        <v>0</v>
      </c>
      <c r="AB59" s="215" t="b">
        <v>0</v>
      </c>
      <c r="AC59" s="221"/>
      <c r="AD59" s="217" t="b">
        <v>0</v>
      </c>
      <c r="AE59" s="215" t="b">
        <v>0</v>
      </c>
      <c r="AF59" s="222"/>
      <c r="AG59" s="217" t="b">
        <v>0</v>
      </c>
      <c r="AH59" s="215" t="b">
        <v>0</v>
      </c>
      <c r="AI59" s="207"/>
      <c r="AJ59" s="217" t="b">
        <v>0</v>
      </c>
      <c r="AK59" s="215" t="b">
        <v>0</v>
      </c>
      <c r="AL59" s="224"/>
      <c r="AM59" s="217" t="b">
        <v>0</v>
      </c>
      <c r="AN59" s="215" t="b">
        <v>0</v>
      </c>
      <c r="AO59" s="207"/>
      <c r="AP59" s="207"/>
      <c r="AQ59" s="207"/>
      <c r="AR59" s="207"/>
      <c r="AS59" s="207"/>
      <c r="AT59" s="207"/>
      <c r="AU59" s="207"/>
      <c r="AV59" s="207"/>
      <c r="AW59" s="207"/>
      <c r="AX59" s="207"/>
      <c r="AY59" s="207"/>
      <c r="AZ59" s="207"/>
      <c r="BA59" s="207"/>
    </row>
    <row r="60">
      <c r="A60" s="209" t="str">
        <f>IFERROR(__xludf.DUMMYFUNCTION("""COMPUTED_VALUE"""),"SETTLED")</f>
        <v>SETTLED</v>
      </c>
      <c r="B60" s="209" t="str">
        <f>IFERROR(__xludf.DUMMYFUNCTION("""COMPUTED_VALUE"""),"Ivan")</f>
        <v>Ivan</v>
      </c>
      <c r="C60" s="209" t="str">
        <f>IFERROR(__xludf.DUMMYFUNCTION("""COMPUTED_VALUE"""),"Samuel Dela Torre")</f>
        <v>Samuel Dela Torre</v>
      </c>
      <c r="D60" s="209" t="str">
        <f>IFERROR(__xludf.DUMMYFUNCTION("""COMPUTED_VALUE"""),"863-781-0707/Casandra 863-832-4598")</f>
        <v>863-781-0707/Casandra 863-832-4598</v>
      </c>
      <c r="E60" s="209" t="str">
        <f>IFERROR(__xludf.DUMMYFUNCTION("""COMPUTED_VALUE"""),"delatorrerentals@live.com")</f>
        <v>delatorrerentals@live.com</v>
      </c>
      <c r="F60" s="209" t="str">
        <f>IFERROR(__xludf.DUMMYFUNCTION("""COMPUTED_VALUE"""),"675 Chamberlain Blvd Wauchula, FL 33873")</f>
        <v>675 Chamberlain Blvd Wauchula, FL 33873</v>
      </c>
      <c r="G60" s="209" t="str">
        <f>IFERROR(__xludf.DUMMYFUNCTION("""COMPUTED_VALUE"""),"Hurricane Ian")</f>
        <v>Hurricane Ian</v>
      </c>
      <c r="H60" s="209" t="str">
        <f>IFERROR(__xludf.DUMMYFUNCTION("""COMPUTED_VALUE"""),"Reopen")</f>
        <v>Reopen</v>
      </c>
      <c r="I60" s="210" t="b">
        <v>1</v>
      </c>
      <c r="J60" s="212" t="b">
        <v>1</v>
      </c>
      <c r="K60" s="238"/>
      <c r="L60" s="217" t="b">
        <v>0</v>
      </c>
      <c r="M60" s="215" t="b">
        <v>0</v>
      </c>
      <c r="N60" s="213" t="s">
        <v>3177</v>
      </c>
      <c r="O60" s="217" t="b">
        <v>0</v>
      </c>
      <c r="P60" s="215" t="b">
        <v>0</v>
      </c>
      <c r="Q60" s="230"/>
      <c r="R60" s="210" t="b">
        <v>1</v>
      </c>
      <c r="S60" s="214" t="b">
        <v>1</v>
      </c>
      <c r="T60" s="388" t="s">
        <v>3178</v>
      </c>
      <c r="U60" s="217" t="b">
        <v>0</v>
      </c>
      <c r="V60" s="215" t="b">
        <v>0</v>
      </c>
      <c r="W60" s="219"/>
      <c r="X60" s="217" t="b">
        <v>0</v>
      </c>
      <c r="Y60" s="215" t="b">
        <v>0</v>
      </c>
      <c r="Z60" s="232"/>
      <c r="AA60" s="217" t="b">
        <v>0</v>
      </c>
      <c r="AB60" s="215" t="b">
        <v>0</v>
      </c>
      <c r="AC60" s="221"/>
      <c r="AD60" s="217" t="b">
        <v>0</v>
      </c>
      <c r="AE60" s="215" t="b">
        <v>0</v>
      </c>
      <c r="AF60" s="222"/>
      <c r="AG60" s="217" t="b">
        <v>0</v>
      </c>
      <c r="AH60" s="215" t="b">
        <v>0</v>
      </c>
      <c r="AI60" s="207"/>
      <c r="AJ60" s="217" t="b">
        <v>0</v>
      </c>
      <c r="AK60" s="215" t="b">
        <v>0</v>
      </c>
      <c r="AL60" s="224"/>
      <c r="AM60" s="217" t="b">
        <v>0</v>
      </c>
      <c r="AN60" s="215" t="b">
        <v>0</v>
      </c>
      <c r="AO60" s="207"/>
      <c r="AP60" s="207"/>
      <c r="AQ60" s="207"/>
      <c r="AR60" s="207"/>
      <c r="AS60" s="207"/>
      <c r="AT60" s="207"/>
      <c r="AU60" s="207"/>
      <c r="AV60" s="207"/>
      <c r="AW60" s="207"/>
      <c r="AX60" s="207"/>
      <c r="AY60" s="207"/>
      <c r="AZ60" s="207"/>
      <c r="BA60" s="207"/>
    </row>
    <row r="61">
      <c r="A61" s="209" t="str">
        <f>IFERROR(__xludf.DUMMYFUNCTION("""COMPUTED_VALUE"""),"SETTLED")</f>
        <v>SETTLED</v>
      </c>
      <c r="B61" s="209" t="str">
        <f>IFERROR(__xludf.DUMMYFUNCTION("""COMPUTED_VALUE"""),"Ivan")</f>
        <v>Ivan</v>
      </c>
      <c r="C61" s="209" t="str">
        <f>IFERROR(__xludf.DUMMYFUNCTION("""COMPUTED_VALUE"""),"Samuel Dela Torre")</f>
        <v>Samuel Dela Torre</v>
      </c>
      <c r="D61" s="209" t="str">
        <f>IFERROR(__xludf.DUMMYFUNCTION("""COMPUTED_VALUE"""),"863-781-0707/Casandra 863-832-4598")</f>
        <v>863-781-0707/Casandra 863-832-4598</v>
      </c>
      <c r="E61" s="209" t="str">
        <f>IFERROR(__xludf.DUMMYFUNCTION("""COMPUTED_VALUE"""),"delatorrerentals@live.com")</f>
        <v>delatorrerentals@live.com</v>
      </c>
      <c r="F61" s="209" t="str">
        <f>IFERROR(__xludf.DUMMYFUNCTION("""COMPUTED_VALUE"""),"4719 Doyle Parker Ave Bowling Green, FL 33834")</f>
        <v>4719 Doyle Parker Ave Bowling Green, FL 33834</v>
      </c>
      <c r="G61" s="209" t="str">
        <f>IFERROR(__xludf.DUMMYFUNCTION("""COMPUTED_VALUE"""),"Hurricane Ian")</f>
        <v>Hurricane Ian</v>
      </c>
      <c r="H61" s="209" t="str">
        <f>IFERROR(__xludf.DUMMYFUNCTION("""COMPUTED_VALUE"""),"New Claim")</f>
        <v>New Claim</v>
      </c>
      <c r="I61" s="210" t="b">
        <v>1</v>
      </c>
      <c r="J61" s="212" t="b">
        <v>1</v>
      </c>
      <c r="K61" s="213" t="s">
        <v>3179</v>
      </c>
      <c r="L61" s="217" t="b">
        <v>0</v>
      </c>
      <c r="M61" s="215" t="b">
        <v>0</v>
      </c>
      <c r="N61" s="238"/>
      <c r="O61" s="217" t="b">
        <v>0</v>
      </c>
      <c r="P61" s="215" t="b">
        <v>0</v>
      </c>
      <c r="Q61" s="230"/>
      <c r="R61" s="217" t="b">
        <v>0</v>
      </c>
      <c r="S61" s="215" t="b">
        <v>0</v>
      </c>
      <c r="T61" s="218"/>
      <c r="U61" s="217" t="b">
        <v>0</v>
      </c>
      <c r="V61" s="215" t="b">
        <v>0</v>
      </c>
      <c r="W61" s="219"/>
      <c r="X61" s="210" t="b">
        <v>1</v>
      </c>
      <c r="Y61" s="214" t="b">
        <v>1</v>
      </c>
      <c r="Z61" s="220" t="s">
        <v>3180</v>
      </c>
      <c r="AA61" s="217" t="b">
        <v>0</v>
      </c>
      <c r="AB61" s="215" t="b">
        <v>0</v>
      </c>
      <c r="AC61" s="221"/>
      <c r="AD61" s="217" t="b">
        <v>0</v>
      </c>
      <c r="AE61" s="215" t="b">
        <v>0</v>
      </c>
      <c r="AF61" s="222"/>
      <c r="AG61" s="217" t="b">
        <v>0</v>
      </c>
      <c r="AH61" s="215" t="b">
        <v>0</v>
      </c>
      <c r="AI61" s="207"/>
      <c r="AJ61" s="217" t="b">
        <v>0</v>
      </c>
      <c r="AK61" s="215" t="b">
        <v>0</v>
      </c>
      <c r="AL61" s="224"/>
      <c r="AM61" s="217" t="b">
        <v>0</v>
      </c>
      <c r="AN61" s="215" t="b">
        <v>0</v>
      </c>
      <c r="AO61" s="207"/>
      <c r="AP61" s="207"/>
      <c r="AQ61" s="207"/>
      <c r="AR61" s="207"/>
      <c r="AS61" s="207"/>
      <c r="AT61" s="207"/>
      <c r="AU61" s="207"/>
      <c r="AV61" s="207"/>
      <c r="AW61" s="207"/>
      <c r="AX61" s="207"/>
      <c r="AY61" s="207"/>
      <c r="AZ61" s="207"/>
      <c r="BA61" s="207"/>
    </row>
    <row r="62">
      <c r="A62" s="209" t="str">
        <f>IFERROR(__xludf.DUMMYFUNCTION("""COMPUTED_VALUE"""),"CLSD CLAIMS")</f>
        <v>CLSD CLAIMS</v>
      </c>
      <c r="B62" s="209" t="str">
        <f>IFERROR(__xludf.DUMMYFUNCTION("""COMPUTED_VALUE"""),"Ivan")</f>
        <v>Ivan</v>
      </c>
      <c r="C62" s="209" t="str">
        <f>IFERROR(__xludf.DUMMYFUNCTION("""COMPUTED_VALUE"""),"Samuel Dela Torre")</f>
        <v>Samuel Dela Torre</v>
      </c>
      <c r="D62" s="209" t="str">
        <f>IFERROR(__xludf.DUMMYFUNCTION("""COMPUTED_VALUE"""),"863-781-0707/Casandra 863-832-4598")</f>
        <v>863-781-0707/Casandra 863-832-4598</v>
      </c>
      <c r="E62" s="209" t="str">
        <f>IFERROR(__xludf.DUMMYFUNCTION("""COMPUTED_VALUE"""),"delatorrerentals@live.com")</f>
        <v>delatorrerentals@live.com</v>
      </c>
      <c r="F62" s="209" t="str">
        <f>IFERROR(__xludf.DUMMYFUNCTION("""COMPUTED_VALUE"""),"706 East Oak St #708 Wauchula, FL 33873")</f>
        <v>706 East Oak St #708 Wauchula, FL 33873</v>
      </c>
      <c r="G62" s="209" t="str">
        <f>IFERROR(__xludf.DUMMYFUNCTION("""COMPUTED_VALUE"""),"Hurricane Ian")</f>
        <v>Hurricane Ian</v>
      </c>
      <c r="H62" s="209" t="str">
        <f>IFERROR(__xludf.DUMMYFUNCTION("""COMPUTED_VALUE"""),"New Claim")</f>
        <v>New Claim</v>
      </c>
      <c r="I62" s="210" t="b">
        <v>1</v>
      </c>
      <c r="J62" s="212" t="b">
        <v>1</v>
      </c>
      <c r="K62" s="213" t="s">
        <v>3184</v>
      </c>
      <c r="L62" s="217" t="b">
        <v>0</v>
      </c>
      <c r="M62" s="215" t="b">
        <v>0</v>
      </c>
      <c r="N62" s="238"/>
      <c r="O62" s="217" t="b">
        <v>0</v>
      </c>
      <c r="P62" s="215" t="b">
        <v>0</v>
      </c>
      <c r="Q62" s="230"/>
      <c r="R62" s="217" t="b">
        <v>0</v>
      </c>
      <c r="S62" s="215" t="b">
        <v>0</v>
      </c>
      <c r="T62" s="218"/>
      <c r="U62" s="217" t="b">
        <v>0</v>
      </c>
      <c r="V62" s="215" t="b">
        <v>0</v>
      </c>
      <c r="W62" s="219"/>
      <c r="X62" s="217" t="b">
        <v>0</v>
      </c>
      <c r="Y62" s="215" t="b">
        <v>0</v>
      </c>
      <c r="Z62" s="232"/>
      <c r="AA62" s="217" t="b">
        <v>0</v>
      </c>
      <c r="AB62" s="215" t="b">
        <v>0</v>
      </c>
      <c r="AC62" s="221"/>
      <c r="AD62" s="217" t="b">
        <v>0</v>
      </c>
      <c r="AE62" s="215" t="b">
        <v>0</v>
      </c>
      <c r="AF62" s="222"/>
      <c r="AG62" s="217" t="b">
        <v>0</v>
      </c>
      <c r="AH62" s="215" t="b">
        <v>0</v>
      </c>
      <c r="AI62" s="207"/>
      <c r="AJ62" s="217" t="b">
        <v>0</v>
      </c>
      <c r="AK62" s="215" t="b">
        <v>0</v>
      </c>
      <c r="AL62" s="224"/>
      <c r="AM62" s="217" t="b">
        <v>0</v>
      </c>
      <c r="AN62" s="215" t="b">
        <v>0</v>
      </c>
      <c r="AO62" s="207"/>
      <c r="AP62" s="207"/>
      <c r="AQ62" s="207"/>
      <c r="AR62" s="207"/>
      <c r="AS62" s="207"/>
      <c r="AT62" s="207"/>
      <c r="AU62" s="207"/>
      <c r="AV62" s="207"/>
      <c r="AW62" s="207"/>
      <c r="AX62" s="207"/>
      <c r="AY62" s="207"/>
      <c r="AZ62" s="207"/>
      <c r="BA62" s="207"/>
    </row>
    <row r="63">
      <c r="A63" s="209" t="str">
        <f>IFERROR(__xludf.DUMMYFUNCTION("""COMPUTED_VALUE"""),"CLSD CLAIMS")</f>
        <v>CLSD CLAIMS</v>
      </c>
      <c r="B63" s="209" t="str">
        <f>IFERROR(__xludf.DUMMYFUNCTION("""COMPUTED_VALUE"""),"Ivan")</f>
        <v>Ivan</v>
      </c>
      <c r="C63" s="209" t="str">
        <f>IFERROR(__xludf.DUMMYFUNCTION("""COMPUTED_VALUE"""),"Samuel Dela Torre")</f>
        <v>Samuel Dela Torre</v>
      </c>
      <c r="D63" s="209" t="str">
        <f>IFERROR(__xludf.DUMMYFUNCTION("""COMPUTED_VALUE"""),"863-781-0707/Casandra 863-832-4598")</f>
        <v>863-781-0707/Casandra 863-832-4598</v>
      </c>
      <c r="E63" s="209" t="str">
        <f>IFERROR(__xludf.DUMMYFUNCTION("""COMPUTED_VALUE"""),"delatorrerentals@live.com")</f>
        <v>delatorrerentals@live.com</v>
      </c>
      <c r="F63" s="209" t="str">
        <f>IFERROR(__xludf.DUMMYFUNCTION("""COMPUTED_VALUE"""),"710 East Oak St #712 Wauchula, FL 33873")</f>
        <v>710 East Oak St #712 Wauchula, FL 33873</v>
      </c>
      <c r="G63" s="209" t="str">
        <f>IFERROR(__xludf.DUMMYFUNCTION("""COMPUTED_VALUE"""),"Hurricane Ian")</f>
        <v>Hurricane Ian</v>
      </c>
      <c r="H63" s="209" t="str">
        <f>IFERROR(__xludf.DUMMYFUNCTION("""COMPUTED_VALUE"""),"New Claim")</f>
        <v>New Claim</v>
      </c>
      <c r="I63" s="210" t="b">
        <v>1</v>
      </c>
      <c r="J63" s="212" t="b">
        <v>1</v>
      </c>
      <c r="K63" s="213" t="s">
        <v>3186</v>
      </c>
      <c r="L63" s="217" t="b">
        <v>0</v>
      </c>
      <c r="M63" s="215" t="b">
        <v>0</v>
      </c>
      <c r="N63" s="238"/>
      <c r="O63" s="210" t="b">
        <v>1</v>
      </c>
      <c r="P63" s="214" t="b">
        <v>1</v>
      </c>
      <c r="Q63" s="216" t="s">
        <v>3187</v>
      </c>
      <c r="R63" s="217" t="b">
        <v>0</v>
      </c>
      <c r="S63" s="215" t="b">
        <v>0</v>
      </c>
      <c r="T63" s="218"/>
      <c r="U63" s="217" t="b">
        <v>0</v>
      </c>
      <c r="V63" s="215" t="b">
        <v>0</v>
      </c>
      <c r="W63" s="219"/>
      <c r="X63" s="217" t="b">
        <v>0</v>
      </c>
      <c r="Y63" s="215" t="b">
        <v>0</v>
      </c>
      <c r="Z63" s="232"/>
      <c r="AA63" s="217" t="b">
        <v>0</v>
      </c>
      <c r="AB63" s="215" t="b">
        <v>0</v>
      </c>
      <c r="AC63" s="221"/>
      <c r="AD63" s="217" t="b">
        <v>0</v>
      </c>
      <c r="AE63" s="215" t="b">
        <v>0</v>
      </c>
      <c r="AF63" s="222"/>
      <c r="AG63" s="217" t="b">
        <v>0</v>
      </c>
      <c r="AH63" s="215" t="b">
        <v>0</v>
      </c>
      <c r="AI63" s="207"/>
      <c r="AJ63" s="217" t="b">
        <v>0</v>
      </c>
      <c r="AK63" s="215" t="b">
        <v>0</v>
      </c>
      <c r="AL63" s="224"/>
      <c r="AM63" s="217" t="b">
        <v>0</v>
      </c>
      <c r="AN63" s="215" t="b">
        <v>0</v>
      </c>
      <c r="AO63" s="207"/>
      <c r="AP63" s="207"/>
      <c r="AQ63" s="207"/>
      <c r="AR63" s="207"/>
      <c r="AS63" s="207"/>
      <c r="AT63" s="207"/>
      <c r="AU63" s="207"/>
      <c r="AV63" s="207"/>
      <c r="AW63" s="207"/>
      <c r="AX63" s="207"/>
      <c r="AY63" s="207"/>
      <c r="AZ63" s="207"/>
      <c r="BA63" s="207"/>
    </row>
    <row r="64">
      <c r="A64" s="209" t="str">
        <f>IFERROR(__xludf.DUMMYFUNCTION("""COMPUTED_VALUE"""),"SETTLED")</f>
        <v>SETTLED</v>
      </c>
      <c r="B64" s="209" t="str">
        <f>IFERROR(__xludf.DUMMYFUNCTION("""COMPUTED_VALUE"""),"David M.")</f>
        <v>David M.</v>
      </c>
      <c r="C64" s="209" t="str">
        <f>IFERROR(__xludf.DUMMYFUNCTION("""COMPUTED_VALUE"""),"Cipriano Antonio &amp; Petra Rivera")</f>
        <v>Cipriano Antonio &amp; Petra Rivera</v>
      </c>
      <c r="D64" s="209" t="str">
        <f>IFERROR(__xludf.DUMMYFUNCTION("""COMPUTED_VALUE"""),"863-781-6265 / 863-781-6812")</f>
        <v>863-781-6265 / 863-781-6812</v>
      </c>
      <c r="E64" s="209" t="str">
        <f>IFERROR(__xludf.DUMMYFUNCTION("""COMPUTED_VALUE"""),"Msntvn97@gmail.com")</f>
        <v>Msntvn97@gmail.com</v>
      </c>
      <c r="F64" s="209" t="str">
        <f>IFERROR(__xludf.DUMMYFUNCTION("""COMPUTED_VALUE"""),"302 North 10th Avenue Wauchula, FL 33873")</f>
        <v>302 North 10th Avenue Wauchula, FL 33873</v>
      </c>
      <c r="G64" s="209" t="str">
        <f>IFERROR(__xludf.DUMMYFUNCTION("""COMPUTED_VALUE"""),"Hurricane Ian")</f>
        <v>Hurricane Ian</v>
      </c>
      <c r="H64" s="209" t="str">
        <f>IFERROR(__xludf.DUMMYFUNCTION("""COMPUTED_VALUE"""),"New Claim")</f>
        <v>New Claim</v>
      </c>
      <c r="I64" s="210" t="b">
        <v>1</v>
      </c>
      <c r="J64" s="212" t="b">
        <v>1</v>
      </c>
      <c r="K64" s="213" t="s">
        <v>3188</v>
      </c>
      <c r="L64" s="217" t="b">
        <v>0</v>
      </c>
      <c r="M64" s="215" t="b">
        <v>0</v>
      </c>
      <c r="N64" s="238"/>
      <c r="O64" s="210" t="b">
        <v>1</v>
      </c>
      <c r="P64" s="214" t="b">
        <v>1</v>
      </c>
      <c r="Q64" s="216" t="s">
        <v>3189</v>
      </c>
      <c r="R64" s="217" t="b">
        <v>0</v>
      </c>
      <c r="S64" s="215" t="b">
        <v>0</v>
      </c>
      <c r="T64" s="218"/>
      <c r="U64" s="217" t="b">
        <v>0</v>
      </c>
      <c r="V64" s="215" t="b">
        <v>0</v>
      </c>
      <c r="W64" s="219"/>
      <c r="X64" s="217" t="b">
        <v>0</v>
      </c>
      <c r="Y64" s="215" t="b">
        <v>0</v>
      </c>
      <c r="Z64" s="232"/>
      <c r="AA64" s="217" t="b">
        <v>0</v>
      </c>
      <c r="AB64" s="215" t="b">
        <v>0</v>
      </c>
      <c r="AC64" s="221"/>
      <c r="AD64" s="217" t="b">
        <v>0</v>
      </c>
      <c r="AE64" s="215" t="b">
        <v>0</v>
      </c>
      <c r="AF64" s="222"/>
      <c r="AG64" s="217" t="b">
        <v>0</v>
      </c>
      <c r="AH64" s="215" t="b">
        <v>0</v>
      </c>
      <c r="AI64" s="207"/>
      <c r="AJ64" s="217" t="b">
        <v>0</v>
      </c>
      <c r="AK64" s="215" t="b">
        <v>0</v>
      </c>
      <c r="AL64" s="224"/>
      <c r="AM64" s="217" t="b">
        <v>0</v>
      </c>
      <c r="AN64" s="215" t="b">
        <v>0</v>
      </c>
      <c r="AO64" s="207"/>
      <c r="AP64" s="207"/>
      <c r="AQ64" s="207"/>
      <c r="AR64" s="207"/>
      <c r="AS64" s="207"/>
      <c r="AT64" s="207"/>
      <c r="AU64" s="207"/>
      <c r="AV64" s="207"/>
      <c r="AW64" s="207"/>
      <c r="AX64" s="207"/>
      <c r="AY64" s="207"/>
      <c r="AZ64" s="207"/>
      <c r="BA64" s="207"/>
    </row>
    <row r="65">
      <c r="A65" s="209" t="str">
        <f>IFERROR(__xludf.DUMMYFUNCTION("""COMPUTED_VALUE"""),"SETTLED")</f>
        <v>SETTLED</v>
      </c>
      <c r="B65" s="209" t="str">
        <f>IFERROR(__xludf.DUMMYFUNCTION("""COMPUTED_VALUE"""),"Jakey")</f>
        <v>Jakey</v>
      </c>
      <c r="C65" s="209" t="str">
        <f>IFERROR(__xludf.DUMMYFUNCTION("""COMPUTED_VALUE"""),"Tyler Letchworth")</f>
        <v>Tyler Letchworth</v>
      </c>
      <c r="D65" s="209" t="str">
        <f>IFERROR(__xludf.DUMMYFUNCTION("""COMPUTED_VALUE"""),"863-512-1764")</f>
        <v>863-512-1764</v>
      </c>
      <c r="E65" s="209" t="str">
        <f>IFERROR(__xludf.DUMMYFUNCTION("""COMPUTED_VALUE"""),"tylerletchworth96@gmail.com")</f>
        <v>tylerletchworth96@gmail.com</v>
      </c>
      <c r="F65" s="209" t="str">
        <f>IFERROR(__xludf.DUMMYFUNCTION("""COMPUTED_VALUE"""),"101 S 3rd Ave Wauchula, FL 33873")</f>
        <v>101 S 3rd Ave Wauchula, FL 33873</v>
      </c>
      <c r="G65" s="209" t="str">
        <f>IFERROR(__xludf.DUMMYFUNCTION("""COMPUTED_VALUE"""),"Hurricane Ian")</f>
        <v>Hurricane Ian</v>
      </c>
      <c r="H65" s="209" t="str">
        <f>IFERROR(__xludf.DUMMYFUNCTION("""COMPUTED_VALUE"""),"New Claim")</f>
        <v>New Claim</v>
      </c>
      <c r="I65" s="210" t="b">
        <v>1</v>
      </c>
      <c r="J65" s="212" t="b">
        <v>1</v>
      </c>
      <c r="K65" s="213" t="s">
        <v>3190</v>
      </c>
      <c r="L65" s="217" t="b">
        <v>0</v>
      </c>
      <c r="M65" s="215" t="b">
        <v>0</v>
      </c>
      <c r="N65" s="238"/>
      <c r="O65" s="210" t="b">
        <v>1</v>
      </c>
      <c r="P65" s="214" t="b">
        <v>1</v>
      </c>
      <c r="Q65" s="216" t="s">
        <v>3191</v>
      </c>
      <c r="R65" s="217" t="b">
        <v>0</v>
      </c>
      <c r="S65" s="215" t="b">
        <v>0</v>
      </c>
      <c r="T65" s="218"/>
      <c r="U65" s="217" t="b">
        <v>0</v>
      </c>
      <c r="V65" s="215" t="b">
        <v>0</v>
      </c>
      <c r="W65" s="219"/>
      <c r="X65" s="217" t="b">
        <v>0</v>
      </c>
      <c r="Y65" s="215" t="b">
        <v>0</v>
      </c>
      <c r="Z65" s="232"/>
      <c r="AA65" s="217" t="b">
        <v>0</v>
      </c>
      <c r="AB65" s="215" t="b">
        <v>0</v>
      </c>
      <c r="AC65" s="221"/>
      <c r="AD65" s="217" t="b">
        <v>0</v>
      </c>
      <c r="AE65" s="215" t="b">
        <v>0</v>
      </c>
      <c r="AF65" s="222"/>
      <c r="AG65" s="217" t="b">
        <v>0</v>
      </c>
      <c r="AH65" s="215" t="b">
        <v>0</v>
      </c>
      <c r="AI65" s="207"/>
      <c r="AJ65" s="217" t="b">
        <v>0</v>
      </c>
      <c r="AK65" s="215" t="b">
        <v>0</v>
      </c>
      <c r="AL65" s="224"/>
      <c r="AM65" s="217" t="b">
        <v>0</v>
      </c>
      <c r="AN65" s="215" t="b">
        <v>0</v>
      </c>
      <c r="AO65" s="207"/>
      <c r="AP65" s="207"/>
      <c r="AQ65" s="207"/>
      <c r="AR65" s="207"/>
      <c r="AS65" s="207"/>
      <c r="AT65" s="207"/>
      <c r="AU65" s="207"/>
      <c r="AV65" s="207"/>
      <c r="AW65" s="207"/>
      <c r="AX65" s="207"/>
      <c r="AY65" s="207"/>
      <c r="AZ65" s="207"/>
      <c r="BA65" s="207"/>
    </row>
    <row r="66">
      <c r="A66" s="209" t="str">
        <f>IFERROR(__xludf.DUMMYFUNCTION("""COMPUTED_VALUE"""),"SETTLED")</f>
        <v>SETTLED</v>
      </c>
      <c r="B66" s="209" t="str">
        <f>IFERROR(__xludf.DUMMYFUNCTION("""COMPUTED_VALUE"""),"David M.")</f>
        <v>David M.</v>
      </c>
      <c r="C66" s="209" t="str">
        <f>IFERROR(__xludf.DUMMYFUNCTION("""COMPUTED_VALUE"""),"Maria Cervantes ")</f>
        <v>Maria Cervantes </v>
      </c>
      <c r="D66" s="209" t="str">
        <f>IFERROR(__xludf.DUMMYFUNCTION("""COMPUTED_VALUE"""),"863-832-1948")</f>
        <v>863-832-1948</v>
      </c>
      <c r="E66" s="209" t="str">
        <f>IFERROR(__xludf.DUMMYFUNCTION("""COMPUTED_VALUE"""),"mariacervantes51510@gmail.com")</f>
        <v>mariacervantes51510@gmail.com</v>
      </c>
      <c r="F66" s="209" t="str">
        <f>IFERROR(__xludf.DUMMYFUNCTION("""COMPUTED_VALUE"""),"3062 Brantwood Dr Zolfo Springs, FL 33890")</f>
        <v>3062 Brantwood Dr Zolfo Springs, FL 33890</v>
      </c>
      <c r="G66" s="209" t="str">
        <f>IFERROR(__xludf.DUMMYFUNCTION("""COMPUTED_VALUE"""),"Hurricane Ian")</f>
        <v>Hurricane Ian</v>
      </c>
      <c r="H66" s="209" t="str">
        <f>IFERROR(__xludf.DUMMYFUNCTION("""COMPUTED_VALUE"""),"New Claim")</f>
        <v>New Claim</v>
      </c>
      <c r="I66" s="210" t="b">
        <v>1</v>
      </c>
      <c r="J66" s="212" t="b">
        <v>1</v>
      </c>
      <c r="K66" s="213" t="s">
        <v>3192</v>
      </c>
      <c r="L66" s="217" t="b">
        <v>0</v>
      </c>
      <c r="M66" s="215" t="b">
        <v>0</v>
      </c>
      <c r="N66" s="238"/>
      <c r="O66" s="210" t="b">
        <v>1</v>
      </c>
      <c r="P66" s="214" t="b">
        <v>1</v>
      </c>
      <c r="Q66" s="216" t="s">
        <v>3193</v>
      </c>
      <c r="R66" s="217" t="b">
        <v>0</v>
      </c>
      <c r="S66" s="215" t="b">
        <v>0</v>
      </c>
      <c r="T66" s="218"/>
      <c r="U66" s="217" t="b">
        <v>0</v>
      </c>
      <c r="V66" s="215" t="b">
        <v>0</v>
      </c>
      <c r="W66" s="219"/>
      <c r="X66" s="217" t="b">
        <v>0</v>
      </c>
      <c r="Y66" s="215" t="b">
        <v>0</v>
      </c>
      <c r="Z66" s="232"/>
      <c r="AA66" s="217" t="b">
        <v>0</v>
      </c>
      <c r="AB66" s="215" t="b">
        <v>0</v>
      </c>
      <c r="AC66" s="221"/>
      <c r="AD66" s="217" t="b">
        <v>0</v>
      </c>
      <c r="AE66" s="215" t="b">
        <v>0</v>
      </c>
      <c r="AF66" s="222"/>
      <c r="AG66" s="217" t="b">
        <v>0</v>
      </c>
      <c r="AH66" s="215" t="b">
        <v>0</v>
      </c>
      <c r="AI66" s="207"/>
      <c r="AJ66" s="217" t="b">
        <v>0</v>
      </c>
      <c r="AK66" s="215" t="b">
        <v>0</v>
      </c>
      <c r="AL66" s="224"/>
      <c r="AM66" s="217" t="b">
        <v>0</v>
      </c>
      <c r="AN66" s="215" t="b">
        <v>0</v>
      </c>
      <c r="AO66" s="207"/>
      <c r="AP66" s="207"/>
      <c r="AQ66" s="207"/>
      <c r="AR66" s="207"/>
      <c r="AS66" s="207"/>
      <c r="AT66" s="207"/>
      <c r="AU66" s="207"/>
      <c r="AV66" s="207"/>
      <c r="AW66" s="207"/>
      <c r="AX66" s="207"/>
      <c r="AY66" s="207"/>
      <c r="AZ66" s="207"/>
      <c r="BA66" s="207"/>
    </row>
    <row r="67">
      <c r="A67" s="209" t="str">
        <f>IFERROR(__xludf.DUMMYFUNCTION("""COMPUTED_VALUE"""),"SETTLED")</f>
        <v>SETTLED</v>
      </c>
      <c r="B67" s="209" t="str">
        <f>IFERROR(__xludf.DUMMYFUNCTION("""COMPUTED_VALUE"""),"David M.")</f>
        <v>David M.</v>
      </c>
      <c r="C67" s="209" t="str">
        <f>IFERROR(__xludf.DUMMYFUNCTION("""COMPUTED_VALUE"""),"Genaro Martinez")</f>
        <v>Genaro Martinez</v>
      </c>
      <c r="D67" s="209" t="str">
        <f>IFERROR(__xludf.DUMMYFUNCTION("""COMPUTED_VALUE"""),"863-245-8049")</f>
        <v>863-245-8049</v>
      </c>
      <c r="E67" s="209" t="str">
        <f>IFERROR(__xludf.DUMMYFUNCTION("""COMPUTED_VALUE"""),"genaromartinezignacio@gmail.com")</f>
        <v>genaromartinezignacio@gmail.com</v>
      </c>
      <c r="F67" s="209" t="str">
        <f>IFERROR(__xludf.DUMMYFUNCTION("""COMPUTED_VALUE"""),"311 Georgia St Wauchula FL 33873")</f>
        <v>311 Georgia St Wauchula FL 33873</v>
      </c>
      <c r="G67" s="209" t="str">
        <f>IFERROR(__xludf.DUMMYFUNCTION("""COMPUTED_VALUE"""),"Hurricane Ian")</f>
        <v>Hurricane Ian</v>
      </c>
      <c r="H67" s="209" t="str">
        <f>IFERROR(__xludf.DUMMYFUNCTION("""COMPUTED_VALUE"""),"Reopen")</f>
        <v>Reopen</v>
      </c>
      <c r="I67" s="210" t="b">
        <v>0</v>
      </c>
      <c r="J67" s="212" t="b">
        <v>0</v>
      </c>
      <c r="K67" s="238"/>
      <c r="L67" s="217" t="b">
        <v>0</v>
      </c>
      <c r="M67" s="215" t="b">
        <v>0</v>
      </c>
      <c r="N67" s="238"/>
      <c r="O67" s="210" t="b">
        <v>1</v>
      </c>
      <c r="P67" s="214" t="b">
        <v>1</v>
      </c>
      <c r="Q67" s="216" t="s">
        <v>3199</v>
      </c>
      <c r="R67" s="217" t="b">
        <v>0</v>
      </c>
      <c r="S67" s="215" t="b">
        <v>0</v>
      </c>
      <c r="T67" s="218"/>
      <c r="U67" s="217" t="b">
        <v>0</v>
      </c>
      <c r="V67" s="215" t="b">
        <v>0</v>
      </c>
      <c r="W67" s="219"/>
      <c r="X67" s="217" t="b">
        <v>0</v>
      </c>
      <c r="Y67" s="215" t="b">
        <v>0</v>
      </c>
      <c r="Z67" s="232"/>
      <c r="AA67" s="217" t="b">
        <v>0</v>
      </c>
      <c r="AB67" s="215" t="b">
        <v>0</v>
      </c>
      <c r="AC67" s="221"/>
      <c r="AD67" s="217" t="b">
        <v>0</v>
      </c>
      <c r="AE67" s="215" t="b">
        <v>0</v>
      </c>
      <c r="AF67" s="222"/>
      <c r="AG67" s="217" t="b">
        <v>0</v>
      </c>
      <c r="AH67" s="215" t="b">
        <v>0</v>
      </c>
      <c r="AI67" s="207"/>
      <c r="AJ67" s="217" t="b">
        <v>0</v>
      </c>
      <c r="AK67" s="215" t="b">
        <v>0</v>
      </c>
      <c r="AL67" s="224"/>
      <c r="AM67" s="217" t="b">
        <v>0</v>
      </c>
      <c r="AN67" s="215" t="b">
        <v>0</v>
      </c>
      <c r="AO67" s="207"/>
      <c r="AP67" s="207"/>
      <c r="AQ67" s="207"/>
      <c r="AR67" s="207"/>
      <c r="AS67" s="207"/>
      <c r="AT67" s="207"/>
      <c r="AU67" s="207"/>
      <c r="AV67" s="207"/>
      <c r="AW67" s="207"/>
      <c r="AX67" s="207"/>
      <c r="AY67" s="207"/>
      <c r="AZ67" s="207"/>
      <c r="BA67" s="207"/>
    </row>
    <row r="68">
      <c r="A68" s="209" t="str">
        <f>IFERROR(__xludf.DUMMYFUNCTION("""COMPUTED_VALUE"""),"SETTLED")</f>
        <v>SETTLED</v>
      </c>
      <c r="B68" s="209" t="str">
        <f>IFERROR(__xludf.DUMMYFUNCTION("""COMPUTED_VALUE"""),"Joshua")</f>
        <v>Joshua</v>
      </c>
      <c r="C68" s="209" t="str">
        <f>IFERROR(__xludf.DUMMYFUNCTION("""COMPUTED_VALUE"""),"John Vandiver")</f>
        <v>John Vandiver</v>
      </c>
      <c r="D68" s="209" t="str">
        <f>IFERROR(__xludf.DUMMYFUNCTION("""COMPUTED_VALUE"""),"863-832-8820")</f>
        <v>863-832-8820</v>
      </c>
      <c r="E68" s="209" t="str">
        <f>IFERROR(__xludf.DUMMYFUNCTION("""COMPUTED_VALUE"""),"vandivercody653@gmail.com")</f>
        <v>vandivercody653@gmail.com</v>
      </c>
      <c r="F68" s="209" t="str">
        <f>IFERROR(__xludf.DUMMYFUNCTION("""COMPUTED_VALUE"""),"4921 Doyle Parker Ave Bowling Green, FL 33834")</f>
        <v>4921 Doyle Parker Ave Bowling Green, FL 33834</v>
      </c>
      <c r="G68" s="209" t="str">
        <f>IFERROR(__xludf.DUMMYFUNCTION("""COMPUTED_VALUE"""),"Hurricane Ian")</f>
        <v>Hurricane Ian</v>
      </c>
      <c r="H68" s="209" t="str">
        <f>IFERROR(__xludf.DUMMYFUNCTION("""COMPUTED_VALUE"""),"New Claim")</f>
        <v>New Claim</v>
      </c>
      <c r="I68" s="210" t="b">
        <v>1</v>
      </c>
      <c r="J68" s="212" t="b">
        <v>1</v>
      </c>
      <c r="K68" s="213" t="s">
        <v>3203</v>
      </c>
      <c r="L68" s="217" t="b">
        <v>0</v>
      </c>
      <c r="M68" s="215" t="b">
        <v>0</v>
      </c>
      <c r="N68" s="238"/>
      <c r="O68" s="217" t="b">
        <v>0</v>
      </c>
      <c r="P68" s="215" t="b">
        <v>0</v>
      </c>
      <c r="Q68" s="230"/>
      <c r="R68" s="217" t="b">
        <v>0</v>
      </c>
      <c r="S68" s="215" t="b">
        <v>0</v>
      </c>
      <c r="T68" s="218"/>
      <c r="U68" s="217" t="b">
        <v>0</v>
      </c>
      <c r="V68" s="215" t="b">
        <v>0</v>
      </c>
      <c r="W68" s="219"/>
      <c r="X68" s="210" t="b">
        <v>1</v>
      </c>
      <c r="Y68" s="214" t="b">
        <v>1</v>
      </c>
      <c r="Z68" s="220" t="s">
        <v>3206</v>
      </c>
      <c r="AA68" s="217" t="b">
        <v>0</v>
      </c>
      <c r="AB68" s="215" t="b">
        <v>0</v>
      </c>
      <c r="AC68" s="221"/>
      <c r="AD68" s="217" t="b">
        <v>0</v>
      </c>
      <c r="AE68" s="215" t="b">
        <v>0</v>
      </c>
      <c r="AF68" s="222"/>
      <c r="AG68" s="217" t="b">
        <v>0</v>
      </c>
      <c r="AH68" s="215" t="b">
        <v>0</v>
      </c>
      <c r="AI68" s="207"/>
      <c r="AJ68" s="217" t="b">
        <v>0</v>
      </c>
      <c r="AK68" s="215" t="b">
        <v>0</v>
      </c>
      <c r="AL68" s="224"/>
      <c r="AM68" s="217" t="b">
        <v>0</v>
      </c>
      <c r="AN68" s="215" t="b">
        <v>0</v>
      </c>
      <c r="AO68" s="207"/>
      <c r="AP68" s="207"/>
      <c r="AQ68" s="207"/>
      <c r="AR68" s="207"/>
      <c r="AS68" s="207"/>
      <c r="AT68" s="207"/>
      <c r="AU68" s="207"/>
      <c r="AV68" s="207"/>
      <c r="AW68" s="207"/>
      <c r="AX68" s="207"/>
      <c r="AY68" s="207"/>
      <c r="AZ68" s="207"/>
      <c r="BA68" s="207"/>
    </row>
    <row r="69">
      <c r="A69" s="209" t="str">
        <f>IFERROR(__xludf.DUMMYFUNCTION("""COMPUTED_VALUE"""),"CLSD CLAIMS")</f>
        <v>CLSD CLAIMS</v>
      </c>
      <c r="B69" s="209" t="str">
        <f>IFERROR(__xludf.DUMMYFUNCTION("""COMPUTED_VALUE"""),"Ivan")</f>
        <v>Ivan</v>
      </c>
      <c r="C69" s="209" t="str">
        <f>IFERROR(__xludf.DUMMYFUNCTION("""COMPUTED_VALUE"""),"Frito Theodore")</f>
        <v>Frito Theodore</v>
      </c>
      <c r="D69" s="209" t="str">
        <f>IFERROR(__xludf.DUMMYFUNCTION("""COMPUTED_VALUE"""),"754-252-0552 Claire")</f>
        <v>754-252-0552 Claire</v>
      </c>
      <c r="E69" s="209" t="str">
        <f>IFERROR(__xludf.DUMMYFUNCTION("""COMPUTED_VALUE"""),"fritotheodore@yahoo.com")</f>
        <v>fritotheodore@yahoo.com</v>
      </c>
      <c r="F69" s="209" t="str">
        <f>IFERROR(__xludf.DUMMYFUNCTION("""COMPUTED_VALUE"""),"674 SW College Park Rd. Port Lucie FL, 34953")</f>
        <v>674 SW College Park Rd. Port Lucie FL, 34953</v>
      </c>
      <c r="G69" s="209" t="str">
        <f>IFERROR(__xludf.DUMMYFUNCTION("""COMPUTED_VALUE"""),"Hurricane")</f>
        <v>Hurricane</v>
      </c>
      <c r="H69" s="209" t="str">
        <f>IFERROR(__xludf.DUMMYFUNCTION("""COMPUTED_VALUE"""),"New Claim")</f>
        <v>New Claim</v>
      </c>
      <c r="I69" s="210" t="b">
        <v>1</v>
      </c>
      <c r="J69" s="212" t="b">
        <v>1</v>
      </c>
      <c r="K69" s="213" t="s">
        <v>3207</v>
      </c>
      <c r="L69" s="217" t="b">
        <v>0</v>
      </c>
      <c r="M69" s="215" t="b">
        <v>0</v>
      </c>
      <c r="N69" s="238"/>
      <c r="O69" s="217" t="b">
        <v>0</v>
      </c>
      <c r="P69" s="215" t="b">
        <v>0</v>
      </c>
      <c r="Q69" s="230"/>
      <c r="R69" s="217" t="b">
        <v>0</v>
      </c>
      <c r="S69" s="215" t="b">
        <v>0</v>
      </c>
      <c r="T69" s="218"/>
      <c r="U69" s="210" t="b">
        <v>1</v>
      </c>
      <c r="V69" s="214" t="b">
        <v>1</v>
      </c>
      <c r="W69" s="316" t="s">
        <v>3208</v>
      </c>
      <c r="X69" s="217" t="b">
        <v>0</v>
      </c>
      <c r="Y69" s="215" t="b">
        <v>0</v>
      </c>
      <c r="Z69" s="232"/>
      <c r="AA69" s="217" t="b">
        <v>0</v>
      </c>
      <c r="AB69" s="215" t="b">
        <v>0</v>
      </c>
      <c r="AC69" s="221"/>
      <c r="AD69" s="217" t="b">
        <v>0</v>
      </c>
      <c r="AE69" s="215" t="b">
        <v>0</v>
      </c>
      <c r="AF69" s="222"/>
      <c r="AG69" s="217" t="b">
        <v>0</v>
      </c>
      <c r="AH69" s="215" t="b">
        <v>0</v>
      </c>
      <c r="AI69" s="207"/>
      <c r="AJ69" s="217" t="b">
        <v>0</v>
      </c>
      <c r="AK69" s="215" t="b">
        <v>0</v>
      </c>
      <c r="AL69" s="224"/>
      <c r="AM69" s="217" t="b">
        <v>0</v>
      </c>
      <c r="AN69" s="215" t="b">
        <v>0</v>
      </c>
      <c r="AO69" s="207"/>
      <c r="AP69" s="207"/>
      <c r="AQ69" s="207"/>
      <c r="AR69" s="207"/>
      <c r="AS69" s="207"/>
      <c r="AT69" s="207"/>
      <c r="AU69" s="207"/>
      <c r="AV69" s="207"/>
      <c r="AW69" s="207"/>
      <c r="AX69" s="207"/>
      <c r="AY69" s="207"/>
      <c r="AZ69" s="207"/>
      <c r="BA69" s="207"/>
    </row>
    <row r="70">
      <c r="A70" s="209" t="str">
        <f>IFERROR(__xludf.DUMMYFUNCTION("""COMPUTED_VALUE"""),"SETTLED")</f>
        <v>SETTLED</v>
      </c>
      <c r="B70" s="209" t="str">
        <f>IFERROR(__xludf.DUMMYFUNCTION("""COMPUTED_VALUE"""),"Juan")</f>
        <v>Juan</v>
      </c>
      <c r="C70" s="209" t="str">
        <f>IFERROR(__xludf.DUMMYFUNCTION("""COMPUTED_VALUE"""),"Jonathan Martinez")</f>
        <v>Jonathan Martinez</v>
      </c>
      <c r="D70" s="209" t="str">
        <f>IFERROR(__xludf.DUMMYFUNCTION("""COMPUTED_VALUE"""),"863-445-4910")</f>
        <v>863-445-4910</v>
      </c>
      <c r="E70" s="209" t="str">
        <f>IFERROR(__xludf.DUMMYFUNCTION("""COMPUTED_VALUE"""),"jonathanmartinez61011@gmail.com")</f>
        <v>jonathanmartinez61011@gmail.com</v>
      </c>
      <c r="F70" s="209" t="str">
        <f>IFERROR(__xludf.DUMMYFUNCTION("""COMPUTED_VALUE"""),"4431 Dixiana Dr, Bowling Green, FL 33834")</f>
        <v>4431 Dixiana Dr, Bowling Green, FL 33834</v>
      </c>
      <c r="G70" s="209" t="str">
        <f>IFERROR(__xludf.DUMMYFUNCTION("""COMPUTED_VALUE"""),"Hurricane Ian")</f>
        <v>Hurricane Ian</v>
      </c>
      <c r="H70" s="209" t="str">
        <f>IFERROR(__xludf.DUMMYFUNCTION("""COMPUTED_VALUE"""),"New Claim")</f>
        <v>New Claim</v>
      </c>
      <c r="I70" s="210" t="b">
        <v>0</v>
      </c>
      <c r="J70" s="212" t="b">
        <v>0</v>
      </c>
      <c r="K70" s="238"/>
      <c r="L70" s="217" t="b">
        <v>0</v>
      </c>
      <c r="M70" s="215" t="b">
        <v>0</v>
      </c>
      <c r="N70" s="238"/>
      <c r="O70" s="217" t="b">
        <v>0</v>
      </c>
      <c r="P70" s="215" t="b">
        <v>0</v>
      </c>
      <c r="Q70" s="230"/>
      <c r="R70" s="210" t="b">
        <v>1</v>
      </c>
      <c r="S70" s="214" t="b">
        <v>1</v>
      </c>
      <c r="T70" s="388" t="s">
        <v>3209</v>
      </c>
      <c r="U70" s="217" t="b">
        <v>0</v>
      </c>
      <c r="V70" s="215" t="b">
        <v>0</v>
      </c>
      <c r="W70" s="219"/>
      <c r="X70" s="217" t="b">
        <v>0</v>
      </c>
      <c r="Y70" s="215" t="b">
        <v>0</v>
      </c>
      <c r="Z70" s="232"/>
      <c r="AA70" s="217" t="b">
        <v>0</v>
      </c>
      <c r="AB70" s="215" t="b">
        <v>0</v>
      </c>
      <c r="AC70" s="221"/>
      <c r="AD70" s="217" t="b">
        <v>0</v>
      </c>
      <c r="AE70" s="215" t="b">
        <v>0</v>
      </c>
      <c r="AF70" s="222"/>
      <c r="AG70" s="217" t="b">
        <v>0</v>
      </c>
      <c r="AH70" s="215" t="b">
        <v>0</v>
      </c>
      <c r="AI70" s="207"/>
      <c r="AJ70" s="217" t="b">
        <v>0</v>
      </c>
      <c r="AK70" s="215" t="b">
        <v>0</v>
      </c>
      <c r="AL70" s="224"/>
      <c r="AM70" s="217" t="b">
        <v>0</v>
      </c>
      <c r="AN70" s="215" t="b">
        <v>0</v>
      </c>
      <c r="AO70" s="207"/>
      <c r="AP70" s="207"/>
      <c r="AQ70" s="207"/>
      <c r="AR70" s="207"/>
      <c r="AS70" s="207"/>
      <c r="AT70" s="207"/>
      <c r="AU70" s="207"/>
      <c r="AV70" s="207"/>
      <c r="AW70" s="207"/>
      <c r="AX70" s="207"/>
      <c r="AY70" s="207"/>
      <c r="AZ70" s="207"/>
      <c r="BA70" s="207"/>
    </row>
    <row r="71">
      <c r="A71" s="209" t="str">
        <f>IFERROR(__xludf.DUMMYFUNCTION("""COMPUTED_VALUE"""),"SETTLED")</f>
        <v>SETTLED</v>
      </c>
      <c r="B71" s="209" t="str">
        <f>IFERROR(__xludf.DUMMYFUNCTION("""COMPUTED_VALUE"""),"David M.")</f>
        <v>David M.</v>
      </c>
      <c r="C71" s="209" t="str">
        <f>IFERROR(__xludf.DUMMYFUNCTION("""COMPUTED_VALUE"""),"Maria Olmos ")</f>
        <v>Maria Olmos </v>
      </c>
      <c r="D71" s="209" t="str">
        <f>IFERROR(__xludf.DUMMYFUNCTION("""COMPUTED_VALUE"""),"863-832-3833")</f>
        <v>863-832-3833</v>
      </c>
      <c r="E71" s="209" t="str">
        <f>IFERROR(__xludf.DUMMYFUNCTION("""COMPUTED_VALUE"""),"janie_68@hotmail.com")</f>
        <v>janie_68@hotmail.com</v>
      </c>
      <c r="F71" s="209" t="str">
        <f>IFERROR(__xludf.DUMMYFUNCTION("""COMPUTED_VALUE"""),"207 Tangerine St Bowling Green FL 33834")</f>
        <v>207 Tangerine St Bowling Green FL 33834</v>
      </c>
      <c r="G71" s="209" t="str">
        <f>IFERROR(__xludf.DUMMYFUNCTION("""COMPUTED_VALUE"""),"Hurricane Ian")</f>
        <v>Hurricane Ian</v>
      </c>
      <c r="H71" s="209" t="str">
        <f>IFERROR(__xludf.DUMMYFUNCTION("""COMPUTED_VALUE"""),"New Claim")</f>
        <v>New Claim</v>
      </c>
      <c r="I71" s="217" t="b">
        <v>0</v>
      </c>
      <c r="J71" s="229" t="b">
        <v>0</v>
      </c>
      <c r="K71" s="238"/>
      <c r="L71" s="210" t="b">
        <v>1</v>
      </c>
      <c r="M71" s="214" t="b">
        <v>1</v>
      </c>
      <c r="N71" s="213" t="s">
        <v>3211</v>
      </c>
      <c r="O71" s="217" t="b">
        <v>0</v>
      </c>
      <c r="P71" s="215" t="b">
        <v>0</v>
      </c>
      <c r="Q71" s="230"/>
      <c r="R71" s="217" t="b">
        <v>0</v>
      </c>
      <c r="S71" s="215" t="b">
        <v>0</v>
      </c>
      <c r="T71" s="218"/>
      <c r="U71" s="217" t="b">
        <v>0</v>
      </c>
      <c r="V71" s="215" t="b">
        <v>0</v>
      </c>
      <c r="W71" s="316" t="s">
        <v>3213</v>
      </c>
      <c r="X71" s="217" t="b">
        <v>0</v>
      </c>
      <c r="Y71" s="215" t="b">
        <v>0</v>
      </c>
      <c r="Z71" s="232"/>
      <c r="AA71" s="217" t="b">
        <v>0</v>
      </c>
      <c r="AB71" s="215" t="b">
        <v>0</v>
      </c>
      <c r="AC71" s="221"/>
      <c r="AD71" s="217" t="b">
        <v>0</v>
      </c>
      <c r="AE71" s="215" t="b">
        <v>0</v>
      </c>
      <c r="AF71" s="222"/>
      <c r="AG71" s="217" t="b">
        <v>0</v>
      </c>
      <c r="AH71" s="215" t="b">
        <v>0</v>
      </c>
      <c r="AI71" s="207"/>
      <c r="AJ71" s="217" t="b">
        <v>0</v>
      </c>
      <c r="AK71" s="215" t="b">
        <v>0</v>
      </c>
      <c r="AL71" s="224"/>
      <c r="AM71" s="217" t="b">
        <v>0</v>
      </c>
      <c r="AN71" s="215" t="b">
        <v>0</v>
      </c>
      <c r="AO71" s="207"/>
      <c r="AP71" s="207"/>
      <c r="AQ71" s="207"/>
      <c r="AR71" s="207"/>
      <c r="AS71" s="207"/>
      <c r="AT71" s="207"/>
      <c r="AU71" s="207"/>
      <c r="AV71" s="207"/>
      <c r="AW71" s="207"/>
      <c r="AX71" s="207"/>
      <c r="AY71" s="207"/>
      <c r="AZ71" s="207"/>
      <c r="BA71" s="207"/>
    </row>
    <row r="72">
      <c r="A72" s="209" t="str">
        <f>IFERROR(__xludf.DUMMYFUNCTION("""COMPUTED_VALUE"""),"SETTLED")</f>
        <v>SETTLED</v>
      </c>
      <c r="B72" s="209" t="str">
        <f>IFERROR(__xludf.DUMMYFUNCTION("""COMPUTED_VALUE"""),"Peter")</f>
        <v>Peter</v>
      </c>
      <c r="C72" s="209" t="str">
        <f>IFERROR(__xludf.DUMMYFUNCTION("""COMPUTED_VALUE"""),"Yordany Nunez")</f>
        <v>Yordany Nunez</v>
      </c>
      <c r="D72" s="209" t="str">
        <f>IFERROR(__xludf.DUMMYFUNCTION("""COMPUTED_VALUE"""),"305-343-7399")</f>
        <v>305-343-7399</v>
      </c>
      <c r="E72" s="209" t="str">
        <f>IFERROR(__xludf.DUMMYFUNCTION("""COMPUTED_VALUE"""),"yordanynunez80@gmail.com")</f>
        <v>yordanynunez80@gmail.com</v>
      </c>
      <c r="F72" s="209" t="str">
        <f>IFERROR(__xludf.DUMMYFUNCTION("""COMPUTED_VALUE"""),"1230 NE 89 ST Miami, FL 33138 (6790 SW 105th Ave Miami 33173)")</f>
        <v>1230 NE 89 ST Miami, FL 33138 (6790 SW 105th Ave Miami 33173)</v>
      </c>
      <c r="G72" s="209" t="str">
        <f>IFERROR(__xludf.DUMMYFUNCTION("""COMPUTED_VALUE"""),"Hurricane Ian")</f>
        <v>Hurricane Ian</v>
      </c>
      <c r="H72" s="209" t="str">
        <f>IFERROR(__xludf.DUMMYFUNCTION("""COMPUTED_VALUE"""),"New Claim")</f>
        <v>New Claim</v>
      </c>
      <c r="I72" s="217" t="b">
        <v>0</v>
      </c>
      <c r="J72" s="229" t="b">
        <v>0</v>
      </c>
      <c r="K72" s="238"/>
      <c r="L72" s="217" t="b">
        <v>0</v>
      </c>
      <c r="M72" s="215" t="b">
        <v>0</v>
      </c>
      <c r="N72" s="238"/>
      <c r="O72" s="210" t="b">
        <v>1</v>
      </c>
      <c r="P72" s="214" t="b">
        <v>1</v>
      </c>
      <c r="Q72" s="216" t="s">
        <v>3217</v>
      </c>
      <c r="R72" s="217" t="b">
        <v>0</v>
      </c>
      <c r="S72" s="215" t="b">
        <v>0</v>
      </c>
      <c r="T72" s="218"/>
      <c r="U72" s="217" t="b">
        <v>0</v>
      </c>
      <c r="V72" s="215" t="b">
        <v>0</v>
      </c>
      <c r="W72" s="219"/>
      <c r="X72" s="217" t="b">
        <v>0</v>
      </c>
      <c r="Y72" s="215" t="b">
        <v>0</v>
      </c>
      <c r="Z72" s="232"/>
      <c r="AA72" s="217" t="b">
        <v>0</v>
      </c>
      <c r="AB72" s="215" t="b">
        <v>0</v>
      </c>
      <c r="AC72" s="221"/>
      <c r="AD72" s="217" t="b">
        <v>0</v>
      </c>
      <c r="AE72" s="215" t="b">
        <v>0</v>
      </c>
      <c r="AF72" s="222"/>
      <c r="AG72" s="217" t="b">
        <v>0</v>
      </c>
      <c r="AH72" s="215" t="b">
        <v>0</v>
      </c>
      <c r="AI72" s="207"/>
      <c r="AJ72" s="217" t="b">
        <v>0</v>
      </c>
      <c r="AK72" s="215" t="b">
        <v>0</v>
      </c>
      <c r="AL72" s="224"/>
      <c r="AM72" s="217" t="b">
        <v>0</v>
      </c>
      <c r="AN72" s="215" t="b">
        <v>0</v>
      </c>
      <c r="AO72" s="207"/>
      <c r="AP72" s="207"/>
      <c r="AQ72" s="207"/>
      <c r="AR72" s="207"/>
      <c r="AS72" s="207"/>
      <c r="AT72" s="207"/>
      <c r="AU72" s="207"/>
      <c r="AV72" s="207"/>
      <c r="AW72" s="207"/>
      <c r="AX72" s="207"/>
      <c r="AY72" s="207"/>
      <c r="AZ72" s="207"/>
      <c r="BA72" s="207"/>
    </row>
    <row r="73">
      <c r="A73" s="209" t="str">
        <f>IFERROR(__xludf.DUMMYFUNCTION("""COMPUTED_VALUE"""),"CLSD CLAIMS")</f>
        <v>CLSD CLAIMS</v>
      </c>
      <c r="B73" s="209" t="str">
        <f>IFERROR(__xludf.DUMMYFUNCTION("""COMPUTED_VALUE"""),"Peter")</f>
        <v>Peter</v>
      </c>
      <c r="C73" s="209" t="str">
        <f>IFERROR(__xludf.DUMMYFUNCTION("""COMPUTED_VALUE"""),"Michael Kontomanolis")</f>
        <v>Michael Kontomanolis</v>
      </c>
      <c r="D73" s="209" t="str">
        <f>IFERROR(__xludf.DUMMYFUNCTION("""COMPUTED_VALUE"""),"516-547-2732")</f>
        <v>516-547-2732</v>
      </c>
      <c r="E73" s="209" t="str">
        <f>IFERROR(__xludf.DUMMYFUNCTION("""COMPUTED_VALUE"""),"mk20nite@yahoo.com")</f>
        <v>mk20nite@yahoo.com</v>
      </c>
      <c r="F73" s="209" t="str">
        <f>IFERROR(__xludf.DUMMYFUNCTION("""COMPUTED_VALUE"""),"13884 SW 122nd CT Miami, FL 33186")</f>
        <v>13884 SW 122nd CT Miami, FL 33186</v>
      </c>
      <c r="G73" s="209" t="str">
        <f>IFERROR(__xludf.DUMMYFUNCTION("""COMPUTED_VALUE"""),"Hurricane Ian")</f>
        <v>Hurricane Ian</v>
      </c>
      <c r="H73" s="209" t="str">
        <f>IFERROR(__xludf.DUMMYFUNCTION("""COMPUTED_VALUE"""),"New Claim")</f>
        <v>New Claim</v>
      </c>
      <c r="I73" s="210" t="b">
        <v>1</v>
      </c>
      <c r="J73" s="212" t="b">
        <v>1</v>
      </c>
      <c r="K73" s="213" t="s">
        <v>3219</v>
      </c>
      <c r="L73" s="217" t="b">
        <v>0</v>
      </c>
      <c r="M73" s="215" t="b">
        <v>0</v>
      </c>
      <c r="N73" s="238"/>
      <c r="O73" s="217" t="b">
        <v>0</v>
      </c>
      <c r="P73" s="215" t="b">
        <v>0</v>
      </c>
      <c r="Q73" s="230"/>
      <c r="R73" s="210" t="b">
        <v>1</v>
      </c>
      <c r="S73" s="214" t="b">
        <v>1</v>
      </c>
      <c r="T73" s="388" t="s">
        <v>3220</v>
      </c>
      <c r="U73" s="217" t="b">
        <v>0</v>
      </c>
      <c r="V73" s="215" t="b">
        <v>0</v>
      </c>
      <c r="W73" s="219"/>
      <c r="X73" s="217" t="b">
        <v>0</v>
      </c>
      <c r="Y73" s="215" t="b">
        <v>0</v>
      </c>
      <c r="Z73" s="232"/>
      <c r="AA73" s="217" t="b">
        <v>0</v>
      </c>
      <c r="AB73" s="215" t="b">
        <v>0</v>
      </c>
      <c r="AC73" s="221"/>
      <c r="AD73" s="217" t="b">
        <v>0</v>
      </c>
      <c r="AE73" s="215" t="b">
        <v>0</v>
      </c>
      <c r="AF73" s="222"/>
      <c r="AG73" s="217" t="b">
        <v>0</v>
      </c>
      <c r="AH73" s="215" t="b">
        <v>0</v>
      </c>
      <c r="AI73" s="207"/>
      <c r="AJ73" s="217" t="b">
        <v>0</v>
      </c>
      <c r="AK73" s="215" t="b">
        <v>0</v>
      </c>
      <c r="AL73" s="224"/>
      <c r="AM73" s="217" t="b">
        <v>0</v>
      </c>
      <c r="AN73" s="215" t="b">
        <v>0</v>
      </c>
      <c r="AO73" s="207"/>
      <c r="AP73" s="207"/>
      <c r="AQ73" s="207"/>
      <c r="AR73" s="207"/>
      <c r="AS73" s="207"/>
      <c r="AT73" s="207"/>
      <c r="AU73" s="207"/>
      <c r="AV73" s="207"/>
      <c r="AW73" s="207"/>
      <c r="AX73" s="207"/>
      <c r="AY73" s="207"/>
      <c r="AZ73" s="207"/>
      <c r="BA73" s="207"/>
    </row>
    <row r="74">
      <c r="A74" s="209" t="str">
        <f>IFERROR(__xludf.DUMMYFUNCTION("""COMPUTED_VALUE"""),"SETTLED")</f>
        <v>SETTLED</v>
      </c>
      <c r="B74" s="209" t="str">
        <f>IFERROR(__xludf.DUMMYFUNCTION("""COMPUTED_VALUE"""),"Juan")</f>
        <v>Juan</v>
      </c>
      <c r="C74" s="209" t="str">
        <f>IFERROR(__xludf.DUMMYFUNCTION("""COMPUTED_VALUE"""),"Sandra Bass")</f>
        <v>Sandra Bass</v>
      </c>
      <c r="D74" s="209" t="str">
        <f>IFERROR(__xludf.DUMMYFUNCTION("""COMPUTED_VALUE"""),"863-285-8987")</f>
        <v>863-285-8987</v>
      </c>
      <c r="E74" s="209" t="str">
        <f>IFERROR(__xludf.DUMMYFUNCTION("""COMPUTED_VALUE"""),"carlabass31@gmail.com")</f>
        <v>carlabass31@gmail.com</v>
      </c>
      <c r="F74" s="209" t="str">
        <f>IFERROR(__xludf.DUMMYFUNCTION("""COMPUTED_VALUE"""),"613 E Hickory Ln Fort Meade, FL 33841")</f>
        <v>613 E Hickory Ln Fort Meade, FL 33841</v>
      </c>
      <c r="G74" s="209" t="str">
        <f>IFERROR(__xludf.DUMMYFUNCTION("""COMPUTED_VALUE"""),"Hurricane Ian")</f>
        <v>Hurricane Ian</v>
      </c>
      <c r="H74" s="209" t="str">
        <f>IFERROR(__xludf.DUMMYFUNCTION("""COMPUTED_VALUE"""),"New Claim")</f>
        <v>New Claim</v>
      </c>
      <c r="I74" s="210" t="b">
        <v>0</v>
      </c>
      <c r="J74" s="212" t="b">
        <v>0</v>
      </c>
      <c r="K74" s="238"/>
      <c r="L74" s="217" t="b">
        <v>0</v>
      </c>
      <c r="M74" s="215" t="b">
        <v>0</v>
      </c>
      <c r="N74" s="238"/>
      <c r="O74" s="217" t="b">
        <v>0</v>
      </c>
      <c r="P74" s="215" t="b">
        <v>0</v>
      </c>
      <c r="Q74" s="230"/>
      <c r="R74" s="217" t="b">
        <v>0</v>
      </c>
      <c r="S74" s="215" t="b">
        <v>0</v>
      </c>
      <c r="T74" s="218"/>
      <c r="U74" s="217" t="b">
        <v>0</v>
      </c>
      <c r="V74" s="215" t="b">
        <v>0</v>
      </c>
      <c r="W74" s="219"/>
      <c r="X74" s="217" t="b">
        <v>0</v>
      </c>
      <c r="Y74" s="215" t="b">
        <v>0</v>
      </c>
      <c r="Z74" s="232"/>
      <c r="AA74" s="217" t="b">
        <v>0</v>
      </c>
      <c r="AB74" s="215" t="b">
        <v>0</v>
      </c>
      <c r="AC74" s="221"/>
      <c r="AD74" s="217" t="b">
        <v>0</v>
      </c>
      <c r="AE74" s="215" t="b">
        <v>0</v>
      </c>
      <c r="AF74" s="222"/>
      <c r="AG74" s="217" t="b">
        <v>0</v>
      </c>
      <c r="AH74" s="215" t="b">
        <v>0</v>
      </c>
      <c r="AI74" s="207"/>
      <c r="AJ74" s="217" t="b">
        <v>0</v>
      </c>
      <c r="AK74" s="215" t="b">
        <v>0</v>
      </c>
      <c r="AL74" s="224"/>
      <c r="AM74" s="217" t="b">
        <v>0</v>
      </c>
      <c r="AN74" s="215" t="b">
        <v>0</v>
      </c>
      <c r="AO74" s="207"/>
      <c r="AP74" s="207"/>
      <c r="AQ74" s="207"/>
      <c r="AR74" s="207"/>
      <c r="AS74" s="207"/>
      <c r="AT74" s="207"/>
      <c r="AU74" s="207"/>
      <c r="AV74" s="207"/>
      <c r="AW74" s="207"/>
      <c r="AX74" s="207"/>
      <c r="AY74" s="207"/>
      <c r="AZ74" s="207"/>
      <c r="BA74" s="207"/>
    </row>
    <row r="75">
      <c r="A75" s="209" t="str">
        <f>IFERROR(__xludf.DUMMYFUNCTION("""COMPUTED_VALUE"""),"SETTLED")</f>
        <v>SETTLED</v>
      </c>
      <c r="B75" s="209" t="str">
        <f>IFERROR(__xludf.DUMMYFUNCTION("""COMPUTED_VALUE"""),"David M.")</f>
        <v>David M.</v>
      </c>
      <c r="C75" s="209" t="str">
        <f>IFERROR(__xludf.DUMMYFUNCTION("""COMPUTED_VALUE"""),"Arnulfo Armijo")</f>
        <v>Arnulfo Armijo</v>
      </c>
      <c r="D75" s="209" t="str">
        <f>IFERROR(__xludf.DUMMYFUNCTION("""COMPUTED_VALUE"""),"863-999-1623 (Martha Armijo - wife)")</f>
        <v>863-999-1623 (Martha Armijo - wife)</v>
      </c>
      <c r="E75" s="209" t="str">
        <f>IFERROR(__xludf.DUMMYFUNCTION("""COMPUTED_VALUE"""),"arminova89@gmail.com")</f>
        <v>arminova89@gmail.com</v>
      </c>
      <c r="F75" s="209" t="str">
        <f>IFERROR(__xludf.DUMMYFUNCTION("""COMPUTED_VALUE"""),"1130 Sand Mountain Rd Fort Meade, FL 33841")</f>
        <v>1130 Sand Mountain Rd Fort Meade, FL 33841</v>
      </c>
      <c r="G75" s="209" t="str">
        <f>IFERROR(__xludf.DUMMYFUNCTION("""COMPUTED_VALUE"""),"Hurricane Ian")</f>
        <v>Hurricane Ian</v>
      </c>
      <c r="H75" s="209" t="str">
        <f>IFERROR(__xludf.DUMMYFUNCTION("""COMPUTED_VALUE"""),"New Claim")</f>
        <v>New Claim</v>
      </c>
      <c r="I75" s="210" t="b">
        <v>1</v>
      </c>
      <c r="J75" s="212" t="b">
        <v>1</v>
      </c>
      <c r="K75" s="213" t="s">
        <v>3224</v>
      </c>
      <c r="L75" s="217" t="b">
        <v>0</v>
      </c>
      <c r="M75" s="215" t="b">
        <v>0</v>
      </c>
      <c r="N75" s="238"/>
      <c r="O75" s="210" t="b">
        <v>1</v>
      </c>
      <c r="P75" s="214" t="b">
        <v>1</v>
      </c>
      <c r="Q75" s="216" t="s">
        <v>3225</v>
      </c>
      <c r="R75" s="217" t="b">
        <v>0</v>
      </c>
      <c r="S75" s="215" t="b">
        <v>0</v>
      </c>
      <c r="T75" s="218"/>
      <c r="U75" s="210" t="b">
        <v>1</v>
      </c>
      <c r="V75" s="214" t="b">
        <v>1</v>
      </c>
      <c r="W75" s="316" t="s">
        <v>3226</v>
      </c>
      <c r="X75" s="217" t="b">
        <v>0</v>
      </c>
      <c r="Y75" s="215" t="b">
        <v>0</v>
      </c>
      <c r="Z75" s="232"/>
      <c r="AA75" s="210" t="b">
        <v>1</v>
      </c>
      <c r="AB75" s="214" t="b">
        <v>1</v>
      </c>
      <c r="AC75" s="325" t="s">
        <v>3227</v>
      </c>
      <c r="AD75" s="217" t="b">
        <v>0</v>
      </c>
      <c r="AE75" s="215" t="b">
        <v>0</v>
      </c>
      <c r="AF75" s="222"/>
      <c r="AG75" s="217" t="b">
        <v>0</v>
      </c>
      <c r="AH75" s="215" t="b">
        <v>0</v>
      </c>
      <c r="AI75" s="207"/>
      <c r="AJ75" s="217" t="b">
        <v>0</v>
      </c>
      <c r="AK75" s="215" t="b">
        <v>0</v>
      </c>
      <c r="AL75" s="224"/>
      <c r="AM75" s="217" t="b">
        <v>0</v>
      </c>
      <c r="AN75" s="215" t="b">
        <v>0</v>
      </c>
      <c r="AO75" s="207"/>
      <c r="AP75" s="207"/>
      <c r="AQ75" s="207"/>
      <c r="AR75" s="207"/>
      <c r="AS75" s="207"/>
      <c r="AT75" s="207"/>
      <c r="AU75" s="207"/>
      <c r="AV75" s="207"/>
      <c r="AW75" s="207"/>
      <c r="AX75" s="207"/>
      <c r="AY75" s="207"/>
      <c r="AZ75" s="207"/>
      <c r="BA75" s="207"/>
    </row>
    <row r="76">
      <c r="A76" s="209" t="str">
        <f>IFERROR(__xludf.DUMMYFUNCTION("""COMPUTED_VALUE"""),"SETTLED")</f>
        <v>SETTLED</v>
      </c>
      <c r="B76" s="209" t="str">
        <f>IFERROR(__xludf.DUMMYFUNCTION("""COMPUTED_VALUE"""),"Juan")</f>
        <v>Juan</v>
      </c>
      <c r="C76" s="209" t="str">
        <f>IFERROR(__xludf.DUMMYFUNCTION("""COMPUTED_VALUE"""),"Latoya Solomon")</f>
        <v>Latoya Solomon</v>
      </c>
      <c r="D76" s="209" t="str">
        <f>IFERROR(__xludf.DUMMYFUNCTION("""COMPUTED_VALUE"""),"863-205-2553")</f>
        <v>863-205-2553</v>
      </c>
      <c r="E76" s="209" t="str">
        <f>IFERROR(__xludf.DUMMYFUNCTION("""COMPUTED_VALUE"""),"latoyasolomon55@gmail.com")</f>
        <v>latoyasolomon55@gmail.com</v>
      </c>
      <c r="F76" s="209" t="str">
        <f>IFERROR(__xludf.DUMMYFUNCTION("""COMPUTED_VALUE"""),"702 S Oak Ave Fort Meade, FL 33841")</f>
        <v>702 S Oak Ave Fort Meade, FL 33841</v>
      </c>
      <c r="G76" s="209" t="str">
        <f>IFERROR(__xludf.DUMMYFUNCTION("""COMPUTED_VALUE"""),"Hurricane Ian")</f>
        <v>Hurricane Ian</v>
      </c>
      <c r="H76" s="209" t="str">
        <f>IFERROR(__xludf.DUMMYFUNCTION("""COMPUTED_VALUE"""),"New Claim")</f>
        <v>New Claim</v>
      </c>
      <c r="I76" s="210" t="b">
        <v>1</v>
      </c>
      <c r="J76" s="212" t="b">
        <v>1</v>
      </c>
      <c r="K76" s="213" t="s">
        <v>3228</v>
      </c>
      <c r="L76" s="217" t="b">
        <v>0</v>
      </c>
      <c r="M76" s="215" t="b">
        <v>0</v>
      </c>
      <c r="N76" s="238"/>
      <c r="O76" s="210" t="b">
        <v>1</v>
      </c>
      <c r="P76" s="214" t="b">
        <v>1</v>
      </c>
      <c r="Q76" s="216" t="s">
        <v>3229</v>
      </c>
      <c r="R76" s="217" t="b">
        <v>0</v>
      </c>
      <c r="S76" s="215" t="b">
        <v>0</v>
      </c>
      <c r="T76" s="218"/>
      <c r="U76" s="210" t="b">
        <v>1</v>
      </c>
      <c r="V76" s="214" t="b">
        <v>1</v>
      </c>
      <c r="W76" s="316" t="s">
        <v>3230</v>
      </c>
      <c r="X76" s="210" t="b">
        <v>1</v>
      </c>
      <c r="Y76" s="214" t="b">
        <v>1</v>
      </c>
      <c r="Z76" s="220" t="s">
        <v>3231</v>
      </c>
      <c r="AA76" s="217" t="b">
        <v>0</v>
      </c>
      <c r="AB76" s="215" t="b">
        <v>0</v>
      </c>
      <c r="AC76" s="221"/>
      <c r="AD76" s="217" t="b">
        <v>0</v>
      </c>
      <c r="AE76" s="215" t="b">
        <v>0</v>
      </c>
      <c r="AF76" s="222"/>
      <c r="AG76" s="217" t="b">
        <v>0</v>
      </c>
      <c r="AH76" s="215" t="b">
        <v>0</v>
      </c>
      <c r="AI76" s="207"/>
      <c r="AJ76" s="217" t="b">
        <v>0</v>
      </c>
      <c r="AK76" s="215" t="b">
        <v>0</v>
      </c>
      <c r="AL76" s="224"/>
      <c r="AM76" s="217" t="b">
        <v>0</v>
      </c>
      <c r="AN76" s="215" t="b">
        <v>0</v>
      </c>
      <c r="AO76" s="207"/>
      <c r="AP76" s="207"/>
      <c r="AQ76" s="207"/>
      <c r="AR76" s="207"/>
      <c r="AS76" s="207"/>
      <c r="AT76" s="207"/>
      <c r="AU76" s="207"/>
      <c r="AV76" s="207"/>
      <c r="AW76" s="207"/>
      <c r="AX76" s="207"/>
      <c r="AY76" s="207"/>
      <c r="AZ76" s="207"/>
      <c r="BA76" s="207"/>
    </row>
    <row r="77">
      <c r="A77" s="166" t="str">
        <f>IFERROR(__xludf.DUMMYFUNCTION("""COMPUTED_VALUE"""),"FEES PENDING")</f>
        <v>FEES PENDING</v>
      </c>
      <c r="B77" s="166" t="str">
        <f>IFERROR(__xludf.DUMMYFUNCTION("""COMPUTED_VALUE"""),"Jakey")</f>
        <v>Jakey</v>
      </c>
      <c r="C77" s="166" t="str">
        <f>IFERROR(__xludf.DUMMYFUNCTION("""COMPUTED_VALUE"""),"Keith Mosley")</f>
        <v>Keith Mosley</v>
      </c>
      <c r="D77" s="166" t="str">
        <f>IFERROR(__xludf.DUMMYFUNCTION("""COMPUTED_VALUE"""),"863-661-2799")</f>
        <v>863-661-2799</v>
      </c>
      <c r="E77" s="166" t="str">
        <f>IFERROR(__xludf.DUMMYFUNCTION("""COMPUTED_VALUE"""),"monel212@aol.com")</f>
        <v>monel212@aol.com</v>
      </c>
      <c r="F77" s="166" t="str">
        <f>IFERROR(__xludf.DUMMYFUNCTION("""COMPUTED_VALUE"""),"217 7th St SE Fort Meade, FL 33841")</f>
        <v>217 7th St SE Fort Meade, FL 33841</v>
      </c>
      <c r="G77" s="166" t="str">
        <f>IFERROR(__xludf.DUMMYFUNCTION("""COMPUTED_VALUE"""),"Hurricane Ian")</f>
        <v>Hurricane Ian</v>
      </c>
      <c r="H77" s="166" t="str">
        <f>IFERROR(__xludf.DUMMYFUNCTION("""COMPUTED_VALUE"""),"New Claim")</f>
        <v>New Claim</v>
      </c>
      <c r="I77" s="190" t="b">
        <v>1</v>
      </c>
      <c r="J77" s="176" t="b">
        <v>1</v>
      </c>
      <c r="K77" s="268" t="s">
        <v>3232</v>
      </c>
      <c r="L77" s="173" t="b">
        <v>0</v>
      </c>
      <c r="M77" s="226" t="b">
        <v>0</v>
      </c>
      <c r="N77" s="178"/>
      <c r="O77" s="173" t="b">
        <v>0</v>
      </c>
      <c r="P77" s="226" t="b">
        <v>0</v>
      </c>
      <c r="Q77" s="227"/>
      <c r="R77" s="173" t="b">
        <v>0</v>
      </c>
      <c r="S77" s="226" t="b">
        <v>0</v>
      </c>
      <c r="T77" s="228"/>
      <c r="U77" s="190" t="b">
        <v>1</v>
      </c>
      <c r="V77" s="192" t="b">
        <v>1</v>
      </c>
      <c r="W77" s="403" t="s">
        <v>3233</v>
      </c>
      <c r="X77" s="173" t="b">
        <v>0</v>
      </c>
      <c r="Y77" s="226" t="b">
        <v>0</v>
      </c>
      <c r="Z77" s="197"/>
      <c r="AA77" s="190" t="b">
        <v>1</v>
      </c>
      <c r="AB77" s="192" t="b">
        <v>1</v>
      </c>
      <c r="AC77" s="404" t="s">
        <v>3238</v>
      </c>
      <c r="AD77" s="173" t="b">
        <v>0</v>
      </c>
      <c r="AE77" s="226" t="b">
        <v>0</v>
      </c>
      <c r="AF77" s="202"/>
      <c r="AG77" s="173" t="b">
        <v>0</v>
      </c>
      <c r="AH77" s="226" t="b">
        <v>0</v>
      </c>
      <c r="AI77" s="165"/>
      <c r="AJ77" s="173" t="b">
        <v>0</v>
      </c>
      <c r="AK77" s="226" t="b">
        <v>0</v>
      </c>
      <c r="AL77" s="204"/>
      <c r="AM77" s="173" t="b">
        <v>0</v>
      </c>
      <c r="AN77" s="226" t="b">
        <v>0</v>
      </c>
      <c r="AO77" s="165"/>
      <c r="AP77" s="165"/>
      <c r="AQ77" s="165"/>
      <c r="AR77" s="165"/>
      <c r="AS77" s="165"/>
      <c r="AT77" s="165"/>
      <c r="AU77" s="165"/>
      <c r="AV77" s="165"/>
      <c r="AW77" s="165"/>
      <c r="AX77" s="165"/>
      <c r="AY77" s="165"/>
      <c r="AZ77" s="165"/>
      <c r="BA77" s="165"/>
    </row>
    <row r="78">
      <c r="A78" s="267" t="str">
        <f>IFERROR(__xludf.DUMMYFUNCTION("""COMPUTED_VALUE"""),"FEES PENDING")</f>
        <v>FEES PENDING</v>
      </c>
      <c r="B78" s="267" t="str">
        <f>IFERROR(__xludf.DUMMYFUNCTION("""COMPUTED_VALUE"""),"Peter")</f>
        <v>Peter</v>
      </c>
      <c r="C78" s="267" t="str">
        <f>IFERROR(__xludf.DUMMYFUNCTION("""COMPUTED_VALUE"""),"Juan Correa")</f>
        <v>Juan Correa</v>
      </c>
      <c r="D78" s="267" t="str">
        <f>IFERROR(__xludf.DUMMYFUNCTION("""COMPUTED_VALUE"""),"786-369-9724 (wife Stephanie)")</f>
        <v>786-369-9724 (wife Stephanie)</v>
      </c>
      <c r="E78" s="267" t="str">
        <f>IFERROR(__xludf.DUMMYFUNCTION("""COMPUTED_VALUE"""),"mstephaniecorrea4@gmail.com")</f>
        <v>mstephaniecorrea4@gmail.com</v>
      </c>
      <c r="F78" s="267" t="str">
        <f>IFERROR(__xludf.DUMMYFUNCTION("""COMPUTED_VALUE"""),"2450 SW 85th Ave. Miramar, FL 33025 ")</f>
        <v>2450 SW 85th Ave. Miramar, FL 33025 </v>
      </c>
      <c r="G78" s="267" t="str">
        <f>IFERROR(__xludf.DUMMYFUNCTION("""COMPUTED_VALUE"""),"Hurricane Ian")</f>
        <v>Hurricane Ian</v>
      </c>
      <c r="H78" s="267" t="str">
        <f>IFERROR(__xludf.DUMMYFUNCTION("""COMPUTED_VALUE"""),"New Claim")</f>
        <v>New Claim</v>
      </c>
      <c r="I78" s="406" t="b">
        <v>1</v>
      </c>
      <c r="J78" s="407" t="b">
        <v>1</v>
      </c>
      <c r="K78" s="409" t="s">
        <v>3242</v>
      </c>
      <c r="L78" s="410" t="b">
        <v>0</v>
      </c>
      <c r="M78" s="412" t="b">
        <v>0</v>
      </c>
      <c r="N78" s="414"/>
      <c r="O78" s="410" t="b">
        <v>0</v>
      </c>
      <c r="P78" s="412" t="b">
        <v>0</v>
      </c>
      <c r="Q78" s="416"/>
      <c r="R78" s="410" t="b">
        <v>0</v>
      </c>
      <c r="S78" s="412" t="b">
        <v>0</v>
      </c>
      <c r="T78" s="417"/>
      <c r="U78" s="410" t="b">
        <v>0</v>
      </c>
      <c r="V78" s="412" t="b">
        <v>0</v>
      </c>
      <c r="W78" s="418"/>
      <c r="X78" s="410" t="b">
        <v>0</v>
      </c>
      <c r="Y78" s="412" t="b">
        <v>0</v>
      </c>
      <c r="Z78" s="419"/>
      <c r="AA78" s="410" t="b">
        <v>0</v>
      </c>
      <c r="AB78" s="412" t="b">
        <v>0</v>
      </c>
      <c r="AC78" s="420"/>
      <c r="AD78" s="410" t="b">
        <v>0</v>
      </c>
      <c r="AE78" s="412" t="b">
        <v>0</v>
      </c>
      <c r="AF78" s="421"/>
      <c r="AG78" s="410" t="b">
        <v>0</v>
      </c>
      <c r="AH78" s="412" t="b">
        <v>0</v>
      </c>
      <c r="AI78" s="423"/>
      <c r="AJ78" s="410" t="b">
        <v>0</v>
      </c>
      <c r="AK78" s="412" t="b">
        <v>0</v>
      </c>
      <c r="AL78" s="424"/>
      <c r="AM78" s="410" t="b">
        <v>0</v>
      </c>
      <c r="AN78" s="412" t="b">
        <v>0</v>
      </c>
      <c r="AO78" s="423"/>
      <c r="AP78" s="423"/>
      <c r="AQ78" s="423"/>
      <c r="AR78" s="423"/>
      <c r="AS78" s="423"/>
      <c r="AT78" s="423"/>
      <c r="AU78" s="423"/>
      <c r="AV78" s="423"/>
      <c r="AW78" s="423"/>
      <c r="AX78" s="423"/>
      <c r="AY78" s="423"/>
      <c r="AZ78" s="423"/>
      <c r="BA78" s="423"/>
    </row>
    <row r="79">
      <c r="A79" s="209" t="str">
        <f>IFERROR(__xludf.DUMMYFUNCTION("""COMPUTED_VALUE"""),"SETTLED")</f>
        <v>SETTLED</v>
      </c>
      <c r="B79" s="209" t="str">
        <f>IFERROR(__xludf.DUMMYFUNCTION("""COMPUTED_VALUE"""),"Ivan")</f>
        <v>Ivan</v>
      </c>
      <c r="C79" s="209" t="str">
        <f>IFERROR(__xludf.DUMMYFUNCTION("""COMPUTED_VALUE"""),"Raul Perez &amp; Mileidy Hernandez")</f>
        <v>Raul Perez &amp; Mileidy Hernandez</v>
      </c>
      <c r="D79" s="209" t="str">
        <f>IFERROR(__xludf.DUMMYFUNCTION("""COMPUTED_VALUE"""),"305-224-2164")</f>
        <v>305-224-2164</v>
      </c>
      <c r="E79" s="209" t="str">
        <f>IFERROR(__xludf.DUMMYFUNCTION("""COMPUTED_VALUE"""),"raul.suchel@gmail.com")</f>
        <v>raul.suchel@gmail.com</v>
      </c>
      <c r="F79" s="209" t="str">
        <f>IFERROR(__xludf.DUMMYFUNCTION("""COMPUTED_VALUE"""),"505 NW 108th Ter. Pembroke Pines, FL 33026")</f>
        <v>505 NW 108th Ter. Pembroke Pines, FL 33026</v>
      </c>
      <c r="G79" s="209" t="str">
        <f>IFERROR(__xludf.DUMMYFUNCTION("""COMPUTED_VALUE"""),"Hurricane Ian")</f>
        <v>Hurricane Ian</v>
      </c>
      <c r="H79" s="209" t="str">
        <f>IFERROR(__xludf.DUMMYFUNCTION("""COMPUTED_VALUE"""),"New Claim")</f>
        <v>New Claim</v>
      </c>
      <c r="I79" s="210" t="b">
        <v>1</v>
      </c>
      <c r="J79" s="212" t="b">
        <v>1</v>
      </c>
      <c r="K79" s="213" t="s">
        <v>3244</v>
      </c>
      <c r="L79" s="217" t="b">
        <v>0</v>
      </c>
      <c r="M79" s="215" t="b">
        <v>0</v>
      </c>
      <c r="N79" s="238"/>
      <c r="O79" s="217" t="b">
        <v>0</v>
      </c>
      <c r="P79" s="215" t="b">
        <v>0</v>
      </c>
      <c r="Q79" s="230"/>
      <c r="R79" s="217" t="b">
        <v>0</v>
      </c>
      <c r="S79" s="215" t="b">
        <v>0</v>
      </c>
      <c r="T79" s="218"/>
      <c r="U79" s="217" t="b">
        <v>0</v>
      </c>
      <c r="V79" s="215" t="b">
        <v>0</v>
      </c>
      <c r="W79" s="219"/>
      <c r="X79" s="217" t="b">
        <v>0</v>
      </c>
      <c r="Y79" s="215" t="b">
        <v>0</v>
      </c>
      <c r="Z79" s="232"/>
      <c r="AA79" s="217" t="b">
        <v>0</v>
      </c>
      <c r="AB79" s="215" t="b">
        <v>0</v>
      </c>
      <c r="AC79" s="221"/>
      <c r="AD79" s="217" t="b">
        <v>0</v>
      </c>
      <c r="AE79" s="215" t="b">
        <v>0</v>
      </c>
      <c r="AF79" s="222"/>
      <c r="AG79" s="217" t="b">
        <v>0</v>
      </c>
      <c r="AH79" s="215" t="b">
        <v>0</v>
      </c>
      <c r="AI79" s="207"/>
      <c r="AJ79" s="217" t="b">
        <v>0</v>
      </c>
      <c r="AK79" s="215" t="b">
        <v>0</v>
      </c>
      <c r="AL79" s="224"/>
      <c r="AM79" s="217" t="b">
        <v>0</v>
      </c>
      <c r="AN79" s="215" t="b">
        <v>0</v>
      </c>
      <c r="AO79" s="207"/>
      <c r="AP79" s="207"/>
      <c r="AQ79" s="207"/>
      <c r="AR79" s="207"/>
      <c r="AS79" s="207"/>
      <c r="AT79" s="207"/>
      <c r="AU79" s="207"/>
      <c r="AV79" s="207"/>
      <c r="AW79" s="207"/>
      <c r="AX79" s="207"/>
      <c r="AY79" s="207"/>
      <c r="AZ79" s="207"/>
      <c r="BA79" s="207"/>
    </row>
    <row r="80">
      <c r="A80" s="209" t="str">
        <f>IFERROR(__xludf.DUMMYFUNCTION("""COMPUTED_VALUE"""),"SETTLED")</f>
        <v>SETTLED</v>
      </c>
      <c r="B80" s="209" t="str">
        <f>IFERROR(__xludf.DUMMYFUNCTION("""COMPUTED_VALUE"""),"Jakey")</f>
        <v>Jakey</v>
      </c>
      <c r="C80" s="209" t="str">
        <f>IFERROR(__xludf.DUMMYFUNCTION("""COMPUTED_VALUE"""),"David Santiago")</f>
        <v>David Santiago</v>
      </c>
      <c r="D80" s="209" t="str">
        <f>IFERROR(__xludf.DUMMYFUNCTION("""COMPUTED_VALUE"""),"863-328-0116")</f>
        <v>863-328-0116</v>
      </c>
      <c r="E80" s="209" t="str">
        <f>IFERROR(__xludf.DUMMYFUNCTION("""COMPUTED_VALUE"""),"santiagodavid085@gmail.com")</f>
        <v>santiagodavid085@gmail.com</v>
      </c>
      <c r="F80" s="209" t="str">
        <f>IFERROR(__xludf.DUMMYFUNCTION("""COMPUTED_VALUE"""),"225 Keeton Rd Wauchula, FL 33873")</f>
        <v>225 Keeton Rd Wauchula, FL 33873</v>
      </c>
      <c r="G80" s="209" t="str">
        <f>IFERROR(__xludf.DUMMYFUNCTION("""COMPUTED_VALUE"""),"Hurricane Ian")</f>
        <v>Hurricane Ian</v>
      </c>
      <c r="H80" s="209" t="str">
        <f>IFERROR(__xludf.DUMMYFUNCTION("""COMPUTED_VALUE"""),"New Claim")</f>
        <v>New Claim</v>
      </c>
      <c r="I80" s="210" t="b">
        <v>1</v>
      </c>
      <c r="J80" s="212" t="b">
        <v>1</v>
      </c>
      <c r="K80" s="213" t="s">
        <v>3245</v>
      </c>
      <c r="L80" s="217" t="b">
        <v>0</v>
      </c>
      <c r="M80" s="215" t="b">
        <v>0</v>
      </c>
      <c r="N80" s="238"/>
      <c r="O80" s="210" t="b">
        <v>1</v>
      </c>
      <c r="P80" s="214" t="b">
        <v>1</v>
      </c>
      <c r="Q80" s="216" t="s">
        <v>3246</v>
      </c>
      <c r="R80" s="217" t="b">
        <v>0</v>
      </c>
      <c r="S80" s="215" t="b">
        <v>0</v>
      </c>
      <c r="T80" s="218"/>
      <c r="U80" s="210" t="b">
        <v>1</v>
      </c>
      <c r="V80" s="214" t="b">
        <v>1</v>
      </c>
      <c r="W80" s="316" t="s">
        <v>3247</v>
      </c>
      <c r="X80" s="210" t="b">
        <v>1</v>
      </c>
      <c r="Y80" s="214" t="b">
        <v>1</v>
      </c>
      <c r="Z80" s="220" t="s">
        <v>3248</v>
      </c>
      <c r="AA80" s="217" t="b">
        <v>0</v>
      </c>
      <c r="AB80" s="215" t="b">
        <v>0</v>
      </c>
      <c r="AC80" s="221"/>
      <c r="AD80" s="217" t="b">
        <v>0</v>
      </c>
      <c r="AE80" s="215" t="b">
        <v>0</v>
      </c>
      <c r="AF80" s="222"/>
      <c r="AG80" s="217" t="b">
        <v>0</v>
      </c>
      <c r="AH80" s="215" t="b">
        <v>0</v>
      </c>
      <c r="AI80" s="207"/>
      <c r="AJ80" s="217" t="b">
        <v>0</v>
      </c>
      <c r="AK80" s="215" t="b">
        <v>0</v>
      </c>
      <c r="AL80" s="224"/>
      <c r="AM80" s="217" t="b">
        <v>0</v>
      </c>
      <c r="AN80" s="215" t="b">
        <v>0</v>
      </c>
      <c r="AO80" s="207"/>
      <c r="AP80" s="207"/>
      <c r="AQ80" s="207"/>
      <c r="AR80" s="207"/>
      <c r="AS80" s="207"/>
      <c r="AT80" s="207"/>
      <c r="AU80" s="207"/>
      <c r="AV80" s="207"/>
      <c r="AW80" s="207"/>
      <c r="AX80" s="207"/>
      <c r="AY80" s="207"/>
      <c r="AZ80" s="207"/>
      <c r="BA80" s="207"/>
    </row>
    <row r="81">
      <c r="A81" s="209" t="str">
        <f>IFERROR(__xludf.DUMMYFUNCTION("""COMPUTED_VALUE"""),"SETTLED")</f>
        <v>SETTLED</v>
      </c>
      <c r="B81" s="209" t="str">
        <f>IFERROR(__xludf.DUMMYFUNCTION("""COMPUTED_VALUE"""),"Juan")</f>
        <v>Juan</v>
      </c>
      <c r="C81" s="209" t="str">
        <f>IFERROR(__xludf.DUMMYFUNCTION("""COMPUTED_VALUE"""),"Luis Bruno Gomez")</f>
        <v>Luis Bruno Gomez</v>
      </c>
      <c r="D81" s="209" t="str">
        <f>IFERROR(__xludf.DUMMYFUNCTION("""COMPUTED_VALUE"""),"863-535-7826")</f>
        <v>863-535-7826</v>
      </c>
      <c r="E81" s="209" t="str">
        <f>IFERROR(__xludf.DUMMYFUNCTION("""COMPUTED_VALUE"""),"luisbruno1989@yahoo.com")</f>
        <v>luisbruno1989@yahoo.com</v>
      </c>
      <c r="F81" s="209" t="str">
        <f>IFERROR(__xludf.DUMMYFUNCTION("""COMPUTED_VALUE"""),"717 Sally Wauchula FL 33873")</f>
        <v>717 Sally Wauchula FL 33873</v>
      </c>
      <c r="G81" s="209" t="str">
        <f>IFERROR(__xludf.DUMMYFUNCTION("""COMPUTED_VALUE"""),"Hurricane Ian")</f>
        <v>Hurricane Ian</v>
      </c>
      <c r="H81" s="209" t="str">
        <f>IFERROR(__xludf.DUMMYFUNCTION("""COMPUTED_VALUE"""),"New Claim")</f>
        <v>New Claim</v>
      </c>
      <c r="I81" s="210" t="b">
        <v>0</v>
      </c>
      <c r="J81" s="212" t="b">
        <v>0</v>
      </c>
      <c r="K81" s="238"/>
      <c r="L81" s="217" t="b">
        <v>0</v>
      </c>
      <c r="M81" s="215" t="b">
        <v>0</v>
      </c>
      <c r="N81" s="238"/>
      <c r="O81" s="217" t="b">
        <v>0</v>
      </c>
      <c r="P81" s="215" t="b">
        <v>0</v>
      </c>
      <c r="Q81" s="230"/>
      <c r="R81" s="217" t="b">
        <v>0</v>
      </c>
      <c r="S81" s="215" t="b">
        <v>0</v>
      </c>
      <c r="T81" s="218"/>
      <c r="U81" s="217" t="b">
        <v>0</v>
      </c>
      <c r="V81" s="215" t="b">
        <v>0</v>
      </c>
      <c r="W81" s="219"/>
      <c r="X81" s="217" t="b">
        <v>0</v>
      </c>
      <c r="Y81" s="215" t="b">
        <v>0</v>
      </c>
      <c r="Z81" s="232"/>
      <c r="AA81" s="217" t="b">
        <v>0</v>
      </c>
      <c r="AB81" s="215" t="b">
        <v>0</v>
      </c>
      <c r="AC81" s="221"/>
      <c r="AD81" s="217" t="b">
        <v>0</v>
      </c>
      <c r="AE81" s="215" t="b">
        <v>0</v>
      </c>
      <c r="AF81" s="222"/>
      <c r="AG81" s="217" t="b">
        <v>0</v>
      </c>
      <c r="AH81" s="215" t="b">
        <v>0</v>
      </c>
      <c r="AI81" s="207"/>
      <c r="AJ81" s="217" t="b">
        <v>0</v>
      </c>
      <c r="AK81" s="215" t="b">
        <v>0</v>
      </c>
      <c r="AL81" s="224"/>
      <c r="AM81" s="217" t="b">
        <v>0</v>
      </c>
      <c r="AN81" s="215" t="b">
        <v>0</v>
      </c>
      <c r="AO81" s="207"/>
      <c r="AP81" s="207"/>
      <c r="AQ81" s="207"/>
      <c r="AR81" s="207"/>
      <c r="AS81" s="207"/>
      <c r="AT81" s="207"/>
      <c r="AU81" s="207"/>
      <c r="AV81" s="207"/>
      <c r="AW81" s="207"/>
      <c r="AX81" s="207"/>
      <c r="AY81" s="207"/>
      <c r="AZ81" s="207"/>
      <c r="BA81" s="207"/>
    </row>
    <row r="82">
      <c r="A82" s="209" t="str">
        <f>IFERROR(__xludf.DUMMYFUNCTION("""COMPUTED_VALUE"""),"SETTLED")</f>
        <v>SETTLED</v>
      </c>
      <c r="B82" s="209" t="str">
        <f>IFERROR(__xludf.DUMMYFUNCTION("""COMPUTED_VALUE"""),"Jakey")</f>
        <v>Jakey</v>
      </c>
      <c r="C82" s="209" t="str">
        <f>IFERROR(__xludf.DUMMYFUNCTION("""COMPUTED_VALUE"""),"Castadero &amp; Sara Hudnell")</f>
        <v>Castadero &amp; Sara Hudnell</v>
      </c>
      <c r="D82" s="209" t="str">
        <f>IFERROR(__xludf.DUMMYFUNCTION("""COMPUTED_VALUE"""),"863-559-0110")</f>
        <v>863-559-0110</v>
      </c>
      <c r="E82" s="209" t="str">
        <f>IFERROR(__xludf.DUMMYFUNCTION("""COMPUTED_VALUE"""),"hudnell1@aol.com")</f>
        <v>hudnell1@aol.com</v>
      </c>
      <c r="F82" s="209" t="str">
        <f>IFERROR(__xludf.DUMMYFUNCTION("""COMPUTED_VALUE"""),"869 North kunkle Ave Fort Meade, FL 33841")</f>
        <v>869 North kunkle Ave Fort Meade, FL 33841</v>
      </c>
      <c r="G82" s="209" t="str">
        <f>IFERROR(__xludf.DUMMYFUNCTION("""COMPUTED_VALUE"""),"Hurricane Ian")</f>
        <v>Hurricane Ian</v>
      </c>
      <c r="H82" s="209" t="str">
        <f>IFERROR(__xludf.DUMMYFUNCTION("""COMPUTED_VALUE"""),"New Claim")</f>
        <v>New Claim</v>
      </c>
      <c r="I82" s="217" t="b">
        <v>0</v>
      </c>
      <c r="J82" s="229" t="b">
        <v>0</v>
      </c>
      <c r="K82" s="238"/>
      <c r="L82" s="217" t="b">
        <v>0</v>
      </c>
      <c r="M82" s="215" t="b">
        <v>0</v>
      </c>
      <c r="N82" s="238"/>
      <c r="O82" s="210" t="b">
        <v>1</v>
      </c>
      <c r="P82" s="214" t="b">
        <v>1</v>
      </c>
      <c r="Q82" s="216" t="s">
        <v>3250</v>
      </c>
      <c r="R82" s="217" t="b">
        <v>0</v>
      </c>
      <c r="S82" s="215" t="b">
        <v>0</v>
      </c>
      <c r="T82" s="218"/>
      <c r="U82" s="217" t="b">
        <v>0</v>
      </c>
      <c r="V82" s="215" t="b">
        <v>0</v>
      </c>
      <c r="W82" s="219"/>
      <c r="X82" s="217" t="b">
        <v>0</v>
      </c>
      <c r="Y82" s="215" t="b">
        <v>0</v>
      </c>
      <c r="Z82" s="232"/>
      <c r="AA82" s="217" t="b">
        <v>0</v>
      </c>
      <c r="AB82" s="215" t="b">
        <v>0</v>
      </c>
      <c r="AC82" s="221"/>
      <c r="AD82" s="217" t="b">
        <v>0</v>
      </c>
      <c r="AE82" s="215" t="b">
        <v>0</v>
      </c>
      <c r="AF82" s="222"/>
      <c r="AG82" s="217" t="b">
        <v>0</v>
      </c>
      <c r="AH82" s="215" t="b">
        <v>0</v>
      </c>
      <c r="AI82" s="207"/>
      <c r="AJ82" s="217" t="b">
        <v>0</v>
      </c>
      <c r="AK82" s="215" t="b">
        <v>0</v>
      </c>
      <c r="AL82" s="224"/>
      <c r="AM82" s="217" t="b">
        <v>0</v>
      </c>
      <c r="AN82" s="215" t="b">
        <v>0</v>
      </c>
      <c r="AO82" s="207"/>
      <c r="AP82" s="207"/>
      <c r="AQ82" s="207"/>
      <c r="AR82" s="207"/>
      <c r="AS82" s="207"/>
      <c r="AT82" s="207"/>
      <c r="AU82" s="207"/>
      <c r="AV82" s="207"/>
      <c r="AW82" s="207"/>
      <c r="AX82" s="207"/>
      <c r="AY82" s="207"/>
      <c r="AZ82" s="207"/>
      <c r="BA82" s="207"/>
    </row>
    <row r="83">
      <c r="A83" s="166" t="str">
        <f>IFERROR(__xludf.DUMMYFUNCTION("""COMPUTED_VALUE"""),"CLSD CLAIMS")</f>
        <v>CLSD CLAIMS</v>
      </c>
      <c r="B83" s="166" t="str">
        <f>IFERROR(__xludf.DUMMYFUNCTION("""COMPUTED_VALUE"""),"Juan")</f>
        <v>Juan</v>
      </c>
      <c r="C83" s="166" t="str">
        <f>IFERROR(__xludf.DUMMYFUNCTION("""COMPUTED_VALUE"""),"Teresa &amp; Eliseo Salas")</f>
        <v>Teresa &amp; Eliseo Salas</v>
      </c>
      <c r="D83" s="166" t="str">
        <f>IFERROR(__xludf.DUMMYFUNCTION("""COMPUTED_VALUE"""),"863-448-2170")</f>
        <v>863-448-2170</v>
      </c>
      <c r="E83" s="166" t="str">
        <f>IFERROR(__xludf.DUMMYFUNCTION("""COMPUTED_VALUE"""),"salas.eliseo@yahoo.com")</f>
        <v>salas.eliseo@yahoo.com</v>
      </c>
      <c r="F83" s="166" t="str">
        <f>IFERROR(__xludf.DUMMYFUNCTION("""COMPUTED_VALUE"""),"665 Hanchey Rd Wauchula, FL 33873")</f>
        <v>665 Hanchey Rd Wauchula, FL 33873</v>
      </c>
      <c r="G83" s="166" t="str">
        <f>IFERROR(__xludf.DUMMYFUNCTION("""COMPUTED_VALUE"""),"Hurricane Ian")</f>
        <v>Hurricane Ian</v>
      </c>
      <c r="H83" s="166" t="str">
        <f>IFERROR(__xludf.DUMMYFUNCTION("""COMPUTED_VALUE"""),"Reopen")</f>
        <v>Reopen</v>
      </c>
      <c r="I83" s="190" t="b">
        <v>1</v>
      </c>
      <c r="J83" s="176" t="b">
        <v>1</v>
      </c>
      <c r="K83" s="268" t="s">
        <v>3251</v>
      </c>
      <c r="L83" s="173" t="b">
        <v>0</v>
      </c>
      <c r="M83" s="226" t="b">
        <v>0</v>
      </c>
      <c r="N83" s="178"/>
      <c r="O83" s="173" t="b">
        <v>0</v>
      </c>
      <c r="P83" s="226" t="b">
        <v>0</v>
      </c>
      <c r="Q83" s="227"/>
      <c r="R83" s="173" t="b">
        <v>0</v>
      </c>
      <c r="S83" s="226" t="b">
        <v>0</v>
      </c>
      <c r="T83" s="194" t="s">
        <v>3252</v>
      </c>
      <c r="U83" s="173" t="b">
        <v>0</v>
      </c>
      <c r="V83" s="226" t="b">
        <v>0</v>
      </c>
      <c r="W83" s="195"/>
      <c r="X83" s="173" t="b">
        <v>0</v>
      </c>
      <c r="Y83" s="226" t="b">
        <v>0</v>
      </c>
      <c r="Z83" s="197"/>
      <c r="AA83" s="173" t="b">
        <v>0</v>
      </c>
      <c r="AB83" s="226" t="b">
        <v>0</v>
      </c>
      <c r="AC83" s="200"/>
      <c r="AD83" s="173" t="b">
        <v>0</v>
      </c>
      <c r="AE83" s="226" t="b">
        <v>0</v>
      </c>
      <c r="AF83" s="202"/>
      <c r="AG83" s="173" t="b">
        <v>0</v>
      </c>
      <c r="AH83" s="226" t="b">
        <v>0</v>
      </c>
      <c r="AI83" s="165"/>
      <c r="AJ83" s="173" t="b">
        <v>0</v>
      </c>
      <c r="AK83" s="226" t="b">
        <v>0</v>
      </c>
      <c r="AL83" s="204"/>
      <c r="AM83" s="173" t="b">
        <v>0</v>
      </c>
      <c r="AN83" s="226" t="b">
        <v>0</v>
      </c>
      <c r="AO83" s="165"/>
      <c r="AP83" s="165"/>
      <c r="AQ83" s="165"/>
      <c r="AR83" s="165"/>
      <c r="AS83" s="165"/>
      <c r="AT83" s="165"/>
      <c r="AU83" s="165"/>
      <c r="AV83" s="165"/>
      <c r="AW83" s="165"/>
      <c r="AX83" s="165"/>
      <c r="AY83" s="165"/>
      <c r="AZ83" s="165"/>
      <c r="BA83" s="165"/>
    </row>
    <row r="84">
      <c r="A84" s="267" t="str">
        <f>IFERROR(__xludf.DUMMYFUNCTION("""COMPUTED_VALUE"""),"SETTLED")</f>
        <v>SETTLED</v>
      </c>
      <c r="B84" s="267" t="str">
        <f>IFERROR(__xludf.DUMMYFUNCTION("""COMPUTED_VALUE"""),"Jacob S")</f>
        <v>Jacob S</v>
      </c>
      <c r="C84" s="267" t="str">
        <f>IFERROR(__xludf.DUMMYFUNCTION("""COMPUTED_VALUE"""),"Christopher Fawley")</f>
        <v>Christopher Fawley</v>
      </c>
      <c r="D84" s="267" t="str">
        <f>IFERROR(__xludf.DUMMYFUNCTION("""COMPUTED_VALUE"""),"863-444-1816")</f>
        <v>863-444-1816</v>
      </c>
      <c r="E84" s="267" t="str">
        <f>IFERROR(__xludf.DUMMYFUNCTION("""COMPUTED_VALUE"""),"slim0629@gmail.com")</f>
        <v>slim0629@gmail.com</v>
      </c>
      <c r="F84" s="267" t="str">
        <f>IFERROR(__xludf.DUMMYFUNCTION("""COMPUTED_VALUE"""),"502 NE 6th St Meade, FL 33841")</f>
        <v>502 NE 6th St Meade, FL 33841</v>
      </c>
      <c r="G84" s="267" t="str">
        <f>IFERROR(__xludf.DUMMYFUNCTION("""COMPUTED_VALUE"""),"Hurricane Ian")</f>
        <v>Hurricane Ian</v>
      </c>
      <c r="H84" s="267" t="str">
        <f>IFERROR(__xludf.DUMMYFUNCTION("""COMPUTED_VALUE"""),"Reopen")</f>
        <v>Reopen</v>
      </c>
      <c r="I84" s="406" t="b">
        <v>0</v>
      </c>
      <c r="J84" s="407" t="b">
        <v>0</v>
      </c>
      <c r="K84" s="414"/>
      <c r="L84" s="410" t="b">
        <v>0</v>
      </c>
      <c r="M84" s="412" t="b">
        <v>0</v>
      </c>
      <c r="N84" s="414"/>
      <c r="O84" s="410" t="b">
        <v>0</v>
      </c>
      <c r="P84" s="412" t="b">
        <v>0</v>
      </c>
      <c r="Q84" s="416"/>
      <c r="R84" s="410" t="b">
        <v>0</v>
      </c>
      <c r="S84" s="412" t="b">
        <v>0</v>
      </c>
      <c r="T84" s="417"/>
      <c r="U84" s="410" t="b">
        <v>0</v>
      </c>
      <c r="V84" s="412" t="b">
        <v>0</v>
      </c>
      <c r="W84" s="418"/>
      <c r="X84" s="410" t="b">
        <v>0</v>
      </c>
      <c r="Y84" s="412" t="b">
        <v>0</v>
      </c>
      <c r="Z84" s="419"/>
      <c r="AA84" s="410" t="b">
        <v>0</v>
      </c>
      <c r="AB84" s="412" t="b">
        <v>0</v>
      </c>
      <c r="AC84" s="420"/>
      <c r="AD84" s="410" t="b">
        <v>0</v>
      </c>
      <c r="AE84" s="412" t="b">
        <v>0</v>
      </c>
      <c r="AF84" s="421"/>
      <c r="AG84" s="410" t="b">
        <v>0</v>
      </c>
      <c r="AH84" s="412" t="b">
        <v>0</v>
      </c>
      <c r="AI84" s="423"/>
      <c r="AJ84" s="410" t="b">
        <v>0</v>
      </c>
      <c r="AK84" s="412" t="b">
        <v>0</v>
      </c>
      <c r="AL84" s="424"/>
      <c r="AM84" s="410" t="b">
        <v>0</v>
      </c>
      <c r="AN84" s="412" t="b">
        <v>0</v>
      </c>
      <c r="AO84" s="423"/>
      <c r="AP84" s="423"/>
      <c r="AQ84" s="423"/>
      <c r="AR84" s="423"/>
      <c r="AS84" s="423"/>
      <c r="AT84" s="423"/>
      <c r="AU84" s="423"/>
      <c r="AV84" s="423"/>
      <c r="AW84" s="423"/>
      <c r="AX84" s="423"/>
      <c r="AY84" s="423"/>
      <c r="AZ84" s="423"/>
      <c r="BA84" s="423"/>
    </row>
    <row r="85">
      <c r="A85" s="209" t="str">
        <f>IFERROR(__xludf.DUMMYFUNCTION("""COMPUTED_VALUE"""),"SETTLED")</f>
        <v>SETTLED</v>
      </c>
      <c r="B85" s="209" t="str">
        <f>IFERROR(__xludf.DUMMYFUNCTION("""COMPUTED_VALUE"""),"David M.")</f>
        <v>David M.</v>
      </c>
      <c r="C85" s="209" t="str">
        <f>IFERROR(__xludf.DUMMYFUNCTION("""COMPUTED_VALUE"""),"Marisa Dawson")</f>
        <v>Marisa Dawson</v>
      </c>
      <c r="D85" s="209" t="str">
        <f>IFERROR(__xludf.DUMMYFUNCTION("""COMPUTED_VALUE"""),"863-344-2567")</f>
        <v>863-344-2567</v>
      </c>
      <c r="E85" s="209" t="str">
        <f>IFERROR(__xludf.DUMMYFUNCTION("""COMPUTED_VALUE"""),"holamarisa7@gmail.com")</f>
        <v>holamarisa7@gmail.com</v>
      </c>
      <c r="F85" s="209" t="str">
        <f>IFERROR(__xludf.DUMMYFUNCTION("""COMPUTED_VALUE"""),"24 N Cleveland Ave Fort Meade FL 33841")</f>
        <v>24 N Cleveland Ave Fort Meade FL 33841</v>
      </c>
      <c r="G85" s="209" t="str">
        <f>IFERROR(__xludf.DUMMYFUNCTION("""COMPUTED_VALUE"""),"Hurricane Ian")</f>
        <v>Hurricane Ian</v>
      </c>
      <c r="H85" s="209" t="str">
        <f>IFERROR(__xludf.DUMMYFUNCTION("""COMPUTED_VALUE"""),"New Claim")</f>
        <v>New Claim</v>
      </c>
      <c r="I85" s="210" t="b">
        <v>1</v>
      </c>
      <c r="J85" s="212" t="b">
        <v>1</v>
      </c>
      <c r="K85" s="213" t="s">
        <v>3253</v>
      </c>
      <c r="L85" s="217" t="b">
        <v>0</v>
      </c>
      <c r="M85" s="215" t="b">
        <v>0</v>
      </c>
      <c r="N85" s="238"/>
      <c r="O85" s="210" t="b">
        <v>1</v>
      </c>
      <c r="P85" s="214" t="b">
        <v>1</v>
      </c>
      <c r="Q85" s="216" t="s">
        <v>3254</v>
      </c>
      <c r="R85" s="217" t="b">
        <v>0</v>
      </c>
      <c r="S85" s="215" t="b">
        <v>0</v>
      </c>
      <c r="T85" s="218"/>
      <c r="U85" s="217" t="b">
        <v>0</v>
      </c>
      <c r="V85" s="215" t="b">
        <v>0</v>
      </c>
      <c r="W85" s="219"/>
      <c r="X85" s="210" t="b">
        <v>1</v>
      </c>
      <c r="Y85" s="214" t="b">
        <v>1</v>
      </c>
      <c r="Z85" s="220" t="s">
        <v>3255</v>
      </c>
      <c r="AA85" s="217" t="b">
        <v>0</v>
      </c>
      <c r="AB85" s="215" t="b">
        <v>0</v>
      </c>
      <c r="AC85" s="221"/>
      <c r="AD85" s="217" t="b">
        <v>0</v>
      </c>
      <c r="AE85" s="215" t="b">
        <v>0</v>
      </c>
      <c r="AF85" s="222"/>
      <c r="AG85" s="217" t="b">
        <v>0</v>
      </c>
      <c r="AH85" s="215" t="b">
        <v>0</v>
      </c>
      <c r="AI85" s="207"/>
      <c r="AJ85" s="217" t="b">
        <v>0</v>
      </c>
      <c r="AK85" s="215" t="b">
        <v>0</v>
      </c>
      <c r="AL85" s="224"/>
      <c r="AM85" s="217" t="b">
        <v>0</v>
      </c>
      <c r="AN85" s="215" t="b">
        <v>0</v>
      </c>
      <c r="AO85" s="207"/>
      <c r="AP85" s="207"/>
      <c r="AQ85" s="207"/>
      <c r="AR85" s="207"/>
      <c r="AS85" s="207"/>
      <c r="AT85" s="207"/>
      <c r="AU85" s="207"/>
      <c r="AV85" s="207"/>
      <c r="AW85" s="207"/>
      <c r="AX85" s="207"/>
      <c r="AY85" s="207"/>
      <c r="AZ85" s="207"/>
      <c r="BA85" s="207"/>
    </row>
    <row r="86">
      <c r="A86" s="209" t="str">
        <f>IFERROR(__xludf.DUMMYFUNCTION("""COMPUTED_VALUE"""),"SETTLED")</f>
        <v>SETTLED</v>
      </c>
      <c r="B86" s="209" t="str">
        <f>IFERROR(__xludf.DUMMYFUNCTION("""COMPUTED_VALUE"""),"Peter")</f>
        <v>Peter</v>
      </c>
      <c r="C86" s="209" t="str">
        <f>IFERROR(__xludf.DUMMYFUNCTION("""COMPUTED_VALUE"""),"Andres &amp; Lidilia Bellidodeluna")</f>
        <v>Andres &amp; Lidilia Bellidodeluna</v>
      </c>
      <c r="D86" s="209" t="str">
        <f>IFERROR(__xludf.DUMMYFUNCTION("""COMPUTED_VALUE"""),"407-968-8338")</f>
        <v>407-968-8338</v>
      </c>
      <c r="E86" s="209" t="str">
        <f>IFERROR(__xludf.DUMMYFUNCTION("""COMPUTED_VALUE"""),"andresbellido@yahoo.com")</f>
        <v>andresbellido@yahoo.com</v>
      </c>
      <c r="F86" s="209" t="str">
        <f>IFERROR(__xludf.DUMMYFUNCTION("""COMPUTED_VALUE"""),"9736 W 34th Ave Hialeah, FL 33018")</f>
        <v>9736 W 34th Ave Hialeah, FL 33018</v>
      </c>
      <c r="G86" s="209" t="str">
        <f>IFERROR(__xludf.DUMMYFUNCTION("""COMPUTED_VALUE"""),"Hurricane Ian")</f>
        <v>Hurricane Ian</v>
      </c>
      <c r="H86" s="209" t="str">
        <f>IFERROR(__xludf.DUMMYFUNCTION("""COMPUTED_VALUE"""),"New Claim")</f>
        <v>New Claim</v>
      </c>
      <c r="I86" s="210" t="b">
        <v>1</v>
      </c>
      <c r="J86" s="212" t="b">
        <v>1</v>
      </c>
      <c r="K86" s="213" t="s">
        <v>3256</v>
      </c>
      <c r="L86" s="217" t="b">
        <v>0</v>
      </c>
      <c r="M86" s="215" t="b">
        <v>0</v>
      </c>
      <c r="N86" s="238"/>
      <c r="O86" s="210" t="b">
        <v>1</v>
      </c>
      <c r="P86" s="214" t="b">
        <v>1</v>
      </c>
      <c r="Q86" s="216" t="s">
        <v>3257</v>
      </c>
      <c r="R86" s="217" t="b">
        <v>0</v>
      </c>
      <c r="S86" s="215" t="b">
        <v>0</v>
      </c>
      <c r="T86" s="218"/>
      <c r="U86" s="217" t="b">
        <v>0</v>
      </c>
      <c r="V86" s="215" t="b">
        <v>0</v>
      </c>
      <c r="W86" s="219"/>
      <c r="X86" s="217" t="b">
        <v>0</v>
      </c>
      <c r="Y86" s="215" t="b">
        <v>0</v>
      </c>
      <c r="Z86" s="232"/>
      <c r="AA86" s="217" t="b">
        <v>0</v>
      </c>
      <c r="AB86" s="215" t="b">
        <v>0</v>
      </c>
      <c r="AC86" s="221"/>
      <c r="AD86" s="217" t="b">
        <v>0</v>
      </c>
      <c r="AE86" s="215" t="b">
        <v>0</v>
      </c>
      <c r="AF86" s="222"/>
      <c r="AG86" s="217" t="b">
        <v>0</v>
      </c>
      <c r="AH86" s="215" t="b">
        <v>0</v>
      </c>
      <c r="AI86" s="207"/>
      <c r="AJ86" s="217" t="b">
        <v>0</v>
      </c>
      <c r="AK86" s="215" t="b">
        <v>0</v>
      </c>
      <c r="AL86" s="224"/>
      <c r="AM86" s="217" t="b">
        <v>0</v>
      </c>
      <c r="AN86" s="215" t="b">
        <v>0</v>
      </c>
      <c r="AO86" s="207"/>
      <c r="AP86" s="207"/>
      <c r="AQ86" s="207"/>
      <c r="AR86" s="207"/>
      <c r="AS86" s="207"/>
      <c r="AT86" s="207"/>
      <c r="AU86" s="207"/>
      <c r="AV86" s="207"/>
      <c r="AW86" s="207"/>
      <c r="AX86" s="207"/>
      <c r="AY86" s="207"/>
      <c r="AZ86" s="207"/>
      <c r="BA86" s="207"/>
    </row>
    <row r="87">
      <c r="A87" s="209" t="str">
        <f>IFERROR(__xludf.DUMMYFUNCTION("""COMPUTED_VALUE"""),"SETTLED")</f>
        <v>SETTLED</v>
      </c>
      <c r="B87" s="209" t="str">
        <f>IFERROR(__xludf.DUMMYFUNCTION("""COMPUTED_VALUE"""),"Jakey")</f>
        <v>Jakey</v>
      </c>
      <c r="C87" s="209" t="str">
        <f>IFERROR(__xludf.DUMMYFUNCTION("""COMPUTED_VALUE"""),"James Schaill ")</f>
        <v>James Schaill </v>
      </c>
      <c r="D87" s="209" t="str">
        <f>IFERROR(__xludf.DUMMYFUNCTION("""COMPUTED_VALUE"""),"863-640-6169")</f>
        <v>863-640-6169</v>
      </c>
      <c r="E87" s="209" t="str">
        <f>IFERROR(__xludf.DUMMYFUNCTION("""COMPUTED_VALUE"""),"catherineschaill@yahoo.com, gatorlass@peoplepc.com")</f>
        <v>catherineschaill@yahoo.com, gatorlass@peoplepc.com</v>
      </c>
      <c r="F87" s="209" t="str">
        <f>IFERROR(__xludf.DUMMYFUNCTION("""COMPUTED_VALUE"""),"219 N Pine Ave Fort Meade, FL 33841")</f>
        <v>219 N Pine Ave Fort Meade, FL 33841</v>
      </c>
      <c r="G87" s="209" t="str">
        <f>IFERROR(__xludf.DUMMYFUNCTION("""COMPUTED_VALUE"""),"Hurricane Ian")</f>
        <v>Hurricane Ian</v>
      </c>
      <c r="H87" s="209" t="str">
        <f>IFERROR(__xludf.DUMMYFUNCTION("""COMPUTED_VALUE"""),"New Claim")</f>
        <v>New Claim</v>
      </c>
      <c r="I87" s="210" t="b">
        <v>0</v>
      </c>
      <c r="J87" s="212" t="b">
        <v>0</v>
      </c>
      <c r="K87" s="238"/>
      <c r="L87" s="217" t="b">
        <v>0</v>
      </c>
      <c r="M87" s="215" t="b">
        <v>0</v>
      </c>
      <c r="N87" s="238"/>
      <c r="O87" s="217" t="b">
        <v>0</v>
      </c>
      <c r="P87" s="215" t="b">
        <v>0</v>
      </c>
      <c r="Q87" s="230"/>
      <c r="R87" s="217" t="b">
        <v>0</v>
      </c>
      <c r="S87" s="215" t="b">
        <v>0</v>
      </c>
      <c r="T87" s="218"/>
      <c r="U87" s="217" t="b">
        <v>0</v>
      </c>
      <c r="V87" s="215" t="b">
        <v>0</v>
      </c>
      <c r="W87" s="219"/>
      <c r="X87" s="217" t="b">
        <v>0</v>
      </c>
      <c r="Y87" s="215" t="b">
        <v>0</v>
      </c>
      <c r="Z87" s="232"/>
      <c r="AA87" s="217" t="b">
        <v>0</v>
      </c>
      <c r="AB87" s="215" t="b">
        <v>0</v>
      </c>
      <c r="AC87" s="221"/>
      <c r="AD87" s="217" t="b">
        <v>0</v>
      </c>
      <c r="AE87" s="215" t="b">
        <v>0</v>
      </c>
      <c r="AF87" s="222"/>
      <c r="AG87" s="217" t="b">
        <v>0</v>
      </c>
      <c r="AH87" s="215" t="b">
        <v>0</v>
      </c>
      <c r="AI87" s="207"/>
      <c r="AJ87" s="217" t="b">
        <v>0</v>
      </c>
      <c r="AK87" s="215" t="b">
        <v>0</v>
      </c>
      <c r="AL87" s="224"/>
      <c r="AM87" s="217" t="b">
        <v>0</v>
      </c>
      <c r="AN87" s="215" t="b">
        <v>0</v>
      </c>
      <c r="AO87" s="207"/>
      <c r="AP87" s="207"/>
      <c r="AQ87" s="207"/>
      <c r="AR87" s="207"/>
      <c r="AS87" s="207"/>
      <c r="AT87" s="207"/>
      <c r="AU87" s="207"/>
      <c r="AV87" s="207"/>
      <c r="AW87" s="207"/>
      <c r="AX87" s="207"/>
      <c r="AY87" s="207"/>
      <c r="AZ87" s="207"/>
      <c r="BA87" s="207"/>
    </row>
    <row r="88">
      <c r="A88" s="209" t="str">
        <f>IFERROR(__xludf.DUMMYFUNCTION("""COMPUTED_VALUE"""),"SETTLED")</f>
        <v>SETTLED</v>
      </c>
      <c r="B88" s="209" t="str">
        <f>IFERROR(__xludf.DUMMYFUNCTION("""COMPUTED_VALUE"""),"Juan")</f>
        <v>Juan</v>
      </c>
      <c r="C88" s="209" t="str">
        <f>IFERROR(__xludf.DUMMYFUNCTION("""COMPUTED_VALUE"""),"John Barlow")</f>
        <v>John Barlow</v>
      </c>
      <c r="D88" s="209" t="str">
        <f>IFERROR(__xludf.DUMMYFUNCTION("""COMPUTED_VALUE"""),"863-245-5170")</f>
        <v>863-245-5170</v>
      </c>
      <c r="E88" s="209" t="str">
        <f>IFERROR(__xludf.DUMMYFUNCTION("""COMPUTED_VALUE"""),"jtbarlow1@gmail.com")</f>
        <v>jtbarlow1@gmail.com</v>
      </c>
      <c r="F88" s="209" t="str">
        <f>IFERROR(__xludf.DUMMYFUNCTION("""COMPUTED_VALUE"""),"185 Georgetown Loop Wuachula, FL33873")</f>
        <v>185 Georgetown Loop Wuachula, FL33873</v>
      </c>
      <c r="G88" s="209" t="str">
        <f>IFERROR(__xludf.DUMMYFUNCTION("""COMPUTED_VALUE"""),"Windstorm")</f>
        <v>Windstorm</v>
      </c>
      <c r="H88" s="209" t="str">
        <f>IFERROR(__xludf.DUMMYFUNCTION("""COMPUTED_VALUE"""),"New Claim")</f>
        <v>New Claim</v>
      </c>
      <c r="I88" s="210" t="b">
        <v>1</v>
      </c>
      <c r="J88" s="212" t="b">
        <v>1</v>
      </c>
      <c r="K88" s="213" t="s">
        <v>3259</v>
      </c>
      <c r="L88" s="217" t="b">
        <v>0</v>
      </c>
      <c r="M88" s="215" t="b">
        <v>0</v>
      </c>
      <c r="N88" s="238"/>
      <c r="O88" s="210" t="b">
        <v>1</v>
      </c>
      <c r="P88" s="214" t="b">
        <v>1</v>
      </c>
      <c r="Q88" s="216" t="s">
        <v>3260</v>
      </c>
      <c r="R88" s="217" t="b">
        <v>0</v>
      </c>
      <c r="S88" s="215" t="b">
        <v>0</v>
      </c>
      <c r="T88" s="218"/>
      <c r="U88" s="217" t="b">
        <v>0</v>
      </c>
      <c r="V88" s="215" t="b">
        <v>0</v>
      </c>
      <c r="W88" s="219"/>
      <c r="X88" s="217" t="b">
        <v>0</v>
      </c>
      <c r="Y88" s="215" t="b">
        <v>0</v>
      </c>
      <c r="Z88" s="232"/>
      <c r="AA88" s="217" t="b">
        <v>0</v>
      </c>
      <c r="AB88" s="215" t="b">
        <v>0</v>
      </c>
      <c r="AC88" s="221"/>
      <c r="AD88" s="217" t="b">
        <v>0</v>
      </c>
      <c r="AE88" s="215" t="b">
        <v>0</v>
      </c>
      <c r="AF88" s="222"/>
      <c r="AG88" s="217" t="b">
        <v>0</v>
      </c>
      <c r="AH88" s="215" t="b">
        <v>0</v>
      </c>
      <c r="AI88" s="207"/>
      <c r="AJ88" s="217" t="b">
        <v>0</v>
      </c>
      <c r="AK88" s="215" t="b">
        <v>0</v>
      </c>
      <c r="AL88" s="224"/>
      <c r="AM88" s="217" t="b">
        <v>0</v>
      </c>
      <c r="AN88" s="215" t="b">
        <v>0</v>
      </c>
      <c r="AO88" s="207"/>
      <c r="AP88" s="207"/>
      <c r="AQ88" s="207"/>
      <c r="AR88" s="207"/>
      <c r="AS88" s="207"/>
      <c r="AT88" s="207"/>
      <c r="AU88" s="207"/>
      <c r="AV88" s="207"/>
      <c r="AW88" s="207"/>
      <c r="AX88" s="207"/>
      <c r="AY88" s="207"/>
      <c r="AZ88" s="207"/>
      <c r="BA88" s="207"/>
    </row>
    <row r="89">
      <c r="A89" s="209" t="str">
        <f>IFERROR(__xludf.DUMMYFUNCTION("""COMPUTED_VALUE"""),"SETTLED")</f>
        <v>SETTLED</v>
      </c>
      <c r="B89" s="209" t="str">
        <f>IFERROR(__xludf.DUMMYFUNCTION("""COMPUTED_VALUE"""),"Juan")</f>
        <v>Juan</v>
      </c>
      <c r="C89" s="209" t="str">
        <f>IFERROR(__xludf.DUMMYFUNCTION("""COMPUTED_VALUE"""),"John Barlow")</f>
        <v>John Barlow</v>
      </c>
      <c r="D89" s="209" t="str">
        <f>IFERROR(__xludf.DUMMYFUNCTION("""COMPUTED_VALUE"""),"863-245-5170")</f>
        <v>863-245-5170</v>
      </c>
      <c r="E89" s="209" t="str">
        <f>IFERROR(__xludf.DUMMYFUNCTION("""COMPUTED_VALUE"""),"jtbarlow1@gmail.com")</f>
        <v>jtbarlow1@gmail.com</v>
      </c>
      <c r="F89" s="209" t="str">
        <f>IFERROR(__xludf.DUMMYFUNCTION("""COMPUTED_VALUE"""),"185 Georgetown Loop Wuachula, FL 33873")</f>
        <v>185 Georgetown Loop Wuachula, FL 33873</v>
      </c>
      <c r="G89" s="209" t="str">
        <f>IFERROR(__xludf.DUMMYFUNCTION("""COMPUTED_VALUE"""),"Hurricane Ian")</f>
        <v>Hurricane Ian</v>
      </c>
      <c r="H89" s="209" t="str">
        <f>IFERROR(__xludf.DUMMYFUNCTION("""COMPUTED_VALUE"""),"New Claim")</f>
        <v>New Claim</v>
      </c>
      <c r="I89" s="210" t="b">
        <v>1</v>
      </c>
      <c r="J89" s="212" t="b">
        <v>1</v>
      </c>
      <c r="K89" s="213" t="s">
        <v>3261</v>
      </c>
      <c r="L89" s="217" t="b">
        <v>0</v>
      </c>
      <c r="M89" s="215" t="b">
        <v>0</v>
      </c>
      <c r="N89" s="238"/>
      <c r="O89" s="217" t="b">
        <v>0</v>
      </c>
      <c r="P89" s="215" t="b">
        <v>0</v>
      </c>
      <c r="Q89" s="230"/>
      <c r="R89" s="217" t="b">
        <v>0</v>
      </c>
      <c r="S89" s="215" t="b">
        <v>0</v>
      </c>
      <c r="T89" s="218"/>
      <c r="U89" s="210" t="b">
        <v>1</v>
      </c>
      <c r="V89" s="214" t="b">
        <v>1</v>
      </c>
      <c r="W89" s="316" t="s">
        <v>3262</v>
      </c>
      <c r="X89" s="217" t="b">
        <v>0</v>
      </c>
      <c r="Y89" s="215" t="b">
        <v>0</v>
      </c>
      <c r="Z89" s="232"/>
      <c r="AA89" s="217" t="b">
        <v>0</v>
      </c>
      <c r="AB89" s="215" t="b">
        <v>0</v>
      </c>
      <c r="AC89" s="221"/>
      <c r="AD89" s="217" t="b">
        <v>0</v>
      </c>
      <c r="AE89" s="215" t="b">
        <v>0</v>
      </c>
      <c r="AF89" s="222"/>
      <c r="AG89" s="217" t="b">
        <v>0</v>
      </c>
      <c r="AH89" s="215" t="b">
        <v>0</v>
      </c>
      <c r="AI89" s="207"/>
      <c r="AJ89" s="217" t="b">
        <v>0</v>
      </c>
      <c r="AK89" s="215" t="b">
        <v>0</v>
      </c>
      <c r="AL89" s="224"/>
      <c r="AM89" s="217" t="b">
        <v>0</v>
      </c>
      <c r="AN89" s="215" t="b">
        <v>0</v>
      </c>
      <c r="AO89" s="207"/>
      <c r="AP89" s="207"/>
      <c r="AQ89" s="207"/>
      <c r="AR89" s="207"/>
      <c r="AS89" s="207"/>
      <c r="AT89" s="207"/>
      <c r="AU89" s="207"/>
      <c r="AV89" s="207"/>
      <c r="AW89" s="207"/>
      <c r="AX89" s="207"/>
      <c r="AY89" s="207"/>
      <c r="AZ89" s="207"/>
      <c r="BA89" s="207"/>
    </row>
    <row r="90">
      <c r="A90" s="209" t="str">
        <f>IFERROR(__xludf.DUMMYFUNCTION("""COMPUTED_VALUE"""),"CLSD CLAIMS")</f>
        <v>CLSD CLAIMS</v>
      </c>
      <c r="B90" s="209" t="str">
        <f>IFERROR(__xludf.DUMMYFUNCTION("""COMPUTED_VALUE"""),"David M.")</f>
        <v>David M.</v>
      </c>
      <c r="C90" s="209" t="str">
        <f>IFERROR(__xludf.DUMMYFUNCTION("""COMPUTED_VALUE"""),"Michael Reynolds / Penny Wienk")</f>
        <v>Michael Reynolds / Penny Wienk</v>
      </c>
      <c r="D90" s="209" t="str">
        <f>IFERROR(__xludf.DUMMYFUNCTION("""COMPUTED_VALUE"""),"863-241-6736")</f>
        <v>863-241-6736</v>
      </c>
      <c r="E90" s="209" t="str">
        <f>IFERROR(__xludf.DUMMYFUNCTION("""COMPUTED_VALUE"""),"penny.wienk539@gmail.com")</f>
        <v>penny.wienk539@gmail.com</v>
      </c>
      <c r="F90" s="209" t="str">
        <f>IFERROR(__xludf.DUMMYFUNCTION("""COMPUTED_VALUE"""),"539 Domaris Ave, Lake Wales, FL 33853")</f>
        <v>539 Domaris Ave, Lake Wales, FL 33853</v>
      </c>
      <c r="G90" s="209" t="str">
        <f>IFERROR(__xludf.DUMMYFUNCTION("""COMPUTED_VALUE"""),"Hurricane Ian")</f>
        <v>Hurricane Ian</v>
      </c>
      <c r="H90" s="209" t="str">
        <f>IFERROR(__xludf.DUMMYFUNCTION("""COMPUTED_VALUE"""),"New Claim")</f>
        <v>New Claim</v>
      </c>
      <c r="I90" s="210" t="b">
        <v>1</v>
      </c>
      <c r="J90" s="212" t="b">
        <v>1</v>
      </c>
      <c r="K90" s="213" t="s">
        <v>3263</v>
      </c>
      <c r="L90" s="217" t="b">
        <v>0</v>
      </c>
      <c r="M90" s="215" t="b">
        <v>0</v>
      </c>
      <c r="N90" s="238"/>
      <c r="O90" s="210" t="b">
        <v>1</v>
      </c>
      <c r="P90" s="214" t="b">
        <v>1</v>
      </c>
      <c r="Q90" s="216" t="s">
        <v>3264</v>
      </c>
      <c r="R90" s="217" t="b">
        <v>0</v>
      </c>
      <c r="S90" s="215" t="b">
        <v>0</v>
      </c>
      <c r="T90" s="218"/>
      <c r="U90" s="217" t="b">
        <v>0</v>
      </c>
      <c r="V90" s="215" t="b">
        <v>0</v>
      </c>
      <c r="W90" s="219"/>
      <c r="X90" s="217" t="b">
        <v>0</v>
      </c>
      <c r="Y90" s="215" t="b">
        <v>0</v>
      </c>
      <c r="Z90" s="220" t="s">
        <v>3265</v>
      </c>
      <c r="AA90" s="217" t="b">
        <v>0</v>
      </c>
      <c r="AB90" s="215" t="b">
        <v>0</v>
      </c>
      <c r="AC90" s="221"/>
      <c r="AD90" s="217" t="b">
        <v>0</v>
      </c>
      <c r="AE90" s="215" t="b">
        <v>0</v>
      </c>
      <c r="AF90" s="222"/>
      <c r="AG90" s="217" t="b">
        <v>0</v>
      </c>
      <c r="AH90" s="215" t="b">
        <v>0</v>
      </c>
      <c r="AI90" s="207"/>
      <c r="AJ90" s="217" t="b">
        <v>0</v>
      </c>
      <c r="AK90" s="215" t="b">
        <v>0</v>
      </c>
      <c r="AL90" s="224"/>
      <c r="AM90" s="217" t="b">
        <v>0</v>
      </c>
      <c r="AN90" s="215" t="b">
        <v>0</v>
      </c>
      <c r="AO90" s="207"/>
      <c r="AP90" s="207"/>
      <c r="AQ90" s="207"/>
      <c r="AR90" s="207"/>
      <c r="AS90" s="207"/>
      <c r="AT90" s="207"/>
      <c r="AU90" s="207"/>
      <c r="AV90" s="207"/>
      <c r="AW90" s="207"/>
      <c r="AX90" s="207"/>
      <c r="AY90" s="207"/>
      <c r="AZ90" s="207"/>
      <c r="BA90" s="207"/>
    </row>
    <row r="91">
      <c r="A91" s="209" t="str">
        <f>IFERROR(__xludf.DUMMYFUNCTION("""COMPUTED_VALUE"""),"SETTLED")</f>
        <v>SETTLED</v>
      </c>
      <c r="B91" s="209" t="str">
        <f>IFERROR(__xludf.DUMMYFUNCTION("""COMPUTED_VALUE"""),"Peter")</f>
        <v>Peter</v>
      </c>
      <c r="C91" s="209" t="str">
        <f>IFERROR(__xludf.DUMMYFUNCTION("""COMPUTED_VALUE"""),"Reginald Franklin")</f>
        <v>Reginald Franklin</v>
      </c>
      <c r="D91" s="209" t="str">
        <f>IFERROR(__xludf.DUMMYFUNCTION("""COMPUTED_VALUE"""),"850-272-6754")</f>
        <v>850-272-6754</v>
      </c>
      <c r="E91" s="209" t="str">
        <f>IFERROR(__xludf.DUMMYFUNCTION("""COMPUTED_VALUE"""),"Reginaldfranklin324@gmail.com")</f>
        <v>Reginaldfranklin324@gmail.com</v>
      </c>
      <c r="F91" s="209" t="str">
        <f>IFERROR(__xludf.DUMMYFUNCTION("""COMPUTED_VALUE"""),"901 Layton Rd Graceville, FL 32440")</f>
        <v>901 Layton Rd Graceville, FL 32440</v>
      </c>
      <c r="G91" s="209" t="str">
        <f>IFERROR(__xludf.DUMMYFUNCTION("""COMPUTED_VALUE"""),"AWD")</f>
        <v>AWD</v>
      </c>
      <c r="H91" s="209" t="str">
        <f>IFERROR(__xludf.DUMMYFUNCTION("""COMPUTED_VALUE"""),"New Claim")</f>
        <v>New Claim</v>
      </c>
      <c r="I91" s="210" t="b">
        <v>1</v>
      </c>
      <c r="J91" s="212" t="b">
        <v>1</v>
      </c>
      <c r="K91" s="213" t="s">
        <v>3267</v>
      </c>
      <c r="L91" s="217" t="b">
        <v>0</v>
      </c>
      <c r="M91" s="215" t="b">
        <v>0</v>
      </c>
      <c r="N91" s="238"/>
      <c r="O91" s="217" t="b">
        <v>0</v>
      </c>
      <c r="P91" s="215" t="b">
        <v>0</v>
      </c>
      <c r="Q91" s="230"/>
      <c r="R91" s="210" t="b">
        <v>1</v>
      </c>
      <c r="S91" s="214" t="b">
        <v>1</v>
      </c>
      <c r="T91" s="388" t="s">
        <v>3268</v>
      </c>
      <c r="U91" s="217" t="b">
        <v>0</v>
      </c>
      <c r="V91" s="215" t="b">
        <v>0</v>
      </c>
      <c r="W91" s="219"/>
      <c r="X91" s="217" t="b">
        <v>0</v>
      </c>
      <c r="Y91" s="215" t="b">
        <v>0</v>
      </c>
      <c r="Z91" s="232"/>
      <c r="AA91" s="217" t="b">
        <v>0</v>
      </c>
      <c r="AB91" s="215" t="b">
        <v>0</v>
      </c>
      <c r="AC91" s="221"/>
      <c r="AD91" s="217" t="b">
        <v>0</v>
      </c>
      <c r="AE91" s="215" t="b">
        <v>0</v>
      </c>
      <c r="AF91" s="222"/>
      <c r="AG91" s="217" t="b">
        <v>0</v>
      </c>
      <c r="AH91" s="215" t="b">
        <v>0</v>
      </c>
      <c r="AI91" s="207"/>
      <c r="AJ91" s="217" t="b">
        <v>0</v>
      </c>
      <c r="AK91" s="215" t="b">
        <v>0</v>
      </c>
      <c r="AL91" s="224"/>
      <c r="AM91" s="217" t="b">
        <v>0</v>
      </c>
      <c r="AN91" s="215" t="b">
        <v>0</v>
      </c>
      <c r="AO91" s="207"/>
      <c r="AP91" s="207"/>
      <c r="AQ91" s="207"/>
      <c r="AR91" s="207"/>
      <c r="AS91" s="207"/>
      <c r="AT91" s="207"/>
      <c r="AU91" s="207"/>
      <c r="AV91" s="207"/>
      <c r="AW91" s="207"/>
      <c r="AX91" s="207"/>
      <c r="AY91" s="207"/>
      <c r="AZ91" s="207"/>
      <c r="BA91" s="207"/>
    </row>
    <row r="92">
      <c r="A92" s="209" t="str">
        <f>IFERROR(__xludf.DUMMYFUNCTION("""COMPUTED_VALUE"""),"SETTLED")</f>
        <v>SETTLED</v>
      </c>
      <c r="B92" s="209" t="str">
        <f>IFERROR(__xludf.DUMMYFUNCTION("""COMPUTED_VALUE"""),"Juan")</f>
        <v>Juan</v>
      </c>
      <c r="C92" s="209" t="str">
        <f>IFERROR(__xludf.DUMMYFUNCTION("""COMPUTED_VALUE"""),"Timothy &amp; Rebecca Meyers")</f>
        <v>Timothy &amp; Rebecca Meyers</v>
      </c>
      <c r="D92" s="209" t="str">
        <f>IFERROR(__xludf.DUMMYFUNCTION("""COMPUTED_VALUE"""),"863-412-7824")</f>
        <v>863-412-7824</v>
      </c>
      <c r="E92" s="209" t="str">
        <f>IFERROR(__xludf.DUMMYFUNCTION("""COMPUTED_VALUE"""),"tjmeyers82@yahoo.com")</f>
        <v>tjmeyers82@yahoo.com</v>
      </c>
      <c r="F92" s="209" t="str">
        <f>IFERROR(__xludf.DUMMYFUNCTION("""COMPUTED_VALUE"""),"621 Shore Acres Dr Lakeland, FL 33801")</f>
        <v>621 Shore Acres Dr Lakeland, FL 33801</v>
      </c>
      <c r="G92" s="209" t="str">
        <f>IFERROR(__xludf.DUMMYFUNCTION("""COMPUTED_VALUE"""),"Hurricane Ian")</f>
        <v>Hurricane Ian</v>
      </c>
      <c r="H92" s="209" t="str">
        <f>IFERROR(__xludf.DUMMYFUNCTION("""COMPUTED_VALUE"""),"New Claim")</f>
        <v>New Claim</v>
      </c>
      <c r="I92" s="210" t="b">
        <v>0</v>
      </c>
      <c r="J92" s="212" t="b">
        <v>0</v>
      </c>
      <c r="K92" s="238"/>
      <c r="L92" s="210" t="b">
        <v>1</v>
      </c>
      <c r="M92" s="214" t="b">
        <v>1</v>
      </c>
      <c r="N92" s="213" t="s">
        <v>3269</v>
      </c>
      <c r="O92" s="217" t="b">
        <v>0</v>
      </c>
      <c r="P92" s="215" t="b">
        <v>0</v>
      </c>
      <c r="Q92" s="230"/>
      <c r="R92" s="217" t="b">
        <v>0</v>
      </c>
      <c r="S92" s="215" t="b">
        <v>0</v>
      </c>
      <c r="T92" s="218"/>
      <c r="U92" s="217" t="b">
        <v>0</v>
      </c>
      <c r="V92" s="215" t="b">
        <v>0</v>
      </c>
      <c r="W92" s="219"/>
      <c r="X92" s="217" t="b">
        <v>0</v>
      </c>
      <c r="Y92" s="215" t="b">
        <v>0</v>
      </c>
      <c r="Z92" s="232"/>
      <c r="AA92" s="210" t="b">
        <v>1</v>
      </c>
      <c r="AB92" s="214" t="b">
        <v>1</v>
      </c>
      <c r="AC92" s="325" t="s">
        <v>3270</v>
      </c>
      <c r="AD92" s="217" t="b">
        <v>0</v>
      </c>
      <c r="AE92" s="215" t="b">
        <v>0</v>
      </c>
      <c r="AF92" s="222"/>
      <c r="AG92" s="217" t="b">
        <v>0</v>
      </c>
      <c r="AH92" s="215" t="b">
        <v>0</v>
      </c>
      <c r="AI92" s="207"/>
      <c r="AJ92" s="217" t="b">
        <v>0</v>
      </c>
      <c r="AK92" s="215" t="b">
        <v>0</v>
      </c>
      <c r="AL92" s="224"/>
      <c r="AM92" s="217" t="b">
        <v>0</v>
      </c>
      <c r="AN92" s="215" t="b">
        <v>0</v>
      </c>
      <c r="AO92" s="207"/>
      <c r="AP92" s="207"/>
      <c r="AQ92" s="207"/>
      <c r="AR92" s="207"/>
      <c r="AS92" s="207"/>
      <c r="AT92" s="207"/>
      <c r="AU92" s="207"/>
      <c r="AV92" s="207"/>
      <c r="AW92" s="207"/>
      <c r="AX92" s="207"/>
      <c r="AY92" s="207"/>
      <c r="AZ92" s="207"/>
      <c r="BA92" s="207"/>
    </row>
    <row r="93">
      <c r="A93" s="209" t="str">
        <f>IFERROR(__xludf.DUMMYFUNCTION("""COMPUTED_VALUE"""),"CLSD CLAIMS")</f>
        <v>CLSD CLAIMS</v>
      </c>
      <c r="B93" s="209" t="str">
        <f>IFERROR(__xludf.DUMMYFUNCTION("""COMPUTED_VALUE"""),"Ivan")</f>
        <v>Ivan</v>
      </c>
      <c r="C93" s="209" t="str">
        <f>IFERROR(__xludf.DUMMYFUNCTION("""COMPUTED_VALUE"""),"Louis Gomez &amp; Lourdes Parra ")</f>
        <v>Louis Gomez &amp; Lourdes Parra </v>
      </c>
      <c r="D93" s="209" t="str">
        <f>IFERROR(__xludf.DUMMYFUNCTION("""COMPUTED_VALUE"""),"321-298-8238")</f>
        <v>321-298-8238</v>
      </c>
      <c r="E93" s="209" t="str">
        <f>IFERROR(__xludf.DUMMYFUNCTION("""COMPUTED_VALUE"""),"louisg3509@gmail.com")</f>
        <v>louisg3509@gmail.com</v>
      </c>
      <c r="F93" s="209" t="str">
        <f>IFERROR(__xludf.DUMMYFUNCTION("""COMPUTED_VALUE"""),"2200 Angel Rd SE Palm Bay, FL 32909 ")</f>
        <v>2200 Angel Rd SE Palm Bay, FL 32909 </v>
      </c>
      <c r="G93" s="209" t="str">
        <f>IFERROR(__xludf.DUMMYFUNCTION("""COMPUTED_VALUE"""),"Hurricane Ian")</f>
        <v>Hurricane Ian</v>
      </c>
      <c r="H93" s="209" t="str">
        <f>IFERROR(__xludf.DUMMYFUNCTION("""COMPUTED_VALUE"""),"New Claim")</f>
        <v>New Claim</v>
      </c>
      <c r="I93" s="210" t="b">
        <v>1</v>
      </c>
      <c r="J93" s="212" t="b">
        <v>1</v>
      </c>
      <c r="K93" s="213" t="s">
        <v>3271</v>
      </c>
      <c r="L93" s="217" t="b">
        <v>0</v>
      </c>
      <c r="M93" s="215" t="b">
        <v>0</v>
      </c>
      <c r="N93" s="238"/>
      <c r="O93" s="210" t="b">
        <v>1</v>
      </c>
      <c r="P93" s="214" t="b">
        <v>1</v>
      </c>
      <c r="Q93" s="216" t="s">
        <v>3272</v>
      </c>
      <c r="R93" s="217" t="b">
        <v>0</v>
      </c>
      <c r="S93" s="215" t="b">
        <v>0</v>
      </c>
      <c r="T93" s="218"/>
      <c r="U93" s="217" t="b">
        <v>0</v>
      </c>
      <c r="V93" s="215" t="b">
        <v>0</v>
      </c>
      <c r="W93" s="219"/>
      <c r="X93" s="217" t="b">
        <v>0</v>
      </c>
      <c r="Y93" s="215" t="b">
        <v>0</v>
      </c>
      <c r="Z93" s="232"/>
      <c r="AA93" s="217" t="b">
        <v>0</v>
      </c>
      <c r="AB93" s="215" t="b">
        <v>0</v>
      </c>
      <c r="AC93" s="221"/>
      <c r="AD93" s="217" t="b">
        <v>0</v>
      </c>
      <c r="AE93" s="215" t="b">
        <v>0</v>
      </c>
      <c r="AF93" s="222"/>
      <c r="AG93" s="217" t="b">
        <v>0</v>
      </c>
      <c r="AH93" s="215" t="b">
        <v>0</v>
      </c>
      <c r="AI93" s="207"/>
      <c r="AJ93" s="217" t="b">
        <v>0</v>
      </c>
      <c r="AK93" s="215" t="b">
        <v>0</v>
      </c>
      <c r="AL93" s="224"/>
      <c r="AM93" s="217" t="b">
        <v>0</v>
      </c>
      <c r="AN93" s="215" t="b">
        <v>0</v>
      </c>
      <c r="AO93" s="207"/>
      <c r="AP93" s="207"/>
      <c r="AQ93" s="207"/>
      <c r="AR93" s="207"/>
      <c r="AS93" s="207"/>
      <c r="AT93" s="207"/>
      <c r="AU93" s="207"/>
      <c r="AV93" s="207"/>
      <c r="AW93" s="207"/>
      <c r="AX93" s="207"/>
      <c r="AY93" s="207"/>
      <c r="AZ93" s="207"/>
      <c r="BA93" s="207"/>
    </row>
    <row r="94">
      <c r="A94" s="209" t="str">
        <f>IFERROR(__xludf.DUMMYFUNCTION("""COMPUTED_VALUE"""),"SETTLED")</f>
        <v>SETTLED</v>
      </c>
      <c r="B94" s="209" t="str">
        <f>IFERROR(__xludf.DUMMYFUNCTION("""COMPUTED_VALUE"""),"Peter")</f>
        <v>Peter</v>
      </c>
      <c r="C94" s="209" t="str">
        <f>IFERROR(__xludf.DUMMYFUNCTION("""COMPUTED_VALUE"""),"Raul Rodriguez")</f>
        <v>Raul Rodriguez</v>
      </c>
      <c r="D94" s="209" t="str">
        <f>IFERROR(__xludf.DUMMYFUNCTION("""COMPUTED_VALUE"""),"305-266-1761")</f>
        <v>305-266-1761</v>
      </c>
      <c r="E94" s="209" t="str">
        <f>IFERROR(__xludf.DUMMYFUNCTION("""COMPUTED_VALUE"""),"retrodriguez23@yahoo.com")</f>
        <v>retrodriguez23@yahoo.com</v>
      </c>
      <c r="F94" s="209" t="str">
        <f>IFERROR(__xludf.DUMMYFUNCTION("""COMPUTED_VALUE"""),"3096 SW 139th Ave Miramar, FL 33027")</f>
        <v>3096 SW 139th Ave Miramar, FL 33027</v>
      </c>
      <c r="G94" s="209" t="str">
        <f>IFERROR(__xludf.DUMMYFUNCTION("""COMPUTED_VALUE"""),"Hurricane Ian")</f>
        <v>Hurricane Ian</v>
      </c>
      <c r="H94" s="209" t="str">
        <f>IFERROR(__xludf.DUMMYFUNCTION("""COMPUTED_VALUE"""),"New Claim")</f>
        <v>New Claim</v>
      </c>
      <c r="I94" s="210" t="b">
        <v>1</v>
      </c>
      <c r="J94" s="212" t="b">
        <v>1</v>
      </c>
      <c r="K94" s="213" t="s">
        <v>3273</v>
      </c>
      <c r="L94" s="217" t="b">
        <v>0</v>
      </c>
      <c r="M94" s="215" t="b">
        <v>0</v>
      </c>
      <c r="N94" s="238"/>
      <c r="O94" s="217" t="b">
        <v>0</v>
      </c>
      <c r="P94" s="215" t="b">
        <v>0</v>
      </c>
      <c r="Q94" s="230"/>
      <c r="R94" s="217" t="b">
        <v>0</v>
      </c>
      <c r="S94" s="215" t="b">
        <v>0</v>
      </c>
      <c r="T94" s="218"/>
      <c r="U94" s="217" t="b">
        <v>0</v>
      </c>
      <c r="V94" s="215" t="b">
        <v>0</v>
      </c>
      <c r="W94" s="219"/>
      <c r="X94" s="217" t="b">
        <v>0</v>
      </c>
      <c r="Y94" s="215" t="b">
        <v>0</v>
      </c>
      <c r="Z94" s="232"/>
      <c r="AA94" s="210" t="b">
        <v>1</v>
      </c>
      <c r="AB94" s="214" t="b">
        <v>1</v>
      </c>
      <c r="AC94" s="325" t="s">
        <v>3274</v>
      </c>
      <c r="AD94" s="210" t="b">
        <v>1</v>
      </c>
      <c r="AE94" s="214" t="b">
        <v>1</v>
      </c>
      <c r="AF94" s="256" t="s">
        <v>3275</v>
      </c>
      <c r="AG94" s="217" t="b">
        <v>0</v>
      </c>
      <c r="AH94" s="215" t="b">
        <v>0</v>
      </c>
      <c r="AI94" s="207"/>
      <c r="AJ94" s="217" t="b">
        <v>0</v>
      </c>
      <c r="AK94" s="215" t="b">
        <v>0</v>
      </c>
      <c r="AL94" s="224"/>
      <c r="AM94" s="217" t="b">
        <v>0</v>
      </c>
      <c r="AN94" s="215" t="b">
        <v>0</v>
      </c>
      <c r="AO94" s="207"/>
      <c r="AP94" s="207"/>
      <c r="AQ94" s="207"/>
      <c r="AR94" s="207"/>
      <c r="AS94" s="207"/>
      <c r="AT94" s="207"/>
      <c r="AU94" s="207"/>
      <c r="AV94" s="207"/>
      <c r="AW94" s="207"/>
      <c r="AX94" s="207"/>
      <c r="AY94" s="207"/>
      <c r="AZ94" s="207"/>
      <c r="BA94" s="207"/>
    </row>
    <row r="95">
      <c r="A95" s="209" t="str">
        <f>IFERROR(__xludf.DUMMYFUNCTION("""COMPUTED_VALUE"""),"File a suit")</f>
        <v>File a suit</v>
      </c>
      <c r="B95" s="209" t="str">
        <f>IFERROR(__xludf.DUMMYFUNCTION("""COMPUTED_VALUE"""),"Ivan, Jose P.")</f>
        <v>Ivan, Jose P.</v>
      </c>
      <c r="C95" s="209" t="str">
        <f>IFERROR(__xludf.DUMMYFUNCTION("""COMPUTED_VALUE"""),"Michael Culp")</f>
        <v>Michael Culp</v>
      </c>
      <c r="D95" s="209" t="str">
        <f>IFERROR(__xludf.DUMMYFUNCTION("""COMPUTED_VALUE"""),"863-251-2971")</f>
        <v>863-251-2971</v>
      </c>
      <c r="E95" s="209" t="str">
        <f>IFERROR(__xludf.DUMMYFUNCTION("""COMPUTED_VALUE"""),"kmclyde1@aol.com")</f>
        <v>kmclyde1@aol.com</v>
      </c>
      <c r="F95" s="209" t="str">
        <f>IFERROR(__xludf.DUMMYFUNCTION("""COMPUTED_VALUE"""),"985 Kidd School Road, Mulberry, FL 33860")</f>
        <v>985 Kidd School Road, Mulberry, FL 33860</v>
      </c>
      <c r="G95" s="209" t="str">
        <f>IFERROR(__xludf.DUMMYFUNCTION("""COMPUTED_VALUE"""),"Hurricane Ian")</f>
        <v>Hurricane Ian</v>
      </c>
      <c r="H95" s="209" t="str">
        <f>IFERROR(__xludf.DUMMYFUNCTION("""COMPUTED_VALUE"""),"New Claim")</f>
        <v>New Claim</v>
      </c>
      <c r="I95" s="210" t="b">
        <v>1</v>
      </c>
      <c r="J95" s="212" t="b">
        <v>1</v>
      </c>
      <c r="K95" s="213" t="s">
        <v>3276</v>
      </c>
      <c r="L95" s="217" t="b">
        <v>0</v>
      </c>
      <c r="M95" s="215" t="b">
        <v>0</v>
      </c>
      <c r="N95" s="238"/>
      <c r="O95" s="217" t="b">
        <v>0</v>
      </c>
      <c r="P95" s="215" t="b">
        <v>0</v>
      </c>
      <c r="Q95" s="216" t="s">
        <v>3277</v>
      </c>
      <c r="R95" s="217" t="b">
        <v>0</v>
      </c>
      <c r="S95" s="215" t="b">
        <v>0</v>
      </c>
      <c r="T95" s="218"/>
      <c r="U95" s="217" t="b">
        <v>0</v>
      </c>
      <c r="V95" s="215" t="b">
        <v>0</v>
      </c>
      <c r="W95" s="219"/>
      <c r="X95" s="217" t="b">
        <v>0</v>
      </c>
      <c r="Y95" s="215" t="b">
        <v>0</v>
      </c>
      <c r="Z95" s="232"/>
      <c r="AA95" s="217" t="b">
        <v>0</v>
      </c>
      <c r="AB95" s="215" t="b">
        <v>0</v>
      </c>
      <c r="AC95" s="221"/>
      <c r="AD95" s="217" t="b">
        <v>0</v>
      </c>
      <c r="AE95" s="215" t="b">
        <v>0</v>
      </c>
      <c r="AF95" s="222"/>
      <c r="AG95" s="217" t="b">
        <v>0</v>
      </c>
      <c r="AH95" s="215" t="b">
        <v>0</v>
      </c>
      <c r="AI95" s="207"/>
      <c r="AJ95" s="217" t="b">
        <v>0</v>
      </c>
      <c r="AK95" s="215" t="b">
        <v>0</v>
      </c>
      <c r="AL95" s="224"/>
      <c r="AM95" s="217" t="b">
        <v>0</v>
      </c>
      <c r="AN95" s="215" t="b">
        <v>0</v>
      </c>
      <c r="AO95" s="207"/>
      <c r="AP95" s="207"/>
      <c r="AQ95" s="207"/>
      <c r="AR95" s="207"/>
      <c r="AS95" s="207"/>
      <c r="AT95" s="207"/>
      <c r="AU95" s="207"/>
      <c r="AV95" s="207"/>
      <c r="AW95" s="207"/>
      <c r="AX95" s="207"/>
      <c r="AY95" s="207"/>
      <c r="AZ95" s="207"/>
      <c r="BA95" s="207"/>
    </row>
    <row r="96">
      <c r="A96" s="166" t="str">
        <f>IFERROR(__xludf.DUMMYFUNCTION("""COMPUTED_VALUE"""),"CLSD CLAIMS")</f>
        <v>CLSD CLAIMS</v>
      </c>
      <c r="B96" s="166" t="str">
        <f>IFERROR(__xludf.DUMMYFUNCTION("""COMPUTED_VALUE"""),"David M.")</f>
        <v>David M.</v>
      </c>
      <c r="C96" s="267" t="str">
        <f>IFERROR(__xludf.DUMMYFUNCTION("""COMPUTED_VALUE"""),"Billy Engler")</f>
        <v>Billy Engler</v>
      </c>
      <c r="D96" s="166" t="str">
        <f>IFERROR(__xludf.DUMMYFUNCTION("""COMPUTED_VALUE"""),"863-913-4882")</f>
        <v>863-913-4882</v>
      </c>
      <c r="E96" s="166" t="str">
        <f>IFERROR(__xludf.DUMMYFUNCTION("""COMPUTED_VALUE"""),"englerb1937@gmail.com")</f>
        <v>englerb1937@gmail.com</v>
      </c>
      <c r="F96" s="166" t="str">
        <f>IFERROR(__xludf.DUMMYFUNCTION("""COMPUTED_VALUE"""),"707 NW 3rd ST, Mulberry, FL 33860")</f>
        <v>707 NW 3rd ST, Mulberry, FL 33860</v>
      </c>
      <c r="G96" s="166" t="str">
        <f>IFERROR(__xludf.DUMMYFUNCTION("""COMPUTED_VALUE"""),"Hurricane Ian")</f>
        <v>Hurricane Ian</v>
      </c>
      <c r="H96" s="166" t="str">
        <f>IFERROR(__xludf.DUMMYFUNCTION("""COMPUTED_VALUE"""),"New Claim")</f>
        <v>New Claim</v>
      </c>
      <c r="I96" s="190" t="b">
        <v>1</v>
      </c>
      <c r="J96" s="176" t="b">
        <v>1</v>
      </c>
      <c r="K96" s="268" t="s">
        <v>3280</v>
      </c>
      <c r="L96" s="173" t="b">
        <v>0</v>
      </c>
      <c r="M96" s="226" t="b">
        <v>0</v>
      </c>
      <c r="N96" s="178"/>
      <c r="O96" s="173" t="b">
        <v>0</v>
      </c>
      <c r="P96" s="226" t="b">
        <v>0</v>
      </c>
      <c r="Q96" s="311" t="s">
        <v>3281</v>
      </c>
      <c r="R96" s="173" t="b">
        <v>0</v>
      </c>
      <c r="S96" s="226" t="b">
        <v>0</v>
      </c>
      <c r="T96" s="228"/>
      <c r="U96" s="173" t="b">
        <v>0</v>
      </c>
      <c r="V96" s="226" t="b">
        <v>0</v>
      </c>
      <c r="W96" s="195"/>
      <c r="X96" s="173" t="b">
        <v>0</v>
      </c>
      <c r="Y96" s="226" t="b">
        <v>0</v>
      </c>
      <c r="Z96" s="197"/>
      <c r="AA96" s="173" t="b">
        <v>0</v>
      </c>
      <c r="AB96" s="226" t="b">
        <v>0</v>
      </c>
      <c r="AC96" s="200"/>
      <c r="AD96" s="173" t="b">
        <v>0</v>
      </c>
      <c r="AE96" s="226" t="b">
        <v>0</v>
      </c>
      <c r="AF96" s="202"/>
      <c r="AG96" s="173" t="b">
        <v>0</v>
      </c>
      <c r="AH96" s="226" t="b">
        <v>0</v>
      </c>
      <c r="AI96" s="165"/>
      <c r="AJ96" s="173" t="b">
        <v>0</v>
      </c>
      <c r="AK96" s="226" t="b">
        <v>0</v>
      </c>
      <c r="AL96" s="204"/>
      <c r="AM96" s="173" t="b">
        <v>0</v>
      </c>
      <c r="AN96" s="226" t="b">
        <v>0</v>
      </c>
      <c r="AO96" s="165"/>
      <c r="AP96" s="165"/>
      <c r="AQ96" s="165"/>
      <c r="AR96" s="165"/>
      <c r="AS96" s="165"/>
      <c r="AT96" s="165"/>
      <c r="AU96" s="165"/>
      <c r="AV96" s="165"/>
      <c r="AW96" s="165"/>
      <c r="AX96" s="165"/>
      <c r="AY96" s="165"/>
      <c r="AZ96" s="165"/>
      <c r="BA96" s="165"/>
    </row>
    <row r="97">
      <c r="A97" s="267" t="str">
        <f>IFERROR(__xludf.DUMMYFUNCTION("""COMPUTED_VALUE"""),"SETTLED")</f>
        <v>SETTLED</v>
      </c>
      <c r="B97" s="267" t="str">
        <f>IFERROR(__xludf.DUMMYFUNCTION("""COMPUTED_VALUE"""),"David M.")</f>
        <v>David M.</v>
      </c>
      <c r="C97" s="267" t="str">
        <f>IFERROR(__xludf.DUMMYFUNCTION("""COMPUTED_VALUE"""),"Florence DeZavodow")</f>
        <v>Florence DeZavodow</v>
      </c>
      <c r="D97" s="267" t="str">
        <f>IFERROR(__xludf.DUMMYFUNCTION("""COMPUTED_VALUE"""),"863-450-0929")</f>
        <v>863-450-0929</v>
      </c>
      <c r="E97" s="267" t="str">
        <f>IFERROR(__xludf.DUMMYFUNCTION("""COMPUTED_VALUE"""),"sparkle_dz@yahoo.com")</f>
        <v>sparkle_dz@yahoo.com</v>
      </c>
      <c r="F97" s="267" t="str">
        <f>IFERROR(__xludf.DUMMYFUNCTION("""COMPUTED_VALUE"""),"726 Fairway Ave, Lakeland FL 33801")</f>
        <v>726 Fairway Ave, Lakeland FL 33801</v>
      </c>
      <c r="G97" s="267" t="str">
        <f>IFERROR(__xludf.DUMMYFUNCTION("""COMPUTED_VALUE"""),"Hurricane Ian")</f>
        <v>Hurricane Ian</v>
      </c>
      <c r="H97" s="267" t="str">
        <f>IFERROR(__xludf.DUMMYFUNCTION("""COMPUTED_VALUE"""),"New Claim")</f>
        <v>New Claim</v>
      </c>
      <c r="I97" s="406" t="b">
        <v>1</v>
      </c>
      <c r="J97" s="407" t="b">
        <v>1</v>
      </c>
      <c r="K97" s="409" t="s">
        <v>3282</v>
      </c>
      <c r="L97" s="410" t="b">
        <v>0</v>
      </c>
      <c r="M97" s="412" t="b">
        <v>0</v>
      </c>
      <c r="N97" s="414"/>
      <c r="O97" s="406" t="b">
        <v>1</v>
      </c>
      <c r="P97" s="432" t="b">
        <v>1</v>
      </c>
      <c r="Q97" s="433" t="s">
        <v>3283</v>
      </c>
      <c r="R97" s="406" t="b">
        <v>1</v>
      </c>
      <c r="S97" s="432" t="b">
        <v>1</v>
      </c>
      <c r="T97" s="434" t="s">
        <v>3284</v>
      </c>
      <c r="U97" s="410" t="b">
        <v>0</v>
      </c>
      <c r="V97" s="412" t="b">
        <v>0</v>
      </c>
      <c r="W97" s="418"/>
      <c r="X97" s="410" t="b">
        <v>0</v>
      </c>
      <c r="Y97" s="412" t="b">
        <v>0</v>
      </c>
      <c r="Z97" s="419"/>
      <c r="AA97" s="410" t="b">
        <v>0</v>
      </c>
      <c r="AB97" s="412" t="b">
        <v>0</v>
      </c>
      <c r="AC97" s="420"/>
      <c r="AD97" s="410" t="b">
        <v>0</v>
      </c>
      <c r="AE97" s="412" t="b">
        <v>0</v>
      </c>
      <c r="AF97" s="421"/>
      <c r="AG97" s="406" t="b">
        <v>1</v>
      </c>
      <c r="AH97" s="432" t="b">
        <v>1</v>
      </c>
      <c r="AI97" s="435" t="s">
        <v>3285</v>
      </c>
      <c r="AJ97" s="410" t="b">
        <v>0</v>
      </c>
      <c r="AK97" s="412" t="b">
        <v>0</v>
      </c>
      <c r="AL97" s="424"/>
      <c r="AM97" s="410" t="b">
        <v>0</v>
      </c>
      <c r="AN97" s="412" t="b">
        <v>0</v>
      </c>
      <c r="AO97" s="423"/>
      <c r="AP97" s="423"/>
      <c r="AQ97" s="423"/>
      <c r="AR97" s="423"/>
      <c r="AS97" s="423"/>
      <c r="AT97" s="423"/>
      <c r="AU97" s="423"/>
      <c r="AV97" s="423"/>
      <c r="AW97" s="423"/>
      <c r="AX97" s="423"/>
      <c r="AY97" s="423"/>
      <c r="AZ97" s="423"/>
      <c r="BA97" s="423"/>
    </row>
    <row r="98">
      <c r="A98" s="209" t="str">
        <f>IFERROR(__xludf.DUMMYFUNCTION("""COMPUTED_VALUE"""),"FEES PENDING")</f>
        <v>FEES PENDING</v>
      </c>
      <c r="B98" s="209" t="str">
        <f>IFERROR(__xludf.DUMMYFUNCTION("""COMPUTED_VALUE"""),"Jakey")</f>
        <v>Jakey</v>
      </c>
      <c r="C98" s="209" t="str">
        <f>IFERROR(__xludf.DUMMYFUNCTION("""COMPUTED_VALUE"""),"Jose Rosales")</f>
        <v>Jose Rosales</v>
      </c>
      <c r="D98" s="209" t="str">
        <f>IFERROR(__xludf.DUMMYFUNCTION("""COMPUTED_VALUE"""),"863-344-2306")</f>
        <v>863-344-2306</v>
      </c>
      <c r="E98" s="209" t="str">
        <f>IFERROR(__xludf.DUMMYFUNCTION("""COMPUTED_VALUE"""),"reyleen19@gmail.com")</f>
        <v>reyleen19@gmail.com</v>
      </c>
      <c r="F98" s="209" t="str">
        <f>IFERROR(__xludf.DUMMYFUNCTION("""COMPUTED_VALUE"""),"808 SE 5th St. Mulberry, FL 33860")</f>
        <v>808 SE 5th St. Mulberry, FL 33860</v>
      </c>
      <c r="G98" s="209" t="str">
        <f>IFERROR(__xludf.DUMMYFUNCTION("""COMPUTED_VALUE"""),"Hurricane Ian")</f>
        <v>Hurricane Ian</v>
      </c>
      <c r="H98" s="209" t="str">
        <f>IFERROR(__xludf.DUMMYFUNCTION("""COMPUTED_VALUE"""),"New Claim")</f>
        <v>New Claim</v>
      </c>
      <c r="I98" s="210" t="b">
        <v>1</v>
      </c>
      <c r="J98" s="212" t="b">
        <v>1</v>
      </c>
      <c r="K98" s="331">
        <v>45356.0</v>
      </c>
      <c r="L98" s="217" t="b">
        <v>0</v>
      </c>
      <c r="M98" s="215" t="b">
        <v>0</v>
      </c>
      <c r="N98" s="238"/>
      <c r="O98" s="217" t="b">
        <v>0</v>
      </c>
      <c r="P98" s="215" t="b">
        <v>0</v>
      </c>
      <c r="Q98" s="230"/>
      <c r="R98" s="217" t="b">
        <v>0</v>
      </c>
      <c r="S98" s="215" t="b">
        <v>0</v>
      </c>
      <c r="T98" s="218"/>
      <c r="U98" s="217" t="b">
        <v>0</v>
      </c>
      <c r="V98" s="215" t="b">
        <v>0</v>
      </c>
      <c r="W98" s="219"/>
      <c r="X98" s="217" t="b">
        <v>0</v>
      </c>
      <c r="Y98" s="215" t="b">
        <v>0</v>
      </c>
      <c r="Z98" s="232"/>
      <c r="AA98" s="217" t="b">
        <v>0</v>
      </c>
      <c r="AB98" s="215" t="b">
        <v>0</v>
      </c>
      <c r="AC98" s="221"/>
      <c r="AD98" s="217" t="b">
        <v>0</v>
      </c>
      <c r="AE98" s="215" t="b">
        <v>0</v>
      </c>
      <c r="AF98" s="222"/>
      <c r="AG98" s="217" t="b">
        <v>0</v>
      </c>
      <c r="AH98" s="215" t="b">
        <v>0</v>
      </c>
      <c r="AI98" s="207"/>
      <c r="AJ98" s="217" t="b">
        <v>0</v>
      </c>
      <c r="AK98" s="215" t="b">
        <v>0</v>
      </c>
      <c r="AL98" s="224"/>
      <c r="AM98" s="217" t="b">
        <v>0</v>
      </c>
      <c r="AN98" s="215" t="b">
        <v>0</v>
      </c>
      <c r="AO98" s="207"/>
      <c r="AP98" s="207"/>
      <c r="AQ98" s="207"/>
      <c r="AR98" s="207"/>
      <c r="AS98" s="207"/>
      <c r="AT98" s="207"/>
      <c r="AU98" s="207"/>
      <c r="AV98" s="207"/>
      <c r="AW98" s="207"/>
      <c r="AX98" s="207"/>
      <c r="AY98" s="207"/>
      <c r="AZ98" s="207"/>
      <c r="BA98" s="207"/>
    </row>
    <row r="99">
      <c r="A99" s="209" t="str">
        <f>IFERROR(__xludf.DUMMYFUNCTION("""COMPUTED_VALUE"""),"SETTLED")</f>
        <v>SETTLED</v>
      </c>
      <c r="B99" s="209" t="str">
        <f>IFERROR(__xludf.DUMMYFUNCTION("""COMPUTED_VALUE"""),"Jakey")</f>
        <v>Jakey</v>
      </c>
      <c r="C99" s="209" t="str">
        <f>IFERROR(__xludf.DUMMYFUNCTION("""COMPUTED_VALUE"""),"Danielle Defelice")</f>
        <v>Danielle Defelice</v>
      </c>
      <c r="D99" s="209" t="str">
        <f>IFERROR(__xludf.DUMMYFUNCTION("""COMPUTED_VALUE"""),"863-307-5704")</f>
        <v>863-307-5704</v>
      </c>
      <c r="E99" s="209" t="str">
        <f>IFERROR(__xludf.DUMMYFUNCTION("""COMPUTED_VALUE"""),"ddefelice_mfhh@yahoo.com")</f>
        <v>ddefelice_mfhh@yahoo.com</v>
      </c>
      <c r="F99" s="209" t="str">
        <f>IFERROR(__xludf.DUMMYFUNCTION("""COMPUTED_VALUE"""),"901 Glad Rd Winter Haven, FL 33880")</f>
        <v>901 Glad Rd Winter Haven, FL 33880</v>
      </c>
      <c r="G99" s="209" t="str">
        <f>IFERROR(__xludf.DUMMYFUNCTION("""COMPUTED_VALUE"""),"Hurricane Ian")</f>
        <v>Hurricane Ian</v>
      </c>
      <c r="H99" s="209" t="str">
        <f>IFERROR(__xludf.DUMMYFUNCTION("""COMPUTED_VALUE"""),"New Claim")</f>
        <v>New Claim</v>
      </c>
      <c r="I99" s="210" t="b">
        <v>1</v>
      </c>
      <c r="J99" s="212" t="b">
        <v>1</v>
      </c>
      <c r="K99" s="213" t="s">
        <v>3287</v>
      </c>
      <c r="L99" s="217" t="b">
        <v>0</v>
      </c>
      <c r="M99" s="215" t="b">
        <v>0</v>
      </c>
      <c r="N99" s="238"/>
      <c r="O99" s="210" t="b">
        <v>1</v>
      </c>
      <c r="P99" s="214" t="b">
        <v>1</v>
      </c>
      <c r="Q99" s="216" t="s">
        <v>3288</v>
      </c>
      <c r="R99" s="217" t="b">
        <v>0</v>
      </c>
      <c r="S99" s="215" t="b">
        <v>0</v>
      </c>
      <c r="T99" s="218"/>
      <c r="U99" s="217" t="b">
        <v>0</v>
      </c>
      <c r="V99" s="215" t="b">
        <v>0</v>
      </c>
      <c r="W99" s="219"/>
      <c r="X99" s="210" t="b">
        <v>1</v>
      </c>
      <c r="Y99" s="214" t="b">
        <v>1</v>
      </c>
      <c r="Z99" s="220" t="s">
        <v>3289</v>
      </c>
      <c r="AA99" s="217" t="b">
        <v>0</v>
      </c>
      <c r="AB99" s="215" t="b">
        <v>0</v>
      </c>
      <c r="AC99" s="221"/>
      <c r="AD99" s="217" t="b">
        <v>0</v>
      </c>
      <c r="AE99" s="215" t="b">
        <v>0</v>
      </c>
      <c r="AF99" s="222"/>
      <c r="AG99" s="217" t="b">
        <v>0</v>
      </c>
      <c r="AH99" s="215" t="b">
        <v>0</v>
      </c>
      <c r="AI99" s="207"/>
      <c r="AJ99" s="217" t="b">
        <v>0</v>
      </c>
      <c r="AK99" s="215" t="b">
        <v>0</v>
      </c>
      <c r="AL99" s="224"/>
      <c r="AM99" s="217" t="b">
        <v>0</v>
      </c>
      <c r="AN99" s="215" t="b">
        <v>0</v>
      </c>
      <c r="AO99" s="207"/>
      <c r="AP99" s="207"/>
      <c r="AQ99" s="207"/>
      <c r="AR99" s="207"/>
      <c r="AS99" s="207"/>
      <c r="AT99" s="207"/>
      <c r="AU99" s="207"/>
      <c r="AV99" s="207"/>
      <c r="AW99" s="207"/>
      <c r="AX99" s="207"/>
      <c r="AY99" s="207"/>
      <c r="AZ99" s="207"/>
      <c r="BA99" s="207"/>
    </row>
    <row r="100">
      <c r="A100" s="209" t="str">
        <f>IFERROR(__xludf.DUMMYFUNCTION("""COMPUTED_VALUE"""),"PEN O&amp;L/DEPRECIATION")</f>
        <v>PEN O&amp;L/DEPRECIATION</v>
      </c>
      <c r="B100" s="209" t="str">
        <f>IFERROR(__xludf.DUMMYFUNCTION("""COMPUTED_VALUE"""),"Jakey")</f>
        <v>Jakey</v>
      </c>
      <c r="C100" s="209" t="str">
        <f>IFERROR(__xludf.DUMMYFUNCTION("""COMPUTED_VALUE"""),"Jose Hernandez")</f>
        <v>Jose Hernandez</v>
      </c>
      <c r="D100" s="209" t="str">
        <f>IFERROR(__xludf.DUMMYFUNCTION("""COMPUTED_VALUE"""),"863-513-9717")</f>
        <v>863-513-9717</v>
      </c>
      <c r="E100" s="209" t="str">
        <f>IFERROR(__xludf.DUMMYFUNCTION("""COMPUTED_VALUE"""),"ramonhernandez0944@gmail.com")</f>
        <v>ramonhernandez0944@gmail.com</v>
      </c>
      <c r="F100" s="209" t="str">
        <f>IFERROR(__xludf.DUMMYFUNCTION("""COMPUTED_VALUE"""),"403 Fern Rd Winter Haven, FL 33880")</f>
        <v>403 Fern Rd Winter Haven, FL 33880</v>
      </c>
      <c r="G100" s="209" t="str">
        <f>IFERROR(__xludf.DUMMYFUNCTION("""COMPUTED_VALUE"""),"Hurricane Ian")</f>
        <v>Hurricane Ian</v>
      </c>
      <c r="H100" s="209" t="str">
        <f>IFERROR(__xludf.DUMMYFUNCTION("""COMPUTED_VALUE"""),"Reopen")</f>
        <v>Reopen</v>
      </c>
      <c r="I100" s="210" t="b">
        <v>1</v>
      </c>
      <c r="J100" s="212" t="b">
        <v>1</v>
      </c>
      <c r="K100" s="213" t="s">
        <v>3290</v>
      </c>
      <c r="L100" s="217" t="b">
        <v>0</v>
      </c>
      <c r="M100" s="215" t="b">
        <v>0</v>
      </c>
      <c r="N100" s="238"/>
      <c r="O100" s="217" t="b">
        <v>0</v>
      </c>
      <c r="P100" s="215" t="b">
        <v>0</v>
      </c>
      <c r="Q100" s="230"/>
      <c r="R100" s="217" t="b">
        <v>0</v>
      </c>
      <c r="S100" s="215" t="b">
        <v>0</v>
      </c>
      <c r="T100" s="218"/>
      <c r="U100" s="217" t="b">
        <v>0</v>
      </c>
      <c r="V100" s="215" t="b">
        <v>0</v>
      </c>
      <c r="W100" s="219"/>
      <c r="X100" s="217" t="b">
        <v>0</v>
      </c>
      <c r="Y100" s="215" t="b">
        <v>0</v>
      </c>
      <c r="Z100" s="232"/>
      <c r="AA100" s="217" t="b">
        <v>0</v>
      </c>
      <c r="AB100" s="215" t="b">
        <v>0</v>
      </c>
      <c r="AC100" s="221"/>
      <c r="AD100" s="217" t="b">
        <v>0</v>
      </c>
      <c r="AE100" s="215" t="b">
        <v>0</v>
      </c>
      <c r="AF100" s="222"/>
      <c r="AG100" s="217" t="b">
        <v>0</v>
      </c>
      <c r="AH100" s="215" t="b">
        <v>0</v>
      </c>
      <c r="AI100" s="207"/>
      <c r="AJ100" s="217" t="b">
        <v>0</v>
      </c>
      <c r="AK100" s="215" t="b">
        <v>0</v>
      </c>
      <c r="AL100" s="224"/>
      <c r="AM100" s="217" t="b">
        <v>0</v>
      </c>
      <c r="AN100" s="215" t="b">
        <v>0</v>
      </c>
      <c r="AO100" s="207"/>
      <c r="AP100" s="207"/>
      <c r="AQ100" s="207"/>
      <c r="AR100" s="207"/>
      <c r="AS100" s="207"/>
      <c r="AT100" s="207"/>
      <c r="AU100" s="207"/>
      <c r="AV100" s="207"/>
      <c r="AW100" s="207"/>
      <c r="AX100" s="207"/>
      <c r="AY100" s="207"/>
      <c r="AZ100" s="207"/>
      <c r="BA100" s="207"/>
    </row>
    <row r="101">
      <c r="A101" s="209" t="str">
        <f>IFERROR(__xludf.DUMMYFUNCTION("""COMPUTED_VALUE"""),"PEN O&amp;L/DEPRECIATION")</f>
        <v>PEN O&amp;L/DEPRECIATION</v>
      </c>
      <c r="B101" s="209" t="str">
        <f>IFERROR(__xludf.DUMMYFUNCTION("""COMPUTED_VALUE"""),"Juan")</f>
        <v>Juan</v>
      </c>
      <c r="C101" s="209" t="str">
        <f>IFERROR(__xludf.DUMMYFUNCTION("""COMPUTED_VALUE"""),"John Cherundolo")</f>
        <v>John Cherundolo</v>
      </c>
      <c r="D101" s="209" t="str">
        <f>IFERROR(__xludf.DUMMYFUNCTION("""COMPUTED_VALUE"""),"239-282-0430")</f>
        <v>239-282-0430</v>
      </c>
      <c r="E101" s="209" t="str">
        <f>IFERROR(__xludf.DUMMYFUNCTION("""COMPUTED_VALUE"""),"cherunjohn@gmail.com")</f>
        <v>cherunjohn@gmail.com</v>
      </c>
      <c r="F101" s="209" t="str">
        <f>IFERROR(__xludf.DUMMYFUNCTION("""COMPUTED_VALUE"""),"2917 NW 20th PL Cape Coral FL 33993")</f>
        <v>2917 NW 20th PL Cape Coral FL 33993</v>
      </c>
      <c r="G101" s="209" t="str">
        <f>IFERROR(__xludf.DUMMYFUNCTION("""COMPUTED_VALUE"""),"Hurricane Ian")</f>
        <v>Hurricane Ian</v>
      </c>
      <c r="H101" s="209" t="str">
        <f>IFERROR(__xludf.DUMMYFUNCTION("""COMPUTED_VALUE"""),"Reopen")</f>
        <v>Reopen</v>
      </c>
      <c r="I101" s="210" t="b">
        <v>1</v>
      </c>
      <c r="J101" s="212" t="b">
        <v>1</v>
      </c>
      <c r="K101" s="213" t="s">
        <v>3291</v>
      </c>
      <c r="L101" s="217" t="b">
        <v>0</v>
      </c>
      <c r="M101" s="215" t="b">
        <v>0</v>
      </c>
      <c r="N101" s="238"/>
      <c r="O101" s="217" t="b">
        <v>0</v>
      </c>
      <c r="P101" s="215" t="b">
        <v>0</v>
      </c>
      <c r="Q101" s="230"/>
      <c r="R101" s="210" t="b">
        <v>1</v>
      </c>
      <c r="S101" s="214" t="b">
        <v>1</v>
      </c>
      <c r="T101" s="388" t="s">
        <v>3292</v>
      </c>
      <c r="U101" s="217" t="b">
        <v>0</v>
      </c>
      <c r="V101" s="215" t="b">
        <v>0</v>
      </c>
      <c r="W101" s="219"/>
      <c r="X101" s="210" t="b">
        <v>1</v>
      </c>
      <c r="Y101" s="214" t="b">
        <v>1</v>
      </c>
      <c r="Z101" s="220" t="s">
        <v>3293</v>
      </c>
      <c r="AA101" s="217" t="b">
        <v>0</v>
      </c>
      <c r="AB101" s="215" t="b">
        <v>0</v>
      </c>
      <c r="AC101" s="221"/>
      <c r="AD101" s="217" t="b">
        <v>0</v>
      </c>
      <c r="AE101" s="215" t="b">
        <v>0</v>
      </c>
      <c r="AF101" s="222"/>
      <c r="AG101" s="217" t="b">
        <v>0</v>
      </c>
      <c r="AH101" s="215" t="b">
        <v>0</v>
      </c>
      <c r="AI101" s="207"/>
      <c r="AJ101" s="217" t="b">
        <v>0</v>
      </c>
      <c r="AK101" s="215" t="b">
        <v>0</v>
      </c>
      <c r="AL101" s="224"/>
      <c r="AM101" s="217" t="b">
        <v>0</v>
      </c>
      <c r="AN101" s="215" t="b">
        <v>0</v>
      </c>
      <c r="AO101" s="207"/>
      <c r="AP101" s="207"/>
      <c r="AQ101" s="207"/>
      <c r="AR101" s="207"/>
      <c r="AS101" s="207"/>
      <c r="AT101" s="207"/>
      <c r="AU101" s="207"/>
      <c r="AV101" s="207"/>
      <c r="AW101" s="207"/>
      <c r="AX101" s="207"/>
      <c r="AY101" s="207"/>
      <c r="AZ101" s="207"/>
      <c r="BA101" s="207"/>
    </row>
    <row r="102">
      <c r="A102" s="209" t="str">
        <f>IFERROR(__xludf.DUMMYFUNCTION("""COMPUTED_VALUE"""),"STAND BY")</f>
        <v>STAND BY</v>
      </c>
      <c r="B102" s="209" t="str">
        <f>IFERROR(__xludf.DUMMYFUNCTION("""COMPUTED_VALUE"""),"Peter")</f>
        <v>Peter</v>
      </c>
      <c r="C102" s="209" t="str">
        <f>IFERROR(__xludf.DUMMYFUNCTION("""COMPUTED_VALUE"""),"Judy Nunez")</f>
        <v>Judy Nunez</v>
      </c>
      <c r="D102" s="209" t="str">
        <f>IFERROR(__xludf.DUMMYFUNCTION("""COMPUTED_VALUE"""),"305-781-0205")</f>
        <v>305-781-0205</v>
      </c>
      <c r="E102" s="209" t="str">
        <f>IFERROR(__xludf.DUMMYFUNCTION("""COMPUTED_VALUE"""),"yordanynunez@hotmail.com")</f>
        <v>yordanynunez@hotmail.com</v>
      </c>
      <c r="F102" s="209" t="str">
        <f>IFERROR(__xludf.DUMMYFUNCTION("""COMPUTED_VALUE"""),"540 E 10th ST Hialeah, FL 33010")</f>
        <v>540 E 10th ST Hialeah, FL 33010</v>
      </c>
      <c r="G102" s="209" t="str">
        <f>IFERROR(__xludf.DUMMYFUNCTION("""COMPUTED_VALUE"""),"Hurricane Ian")</f>
        <v>Hurricane Ian</v>
      </c>
      <c r="H102" s="209" t="str">
        <f>IFERROR(__xludf.DUMMYFUNCTION("""COMPUTED_VALUE"""),"New Claim")</f>
        <v>New Claim</v>
      </c>
      <c r="I102" s="210" t="b">
        <v>1</v>
      </c>
      <c r="J102" s="212" t="b">
        <v>1</v>
      </c>
      <c r="K102" s="213" t="s">
        <v>3294</v>
      </c>
      <c r="L102" s="217" t="b">
        <v>0</v>
      </c>
      <c r="M102" s="215" t="b">
        <v>0</v>
      </c>
      <c r="N102" s="238"/>
      <c r="O102" s="210" t="b">
        <v>1</v>
      </c>
      <c r="P102" s="214" t="b">
        <v>1</v>
      </c>
      <c r="Q102" s="216" t="s">
        <v>3295</v>
      </c>
      <c r="R102" s="217" t="b">
        <v>0</v>
      </c>
      <c r="S102" s="215" t="b">
        <v>0</v>
      </c>
      <c r="T102" s="218"/>
      <c r="U102" s="217" t="b">
        <v>0</v>
      </c>
      <c r="V102" s="215" t="b">
        <v>0</v>
      </c>
      <c r="W102" s="219"/>
      <c r="X102" s="217" t="b">
        <v>0</v>
      </c>
      <c r="Y102" s="215" t="b">
        <v>0</v>
      </c>
      <c r="Z102" s="232"/>
      <c r="AA102" s="217" t="b">
        <v>0</v>
      </c>
      <c r="AB102" s="215" t="b">
        <v>0</v>
      </c>
      <c r="AC102" s="221"/>
      <c r="AD102" s="217" t="b">
        <v>0</v>
      </c>
      <c r="AE102" s="215" t="b">
        <v>0</v>
      </c>
      <c r="AF102" s="222"/>
      <c r="AG102" s="217" t="b">
        <v>0</v>
      </c>
      <c r="AH102" s="215" t="b">
        <v>0</v>
      </c>
      <c r="AI102" s="207"/>
      <c r="AJ102" s="217" t="b">
        <v>0</v>
      </c>
      <c r="AK102" s="215" t="b">
        <v>0</v>
      </c>
      <c r="AL102" s="224"/>
      <c r="AM102" s="217" t="b">
        <v>0</v>
      </c>
      <c r="AN102" s="215" t="b">
        <v>0</v>
      </c>
      <c r="AO102" s="207"/>
      <c r="AP102" s="207"/>
      <c r="AQ102" s="207"/>
      <c r="AR102" s="207"/>
      <c r="AS102" s="207"/>
      <c r="AT102" s="207"/>
      <c r="AU102" s="207"/>
      <c r="AV102" s="207"/>
      <c r="AW102" s="207"/>
      <c r="AX102" s="207"/>
      <c r="AY102" s="207"/>
      <c r="AZ102" s="207"/>
      <c r="BA102" s="207"/>
    </row>
    <row r="103">
      <c r="A103" s="209" t="str">
        <f>IFERROR(__xludf.DUMMYFUNCTION("""COMPUTED_VALUE"""),"SETTLED")</f>
        <v>SETTLED</v>
      </c>
      <c r="B103" s="209" t="str">
        <f>IFERROR(__xludf.DUMMYFUNCTION("""COMPUTED_VALUE"""),"Peter")</f>
        <v>Peter</v>
      </c>
      <c r="C103" s="209" t="str">
        <f>IFERROR(__xludf.DUMMYFUNCTION("""COMPUTED_VALUE"""),"Emanuel518 Enterprises LLC (Markus Khalil)")</f>
        <v>Emanuel518 Enterprises LLC (Markus Khalil)</v>
      </c>
      <c r="D103" s="209" t="str">
        <f>IFERROR(__xludf.DUMMYFUNCTION("""COMPUTED_VALUE"""),"407-929-3450")</f>
        <v>407-929-3450</v>
      </c>
      <c r="E103" s="209" t="str">
        <f>IFERROR(__xludf.DUMMYFUNCTION("""COMPUTED_VALUE"""),"markus.buysell@gmail.com")</f>
        <v>markus.buysell@gmail.com</v>
      </c>
      <c r="F103" s="209" t="str">
        <f>IFERROR(__xludf.DUMMYFUNCTION("""COMPUTED_VALUE"""),"4750 Cypress Gardens Rd Winter Haven, FL 33884")</f>
        <v>4750 Cypress Gardens Rd Winter Haven, FL 33884</v>
      </c>
      <c r="G103" s="209" t="str">
        <f>IFERROR(__xludf.DUMMYFUNCTION("""COMPUTED_VALUE"""),"Hurricane Ian")</f>
        <v>Hurricane Ian</v>
      </c>
      <c r="H103" s="209" t="str">
        <f>IFERROR(__xludf.DUMMYFUNCTION("""COMPUTED_VALUE"""),"New Claim")</f>
        <v>New Claim</v>
      </c>
      <c r="I103" s="210" t="b">
        <v>0</v>
      </c>
      <c r="J103" s="212" t="b">
        <v>0</v>
      </c>
      <c r="K103" s="238"/>
      <c r="L103" s="217" t="b">
        <v>0</v>
      </c>
      <c r="M103" s="215" t="b">
        <v>0</v>
      </c>
      <c r="N103" s="238"/>
      <c r="O103" s="217" t="b">
        <v>0</v>
      </c>
      <c r="P103" s="215" t="b">
        <v>0</v>
      </c>
      <c r="Q103" s="230"/>
      <c r="R103" s="217" t="b">
        <v>0</v>
      </c>
      <c r="S103" s="215" t="b">
        <v>0</v>
      </c>
      <c r="T103" s="218"/>
      <c r="U103" s="210" t="b">
        <v>1</v>
      </c>
      <c r="V103" s="214" t="b">
        <v>1</v>
      </c>
      <c r="W103" s="316" t="s">
        <v>3297</v>
      </c>
      <c r="X103" s="217" t="b">
        <v>0</v>
      </c>
      <c r="Y103" s="215" t="b">
        <v>0</v>
      </c>
      <c r="Z103" s="232"/>
      <c r="AA103" s="217" t="b">
        <v>0</v>
      </c>
      <c r="AB103" s="215" t="b">
        <v>0</v>
      </c>
      <c r="AC103" s="221"/>
      <c r="AD103" s="217" t="b">
        <v>0</v>
      </c>
      <c r="AE103" s="215" t="b">
        <v>0</v>
      </c>
      <c r="AF103" s="222"/>
      <c r="AG103" s="217" t="b">
        <v>0</v>
      </c>
      <c r="AH103" s="215" t="b">
        <v>0</v>
      </c>
      <c r="AI103" s="207"/>
      <c r="AJ103" s="217" t="b">
        <v>0</v>
      </c>
      <c r="AK103" s="215" t="b">
        <v>0</v>
      </c>
      <c r="AL103" s="224"/>
      <c r="AM103" s="217" t="b">
        <v>0</v>
      </c>
      <c r="AN103" s="215" t="b">
        <v>0</v>
      </c>
      <c r="AO103" s="207"/>
      <c r="AP103" s="207"/>
      <c r="AQ103" s="207"/>
      <c r="AR103" s="207"/>
      <c r="AS103" s="207"/>
      <c r="AT103" s="207"/>
      <c r="AU103" s="207"/>
      <c r="AV103" s="207"/>
      <c r="AW103" s="207"/>
      <c r="AX103" s="207"/>
      <c r="AY103" s="207"/>
      <c r="AZ103" s="207"/>
      <c r="BA103" s="207"/>
    </row>
    <row r="104">
      <c r="A104" s="209" t="str">
        <f>IFERROR(__xludf.DUMMYFUNCTION("""COMPUTED_VALUE"""),"SETTLED")</f>
        <v>SETTLED</v>
      </c>
      <c r="B104" s="209" t="str">
        <f>IFERROR(__xludf.DUMMYFUNCTION("""COMPUTED_VALUE"""),"Juan")</f>
        <v>Juan</v>
      </c>
      <c r="C104" s="209" t="str">
        <f>IFERROR(__xludf.DUMMYFUNCTION("""COMPUTED_VALUE"""),"Dorothy Sumpter")</f>
        <v>Dorothy Sumpter</v>
      </c>
      <c r="D104" s="209" t="str">
        <f>IFERROR(__xludf.DUMMYFUNCTION("""COMPUTED_VALUE"""),"941-769-3396")</f>
        <v>941-769-3396</v>
      </c>
      <c r="E104" s="209" t="str">
        <f>IFERROR(__xludf.DUMMYFUNCTION("""COMPUTED_VALUE"""),"dispatchtrans@yahoo.com")</f>
        <v>dispatchtrans@yahoo.com</v>
      </c>
      <c r="F104" s="209" t="str">
        <f>IFERROR(__xludf.DUMMYFUNCTION("""COMPUTED_VALUE"""),"17298 Poston Ave, Port Charlotte FL 33948")</f>
        <v>17298 Poston Ave, Port Charlotte FL 33948</v>
      </c>
      <c r="G104" s="209" t="str">
        <f>IFERROR(__xludf.DUMMYFUNCTION("""COMPUTED_VALUE"""),"Hurricane Ian")</f>
        <v>Hurricane Ian</v>
      </c>
      <c r="H104" s="209" t="str">
        <f>IFERROR(__xludf.DUMMYFUNCTION("""COMPUTED_VALUE"""),"New Claim")</f>
        <v>New Claim</v>
      </c>
      <c r="I104" s="217" t="b">
        <v>0</v>
      </c>
      <c r="J104" s="229" t="b">
        <v>0</v>
      </c>
      <c r="K104" s="238"/>
      <c r="L104" s="217" t="b">
        <v>0</v>
      </c>
      <c r="M104" s="215" t="b">
        <v>0</v>
      </c>
      <c r="N104" s="238"/>
      <c r="O104" s="217" t="b">
        <v>0</v>
      </c>
      <c r="P104" s="215" t="b">
        <v>0</v>
      </c>
      <c r="Q104" s="230"/>
      <c r="R104" s="217" t="b">
        <v>0</v>
      </c>
      <c r="S104" s="215" t="b">
        <v>0</v>
      </c>
      <c r="T104" s="218"/>
      <c r="U104" s="210" t="b">
        <v>1</v>
      </c>
      <c r="V104" s="214" t="b">
        <v>1</v>
      </c>
      <c r="W104" s="316" t="s">
        <v>3298</v>
      </c>
      <c r="X104" s="217" t="b">
        <v>0</v>
      </c>
      <c r="Y104" s="215" t="b">
        <v>0</v>
      </c>
      <c r="Z104" s="232"/>
      <c r="AA104" s="217" t="b">
        <v>0</v>
      </c>
      <c r="AB104" s="215" t="b">
        <v>0</v>
      </c>
      <c r="AC104" s="221"/>
      <c r="AD104" s="217" t="b">
        <v>0</v>
      </c>
      <c r="AE104" s="215" t="b">
        <v>0</v>
      </c>
      <c r="AF104" s="222"/>
      <c r="AG104" s="217" t="b">
        <v>0</v>
      </c>
      <c r="AH104" s="215" t="b">
        <v>0</v>
      </c>
      <c r="AI104" s="207"/>
      <c r="AJ104" s="217" t="b">
        <v>0</v>
      </c>
      <c r="AK104" s="215" t="b">
        <v>0</v>
      </c>
      <c r="AL104" s="224"/>
      <c r="AM104" s="217" t="b">
        <v>0</v>
      </c>
      <c r="AN104" s="215" t="b">
        <v>0</v>
      </c>
      <c r="AO104" s="207"/>
      <c r="AP104" s="207"/>
      <c r="AQ104" s="207"/>
      <c r="AR104" s="207"/>
      <c r="AS104" s="207"/>
      <c r="AT104" s="207"/>
      <c r="AU104" s="207"/>
      <c r="AV104" s="207"/>
      <c r="AW104" s="207"/>
      <c r="AX104" s="207"/>
      <c r="AY104" s="207"/>
      <c r="AZ104" s="207"/>
      <c r="BA104" s="207"/>
    </row>
    <row r="105">
      <c r="A105" s="209" t="str">
        <f>IFERROR(__xludf.DUMMYFUNCTION("""COMPUTED_VALUE"""),"SETTLED")</f>
        <v>SETTLED</v>
      </c>
      <c r="B105" s="209" t="str">
        <f>IFERROR(__xludf.DUMMYFUNCTION("""COMPUTED_VALUE"""),"Juan")</f>
        <v>Juan</v>
      </c>
      <c r="C105" s="209" t="str">
        <f>IFERROR(__xludf.DUMMYFUNCTION("""COMPUTED_VALUE"""),"Eddy Ramos ")</f>
        <v>Eddy Ramos </v>
      </c>
      <c r="D105" s="209" t="str">
        <f>IFERROR(__xludf.DUMMYFUNCTION("""COMPUTED_VALUE"""),"239-745-0472")</f>
        <v>239-745-0472</v>
      </c>
      <c r="E105" s="209" t="str">
        <f>IFERROR(__xludf.DUMMYFUNCTION("""COMPUTED_VALUE"""),"ramosbigman@gmail.com")</f>
        <v>ramosbigman@gmail.com</v>
      </c>
      <c r="F105" s="209" t="str">
        <f>IFERROR(__xludf.DUMMYFUNCTION("""COMPUTED_VALUE"""),"501 Brian Ave North, Lehigh acres FL 33971")</f>
        <v>501 Brian Ave North, Lehigh acres FL 33971</v>
      </c>
      <c r="G105" s="209" t="str">
        <f>IFERROR(__xludf.DUMMYFUNCTION("""COMPUTED_VALUE"""),"Hurricane Ian")</f>
        <v>Hurricane Ian</v>
      </c>
      <c r="H105" s="209" t="str">
        <f>IFERROR(__xludf.DUMMYFUNCTION("""COMPUTED_VALUE"""),"New Claim")</f>
        <v>New Claim</v>
      </c>
      <c r="I105" s="217" t="b">
        <v>0</v>
      </c>
      <c r="J105" s="229" t="b">
        <v>0</v>
      </c>
      <c r="K105" s="238"/>
      <c r="L105" s="217" t="b">
        <v>0</v>
      </c>
      <c r="M105" s="215" t="b">
        <v>0</v>
      </c>
      <c r="N105" s="238"/>
      <c r="O105" s="217" t="b">
        <v>0</v>
      </c>
      <c r="P105" s="215" t="b">
        <v>0</v>
      </c>
      <c r="Q105" s="230"/>
      <c r="R105" s="210" t="b">
        <v>1</v>
      </c>
      <c r="S105" s="214" t="b">
        <v>1</v>
      </c>
      <c r="T105" s="388" t="s">
        <v>3299</v>
      </c>
      <c r="U105" s="217" t="b">
        <v>0</v>
      </c>
      <c r="V105" s="215" t="b">
        <v>0</v>
      </c>
      <c r="W105" s="219"/>
      <c r="X105" s="217" t="b">
        <v>0</v>
      </c>
      <c r="Y105" s="215" t="b">
        <v>0</v>
      </c>
      <c r="Z105" s="232"/>
      <c r="AA105" s="217" t="b">
        <v>0</v>
      </c>
      <c r="AB105" s="215" t="b">
        <v>0</v>
      </c>
      <c r="AC105" s="221"/>
      <c r="AD105" s="217" t="b">
        <v>0</v>
      </c>
      <c r="AE105" s="215" t="b">
        <v>0</v>
      </c>
      <c r="AF105" s="222"/>
      <c r="AG105" s="217" t="b">
        <v>0</v>
      </c>
      <c r="AH105" s="215" t="b">
        <v>0</v>
      </c>
      <c r="AI105" s="207"/>
      <c r="AJ105" s="217" t="b">
        <v>0</v>
      </c>
      <c r="AK105" s="215" t="b">
        <v>0</v>
      </c>
      <c r="AL105" s="224"/>
      <c r="AM105" s="217" t="b">
        <v>0</v>
      </c>
      <c r="AN105" s="215" t="b">
        <v>0</v>
      </c>
      <c r="AO105" s="207"/>
      <c r="AP105" s="207"/>
      <c r="AQ105" s="207"/>
      <c r="AR105" s="207"/>
      <c r="AS105" s="207"/>
      <c r="AT105" s="207"/>
      <c r="AU105" s="207"/>
      <c r="AV105" s="207"/>
      <c r="AW105" s="207"/>
      <c r="AX105" s="207"/>
      <c r="AY105" s="207"/>
      <c r="AZ105" s="207"/>
      <c r="BA105" s="207"/>
    </row>
    <row r="106">
      <c r="A106" s="209" t="str">
        <f>IFERROR(__xludf.DUMMYFUNCTION("""COMPUTED_VALUE"""),"SETTLED")</f>
        <v>SETTLED</v>
      </c>
      <c r="B106" s="209" t="str">
        <f>IFERROR(__xludf.DUMMYFUNCTION("""COMPUTED_VALUE"""),"Joshua")</f>
        <v>Joshua</v>
      </c>
      <c r="C106" s="209" t="str">
        <f>IFERROR(__xludf.DUMMYFUNCTION("""COMPUTED_VALUE"""),"Jackeline Silva ")</f>
        <v>Jackeline Silva </v>
      </c>
      <c r="D106" s="209" t="str">
        <f>IFERROR(__xludf.DUMMYFUNCTION("""COMPUTED_VALUE"""),"941-586-2960")</f>
        <v>941-586-2960</v>
      </c>
      <c r="E106" s="209" t="str">
        <f>IFERROR(__xludf.DUMMYFUNCTION("""COMPUTED_VALUE"""),"jackiesilva11@gmail.com")</f>
        <v>jackiesilva11@gmail.com</v>
      </c>
      <c r="F106" s="209" t="str">
        <f>IFERROR(__xludf.DUMMYFUNCTION("""COMPUTED_VALUE"""),"6626 Brentford Rd Sarasota Fl, 34241")</f>
        <v>6626 Brentford Rd Sarasota Fl, 34241</v>
      </c>
      <c r="G106" s="209" t="str">
        <f>IFERROR(__xludf.DUMMYFUNCTION("""COMPUTED_VALUE"""),"Hurricane Ian")</f>
        <v>Hurricane Ian</v>
      </c>
      <c r="H106" s="209" t="str">
        <f>IFERROR(__xludf.DUMMYFUNCTION("""COMPUTED_VALUE"""),"New Claim")</f>
        <v>New Claim</v>
      </c>
      <c r="I106" s="217" t="b">
        <v>0</v>
      </c>
      <c r="J106" s="229" t="b">
        <v>0</v>
      </c>
      <c r="K106" s="238"/>
      <c r="L106" s="217" t="b">
        <v>0</v>
      </c>
      <c r="M106" s="215" t="b">
        <v>0</v>
      </c>
      <c r="N106" s="238"/>
      <c r="O106" s="217" t="b">
        <v>0</v>
      </c>
      <c r="P106" s="215" t="b">
        <v>0</v>
      </c>
      <c r="Q106" s="230"/>
      <c r="R106" s="217" t="b">
        <v>0</v>
      </c>
      <c r="S106" s="215" t="b">
        <v>0</v>
      </c>
      <c r="T106" s="218"/>
      <c r="U106" s="217" t="b">
        <v>0</v>
      </c>
      <c r="V106" s="215" t="b">
        <v>0</v>
      </c>
      <c r="W106" s="219"/>
      <c r="X106" s="217" t="b">
        <v>0</v>
      </c>
      <c r="Y106" s="215" t="b">
        <v>0</v>
      </c>
      <c r="Z106" s="232"/>
      <c r="AA106" s="217" t="b">
        <v>0</v>
      </c>
      <c r="AB106" s="215" t="b">
        <v>0</v>
      </c>
      <c r="AC106" s="221"/>
      <c r="AD106" s="217" t="b">
        <v>0</v>
      </c>
      <c r="AE106" s="215" t="b">
        <v>0</v>
      </c>
      <c r="AF106" s="222"/>
      <c r="AG106" s="217" t="b">
        <v>0</v>
      </c>
      <c r="AH106" s="215" t="b">
        <v>0</v>
      </c>
      <c r="AI106" s="207"/>
      <c r="AJ106" s="217" t="b">
        <v>0</v>
      </c>
      <c r="AK106" s="215" t="b">
        <v>0</v>
      </c>
      <c r="AL106" s="224"/>
      <c r="AM106" s="217" t="b">
        <v>0</v>
      </c>
      <c r="AN106" s="215" t="b">
        <v>0</v>
      </c>
      <c r="AO106" s="207"/>
      <c r="AP106" s="207"/>
      <c r="AQ106" s="207"/>
      <c r="AR106" s="207"/>
      <c r="AS106" s="207"/>
      <c r="AT106" s="207"/>
      <c r="AU106" s="207"/>
      <c r="AV106" s="207"/>
      <c r="AW106" s="207"/>
      <c r="AX106" s="207"/>
      <c r="AY106" s="207"/>
      <c r="AZ106" s="207"/>
      <c r="BA106" s="207"/>
    </row>
    <row r="107">
      <c r="A107" s="166" t="str">
        <f>IFERROR(__xludf.DUMMYFUNCTION("""COMPUTED_VALUE"""),"SETTLED")</f>
        <v>SETTLED</v>
      </c>
      <c r="B107" s="166" t="str">
        <f>IFERROR(__xludf.DUMMYFUNCTION("""COMPUTED_VALUE"""),"Joshua")</f>
        <v>Joshua</v>
      </c>
      <c r="C107" s="166" t="str">
        <f>IFERROR(__xludf.DUMMYFUNCTION("""COMPUTED_VALUE"""),"Todd Bosselman ")</f>
        <v>Todd Bosselman </v>
      </c>
      <c r="D107" s="166" t="str">
        <f>IFERROR(__xludf.DUMMYFUNCTION("""COMPUTED_VALUE"""),"863-272-4972")</f>
        <v>863-272-4972</v>
      </c>
      <c r="E107" s="166" t="str">
        <f>IFERROR(__xludf.DUMMYFUNCTION("""COMPUTED_VALUE"""),"toddscomp2@aol.com")</f>
        <v>toddscomp2@aol.com</v>
      </c>
      <c r="F107" s="166" t="str">
        <f>IFERROR(__xludf.DUMMYFUNCTION("""COMPUTED_VALUE"""),"1348 Honeytree Ln E Lakeland, FL 33801")</f>
        <v>1348 Honeytree Ln E Lakeland, FL 33801</v>
      </c>
      <c r="G107" s="166" t="str">
        <f>IFERROR(__xludf.DUMMYFUNCTION("""COMPUTED_VALUE"""),"Hurricane Ian")</f>
        <v>Hurricane Ian</v>
      </c>
      <c r="H107" s="166" t="str">
        <f>IFERROR(__xludf.DUMMYFUNCTION("""COMPUTED_VALUE"""),"Reopen")</f>
        <v>Reopen</v>
      </c>
      <c r="I107" s="173" t="b">
        <v>0</v>
      </c>
      <c r="J107" s="225" t="b">
        <v>0</v>
      </c>
      <c r="K107" s="268" t="s">
        <v>3301</v>
      </c>
      <c r="L107" s="173" t="b">
        <v>0</v>
      </c>
      <c r="M107" s="226" t="b">
        <v>0</v>
      </c>
      <c r="N107" s="178"/>
      <c r="O107" s="190" t="b">
        <v>1</v>
      </c>
      <c r="P107" s="192" t="b">
        <v>1</v>
      </c>
      <c r="Q107" s="311" t="s">
        <v>3302</v>
      </c>
      <c r="R107" s="173" t="b">
        <v>0</v>
      </c>
      <c r="S107" s="226" t="b">
        <v>0</v>
      </c>
      <c r="T107" s="228"/>
      <c r="U107" s="173" t="b">
        <v>0</v>
      </c>
      <c r="V107" s="226" t="b">
        <v>0</v>
      </c>
      <c r="W107" s="195"/>
      <c r="X107" s="190" t="b">
        <v>1</v>
      </c>
      <c r="Y107" s="192" t="b">
        <v>1</v>
      </c>
      <c r="Z107" s="436" t="s">
        <v>3303</v>
      </c>
      <c r="AA107" s="173" t="b">
        <v>0</v>
      </c>
      <c r="AB107" s="226" t="b">
        <v>0</v>
      </c>
      <c r="AC107" s="200"/>
      <c r="AD107" s="173" t="b">
        <v>0</v>
      </c>
      <c r="AE107" s="226" t="b">
        <v>0</v>
      </c>
      <c r="AF107" s="202"/>
      <c r="AG107" s="173" t="b">
        <v>0</v>
      </c>
      <c r="AH107" s="226" t="b">
        <v>0</v>
      </c>
      <c r="AI107" s="165"/>
      <c r="AJ107" s="173" t="b">
        <v>0</v>
      </c>
      <c r="AK107" s="226" t="b">
        <v>0</v>
      </c>
      <c r="AL107" s="204"/>
      <c r="AM107" s="173" t="b">
        <v>0</v>
      </c>
      <c r="AN107" s="226" t="b">
        <v>0</v>
      </c>
      <c r="AO107" s="165"/>
      <c r="AP107" s="165"/>
      <c r="AQ107" s="165"/>
      <c r="AR107" s="165"/>
      <c r="AS107" s="165"/>
      <c r="AT107" s="165"/>
      <c r="AU107" s="165"/>
      <c r="AV107" s="165"/>
      <c r="AW107" s="165"/>
      <c r="AX107" s="165"/>
      <c r="AY107" s="165"/>
      <c r="AZ107" s="165"/>
      <c r="BA107" s="165"/>
    </row>
    <row r="108">
      <c r="A108" s="267" t="str">
        <f>IFERROR(__xludf.DUMMYFUNCTION("""COMPUTED_VALUE"""),"CLSD CLAIMS")</f>
        <v>CLSD CLAIMS</v>
      </c>
      <c r="B108" s="267" t="str">
        <f>IFERROR(__xludf.DUMMYFUNCTION("""COMPUTED_VALUE"""),"Juan")</f>
        <v>Juan</v>
      </c>
      <c r="C108" s="267" t="str">
        <f>IFERROR(__xludf.DUMMYFUNCTION("""COMPUTED_VALUE"""),"Kemline &amp; Ires Dorvil ")</f>
        <v>Kemline &amp; Ires Dorvil </v>
      </c>
      <c r="D108" s="267" t="str">
        <f>IFERROR(__xludf.DUMMYFUNCTION("""COMPUTED_VALUE"""),"561-346-8661")</f>
        <v>561-346-8661</v>
      </c>
      <c r="E108" s="267" t="str">
        <f>IFERROR(__xludf.DUMMYFUNCTION("""COMPUTED_VALUE"""),"kemlined83@gmail.com")</f>
        <v>kemlined83@gmail.com</v>
      </c>
      <c r="F108" s="267" t="str">
        <f>IFERROR(__xludf.DUMMYFUNCTION("""COMPUTED_VALUE"""),"2201 Arterra Court Royal Palm Beach, FL 33411")</f>
        <v>2201 Arterra Court Royal Palm Beach, FL 33411</v>
      </c>
      <c r="G108" s="267" t="str">
        <f>IFERROR(__xludf.DUMMYFUNCTION("""COMPUTED_VALUE"""),"Leak")</f>
        <v>Leak</v>
      </c>
      <c r="H108" s="267" t="str">
        <f>IFERROR(__xludf.DUMMYFUNCTION("""COMPUTED_VALUE"""),"New Claim")</f>
        <v>New Claim</v>
      </c>
      <c r="I108" s="406" t="b">
        <v>1</v>
      </c>
      <c r="J108" s="407" t="b">
        <v>1</v>
      </c>
      <c r="K108" s="414"/>
      <c r="L108" s="410" t="b">
        <v>0</v>
      </c>
      <c r="M108" s="412" t="b">
        <v>0</v>
      </c>
      <c r="N108" s="414"/>
      <c r="O108" s="410" t="b">
        <v>0</v>
      </c>
      <c r="P108" s="412" t="b">
        <v>0</v>
      </c>
      <c r="Q108" s="416"/>
      <c r="R108" s="410" t="b">
        <v>0</v>
      </c>
      <c r="S108" s="412" t="b">
        <v>0</v>
      </c>
      <c r="T108" s="417"/>
      <c r="U108" s="410" t="b">
        <v>0</v>
      </c>
      <c r="V108" s="412" t="b">
        <v>0</v>
      </c>
      <c r="W108" s="418"/>
      <c r="X108" s="410" t="b">
        <v>0</v>
      </c>
      <c r="Y108" s="412" t="b">
        <v>0</v>
      </c>
      <c r="Z108" s="419"/>
      <c r="AA108" s="410" t="b">
        <v>0</v>
      </c>
      <c r="AB108" s="412" t="b">
        <v>0</v>
      </c>
      <c r="AC108" s="420"/>
      <c r="AD108" s="410" t="b">
        <v>0</v>
      </c>
      <c r="AE108" s="412" t="b">
        <v>0</v>
      </c>
      <c r="AF108" s="421"/>
      <c r="AG108" s="410" t="b">
        <v>0</v>
      </c>
      <c r="AH108" s="412" t="b">
        <v>0</v>
      </c>
      <c r="AI108" s="423"/>
      <c r="AJ108" s="410" t="b">
        <v>0</v>
      </c>
      <c r="AK108" s="412" t="b">
        <v>0</v>
      </c>
      <c r="AL108" s="424"/>
      <c r="AM108" s="410" t="b">
        <v>0</v>
      </c>
      <c r="AN108" s="412" t="b">
        <v>0</v>
      </c>
      <c r="AO108" s="423"/>
      <c r="AP108" s="423"/>
      <c r="AQ108" s="423"/>
      <c r="AR108" s="423"/>
      <c r="AS108" s="423"/>
      <c r="AT108" s="423"/>
      <c r="AU108" s="423"/>
      <c r="AV108" s="423"/>
      <c r="AW108" s="423"/>
      <c r="AX108" s="423"/>
      <c r="AY108" s="423"/>
      <c r="AZ108" s="423"/>
      <c r="BA108" s="423"/>
    </row>
    <row r="109">
      <c r="A109" s="209" t="str">
        <f>IFERROR(__xludf.DUMMYFUNCTION("""COMPUTED_VALUE"""),"LITIGATION")</f>
        <v>LITIGATION</v>
      </c>
      <c r="B109" s="209" t="str">
        <f>IFERROR(__xludf.DUMMYFUNCTION("""COMPUTED_VALUE"""),"Juan")</f>
        <v>Juan</v>
      </c>
      <c r="C109" s="209" t="str">
        <f>IFERROR(__xludf.DUMMYFUNCTION("""COMPUTED_VALUE"""),"Kemline &amp; Ires Dorvil ")</f>
        <v>Kemline &amp; Ires Dorvil </v>
      </c>
      <c r="D109" s="209" t="str">
        <f>IFERROR(__xludf.DUMMYFUNCTION("""COMPUTED_VALUE"""),"561-346-8661")</f>
        <v>561-346-8661</v>
      </c>
      <c r="E109" s="209" t="str">
        <f>IFERROR(__xludf.DUMMYFUNCTION("""COMPUTED_VALUE"""),"kemlined83@gmail.com")</f>
        <v>kemlined83@gmail.com</v>
      </c>
      <c r="F109" s="209" t="str">
        <f>IFERROR(__xludf.DUMMYFUNCTION("""COMPUTED_VALUE"""),"2201 Arterra Court Royal Palm Beach, FL 33411")</f>
        <v>2201 Arterra Court Royal Palm Beach, FL 33411</v>
      </c>
      <c r="G109" s="209" t="str">
        <f>IFERROR(__xludf.DUMMYFUNCTION("""COMPUTED_VALUE"""),"Hurricane Ian")</f>
        <v>Hurricane Ian</v>
      </c>
      <c r="H109" s="209" t="str">
        <f>IFERROR(__xludf.DUMMYFUNCTION("""COMPUTED_VALUE"""),"New Claim")</f>
        <v>New Claim</v>
      </c>
      <c r="I109" s="210" t="b">
        <v>1</v>
      </c>
      <c r="J109" s="212" t="b">
        <v>1</v>
      </c>
      <c r="K109" s="213" t="s">
        <v>3306</v>
      </c>
      <c r="L109" s="217" t="b">
        <v>0</v>
      </c>
      <c r="M109" s="215" t="b">
        <v>0</v>
      </c>
      <c r="N109" s="238"/>
      <c r="O109" s="217" t="b">
        <v>0</v>
      </c>
      <c r="P109" s="215" t="b">
        <v>0</v>
      </c>
      <c r="Q109" s="230"/>
      <c r="R109" s="217" t="b">
        <v>0</v>
      </c>
      <c r="S109" s="215" t="b">
        <v>0</v>
      </c>
      <c r="T109" s="218"/>
      <c r="U109" s="217" t="b">
        <v>0</v>
      </c>
      <c r="V109" s="215" t="b">
        <v>0</v>
      </c>
      <c r="W109" s="219"/>
      <c r="X109" s="210" t="b">
        <v>1</v>
      </c>
      <c r="Y109" s="214" t="b">
        <v>1</v>
      </c>
      <c r="Z109" s="220" t="s">
        <v>3307</v>
      </c>
      <c r="AA109" s="217" t="b">
        <v>0</v>
      </c>
      <c r="AB109" s="215" t="b">
        <v>0</v>
      </c>
      <c r="AC109" s="221"/>
      <c r="AD109" s="217" t="b">
        <v>0</v>
      </c>
      <c r="AE109" s="215" t="b">
        <v>0</v>
      </c>
      <c r="AF109" s="222"/>
      <c r="AG109" s="217" t="b">
        <v>0</v>
      </c>
      <c r="AH109" s="215" t="b">
        <v>0</v>
      </c>
      <c r="AI109" s="207"/>
      <c r="AJ109" s="217" t="b">
        <v>0</v>
      </c>
      <c r="AK109" s="215" t="b">
        <v>0</v>
      </c>
      <c r="AL109" s="224"/>
      <c r="AM109" s="217" t="b">
        <v>0</v>
      </c>
      <c r="AN109" s="215" t="b">
        <v>0</v>
      </c>
      <c r="AO109" s="207"/>
      <c r="AP109" s="207"/>
      <c r="AQ109" s="207"/>
      <c r="AR109" s="207"/>
      <c r="AS109" s="207"/>
      <c r="AT109" s="207"/>
      <c r="AU109" s="207"/>
      <c r="AV109" s="207"/>
      <c r="AW109" s="207"/>
      <c r="AX109" s="207"/>
      <c r="AY109" s="207"/>
      <c r="AZ109" s="207"/>
      <c r="BA109" s="207"/>
    </row>
    <row r="110">
      <c r="A110" s="209" t="str">
        <f>IFERROR(__xludf.DUMMYFUNCTION("""COMPUTED_VALUE"""),"SETTLED")</f>
        <v>SETTLED</v>
      </c>
      <c r="B110" s="209" t="str">
        <f>IFERROR(__xludf.DUMMYFUNCTION("""COMPUTED_VALUE"""),"Ivan")</f>
        <v>Ivan</v>
      </c>
      <c r="C110" s="209" t="str">
        <f>IFERROR(__xludf.DUMMYFUNCTION("""COMPUTED_VALUE"""),"Kathleen Torrens (Levis)")</f>
        <v>Kathleen Torrens (Levis)</v>
      </c>
      <c r="D110" s="209" t="str">
        <f>IFERROR(__xludf.DUMMYFUNCTION("""COMPUTED_VALUE"""),"786-397-0207 (Levis)")</f>
        <v>786-397-0207 (Levis)</v>
      </c>
      <c r="E110" s="209" t="str">
        <f>IFERROR(__xludf.DUMMYFUNCTION("""COMPUTED_VALUE"""),"ktorrens1992@yahoo.com")</f>
        <v>ktorrens1992@yahoo.com</v>
      </c>
      <c r="F110" s="209" t="str">
        <f>IFERROR(__xludf.DUMMYFUNCTION("""COMPUTED_VALUE"""),"13731 SW 84th St Unit C-11 Miami, FL 33183")</f>
        <v>13731 SW 84th St Unit C-11 Miami, FL 33183</v>
      </c>
      <c r="G110" s="209" t="str">
        <f>IFERROR(__xludf.DUMMYFUNCTION("""COMPUTED_VALUE"""),"Hurricane Ian")</f>
        <v>Hurricane Ian</v>
      </c>
      <c r="H110" s="209" t="str">
        <f>IFERROR(__xludf.DUMMYFUNCTION("""COMPUTED_VALUE"""),"New Claim")</f>
        <v>New Claim</v>
      </c>
      <c r="I110" s="210" t="b">
        <v>1</v>
      </c>
      <c r="J110" s="212" t="b">
        <v>1</v>
      </c>
      <c r="K110" s="213" t="s">
        <v>3310</v>
      </c>
      <c r="L110" s="217" t="b">
        <v>0</v>
      </c>
      <c r="M110" s="215" t="b">
        <v>0</v>
      </c>
      <c r="N110" s="238"/>
      <c r="O110" s="210" t="b">
        <v>1</v>
      </c>
      <c r="P110" s="214" t="b">
        <v>1</v>
      </c>
      <c r="Q110" s="216" t="s">
        <v>3311</v>
      </c>
      <c r="R110" s="217" t="b">
        <v>0</v>
      </c>
      <c r="S110" s="215" t="b">
        <v>0</v>
      </c>
      <c r="T110" s="218"/>
      <c r="U110" s="217" t="b">
        <v>0</v>
      </c>
      <c r="V110" s="215" t="b">
        <v>0</v>
      </c>
      <c r="W110" s="219"/>
      <c r="X110" s="217" t="b">
        <v>0</v>
      </c>
      <c r="Y110" s="215" t="b">
        <v>0</v>
      </c>
      <c r="Z110" s="220" t="s">
        <v>3312</v>
      </c>
      <c r="AA110" s="217" t="b">
        <v>0</v>
      </c>
      <c r="AB110" s="215" t="b">
        <v>0</v>
      </c>
      <c r="AC110" s="221"/>
      <c r="AD110" s="217" t="b">
        <v>0</v>
      </c>
      <c r="AE110" s="215" t="b">
        <v>0</v>
      </c>
      <c r="AF110" s="222"/>
      <c r="AG110" s="217" t="b">
        <v>0</v>
      </c>
      <c r="AH110" s="215" t="b">
        <v>0</v>
      </c>
      <c r="AI110" s="207"/>
      <c r="AJ110" s="217" t="b">
        <v>0</v>
      </c>
      <c r="AK110" s="215" t="b">
        <v>0</v>
      </c>
      <c r="AL110" s="224"/>
      <c r="AM110" s="217" t="b">
        <v>0</v>
      </c>
      <c r="AN110" s="215" t="b">
        <v>0</v>
      </c>
      <c r="AO110" s="207"/>
      <c r="AP110" s="207"/>
      <c r="AQ110" s="207"/>
      <c r="AR110" s="207"/>
      <c r="AS110" s="207"/>
      <c r="AT110" s="207"/>
      <c r="AU110" s="207"/>
      <c r="AV110" s="207"/>
      <c r="AW110" s="207"/>
      <c r="AX110" s="207"/>
      <c r="AY110" s="207"/>
      <c r="AZ110" s="207"/>
      <c r="BA110" s="207"/>
    </row>
    <row r="111">
      <c r="A111" s="209" t="str">
        <f>IFERROR(__xludf.DUMMYFUNCTION("""COMPUTED_VALUE"""),"SETTLED")</f>
        <v>SETTLED</v>
      </c>
      <c r="B111" s="209" t="str">
        <f>IFERROR(__xludf.DUMMYFUNCTION("""COMPUTED_VALUE"""),"Juan")</f>
        <v>Juan</v>
      </c>
      <c r="C111" s="209" t="str">
        <f>IFERROR(__xludf.DUMMYFUNCTION("""COMPUTED_VALUE"""),"Brenda &amp; James Killen")</f>
        <v>Brenda &amp; James Killen</v>
      </c>
      <c r="D111" s="209" t="str">
        <f>IFERROR(__xludf.DUMMYFUNCTION("""COMPUTED_VALUE"""),"863-604-0361")</f>
        <v>863-604-0361</v>
      </c>
      <c r="E111" s="209" t="str">
        <f>IFERROR(__xludf.DUMMYFUNCTION("""COMPUTED_VALUE"""),"kayekillen@yahoo.com")</f>
        <v>kayekillen@yahoo.com</v>
      </c>
      <c r="F111" s="209" t="str">
        <f>IFERROR(__xludf.DUMMYFUNCTION("""COMPUTED_VALUE"""),"625 Shore Acres Dr Lakeland, FL 33801")</f>
        <v>625 Shore Acres Dr Lakeland, FL 33801</v>
      </c>
      <c r="G111" s="209" t="str">
        <f>IFERROR(__xludf.DUMMYFUNCTION("""COMPUTED_VALUE"""),"Hurricane Ian")</f>
        <v>Hurricane Ian</v>
      </c>
      <c r="H111" s="209" t="str">
        <f>IFERROR(__xludf.DUMMYFUNCTION("""COMPUTED_VALUE"""),"Reopen")</f>
        <v>Reopen</v>
      </c>
      <c r="I111" s="210" t="b">
        <v>0</v>
      </c>
      <c r="J111" s="212" t="b">
        <v>0</v>
      </c>
      <c r="K111" s="238"/>
      <c r="L111" s="217" t="b">
        <v>0</v>
      </c>
      <c r="M111" s="215" t="b">
        <v>0</v>
      </c>
      <c r="N111" s="238"/>
      <c r="O111" s="217" t="b">
        <v>0</v>
      </c>
      <c r="P111" s="215" t="b">
        <v>0</v>
      </c>
      <c r="Q111" s="230"/>
      <c r="R111" s="217" t="b">
        <v>0</v>
      </c>
      <c r="S111" s="215" t="b">
        <v>0</v>
      </c>
      <c r="T111" s="218"/>
      <c r="U111" s="217" t="b">
        <v>0</v>
      </c>
      <c r="V111" s="215" t="b">
        <v>0</v>
      </c>
      <c r="W111" s="219"/>
      <c r="X111" s="217" t="b">
        <v>0</v>
      </c>
      <c r="Y111" s="215" t="b">
        <v>0</v>
      </c>
      <c r="Z111" s="232"/>
      <c r="AA111" s="217" t="b">
        <v>0</v>
      </c>
      <c r="AB111" s="215" t="b">
        <v>0</v>
      </c>
      <c r="AC111" s="221"/>
      <c r="AD111" s="217" t="b">
        <v>0</v>
      </c>
      <c r="AE111" s="215" t="b">
        <v>0</v>
      </c>
      <c r="AF111" s="222"/>
      <c r="AG111" s="217" t="b">
        <v>0</v>
      </c>
      <c r="AH111" s="215" t="b">
        <v>0</v>
      </c>
      <c r="AI111" s="207"/>
      <c r="AJ111" s="217" t="b">
        <v>0</v>
      </c>
      <c r="AK111" s="215" t="b">
        <v>0</v>
      </c>
      <c r="AL111" s="224"/>
      <c r="AM111" s="217" t="b">
        <v>0</v>
      </c>
      <c r="AN111" s="215" t="b">
        <v>0</v>
      </c>
      <c r="AO111" s="207"/>
      <c r="AP111" s="207"/>
      <c r="AQ111" s="207"/>
      <c r="AR111" s="207"/>
      <c r="AS111" s="207"/>
      <c r="AT111" s="207"/>
      <c r="AU111" s="207"/>
      <c r="AV111" s="207"/>
      <c r="AW111" s="207"/>
      <c r="AX111" s="207"/>
      <c r="AY111" s="207"/>
      <c r="AZ111" s="207"/>
      <c r="BA111" s="207"/>
    </row>
    <row r="112">
      <c r="A112" s="209" t="str">
        <f>IFERROR(__xludf.DUMMYFUNCTION("""COMPUTED_VALUE"""),"SETTLED")</f>
        <v>SETTLED</v>
      </c>
      <c r="B112" s="209" t="str">
        <f>IFERROR(__xludf.DUMMYFUNCTION("""COMPUTED_VALUE"""),"Juan")</f>
        <v>Juan</v>
      </c>
      <c r="C112" s="209" t="str">
        <f>IFERROR(__xludf.DUMMYFUNCTION("""COMPUTED_VALUE"""),"Breiann &amp; Adam Dupre")</f>
        <v>Breiann &amp; Adam Dupre</v>
      </c>
      <c r="D112" s="209" t="str">
        <f>IFERROR(__xludf.DUMMYFUNCTION("""COMPUTED_VALUE"""),"239-888-6694")</f>
        <v>239-888-6694</v>
      </c>
      <c r="E112" s="209" t="str">
        <f>IFERROR(__xludf.DUMMYFUNCTION("""COMPUTED_VALUE"""),"ardupre123@gmail.com")</f>
        <v>ardupre123@gmail.com</v>
      </c>
      <c r="F112" s="209" t="str">
        <f>IFERROR(__xludf.DUMMYFUNCTION("""COMPUTED_VALUE"""),"1719 NW 5th St Cape Coral FL 33993")</f>
        <v>1719 NW 5th St Cape Coral FL 33993</v>
      </c>
      <c r="G112" s="209" t="str">
        <f>IFERROR(__xludf.DUMMYFUNCTION("""COMPUTED_VALUE"""),"Hurricane Ian")</f>
        <v>Hurricane Ian</v>
      </c>
      <c r="H112" s="209" t="str">
        <f>IFERROR(__xludf.DUMMYFUNCTION("""COMPUTED_VALUE"""),"Reopen")</f>
        <v>Reopen</v>
      </c>
      <c r="I112" s="217" t="b">
        <v>0</v>
      </c>
      <c r="J112" s="229" t="b">
        <v>0</v>
      </c>
      <c r="K112" s="238"/>
      <c r="L112" s="217" t="b">
        <v>0</v>
      </c>
      <c r="M112" s="215" t="b">
        <v>0</v>
      </c>
      <c r="N112" s="238"/>
      <c r="O112" s="210" t="b">
        <v>1</v>
      </c>
      <c r="P112" s="214" t="b">
        <v>1</v>
      </c>
      <c r="Q112" s="216" t="s">
        <v>3317</v>
      </c>
      <c r="R112" s="210" t="b">
        <v>1</v>
      </c>
      <c r="S112" s="214" t="b">
        <v>1</v>
      </c>
      <c r="T112" s="388" t="s">
        <v>3320</v>
      </c>
      <c r="U112" s="217" t="b">
        <v>0</v>
      </c>
      <c r="V112" s="215" t="b">
        <v>0</v>
      </c>
      <c r="W112" s="219"/>
      <c r="X112" s="217" t="b">
        <v>0</v>
      </c>
      <c r="Y112" s="215" t="b">
        <v>0</v>
      </c>
      <c r="Z112" s="232"/>
      <c r="AA112" s="217" t="b">
        <v>0</v>
      </c>
      <c r="AB112" s="215" t="b">
        <v>0</v>
      </c>
      <c r="AC112" s="221"/>
      <c r="AD112" s="217" t="b">
        <v>0</v>
      </c>
      <c r="AE112" s="215" t="b">
        <v>0</v>
      </c>
      <c r="AF112" s="222"/>
      <c r="AG112" s="217" t="b">
        <v>0</v>
      </c>
      <c r="AH112" s="215" t="b">
        <v>0</v>
      </c>
      <c r="AI112" s="207"/>
      <c r="AJ112" s="217" t="b">
        <v>0</v>
      </c>
      <c r="AK112" s="215" t="b">
        <v>0</v>
      </c>
      <c r="AL112" s="224"/>
      <c r="AM112" s="217" t="b">
        <v>0</v>
      </c>
      <c r="AN112" s="215" t="b">
        <v>0</v>
      </c>
      <c r="AO112" s="207"/>
      <c r="AP112" s="207"/>
      <c r="AQ112" s="207"/>
      <c r="AR112" s="207"/>
      <c r="AS112" s="207"/>
      <c r="AT112" s="207"/>
      <c r="AU112" s="207"/>
      <c r="AV112" s="207"/>
      <c r="AW112" s="207"/>
      <c r="AX112" s="207"/>
      <c r="AY112" s="207"/>
      <c r="AZ112" s="207"/>
      <c r="BA112" s="207"/>
    </row>
    <row r="113">
      <c r="A113" s="209" t="str">
        <f>IFERROR(__xludf.DUMMYFUNCTION("""COMPUTED_VALUE"""),"SETTLED")</f>
        <v>SETTLED</v>
      </c>
      <c r="B113" s="209" t="str">
        <f>IFERROR(__xludf.DUMMYFUNCTION("""COMPUTED_VALUE"""),"Joshua")</f>
        <v>Joshua</v>
      </c>
      <c r="C113" s="209" t="str">
        <f>IFERROR(__xludf.DUMMYFUNCTION("""COMPUTED_VALUE"""),"Barry Serica")</f>
        <v>Barry Serica</v>
      </c>
      <c r="D113" s="209" t="str">
        <f>IFERROR(__xludf.DUMMYFUNCTION("""COMPUTED_VALUE"""),"941-932-0312 / 941-928-4721")</f>
        <v>941-932-0312 / 941-928-4721</v>
      </c>
      <c r="E113" s="209" t="str">
        <f>IFERROR(__xludf.DUMMYFUNCTION("""COMPUTED_VALUE"""),"lorraines908@gmail.com")</f>
        <v>lorraines908@gmail.com</v>
      </c>
      <c r="F113" s="209" t="str">
        <f>IFERROR(__xludf.DUMMYFUNCTION("""COMPUTED_VALUE"""),"323 141st Ct NE Bradenton, FL 34212")</f>
        <v>323 141st Ct NE Bradenton, FL 34212</v>
      </c>
      <c r="G113" s="209" t="str">
        <f>IFERROR(__xludf.DUMMYFUNCTION("""COMPUTED_VALUE"""),"Hurricane Ian")</f>
        <v>Hurricane Ian</v>
      </c>
      <c r="H113" s="209" t="str">
        <f>IFERROR(__xludf.DUMMYFUNCTION("""COMPUTED_VALUE"""),"New Claim")</f>
        <v>New Claim</v>
      </c>
      <c r="I113" s="217" t="b">
        <v>0</v>
      </c>
      <c r="J113" s="229" t="b">
        <v>0</v>
      </c>
      <c r="K113" s="238"/>
      <c r="L113" s="217" t="b">
        <v>0</v>
      </c>
      <c r="M113" s="215" t="b">
        <v>0</v>
      </c>
      <c r="N113" s="238"/>
      <c r="O113" s="210" t="b">
        <v>1</v>
      </c>
      <c r="P113" s="214" t="b">
        <v>1</v>
      </c>
      <c r="Q113" s="216" t="s">
        <v>3322</v>
      </c>
      <c r="R113" s="217" t="b">
        <v>0</v>
      </c>
      <c r="S113" s="215" t="b">
        <v>0</v>
      </c>
      <c r="T113" s="218"/>
      <c r="U113" s="217" t="b">
        <v>0</v>
      </c>
      <c r="V113" s="215" t="b">
        <v>0</v>
      </c>
      <c r="W113" s="219"/>
      <c r="X113" s="217" t="b">
        <v>0</v>
      </c>
      <c r="Y113" s="215" t="b">
        <v>0</v>
      </c>
      <c r="Z113" s="232"/>
      <c r="AA113" s="217" t="b">
        <v>0</v>
      </c>
      <c r="AB113" s="215" t="b">
        <v>0</v>
      </c>
      <c r="AC113" s="221"/>
      <c r="AD113" s="217" t="b">
        <v>0</v>
      </c>
      <c r="AE113" s="215" t="b">
        <v>0</v>
      </c>
      <c r="AF113" s="222"/>
      <c r="AG113" s="217" t="b">
        <v>0</v>
      </c>
      <c r="AH113" s="215" t="b">
        <v>0</v>
      </c>
      <c r="AI113" s="207"/>
      <c r="AJ113" s="217" t="b">
        <v>0</v>
      </c>
      <c r="AK113" s="215" t="b">
        <v>0</v>
      </c>
      <c r="AL113" s="224"/>
      <c r="AM113" s="217" t="b">
        <v>0</v>
      </c>
      <c r="AN113" s="215" t="b">
        <v>0</v>
      </c>
      <c r="AO113" s="207"/>
      <c r="AP113" s="207"/>
      <c r="AQ113" s="207"/>
      <c r="AR113" s="207"/>
      <c r="AS113" s="207"/>
      <c r="AT113" s="207"/>
      <c r="AU113" s="207"/>
      <c r="AV113" s="207"/>
      <c r="AW113" s="207"/>
      <c r="AX113" s="207"/>
      <c r="AY113" s="207"/>
      <c r="AZ113" s="207"/>
      <c r="BA113" s="207"/>
    </row>
    <row r="114">
      <c r="A114" s="209" t="str">
        <f>IFERROR(__xludf.DUMMYFUNCTION("""COMPUTED_VALUE"""),"PEN PAY")</f>
        <v>PEN PAY</v>
      </c>
      <c r="B114" s="209" t="str">
        <f>IFERROR(__xludf.DUMMYFUNCTION("""COMPUTED_VALUE"""),"David M.")</f>
        <v>David M.</v>
      </c>
      <c r="C114" s="209" t="str">
        <f>IFERROR(__xludf.DUMMYFUNCTION("""COMPUTED_VALUE"""),"Grace Collymore ")</f>
        <v>Grace Collymore </v>
      </c>
      <c r="D114" s="209" t="str">
        <f>IFERROR(__xludf.DUMMYFUNCTION("""COMPUTED_VALUE"""),"813-498-7324")</f>
        <v>813-498-7324</v>
      </c>
      <c r="E114" s="209" t="str">
        <f>IFERROR(__xludf.DUMMYFUNCTION("""COMPUTED_VALUE"""),"gcollymore@hotmail.com")</f>
        <v>gcollymore@hotmail.com</v>
      </c>
      <c r="F114" s="209" t="str">
        <f>IFERROR(__xludf.DUMMYFUNCTION("""COMPUTED_VALUE"""),"2913 Delrose Dr N Lakeland Fl, 33805")</f>
        <v>2913 Delrose Dr N Lakeland Fl, 33805</v>
      </c>
      <c r="G114" s="209" t="str">
        <f>IFERROR(__xludf.DUMMYFUNCTION("""COMPUTED_VALUE"""),"Hurricane Ian")</f>
        <v>Hurricane Ian</v>
      </c>
      <c r="H114" s="209" t="str">
        <f>IFERROR(__xludf.DUMMYFUNCTION("""COMPUTED_VALUE"""),"New Claim")</f>
        <v>New Claim</v>
      </c>
      <c r="I114" s="217" t="b">
        <v>0</v>
      </c>
      <c r="J114" s="229" t="b">
        <v>0</v>
      </c>
      <c r="K114" s="238"/>
      <c r="L114" s="217" t="b">
        <v>0</v>
      </c>
      <c r="M114" s="215" t="b">
        <v>0</v>
      </c>
      <c r="N114" s="238"/>
      <c r="O114" s="217" t="b">
        <v>0</v>
      </c>
      <c r="P114" s="215" t="b">
        <v>0</v>
      </c>
      <c r="Q114" s="230"/>
      <c r="R114" s="217" t="b">
        <v>0</v>
      </c>
      <c r="S114" s="215" t="b">
        <v>0</v>
      </c>
      <c r="T114" s="218"/>
      <c r="U114" s="217" t="b">
        <v>0</v>
      </c>
      <c r="V114" s="215" t="b">
        <v>0</v>
      </c>
      <c r="W114" s="219"/>
      <c r="X114" s="217" t="b">
        <v>0</v>
      </c>
      <c r="Y114" s="215" t="b">
        <v>0</v>
      </c>
      <c r="Z114" s="232"/>
      <c r="AA114" s="217" t="b">
        <v>0</v>
      </c>
      <c r="AB114" s="215" t="b">
        <v>0</v>
      </c>
      <c r="AC114" s="221"/>
      <c r="AD114" s="217" t="b">
        <v>0</v>
      </c>
      <c r="AE114" s="215" t="b">
        <v>0</v>
      </c>
      <c r="AF114" s="222"/>
      <c r="AG114" s="217" t="b">
        <v>0</v>
      </c>
      <c r="AH114" s="215" t="b">
        <v>0</v>
      </c>
      <c r="AI114" s="207"/>
      <c r="AJ114" s="217" t="b">
        <v>0</v>
      </c>
      <c r="AK114" s="215" t="b">
        <v>0</v>
      </c>
      <c r="AL114" s="224"/>
      <c r="AM114" s="217" t="b">
        <v>0</v>
      </c>
      <c r="AN114" s="215" t="b">
        <v>0</v>
      </c>
      <c r="AO114" s="207"/>
      <c r="AP114" s="207"/>
      <c r="AQ114" s="207"/>
      <c r="AR114" s="207"/>
      <c r="AS114" s="207"/>
      <c r="AT114" s="207"/>
      <c r="AU114" s="207"/>
      <c r="AV114" s="207"/>
      <c r="AW114" s="207"/>
      <c r="AX114" s="207"/>
      <c r="AY114" s="207"/>
      <c r="AZ114" s="207"/>
      <c r="BA114" s="207"/>
    </row>
    <row r="115">
      <c r="A115" s="209" t="str">
        <f>IFERROR(__xludf.DUMMYFUNCTION("""COMPUTED_VALUE"""),"SETTLED")</f>
        <v>SETTLED</v>
      </c>
      <c r="B115" s="209" t="str">
        <f>IFERROR(__xludf.DUMMYFUNCTION("""COMPUTED_VALUE"""),"Joshua")</f>
        <v>Joshua</v>
      </c>
      <c r="C115" s="209" t="str">
        <f>IFERROR(__xludf.DUMMYFUNCTION("""COMPUTED_VALUE"""),"Reginald Williams &amp; Cheraina Bonner")</f>
        <v>Reginald Williams &amp; Cheraina Bonner</v>
      </c>
      <c r="D115" s="209" t="str">
        <f>IFERROR(__xludf.DUMMYFUNCTION("""COMPUTED_VALUE"""),"941-549-0935 / 941-518-5170")</f>
        <v>941-549-0935 / 941-518-5170</v>
      </c>
      <c r="E115" s="209" t="str">
        <f>IFERROR(__xludf.DUMMYFUNCTION("""COMPUTED_VALUE"""),"dapdaddy94@gmail.com")</f>
        <v>dapdaddy94@gmail.com</v>
      </c>
      <c r="F115" s="209" t="str">
        <f>IFERROR(__xludf.DUMMYFUNCTION("""COMPUTED_VALUE"""),"6619 38th LN E Sarasota, Fl 34243")</f>
        <v>6619 38th LN E Sarasota, Fl 34243</v>
      </c>
      <c r="G115" s="209" t="str">
        <f>IFERROR(__xludf.DUMMYFUNCTION("""COMPUTED_VALUE"""),"Hurricane Ian")</f>
        <v>Hurricane Ian</v>
      </c>
      <c r="H115" s="209" t="str">
        <f>IFERROR(__xludf.DUMMYFUNCTION("""COMPUTED_VALUE"""),"New Claim")</f>
        <v>New Claim</v>
      </c>
      <c r="I115" s="217" t="b">
        <v>0</v>
      </c>
      <c r="J115" s="229" t="b">
        <v>0</v>
      </c>
      <c r="K115" s="238"/>
      <c r="L115" s="217" t="b">
        <v>0</v>
      </c>
      <c r="M115" s="215" t="b">
        <v>0</v>
      </c>
      <c r="N115" s="238"/>
      <c r="O115" s="217" t="b">
        <v>0</v>
      </c>
      <c r="P115" s="215" t="b">
        <v>0</v>
      </c>
      <c r="Q115" s="230"/>
      <c r="R115" s="217" t="b">
        <v>0</v>
      </c>
      <c r="S115" s="215" t="b">
        <v>0</v>
      </c>
      <c r="T115" s="218"/>
      <c r="U115" s="217" t="b">
        <v>0</v>
      </c>
      <c r="V115" s="215" t="b">
        <v>0</v>
      </c>
      <c r="W115" s="219"/>
      <c r="X115" s="217" t="b">
        <v>0</v>
      </c>
      <c r="Y115" s="215" t="b">
        <v>0</v>
      </c>
      <c r="Z115" s="232"/>
      <c r="AA115" s="217" t="b">
        <v>0</v>
      </c>
      <c r="AB115" s="215" t="b">
        <v>0</v>
      </c>
      <c r="AC115" s="221"/>
      <c r="AD115" s="217" t="b">
        <v>0</v>
      </c>
      <c r="AE115" s="215" t="b">
        <v>0</v>
      </c>
      <c r="AF115" s="222"/>
      <c r="AG115" s="217" t="b">
        <v>0</v>
      </c>
      <c r="AH115" s="215" t="b">
        <v>0</v>
      </c>
      <c r="AI115" s="207"/>
      <c r="AJ115" s="217" t="b">
        <v>0</v>
      </c>
      <c r="AK115" s="215" t="b">
        <v>0</v>
      </c>
      <c r="AL115" s="224"/>
      <c r="AM115" s="217" t="b">
        <v>0</v>
      </c>
      <c r="AN115" s="215" t="b">
        <v>0</v>
      </c>
      <c r="AO115" s="207"/>
      <c r="AP115" s="207"/>
      <c r="AQ115" s="207"/>
      <c r="AR115" s="207"/>
      <c r="AS115" s="207"/>
      <c r="AT115" s="207"/>
      <c r="AU115" s="207"/>
      <c r="AV115" s="207"/>
      <c r="AW115" s="207"/>
      <c r="AX115" s="207"/>
      <c r="AY115" s="207"/>
      <c r="AZ115" s="207"/>
      <c r="BA115" s="207"/>
    </row>
    <row r="116">
      <c r="A116" s="209" t="str">
        <f>IFERROR(__xludf.DUMMYFUNCTION("""COMPUTED_VALUE"""),"LITIGATION")</f>
        <v>LITIGATION</v>
      </c>
      <c r="B116" s="209" t="str">
        <f>IFERROR(__xludf.DUMMYFUNCTION("""COMPUTED_VALUE"""),"Jakey")</f>
        <v>Jakey</v>
      </c>
      <c r="C116" s="209" t="str">
        <f>IFERROR(__xludf.DUMMYFUNCTION("""COMPUTED_VALUE"""),"Roberto Nunez")</f>
        <v>Roberto Nunez</v>
      </c>
      <c r="D116" s="209" t="str">
        <f>IFERROR(__xludf.DUMMYFUNCTION("""COMPUTED_VALUE"""),"941-681-1678")</f>
        <v>941-681-1678</v>
      </c>
      <c r="E116" s="209" t="str">
        <f>IFERROR(__xludf.DUMMYFUNCTION("""COMPUTED_VALUE"""),"titoav43@gmail.com")</f>
        <v>titoav43@gmail.com</v>
      </c>
      <c r="F116" s="209" t="str">
        <f>IFERROR(__xludf.DUMMYFUNCTION("""COMPUTED_VALUE"""),"6416 First Ave E Bradenton Fl 34208")</f>
        <v>6416 First Ave E Bradenton Fl 34208</v>
      </c>
      <c r="G116" s="209" t="str">
        <f>IFERROR(__xludf.DUMMYFUNCTION("""COMPUTED_VALUE"""),"Hurricane Ian")</f>
        <v>Hurricane Ian</v>
      </c>
      <c r="H116" s="209" t="str">
        <f>IFERROR(__xludf.DUMMYFUNCTION("""COMPUTED_VALUE"""),"New Claim")</f>
        <v>New Claim</v>
      </c>
      <c r="I116" s="217" t="b">
        <v>0</v>
      </c>
      <c r="J116" s="229" t="b">
        <v>0</v>
      </c>
      <c r="K116" s="238"/>
      <c r="L116" s="210" t="b">
        <v>1</v>
      </c>
      <c r="M116" s="214" t="b">
        <v>1</v>
      </c>
      <c r="N116" s="213" t="s">
        <v>3325</v>
      </c>
      <c r="O116" s="217" t="b">
        <v>0</v>
      </c>
      <c r="P116" s="215" t="b">
        <v>0</v>
      </c>
      <c r="Q116" s="230"/>
      <c r="R116" s="217" t="b">
        <v>0</v>
      </c>
      <c r="S116" s="215" t="b">
        <v>0</v>
      </c>
      <c r="T116" s="218"/>
      <c r="U116" s="217" t="b">
        <v>0</v>
      </c>
      <c r="V116" s="215" t="b">
        <v>0</v>
      </c>
      <c r="W116" s="219"/>
      <c r="X116" s="217" t="b">
        <v>0</v>
      </c>
      <c r="Y116" s="215" t="b">
        <v>0</v>
      </c>
      <c r="Z116" s="232"/>
      <c r="AA116" s="217" t="b">
        <v>0</v>
      </c>
      <c r="AB116" s="215" t="b">
        <v>0</v>
      </c>
      <c r="AC116" s="221"/>
      <c r="AD116" s="217" t="b">
        <v>0</v>
      </c>
      <c r="AE116" s="215" t="b">
        <v>0</v>
      </c>
      <c r="AF116" s="222"/>
      <c r="AG116" s="217" t="b">
        <v>0</v>
      </c>
      <c r="AH116" s="215" t="b">
        <v>0</v>
      </c>
      <c r="AI116" s="207"/>
      <c r="AJ116" s="217" t="b">
        <v>0</v>
      </c>
      <c r="AK116" s="215" t="b">
        <v>0</v>
      </c>
      <c r="AL116" s="224"/>
      <c r="AM116" s="217" t="b">
        <v>0</v>
      </c>
      <c r="AN116" s="215" t="b">
        <v>0</v>
      </c>
      <c r="AO116" s="207"/>
      <c r="AP116" s="207"/>
      <c r="AQ116" s="207"/>
      <c r="AR116" s="207"/>
      <c r="AS116" s="207"/>
      <c r="AT116" s="207"/>
      <c r="AU116" s="207"/>
      <c r="AV116" s="207"/>
      <c r="AW116" s="207"/>
      <c r="AX116" s="207"/>
      <c r="AY116" s="207"/>
      <c r="AZ116" s="207"/>
      <c r="BA116" s="207"/>
    </row>
    <row r="117">
      <c r="A117" s="166" t="str">
        <f>IFERROR(__xludf.DUMMYFUNCTION("""COMPUTED_VALUE"""),"STAND BY")</f>
        <v>STAND BY</v>
      </c>
      <c r="B117" s="166" t="str">
        <f>IFERROR(__xludf.DUMMYFUNCTION("""COMPUTED_VALUE"""),"Ivan")</f>
        <v>Ivan</v>
      </c>
      <c r="C117" s="166" t="str">
        <f>IFERROR(__xludf.DUMMYFUNCTION("""COMPUTED_VALUE"""),"Takchileey Chan")</f>
        <v>Takchileey Chan</v>
      </c>
      <c r="D117" s="166" t="str">
        <f>IFERROR(__xludf.DUMMYFUNCTION("""COMPUTED_VALUE"""),"407-718-3858")</f>
        <v>407-718-3858</v>
      </c>
      <c r="E117" s="166" t="str">
        <f>IFERROR(__xludf.DUMMYFUNCTION("""COMPUTED_VALUE"""),"tchan@att.net")</f>
        <v>tchan@att.net</v>
      </c>
      <c r="F117" s="166" t="str">
        <f>IFERROR(__xludf.DUMMYFUNCTION("""COMPUTED_VALUE"""),"211 Hoffman Court, Casselberry FL 32707")</f>
        <v>211 Hoffman Court, Casselberry FL 32707</v>
      </c>
      <c r="G117" s="166" t="str">
        <f>IFERROR(__xludf.DUMMYFUNCTION("""COMPUTED_VALUE"""),"Hurricane Ian")</f>
        <v>Hurricane Ian</v>
      </c>
      <c r="H117" s="166" t="str">
        <f>IFERROR(__xludf.DUMMYFUNCTION("""COMPUTED_VALUE"""),"New Claim")</f>
        <v>New Claim</v>
      </c>
      <c r="I117" s="190" t="b">
        <v>1</v>
      </c>
      <c r="J117" s="176" t="b">
        <v>1</v>
      </c>
      <c r="K117" s="268" t="s">
        <v>3326</v>
      </c>
      <c r="L117" s="173" t="b">
        <v>0</v>
      </c>
      <c r="M117" s="226" t="b">
        <v>0</v>
      </c>
      <c r="N117" s="178"/>
      <c r="O117" s="173" t="b">
        <v>0</v>
      </c>
      <c r="P117" s="226" t="b">
        <v>0</v>
      </c>
      <c r="Q117" s="227"/>
      <c r="R117" s="173" t="b">
        <v>0</v>
      </c>
      <c r="S117" s="226" t="b">
        <v>0</v>
      </c>
      <c r="T117" s="228"/>
      <c r="U117" s="173" t="b">
        <v>0</v>
      </c>
      <c r="V117" s="226" t="b">
        <v>0</v>
      </c>
      <c r="W117" s="195"/>
      <c r="X117" s="173" t="b">
        <v>0</v>
      </c>
      <c r="Y117" s="226" t="b">
        <v>0</v>
      </c>
      <c r="Z117" s="197"/>
      <c r="AA117" s="173" t="b">
        <v>0</v>
      </c>
      <c r="AB117" s="226" t="b">
        <v>0</v>
      </c>
      <c r="AC117" s="200"/>
      <c r="AD117" s="173" t="b">
        <v>0</v>
      </c>
      <c r="AE117" s="226" t="b">
        <v>0</v>
      </c>
      <c r="AF117" s="202"/>
      <c r="AG117" s="173" t="b">
        <v>0</v>
      </c>
      <c r="AH117" s="226" t="b">
        <v>0</v>
      </c>
      <c r="AI117" s="165"/>
      <c r="AJ117" s="173" t="b">
        <v>0</v>
      </c>
      <c r="AK117" s="226" t="b">
        <v>0</v>
      </c>
      <c r="AL117" s="204"/>
      <c r="AM117" s="173" t="b">
        <v>0</v>
      </c>
      <c r="AN117" s="226" t="b">
        <v>0</v>
      </c>
      <c r="AO117" s="165"/>
      <c r="AP117" s="165"/>
      <c r="AQ117" s="165"/>
      <c r="AR117" s="165"/>
      <c r="AS117" s="165"/>
      <c r="AT117" s="165"/>
      <c r="AU117" s="165"/>
      <c r="AV117" s="165"/>
      <c r="AW117" s="165"/>
      <c r="AX117" s="165"/>
      <c r="AY117" s="165"/>
      <c r="AZ117" s="165"/>
      <c r="BA117" s="165"/>
    </row>
    <row r="118">
      <c r="A118" s="267" t="str">
        <f>IFERROR(__xludf.DUMMYFUNCTION("""COMPUTED_VALUE"""),"SETTLED")</f>
        <v>SETTLED</v>
      </c>
      <c r="B118" s="267" t="str">
        <f>IFERROR(__xludf.DUMMYFUNCTION("""COMPUTED_VALUE"""),"Jakey")</f>
        <v>Jakey</v>
      </c>
      <c r="C118" s="267" t="str">
        <f>IFERROR(__xludf.DUMMYFUNCTION("""COMPUTED_VALUE"""),"Marjorie O’neal Day")</f>
        <v>Marjorie O’neal Day</v>
      </c>
      <c r="D118" s="267" t="str">
        <f>IFERROR(__xludf.DUMMYFUNCTION("""COMPUTED_VALUE"""),"813-379-1250")</f>
        <v>813-379-1250</v>
      </c>
      <c r="E118" s="267" t="str">
        <f>IFERROR(__xludf.DUMMYFUNCTION("""COMPUTED_VALUE"""),"mikerob863@gmail.com")</f>
        <v>mikerob863@gmail.com</v>
      </c>
      <c r="F118" s="267" t="str">
        <f>IFERROR(__xludf.DUMMYFUNCTION("""COMPUTED_VALUE"""),"613 N Iowa Ave Lakeland, FL 33801")</f>
        <v>613 N Iowa Ave Lakeland, FL 33801</v>
      </c>
      <c r="G118" s="267" t="str">
        <f>IFERROR(__xludf.DUMMYFUNCTION("""COMPUTED_VALUE"""),"Hurricane Ian")</f>
        <v>Hurricane Ian</v>
      </c>
      <c r="H118" s="267" t="str">
        <f>IFERROR(__xludf.DUMMYFUNCTION("""COMPUTED_VALUE"""),"New Claim")</f>
        <v>New Claim</v>
      </c>
      <c r="I118" s="406" t="b">
        <v>1</v>
      </c>
      <c r="J118" s="407" t="b">
        <v>1</v>
      </c>
      <c r="K118" s="409" t="s">
        <v>3329</v>
      </c>
      <c r="L118" s="410" t="b">
        <v>0</v>
      </c>
      <c r="M118" s="412" t="b">
        <v>0</v>
      </c>
      <c r="N118" s="414"/>
      <c r="O118" s="410" t="b">
        <v>0</v>
      </c>
      <c r="P118" s="412" t="b">
        <v>0</v>
      </c>
      <c r="Q118" s="416"/>
      <c r="R118" s="410" t="b">
        <v>0</v>
      </c>
      <c r="S118" s="412" t="b">
        <v>0</v>
      </c>
      <c r="T118" s="417"/>
      <c r="U118" s="410" t="b">
        <v>0</v>
      </c>
      <c r="V118" s="412" t="b">
        <v>0</v>
      </c>
      <c r="W118" s="418"/>
      <c r="X118" s="410" t="b">
        <v>0</v>
      </c>
      <c r="Y118" s="412" t="b">
        <v>0</v>
      </c>
      <c r="Z118" s="419"/>
      <c r="AA118" s="410" t="b">
        <v>0</v>
      </c>
      <c r="AB118" s="412" t="b">
        <v>0</v>
      </c>
      <c r="AC118" s="420"/>
      <c r="AD118" s="410" t="b">
        <v>0</v>
      </c>
      <c r="AE118" s="412" t="b">
        <v>0</v>
      </c>
      <c r="AF118" s="421"/>
      <c r="AG118" s="410" t="b">
        <v>0</v>
      </c>
      <c r="AH118" s="412" t="b">
        <v>0</v>
      </c>
      <c r="AI118" s="423"/>
      <c r="AJ118" s="410" t="b">
        <v>0</v>
      </c>
      <c r="AK118" s="412" t="b">
        <v>0</v>
      </c>
      <c r="AL118" s="424"/>
      <c r="AM118" s="410" t="b">
        <v>0</v>
      </c>
      <c r="AN118" s="412" t="b">
        <v>0</v>
      </c>
      <c r="AO118" s="423"/>
      <c r="AP118" s="423"/>
      <c r="AQ118" s="423"/>
      <c r="AR118" s="423"/>
      <c r="AS118" s="423"/>
      <c r="AT118" s="423"/>
      <c r="AU118" s="423"/>
      <c r="AV118" s="423"/>
      <c r="AW118" s="423"/>
      <c r="AX118" s="423"/>
      <c r="AY118" s="423"/>
      <c r="AZ118" s="423"/>
      <c r="BA118" s="423"/>
    </row>
    <row r="119">
      <c r="A119" s="209" t="str">
        <f>IFERROR(__xludf.DUMMYFUNCTION("""COMPUTED_VALUE"""),"SETTLED")</f>
        <v>SETTLED</v>
      </c>
      <c r="B119" s="209" t="str">
        <f>IFERROR(__xludf.DUMMYFUNCTION("""COMPUTED_VALUE"""),"Ivan")</f>
        <v>Ivan</v>
      </c>
      <c r="C119" s="209" t="str">
        <f>IFERROR(__xludf.DUMMYFUNCTION("""COMPUTED_VALUE"""),"Betty Weber ")</f>
        <v>Betty Weber </v>
      </c>
      <c r="D119" s="209" t="str">
        <f>IFERROR(__xludf.DUMMYFUNCTION("""COMPUTED_VALUE"""),"352-586-6052")</f>
        <v>352-586-6052</v>
      </c>
      <c r="E119" s="209" t="str">
        <f>IFERROR(__xludf.DUMMYFUNCTION("""COMPUTED_VALUE"""),"georgeandbetty7172004@yahoo.com")</f>
        <v>georgeandbetty7172004@yahoo.com</v>
      </c>
      <c r="F119" s="209" t="str">
        <f>IFERROR(__xludf.DUMMYFUNCTION("""COMPUTED_VALUE"""),"208 W Valerian PL Beverly Hills FL 34465")</f>
        <v>208 W Valerian PL Beverly Hills FL 34465</v>
      </c>
      <c r="G119" s="209" t="str">
        <f>IFERROR(__xludf.DUMMYFUNCTION("""COMPUTED_VALUE"""),"Windstorm")</f>
        <v>Windstorm</v>
      </c>
      <c r="H119" s="209" t="str">
        <f>IFERROR(__xludf.DUMMYFUNCTION("""COMPUTED_VALUE"""),"New Claim")</f>
        <v>New Claim</v>
      </c>
      <c r="I119" s="210" t="b">
        <v>1</v>
      </c>
      <c r="J119" s="212" t="b">
        <v>1</v>
      </c>
      <c r="K119" s="213" t="s">
        <v>3331</v>
      </c>
      <c r="L119" s="217" t="b">
        <v>0</v>
      </c>
      <c r="M119" s="215" t="b">
        <v>0</v>
      </c>
      <c r="N119" s="238"/>
      <c r="O119" s="217" t="b">
        <v>0</v>
      </c>
      <c r="P119" s="215" t="b">
        <v>0</v>
      </c>
      <c r="Q119" s="230"/>
      <c r="R119" s="217" t="b">
        <v>0</v>
      </c>
      <c r="S119" s="215" t="b">
        <v>0</v>
      </c>
      <c r="T119" s="218"/>
      <c r="U119" s="217" t="b">
        <v>0</v>
      </c>
      <c r="V119" s="215" t="b">
        <v>0</v>
      </c>
      <c r="W119" s="219"/>
      <c r="X119" s="217" t="b">
        <v>0</v>
      </c>
      <c r="Y119" s="215" t="b">
        <v>0</v>
      </c>
      <c r="Z119" s="232"/>
      <c r="AA119" s="217" t="b">
        <v>0</v>
      </c>
      <c r="AB119" s="215" t="b">
        <v>0</v>
      </c>
      <c r="AC119" s="221"/>
      <c r="AD119" s="217" t="b">
        <v>0</v>
      </c>
      <c r="AE119" s="215" t="b">
        <v>0</v>
      </c>
      <c r="AF119" s="222"/>
      <c r="AG119" s="217" t="b">
        <v>0</v>
      </c>
      <c r="AH119" s="215" t="b">
        <v>0</v>
      </c>
      <c r="AI119" s="207"/>
      <c r="AJ119" s="217" t="b">
        <v>0</v>
      </c>
      <c r="AK119" s="215" t="b">
        <v>0</v>
      </c>
      <c r="AL119" s="224"/>
      <c r="AM119" s="217" t="b">
        <v>0</v>
      </c>
      <c r="AN119" s="215" t="b">
        <v>0</v>
      </c>
      <c r="AO119" s="207"/>
      <c r="AP119" s="207"/>
      <c r="AQ119" s="207"/>
      <c r="AR119" s="207"/>
      <c r="AS119" s="207"/>
      <c r="AT119" s="207"/>
      <c r="AU119" s="207"/>
      <c r="AV119" s="207"/>
      <c r="AW119" s="207"/>
      <c r="AX119" s="207"/>
      <c r="AY119" s="207"/>
      <c r="AZ119" s="207"/>
      <c r="BA119" s="207"/>
    </row>
    <row r="120">
      <c r="A120" s="166" t="str">
        <f>IFERROR(__xludf.DUMMYFUNCTION("""COMPUTED_VALUE"""),"SETTLED")</f>
        <v>SETTLED</v>
      </c>
      <c r="B120" s="166" t="str">
        <f>IFERROR(__xludf.DUMMYFUNCTION("""COMPUTED_VALUE"""),"Jakey")</f>
        <v>Jakey</v>
      </c>
      <c r="C120" s="166" t="str">
        <f>IFERROR(__xludf.DUMMYFUNCTION("""COMPUTED_VALUE"""),"Tarryn Bosley")</f>
        <v>Tarryn Bosley</v>
      </c>
      <c r="D120" s="166" t="str">
        <f>IFERROR(__xludf.DUMMYFUNCTION("""COMPUTED_VALUE"""),"301-582-8013")</f>
        <v>301-582-8013</v>
      </c>
      <c r="E120" s="166" t="str">
        <f>IFERROR(__xludf.DUMMYFUNCTION("""COMPUTED_VALUE"""),"terandolph01@gmail.com")</f>
        <v>terandolph01@gmail.com</v>
      </c>
      <c r="F120" s="166" t="str">
        <f>IFERROR(__xludf.DUMMYFUNCTION("""COMPUTED_VALUE"""),"2258 Lake Holloway Blvd, Lakeland FL 33801")</f>
        <v>2258 Lake Holloway Blvd, Lakeland FL 33801</v>
      </c>
      <c r="G120" s="166" t="str">
        <f>IFERROR(__xludf.DUMMYFUNCTION("""COMPUTED_VALUE"""),"Hurricane Ian")</f>
        <v>Hurricane Ian</v>
      </c>
      <c r="H120" s="166" t="str">
        <f>IFERROR(__xludf.DUMMYFUNCTION("""COMPUTED_VALUE"""),"Reopen")</f>
        <v>Reopen</v>
      </c>
      <c r="I120" s="190" t="b">
        <v>1</v>
      </c>
      <c r="J120" s="176" t="b">
        <v>1</v>
      </c>
      <c r="K120" s="268" t="s">
        <v>3332</v>
      </c>
      <c r="L120" s="173" t="b">
        <v>0</v>
      </c>
      <c r="M120" s="226" t="b">
        <v>0</v>
      </c>
      <c r="N120" s="178"/>
      <c r="O120" s="173" t="b">
        <v>0</v>
      </c>
      <c r="P120" s="226" t="b">
        <v>0</v>
      </c>
      <c r="Q120" s="227"/>
      <c r="R120" s="173" t="b">
        <v>0</v>
      </c>
      <c r="S120" s="226" t="b">
        <v>0</v>
      </c>
      <c r="T120" s="228"/>
      <c r="U120" s="173" t="b">
        <v>0</v>
      </c>
      <c r="V120" s="226" t="b">
        <v>0</v>
      </c>
      <c r="W120" s="195"/>
      <c r="X120" s="173" t="b">
        <v>0</v>
      </c>
      <c r="Y120" s="226" t="b">
        <v>0</v>
      </c>
      <c r="Z120" s="197"/>
      <c r="AA120" s="190" t="b">
        <v>1</v>
      </c>
      <c r="AB120" s="192" t="b">
        <v>1</v>
      </c>
      <c r="AC120" s="404" t="s">
        <v>3333</v>
      </c>
      <c r="AD120" s="173" t="b">
        <v>0</v>
      </c>
      <c r="AE120" s="226" t="b">
        <v>0</v>
      </c>
      <c r="AF120" s="202"/>
      <c r="AG120" s="173" t="b">
        <v>0</v>
      </c>
      <c r="AH120" s="226" t="b">
        <v>0</v>
      </c>
      <c r="AI120" s="165"/>
      <c r="AJ120" s="173" t="b">
        <v>0</v>
      </c>
      <c r="AK120" s="226" t="b">
        <v>0</v>
      </c>
      <c r="AL120" s="204"/>
      <c r="AM120" s="173" t="b">
        <v>0</v>
      </c>
      <c r="AN120" s="226" t="b">
        <v>0</v>
      </c>
      <c r="AO120" s="165"/>
      <c r="AP120" s="165"/>
      <c r="AQ120" s="165"/>
      <c r="AR120" s="165"/>
      <c r="AS120" s="165"/>
      <c r="AT120" s="165"/>
      <c r="AU120" s="165"/>
      <c r="AV120" s="165"/>
      <c r="AW120" s="165"/>
      <c r="AX120" s="165"/>
      <c r="AY120" s="165"/>
      <c r="AZ120" s="165"/>
      <c r="BA120" s="165"/>
    </row>
    <row r="121">
      <c r="A121" s="443" t="str">
        <f>IFERROR(__xludf.DUMMYFUNCTION("""COMPUTED_VALUE"""),"SETTLED")</f>
        <v>SETTLED</v>
      </c>
      <c r="B121" s="443" t="str">
        <f>IFERROR(__xludf.DUMMYFUNCTION("""COMPUTED_VALUE"""),"David M.")</f>
        <v>David M.</v>
      </c>
      <c r="C121" s="443" t="str">
        <f>IFERROR(__xludf.DUMMYFUNCTION("""COMPUTED_VALUE"""),"Donna Wilson")</f>
        <v>Donna Wilson</v>
      </c>
      <c r="D121" s="443" t="str">
        <f>IFERROR(__xludf.DUMMYFUNCTION("""COMPUTED_VALUE"""),"863-661-8812")</f>
        <v>863-661-8812</v>
      </c>
      <c r="E121" s="443" t="str">
        <f>IFERROR(__xludf.DUMMYFUNCTION("""COMPUTED_VALUE"""),"onesolidwoman@yahoo.com")</f>
        <v>onesolidwoman@yahoo.com</v>
      </c>
      <c r="F121" s="443" t="str">
        <f>IFERROR(__xludf.DUMMYFUNCTION("""COMPUTED_VALUE"""),"2113 Monticello Ave, Lakeland FL 33801")</f>
        <v>2113 Monticello Ave, Lakeland FL 33801</v>
      </c>
      <c r="G121" s="443" t="str">
        <f>IFERROR(__xludf.DUMMYFUNCTION("""COMPUTED_VALUE"""),"Hurricane ")</f>
        <v>Hurricane </v>
      </c>
      <c r="H121" s="443" t="str">
        <f>IFERROR(__xludf.DUMMYFUNCTION("""COMPUTED_VALUE"""),"Reopen")</f>
        <v>Reopen</v>
      </c>
      <c r="I121" s="444" t="b">
        <v>0</v>
      </c>
      <c r="J121" s="445" t="b">
        <v>0</v>
      </c>
      <c r="K121" s="446"/>
      <c r="L121" s="444" t="b">
        <v>1</v>
      </c>
      <c r="M121" s="447" t="b">
        <v>1</v>
      </c>
      <c r="N121" s="448" t="s">
        <v>3335</v>
      </c>
      <c r="O121" s="449" t="b">
        <v>0</v>
      </c>
      <c r="P121" s="450" t="b">
        <v>0</v>
      </c>
      <c r="Q121" s="451"/>
      <c r="R121" s="449" t="b">
        <v>0</v>
      </c>
      <c r="S121" s="450" t="b">
        <v>0</v>
      </c>
      <c r="T121" s="452"/>
      <c r="U121" s="449" t="b">
        <v>0</v>
      </c>
      <c r="V121" s="450" t="b">
        <v>0</v>
      </c>
      <c r="W121" s="453"/>
      <c r="X121" s="449" t="b">
        <v>0</v>
      </c>
      <c r="Y121" s="450" t="b">
        <v>0</v>
      </c>
      <c r="Z121" s="454"/>
      <c r="AA121" s="449" t="b">
        <v>0</v>
      </c>
      <c r="AB121" s="450" t="b">
        <v>0</v>
      </c>
      <c r="AC121" s="455"/>
      <c r="AD121" s="449" t="b">
        <v>0</v>
      </c>
      <c r="AE121" s="450" t="b">
        <v>0</v>
      </c>
      <c r="AF121" s="456"/>
      <c r="AG121" s="449" t="b">
        <v>0</v>
      </c>
      <c r="AH121" s="450" t="b">
        <v>0</v>
      </c>
      <c r="AI121" s="458"/>
      <c r="AJ121" s="449" t="b">
        <v>0</v>
      </c>
      <c r="AK121" s="450" t="b">
        <v>0</v>
      </c>
      <c r="AL121" s="459"/>
      <c r="AM121" s="449" t="b">
        <v>0</v>
      </c>
      <c r="AN121" s="450" t="b">
        <v>0</v>
      </c>
      <c r="AO121" s="458"/>
      <c r="AP121" s="458"/>
      <c r="AQ121" s="458"/>
      <c r="AR121" s="458"/>
      <c r="AS121" s="458"/>
      <c r="AT121" s="458"/>
      <c r="AU121" s="458"/>
      <c r="AV121" s="458"/>
      <c r="AW121" s="458"/>
      <c r="AX121" s="458"/>
      <c r="AY121" s="458"/>
      <c r="AZ121" s="458"/>
      <c r="BA121" s="458"/>
    </row>
    <row r="122">
      <c r="A122" s="209" t="str">
        <f>IFERROR(__xludf.DUMMYFUNCTION("""COMPUTED_VALUE"""),"FEES PENDING")</f>
        <v>FEES PENDING</v>
      </c>
      <c r="B122" s="209" t="str">
        <f>IFERROR(__xludf.DUMMYFUNCTION("""COMPUTED_VALUE"""),"David M.")</f>
        <v>David M.</v>
      </c>
      <c r="C122" s="209" t="str">
        <f>IFERROR(__xludf.DUMMYFUNCTION("""COMPUTED_VALUE"""),"Jessie Percival ")</f>
        <v>Jessie Percival </v>
      </c>
      <c r="D122" s="209"/>
      <c r="E122" s="209" t="str">
        <f>IFERROR(__xludf.DUMMYFUNCTION("""COMPUTED_VALUE"""),"percivaldonna999@gmail.com")</f>
        <v>percivaldonna999@gmail.com</v>
      </c>
      <c r="F122" s="209" t="str">
        <f>IFERROR(__xludf.DUMMYFUNCTION("""COMPUTED_VALUE"""),"2115 Lake Holloway Blvd Lakeland FL, 33801")</f>
        <v>2115 Lake Holloway Blvd Lakeland FL, 33801</v>
      </c>
      <c r="G122" s="209" t="str">
        <f>IFERROR(__xludf.DUMMYFUNCTION("""COMPUTED_VALUE"""),"Hurricane Ian")</f>
        <v>Hurricane Ian</v>
      </c>
      <c r="H122" s="209" t="str">
        <f>IFERROR(__xludf.DUMMYFUNCTION("""COMPUTED_VALUE"""),"New Claim")</f>
        <v>New Claim</v>
      </c>
      <c r="I122" s="217" t="b">
        <v>0</v>
      </c>
      <c r="J122" s="229" t="b">
        <v>0</v>
      </c>
      <c r="K122" s="238"/>
      <c r="L122" s="217" t="b">
        <v>0</v>
      </c>
      <c r="M122" s="215" t="b">
        <v>0</v>
      </c>
      <c r="N122" s="238"/>
      <c r="O122" s="217" t="b">
        <v>0</v>
      </c>
      <c r="P122" s="215" t="b">
        <v>0</v>
      </c>
      <c r="Q122" s="230"/>
      <c r="R122" s="217" t="b">
        <v>0</v>
      </c>
      <c r="S122" s="215" t="b">
        <v>0</v>
      </c>
      <c r="T122" s="218"/>
      <c r="U122" s="217" t="b">
        <v>0</v>
      </c>
      <c r="V122" s="215" t="b">
        <v>0</v>
      </c>
      <c r="W122" s="219"/>
      <c r="X122" s="217" t="b">
        <v>0</v>
      </c>
      <c r="Y122" s="215" t="b">
        <v>0</v>
      </c>
      <c r="Z122" s="232"/>
      <c r="AA122" s="217" t="b">
        <v>0</v>
      </c>
      <c r="AB122" s="215" t="b">
        <v>0</v>
      </c>
      <c r="AC122" s="221"/>
      <c r="AD122" s="217" t="b">
        <v>0</v>
      </c>
      <c r="AE122" s="215" t="b">
        <v>0</v>
      </c>
      <c r="AF122" s="222"/>
      <c r="AG122" s="217" t="b">
        <v>0</v>
      </c>
      <c r="AH122" s="215" t="b">
        <v>0</v>
      </c>
      <c r="AI122" s="207"/>
      <c r="AJ122" s="217" t="b">
        <v>0</v>
      </c>
      <c r="AK122" s="215" t="b">
        <v>0</v>
      </c>
      <c r="AL122" s="224"/>
      <c r="AM122" s="217" t="b">
        <v>0</v>
      </c>
      <c r="AN122" s="215" t="b">
        <v>0</v>
      </c>
      <c r="AO122" s="207"/>
      <c r="AP122" s="207"/>
      <c r="AQ122" s="207"/>
      <c r="AR122" s="207"/>
      <c r="AS122" s="207"/>
      <c r="AT122" s="207"/>
      <c r="AU122" s="207"/>
      <c r="AV122" s="207"/>
      <c r="AW122" s="207"/>
      <c r="AX122" s="207"/>
      <c r="AY122" s="207"/>
      <c r="AZ122" s="207"/>
      <c r="BA122" s="207"/>
    </row>
    <row r="123">
      <c r="A123" s="209" t="str">
        <f>IFERROR(__xludf.DUMMYFUNCTION("""COMPUTED_VALUE"""),"CLSD CLAIMS")</f>
        <v>CLSD CLAIMS</v>
      </c>
      <c r="B123" s="209" t="str">
        <f>IFERROR(__xludf.DUMMYFUNCTION("""COMPUTED_VALUE"""),"David M.")</f>
        <v>David M.</v>
      </c>
      <c r="C123" s="209" t="str">
        <f>IFERROR(__xludf.DUMMYFUNCTION("""COMPUTED_VALUE"""),"Neray Mollinedo")</f>
        <v>Neray Mollinedo</v>
      </c>
      <c r="D123" s="209" t="str">
        <f>IFERROR(__xludf.DUMMYFUNCTION("""COMPUTED_VALUE"""),"863-279-2707/ 863-262-8050")</f>
        <v>863-279-2707/ 863-262-8050</v>
      </c>
      <c r="E123" s="209" t="str">
        <f>IFERROR(__xludf.DUMMYFUNCTION("""COMPUTED_VALUE"""),"nermollinedo@gmail.com")</f>
        <v>nermollinedo@gmail.com</v>
      </c>
      <c r="F123" s="209" t="str">
        <f>IFERROR(__xludf.DUMMYFUNCTION("""COMPUTED_VALUE"""),"1623 Seneca Ave Lakeland, FL 33801 ")</f>
        <v>1623 Seneca Ave Lakeland, FL 33801 </v>
      </c>
      <c r="G123" s="209" t="str">
        <f>IFERROR(__xludf.DUMMYFUNCTION("""COMPUTED_VALUE"""),"Hurricane Ian")</f>
        <v>Hurricane Ian</v>
      </c>
      <c r="H123" s="209" t="str">
        <f>IFERROR(__xludf.DUMMYFUNCTION("""COMPUTED_VALUE"""),"Reopen")</f>
        <v>Reopen</v>
      </c>
      <c r="I123" s="217" t="b">
        <v>0</v>
      </c>
      <c r="J123" s="229" t="b">
        <v>0</v>
      </c>
      <c r="K123" s="238"/>
      <c r="L123" s="217" t="b">
        <v>0</v>
      </c>
      <c r="M123" s="215" t="b">
        <v>0</v>
      </c>
      <c r="N123" s="238"/>
      <c r="O123" s="217" t="b">
        <v>0</v>
      </c>
      <c r="P123" s="215" t="b">
        <v>0</v>
      </c>
      <c r="Q123" s="230"/>
      <c r="R123" s="217" t="b">
        <v>0</v>
      </c>
      <c r="S123" s="215" t="b">
        <v>0</v>
      </c>
      <c r="T123" s="218"/>
      <c r="U123" s="217" t="b">
        <v>0</v>
      </c>
      <c r="V123" s="215" t="b">
        <v>0</v>
      </c>
      <c r="W123" s="219"/>
      <c r="X123" s="217" t="b">
        <v>0</v>
      </c>
      <c r="Y123" s="215" t="b">
        <v>0</v>
      </c>
      <c r="Z123" s="232"/>
      <c r="AA123" s="217" t="b">
        <v>0</v>
      </c>
      <c r="AB123" s="215" t="b">
        <v>0</v>
      </c>
      <c r="AC123" s="221"/>
      <c r="AD123" s="217" t="b">
        <v>0</v>
      </c>
      <c r="AE123" s="215" t="b">
        <v>0</v>
      </c>
      <c r="AF123" s="222"/>
      <c r="AG123" s="217" t="b">
        <v>0</v>
      </c>
      <c r="AH123" s="215" t="b">
        <v>0</v>
      </c>
      <c r="AI123" s="207"/>
      <c r="AJ123" s="217" t="b">
        <v>0</v>
      </c>
      <c r="AK123" s="215" t="b">
        <v>0</v>
      </c>
      <c r="AL123" s="224"/>
      <c r="AM123" s="217" t="b">
        <v>0</v>
      </c>
      <c r="AN123" s="215" t="b">
        <v>0</v>
      </c>
      <c r="AO123" s="207"/>
      <c r="AP123" s="207"/>
      <c r="AQ123" s="207"/>
      <c r="AR123" s="207"/>
      <c r="AS123" s="207"/>
      <c r="AT123" s="207"/>
      <c r="AU123" s="207"/>
      <c r="AV123" s="207"/>
      <c r="AW123" s="207"/>
      <c r="AX123" s="207"/>
      <c r="AY123" s="207"/>
      <c r="AZ123" s="207"/>
      <c r="BA123" s="207"/>
    </row>
    <row r="124">
      <c r="A124" s="209" t="str">
        <f>IFERROR(__xludf.DUMMYFUNCTION("""COMPUTED_VALUE"""),"SETTLED")</f>
        <v>SETTLED</v>
      </c>
      <c r="B124" s="209" t="str">
        <f>IFERROR(__xludf.DUMMYFUNCTION("""COMPUTED_VALUE"""),"Jakey")</f>
        <v>Jakey</v>
      </c>
      <c r="C124" s="209" t="str">
        <f>IFERROR(__xludf.DUMMYFUNCTION("""COMPUTED_VALUE"""),"Rene Hernandez Aleman")</f>
        <v>Rene Hernandez Aleman</v>
      </c>
      <c r="D124" s="209" t="str">
        <f>IFERROR(__xludf.DUMMYFUNCTION("""COMPUTED_VALUE"""),"863-934-6360")</f>
        <v>863-934-6360</v>
      </c>
      <c r="E124" s="209" t="str">
        <f>IFERROR(__xludf.DUMMYFUNCTION("""COMPUTED_VALUE"""),"reneh1780@gmail.com")</f>
        <v>reneh1780@gmail.com</v>
      </c>
      <c r="F124" s="209" t="str">
        <f>IFERROR(__xludf.DUMMYFUNCTION("""COMPUTED_VALUE"""),"3127 Ellis Ave Lakeland, FL 33803")</f>
        <v>3127 Ellis Ave Lakeland, FL 33803</v>
      </c>
      <c r="G124" s="209" t="str">
        <f>IFERROR(__xludf.DUMMYFUNCTION("""COMPUTED_VALUE"""),"Windstorm")</f>
        <v>Windstorm</v>
      </c>
      <c r="H124" s="209" t="str">
        <f>IFERROR(__xludf.DUMMYFUNCTION("""COMPUTED_VALUE"""),"New Claim")</f>
        <v>New Claim</v>
      </c>
      <c r="I124" s="217" t="b">
        <v>0</v>
      </c>
      <c r="J124" s="229" t="b">
        <v>0</v>
      </c>
      <c r="K124" s="238"/>
      <c r="L124" s="217" t="b">
        <v>0</v>
      </c>
      <c r="M124" s="215" t="b">
        <v>0</v>
      </c>
      <c r="N124" s="238"/>
      <c r="O124" s="217" t="b">
        <v>0</v>
      </c>
      <c r="P124" s="215" t="b">
        <v>0</v>
      </c>
      <c r="Q124" s="230"/>
      <c r="R124" s="217" t="b">
        <v>0</v>
      </c>
      <c r="S124" s="215" t="b">
        <v>0</v>
      </c>
      <c r="T124" s="218"/>
      <c r="U124" s="217" t="b">
        <v>0</v>
      </c>
      <c r="V124" s="215" t="b">
        <v>0</v>
      </c>
      <c r="W124" s="219"/>
      <c r="X124" s="217" t="b">
        <v>0</v>
      </c>
      <c r="Y124" s="215" t="b">
        <v>0</v>
      </c>
      <c r="Z124" s="232"/>
      <c r="AA124" s="217" t="b">
        <v>0</v>
      </c>
      <c r="AB124" s="215" t="b">
        <v>0</v>
      </c>
      <c r="AC124" s="221"/>
      <c r="AD124" s="217" t="b">
        <v>0</v>
      </c>
      <c r="AE124" s="215" t="b">
        <v>0</v>
      </c>
      <c r="AF124" s="222"/>
      <c r="AG124" s="217" t="b">
        <v>0</v>
      </c>
      <c r="AH124" s="215" t="b">
        <v>0</v>
      </c>
      <c r="AI124" s="207"/>
      <c r="AJ124" s="217" t="b">
        <v>0</v>
      </c>
      <c r="AK124" s="215" t="b">
        <v>0</v>
      </c>
      <c r="AL124" s="224"/>
      <c r="AM124" s="217" t="b">
        <v>0</v>
      </c>
      <c r="AN124" s="215" t="b">
        <v>0</v>
      </c>
      <c r="AO124" s="207"/>
      <c r="AP124" s="207"/>
      <c r="AQ124" s="207"/>
      <c r="AR124" s="207"/>
      <c r="AS124" s="207"/>
      <c r="AT124" s="207"/>
      <c r="AU124" s="207"/>
      <c r="AV124" s="207"/>
      <c r="AW124" s="207"/>
      <c r="AX124" s="207"/>
      <c r="AY124" s="207"/>
      <c r="AZ124" s="207"/>
      <c r="BA124" s="207"/>
    </row>
    <row r="125">
      <c r="A125" s="209" t="str">
        <f>IFERROR(__xludf.DUMMYFUNCTION("""COMPUTED_VALUE"""),"SETTLED")</f>
        <v>SETTLED</v>
      </c>
      <c r="B125" s="209" t="str">
        <f>IFERROR(__xludf.DUMMYFUNCTION("""COMPUTED_VALUE"""),"David M.")</f>
        <v>David M.</v>
      </c>
      <c r="C125" s="209" t="str">
        <f>IFERROR(__xludf.DUMMYFUNCTION("""COMPUTED_VALUE"""),"Terry Sue Brightman-Hill")</f>
        <v>Terry Sue Brightman-Hill</v>
      </c>
      <c r="D125" s="209" t="str">
        <f>IFERROR(__xludf.DUMMYFUNCTION("""COMPUTED_VALUE"""),"863-640-0667")</f>
        <v>863-640-0667</v>
      </c>
      <c r="E125" s="209" t="str">
        <f>IFERROR(__xludf.DUMMYFUNCTION("""COMPUTED_VALUE"""),"hillterry064@gmail.com ")</f>
        <v>hillterry064@gmail.com </v>
      </c>
      <c r="F125" s="209" t="str">
        <f>IFERROR(__xludf.DUMMYFUNCTION("""COMPUTED_VALUE"""),"2702 French Ave Lakeland FL 33801")</f>
        <v>2702 French Ave Lakeland FL 33801</v>
      </c>
      <c r="G125" s="209" t="str">
        <f>IFERROR(__xludf.DUMMYFUNCTION("""COMPUTED_VALUE"""),"Hurricane Ian")</f>
        <v>Hurricane Ian</v>
      </c>
      <c r="H125" s="209" t="str">
        <f>IFERROR(__xludf.DUMMYFUNCTION("""COMPUTED_VALUE"""),"New Claim")</f>
        <v>New Claim</v>
      </c>
      <c r="I125" s="217" t="b">
        <v>0</v>
      </c>
      <c r="J125" s="229" t="b">
        <v>0</v>
      </c>
      <c r="K125" s="238"/>
      <c r="L125" s="217" t="b">
        <v>0</v>
      </c>
      <c r="M125" s="215" t="b">
        <v>0</v>
      </c>
      <c r="N125" s="238"/>
      <c r="O125" s="217" t="b">
        <v>0</v>
      </c>
      <c r="P125" s="215" t="b">
        <v>0</v>
      </c>
      <c r="Q125" s="230"/>
      <c r="R125" s="217" t="b">
        <v>0</v>
      </c>
      <c r="S125" s="215" t="b">
        <v>0</v>
      </c>
      <c r="T125" s="218"/>
      <c r="U125" s="217" t="b">
        <v>0</v>
      </c>
      <c r="V125" s="215" t="b">
        <v>0</v>
      </c>
      <c r="W125" s="219"/>
      <c r="X125" s="217" t="b">
        <v>0</v>
      </c>
      <c r="Y125" s="215" t="b">
        <v>0</v>
      </c>
      <c r="Z125" s="232"/>
      <c r="AA125" s="217" t="b">
        <v>0</v>
      </c>
      <c r="AB125" s="215" t="b">
        <v>0</v>
      </c>
      <c r="AC125" s="221"/>
      <c r="AD125" s="217" t="b">
        <v>0</v>
      </c>
      <c r="AE125" s="215" t="b">
        <v>0</v>
      </c>
      <c r="AF125" s="222"/>
      <c r="AG125" s="217" t="b">
        <v>0</v>
      </c>
      <c r="AH125" s="215" t="b">
        <v>0</v>
      </c>
      <c r="AI125" s="207"/>
      <c r="AJ125" s="217" t="b">
        <v>0</v>
      </c>
      <c r="AK125" s="215" t="b">
        <v>0</v>
      </c>
      <c r="AL125" s="224"/>
      <c r="AM125" s="217" t="b">
        <v>0</v>
      </c>
      <c r="AN125" s="215" t="b">
        <v>0</v>
      </c>
      <c r="AO125" s="207"/>
      <c r="AP125" s="207"/>
      <c r="AQ125" s="207"/>
      <c r="AR125" s="207"/>
      <c r="AS125" s="207"/>
      <c r="AT125" s="207"/>
      <c r="AU125" s="207"/>
      <c r="AV125" s="207"/>
      <c r="AW125" s="207"/>
      <c r="AX125" s="207"/>
      <c r="AY125" s="207"/>
      <c r="AZ125" s="207"/>
      <c r="BA125" s="207"/>
    </row>
    <row r="126">
      <c r="A126" s="209" t="str">
        <f>IFERROR(__xludf.DUMMYFUNCTION("""COMPUTED_VALUE"""),"SETTLED")</f>
        <v>SETTLED</v>
      </c>
      <c r="B126" s="209" t="str">
        <f>IFERROR(__xludf.DUMMYFUNCTION("""COMPUTED_VALUE"""),"Jakey")</f>
        <v>Jakey</v>
      </c>
      <c r="C126" s="209" t="str">
        <f>IFERROR(__xludf.DUMMYFUNCTION("""COMPUTED_VALUE"""),"Tara Hudson-Akins")</f>
        <v>Tara Hudson-Akins</v>
      </c>
      <c r="D126" s="209" t="str">
        <f>IFERROR(__xludf.DUMMYFUNCTION("""COMPUTED_VALUE"""),"863-877-5313")</f>
        <v>863-877-5313</v>
      </c>
      <c r="E126" s="209" t="str">
        <f>IFERROR(__xludf.DUMMYFUNCTION("""COMPUTED_VALUE"""),"tarahudson0076@gmail.com")</f>
        <v>tarahudson0076@gmail.com</v>
      </c>
      <c r="F126" s="209" t="str">
        <f>IFERROR(__xludf.DUMMYFUNCTION("""COMPUTED_VALUE"""),"523 Belleview Ave Lakeland FL 33803")</f>
        <v>523 Belleview Ave Lakeland FL 33803</v>
      </c>
      <c r="G126" s="209" t="str">
        <f>IFERROR(__xludf.DUMMYFUNCTION("""COMPUTED_VALUE"""),"Hurricane Ian")</f>
        <v>Hurricane Ian</v>
      </c>
      <c r="H126" s="209" t="str">
        <f>IFERROR(__xludf.DUMMYFUNCTION("""COMPUTED_VALUE"""),"New Claim")</f>
        <v>New Claim</v>
      </c>
      <c r="I126" s="210" t="b">
        <v>1</v>
      </c>
      <c r="J126" s="212" t="b">
        <v>1</v>
      </c>
      <c r="K126" s="213" t="s">
        <v>3339</v>
      </c>
      <c r="L126" s="217" t="b">
        <v>0</v>
      </c>
      <c r="M126" s="215" t="b">
        <v>0</v>
      </c>
      <c r="N126" s="238"/>
      <c r="O126" s="217" t="b">
        <v>0</v>
      </c>
      <c r="P126" s="215" t="b">
        <v>0</v>
      </c>
      <c r="Q126" s="230"/>
      <c r="R126" s="217" t="b">
        <v>0</v>
      </c>
      <c r="S126" s="215" t="b">
        <v>0</v>
      </c>
      <c r="T126" s="218"/>
      <c r="U126" s="217" t="b">
        <v>0</v>
      </c>
      <c r="V126" s="215" t="b">
        <v>0</v>
      </c>
      <c r="W126" s="219"/>
      <c r="X126" s="217" t="b">
        <v>0</v>
      </c>
      <c r="Y126" s="215" t="b">
        <v>0</v>
      </c>
      <c r="Z126" s="232"/>
      <c r="AA126" s="217" t="b">
        <v>0</v>
      </c>
      <c r="AB126" s="215" t="b">
        <v>0</v>
      </c>
      <c r="AC126" s="221"/>
      <c r="AD126" s="217" t="b">
        <v>0</v>
      </c>
      <c r="AE126" s="215" t="b">
        <v>0</v>
      </c>
      <c r="AF126" s="222"/>
      <c r="AG126" s="217" t="b">
        <v>0</v>
      </c>
      <c r="AH126" s="215" t="b">
        <v>0</v>
      </c>
      <c r="AI126" s="207"/>
      <c r="AJ126" s="217" t="b">
        <v>0</v>
      </c>
      <c r="AK126" s="215" t="b">
        <v>0</v>
      </c>
      <c r="AL126" s="224"/>
      <c r="AM126" s="217" t="b">
        <v>0</v>
      </c>
      <c r="AN126" s="215" t="b">
        <v>0</v>
      </c>
      <c r="AO126" s="207"/>
      <c r="AP126" s="207"/>
      <c r="AQ126" s="207"/>
      <c r="AR126" s="207"/>
      <c r="AS126" s="207"/>
      <c r="AT126" s="207"/>
      <c r="AU126" s="207"/>
      <c r="AV126" s="207"/>
      <c r="AW126" s="207"/>
      <c r="AX126" s="207"/>
      <c r="AY126" s="207"/>
      <c r="AZ126" s="207"/>
      <c r="BA126" s="207"/>
    </row>
    <row r="127">
      <c r="A127" s="209" t="str">
        <f>IFERROR(__xludf.DUMMYFUNCTION("""COMPUTED_VALUE"""),"FEES PENDING")</f>
        <v>FEES PENDING</v>
      </c>
      <c r="B127" s="209" t="str">
        <f>IFERROR(__xludf.DUMMYFUNCTION("""COMPUTED_VALUE"""),"Jakey")</f>
        <v>Jakey</v>
      </c>
      <c r="C127" s="209" t="str">
        <f>IFERROR(__xludf.DUMMYFUNCTION("""COMPUTED_VALUE"""),"Joyce Webb")</f>
        <v>Joyce Webb</v>
      </c>
      <c r="D127" s="209" t="str">
        <f>IFERROR(__xludf.DUMMYFUNCTION("""COMPUTED_VALUE"""),"(863) 686-8316")</f>
        <v>(863) 686-8316</v>
      </c>
      <c r="E127" s="209" t="str">
        <f>IFERROR(__xludf.DUMMYFUNCTION("""COMPUTED_VALUE"""),"jhwebb16485@gmail.com")</f>
        <v>jhwebb16485@gmail.com</v>
      </c>
      <c r="F127" s="209" t="str">
        <f>IFERROR(__xludf.DUMMYFUNCTION("""COMPUTED_VALUE"""),"2216 Dille St Lakeland, FL 33815")</f>
        <v>2216 Dille St Lakeland, FL 33815</v>
      </c>
      <c r="G127" s="209" t="str">
        <f>IFERROR(__xludf.DUMMYFUNCTION("""COMPUTED_VALUE"""),"Hurricane Ian")</f>
        <v>Hurricane Ian</v>
      </c>
      <c r="H127" s="209" t="str">
        <f>IFERROR(__xludf.DUMMYFUNCTION("""COMPUTED_VALUE"""),"New Claim")</f>
        <v>New Claim</v>
      </c>
      <c r="I127" s="210" t="b">
        <v>0</v>
      </c>
      <c r="J127" s="212" t="b">
        <v>0</v>
      </c>
      <c r="K127" s="238"/>
      <c r="L127" s="217" t="b">
        <v>0</v>
      </c>
      <c r="M127" s="215" t="b">
        <v>0</v>
      </c>
      <c r="N127" s="238"/>
      <c r="O127" s="217" t="b">
        <v>0</v>
      </c>
      <c r="P127" s="215" t="b">
        <v>0</v>
      </c>
      <c r="Q127" s="230"/>
      <c r="R127" s="217" t="b">
        <v>0</v>
      </c>
      <c r="S127" s="215" t="b">
        <v>0</v>
      </c>
      <c r="T127" s="218"/>
      <c r="U127" s="217" t="b">
        <v>0</v>
      </c>
      <c r="V127" s="215" t="b">
        <v>0</v>
      </c>
      <c r="W127" s="219"/>
      <c r="X127" s="217" t="b">
        <v>0</v>
      </c>
      <c r="Y127" s="215" t="b">
        <v>0</v>
      </c>
      <c r="Z127" s="232"/>
      <c r="AA127" s="217" t="b">
        <v>0</v>
      </c>
      <c r="AB127" s="215" t="b">
        <v>0</v>
      </c>
      <c r="AC127" s="221"/>
      <c r="AD127" s="217" t="b">
        <v>0</v>
      </c>
      <c r="AE127" s="215" t="b">
        <v>0</v>
      </c>
      <c r="AF127" s="222"/>
      <c r="AG127" s="217" t="b">
        <v>0</v>
      </c>
      <c r="AH127" s="215" t="b">
        <v>0</v>
      </c>
      <c r="AI127" s="207"/>
      <c r="AJ127" s="217" t="b">
        <v>0</v>
      </c>
      <c r="AK127" s="215" t="b">
        <v>0</v>
      </c>
      <c r="AL127" s="224"/>
      <c r="AM127" s="217" t="b">
        <v>0</v>
      </c>
      <c r="AN127" s="215" t="b">
        <v>0</v>
      </c>
      <c r="AO127" s="207"/>
      <c r="AP127" s="207"/>
      <c r="AQ127" s="207"/>
      <c r="AR127" s="207"/>
      <c r="AS127" s="207"/>
      <c r="AT127" s="207"/>
      <c r="AU127" s="207"/>
      <c r="AV127" s="207"/>
      <c r="AW127" s="207"/>
      <c r="AX127" s="207"/>
      <c r="AY127" s="207"/>
      <c r="AZ127" s="207"/>
      <c r="BA127" s="207"/>
    </row>
    <row r="128">
      <c r="A128" s="209" t="str">
        <f>IFERROR(__xludf.DUMMYFUNCTION("""COMPUTED_VALUE"""),"CLSD CLAIMS")</f>
        <v>CLSD CLAIMS</v>
      </c>
      <c r="B128" s="209" t="str">
        <f>IFERROR(__xludf.DUMMYFUNCTION("""COMPUTED_VALUE"""),"David M.")</f>
        <v>David M.</v>
      </c>
      <c r="C128" s="209" t="str">
        <f>IFERROR(__xludf.DUMMYFUNCTION("""COMPUTED_VALUE"""),"Juan V Ortiz")</f>
        <v>Juan V Ortiz</v>
      </c>
      <c r="D128" s="209" t="str">
        <f>IFERROR(__xludf.DUMMYFUNCTION("""COMPUTED_VALUE"""),"863-682-0999/ 863-397-4234")</f>
        <v>863-682-0999/ 863-397-4234</v>
      </c>
      <c r="E128" s="209" t="str">
        <f>IFERROR(__xludf.DUMMYFUNCTION("""COMPUTED_VALUE"""),"nsaintb@gmail.com")</f>
        <v>nsaintb@gmail.com</v>
      </c>
      <c r="F128" s="209" t="str">
        <f>IFERROR(__xludf.DUMMYFUNCTION("""COMPUTED_VALUE"""),"1052 E Palmetto St, Lakeland FL 33801")</f>
        <v>1052 E Palmetto St, Lakeland FL 33801</v>
      </c>
      <c r="G128" s="209" t="str">
        <f>IFERROR(__xludf.DUMMYFUNCTION("""COMPUTED_VALUE"""),"Hurricane Ian")</f>
        <v>Hurricane Ian</v>
      </c>
      <c r="H128" s="209" t="str">
        <f>IFERROR(__xludf.DUMMYFUNCTION("""COMPUTED_VALUE"""),"New Claim")</f>
        <v>New Claim</v>
      </c>
      <c r="I128" s="217" t="b">
        <v>0</v>
      </c>
      <c r="J128" s="229" t="b">
        <v>0</v>
      </c>
      <c r="K128" s="238"/>
      <c r="L128" s="217" t="b">
        <v>0</v>
      </c>
      <c r="M128" s="215" t="b">
        <v>0</v>
      </c>
      <c r="N128" s="238"/>
      <c r="O128" s="217" t="b">
        <v>0</v>
      </c>
      <c r="P128" s="215" t="b">
        <v>0</v>
      </c>
      <c r="Q128" s="230"/>
      <c r="R128" s="217" t="b">
        <v>0</v>
      </c>
      <c r="S128" s="215" t="b">
        <v>0</v>
      </c>
      <c r="T128" s="218"/>
      <c r="U128" s="217" t="b">
        <v>0</v>
      </c>
      <c r="V128" s="215" t="b">
        <v>0</v>
      </c>
      <c r="W128" s="219"/>
      <c r="X128" s="217" t="b">
        <v>0</v>
      </c>
      <c r="Y128" s="215" t="b">
        <v>0</v>
      </c>
      <c r="Z128" s="232"/>
      <c r="AA128" s="217" t="b">
        <v>0</v>
      </c>
      <c r="AB128" s="215" t="b">
        <v>0</v>
      </c>
      <c r="AC128" s="221"/>
      <c r="AD128" s="217" t="b">
        <v>0</v>
      </c>
      <c r="AE128" s="215" t="b">
        <v>0</v>
      </c>
      <c r="AF128" s="222"/>
      <c r="AG128" s="217" t="b">
        <v>0</v>
      </c>
      <c r="AH128" s="215" t="b">
        <v>0</v>
      </c>
      <c r="AI128" s="207"/>
      <c r="AJ128" s="217" t="b">
        <v>0</v>
      </c>
      <c r="AK128" s="215" t="b">
        <v>0</v>
      </c>
      <c r="AL128" s="224"/>
      <c r="AM128" s="217" t="b">
        <v>0</v>
      </c>
      <c r="AN128" s="215" t="b">
        <v>0</v>
      </c>
      <c r="AO128" s="207"/>
      <c r="AP128" s="207"/>
      <c r="AQ128" s="207"/>
      <c r="AR128" s="207"/>
      <c r="AS128" s="207"/>
      <c r="AT128" s="207"/>
      <c r="AU128" s="207"/>
      <c r="AV128" s="207"/>
      <c r="AW128" s="207"/>
      <c r="AX128" s="207"/>
      <c r="AY128" s="207"/>
      <c r="AZ128" s="207"/>
      <c r="BA128" s="207"/>
    </row>
    <row r="129">
      <c r="A129" s="209" t="str">
        <f>IFERROR(__xludf.DUMMYFUNCTION("""COMPUTED_VALUE"""),"SETTLED")</f>
        <v>SETTLED</v>
      </c>
      <c r="B129" s="209" t="str">
        <f>IFERROR(__xludf.DUMMYFUNCTION("""COMPUTED_VALUE"""),"Ivan")</f>
        <v>Ivan</v>
      </c>
      <c r="C129" s="209" t="str">
        <f>IFERROR(__xludf.DUMMYFUNCTION("""COMPUTED_VALUE"""),"Larry Wilkie")</f>
        <v>Larry Wilkie</v>
      </c>
      <c r="D129" s="209" t="str">
        <f>IFERROR(__xludf.DUMMYFUNCTION("""COMPUTED_VALUE"""),"305-942-7187")</f>
        <v>305-942-7187</v>
      </c>
      <c r="E129" s="209" t="str">
        <f>IFERROR(__xludf.DUMMYFUNCTION("""COMPUTED_VALUE"""),"legpromotions@gmail.com")</f>
        <v>legpromotions@gmail.com</v>
      </c>
      <c r="F129" s="209" t="str">
        <f>IFERROR(__xludf.DUMMYFUNCTION("""COMPUTED_VALUE"""),"2421 Vineyard Cir Sanford, FL 32771")</f>
        <v>2421 Vineyard Cir Sanford, FL 32771</v>
      </c>
      <c r="G129" s="209" t="str">
        <f>IFERROR(__xludf.DUMMYFUNCTION("""COMPUTED_VALUE"""),"Windstorm")</f>
        <v>Windstorm</v>
      </c>
      <c r="H129" s="209" t="str">
        <f>IFERROR(__xludf.DUMMYFUNCTION("""COMPUTED_VALUE"""),"New Claim")</f>
        <v>New Claim</v>
      </c>
      <c r="I129" s="217" t="b">
        <v>0</v>
      </c>
      <c r="J129" s="229" t="b">
        <v>0</v>
      </c>
      <c r="K129" s="238"/>
      <c r="L129" s="217" t="b">
        <v>0</v>
      </c>
      <c r="M129" s="215" t="b">
        <v>0</v>
      </c>
      <c r="N129" s="238"/>
      <c r="O129" s="217" t="b">
        <v>0</v>
      </c>
      <c r="P129" s="215" t="b">
        <v>0</v>
      </c>
      <c r="Q129" s="230"/>
      <c r="R129" s="217" t="b">
        <v>0</v>
      </c>
      <c r="S129" s="215" t="b">
        <v>0</v>
      </c>
      <c r="T129" s="218"/>
      <c r="U129" s="217" t="b">
        <v>0</v>
      </c>
      <c r="V129" s="215" t="b">
        <v>0</v>
      </c>
      <c r="W129" s="219"/>
      <c r="X129" s="217" t="b">
        <v>0</v>
      </c>
      <c r="Y129" s="215" t="b">
        <v>0</v>
      </c>
      <c r="Z129" s="232"/>
      <c r="AA129" s="217" t="b">
        <v>0</v>
      </c>
      <c r="AB129" s="215" t="b">
        <v>0</v>
      </c>
      <c r="AC129" s="221"/>
      <c r="AD129" s="217" t="b">
        <v>0</v>
      </c>
      <c r="AE129" s="215" t="b">
        <v>0</v>
      </c>
      <c r="AF129" s="222"/>
      <c r="AG129" s="217" t="b">
        <v>0</v>
      </c>
      <c r="AH129" s="215" t="b">
        <v>0</v>
      </c>
      <c r="AI129" s="207"/>
      <c r="AJ129" s="217" t="b">
        <v>0</v>
      </c>
      <c r="AK129" s="215" t="b">
        <v>0</v>
      </c>
      <c r="AL129" s="224"/>
      <c r="AM129" s="217" t="b">
        <v>0</v>
      </c>
      <c r="AN129" s="215" t="b">
        <v>0</v>
      </c>
      <c r="AO129" s="207"/>
      <c r="AP129" s="207"/>
      <c r="AQ129" s="207"/>
      <c r="AR129" s="207"/>
      <c r="AS129" s="207"/>
      <c r="AT129" s="207"/>
      <c r="AU129" s="207"/>
      <c r="AV129" s="207"/>
      <c r="AW129" s="207"/>
      <c r="AX129" s="207"/>
      <c r="AY129" s="207"/>
      <c r="AZ129" s="207"/>
      <c r="BA129" s="207"/>
    </row>
    <row r="130">
      <c r="A130" s="209" t="str">
        <f>IFERROR(__xludf.DUMMYFUNCTION("""COMPUTED_VALUE"""),"SETTLED")</f>
        <v>SETTLED</v>
      </c>
      <c r="B130" s="209" t="str">
        <f>IFERROR(__xludf.DUMMYFUNCTION("""COMPUTED_VALUE"""),"David M.")</f>
        <v>David M.</v>
      </c>
      <c r="C130" s="209" t="str">
        <f>IFERROR(__xludf.DUMMYFUNCTION("""COMPUTED_VALUE"""),"Angel Gandara ")</f>
        <v>Angel Gandara </v>
      </c>
      <c r="D130" s="209" t="str">
        <f>IFERROR(__xludf.DUMMYFUNCTION("""COMPUTED_VALUE"""),"863-808-8500")</f>
        <v>863-808-8500</v>
      </c>
      <c r="E130" s="209" t="str">
        <f>IFERROR(__xludf.DUMMYFUNCTION("""COMPUTED_VALUE"""),"gandara.angel@gmail.com")</f>
        <v>gandara.angel@gmail.com</v>
      </c>
      <c r="F130" s="209" t="str">
        <f>IFERROR(__xludf.DUMMYFUNCTION("""COMPUTED_VALUE"""),"2198 Colonial Ave Lakeland, FL 33801")</f>
        <v>2198 Colonial Ave Lakeland, FL 33801</v>
      </c>
      <c r="G130" s="209" t="str">
        <f>IFERROR(__xludf.DUMMYFUNCTION("""COMPUTED_VALUE"""),"Hurricane Ian")</f>
        <v>Hurricane Ian</v>
      </c>
      <c r="H130" s="209" t="str">
        <f>IFERROR(__xludf.DUMMYFUNCTION("""COMPUTED_VALUE"""),"New Claim")</f>
        <v>New Claim</v>
      </c>
      <c r="I130" s="217" t="b">
        <v>0</v>
      </c>
      <c r="J130" s="229" t="b">
        <v>0</v>
      </c>
      <c r="K130" s="238"/>
      <c r="L130" s="217" t="b">
        <v>0</v>
      </c>
      <c r="M130" s="215" t="b">
        <v>0</v>
      </c>
      <c r="N130" s="238"/>
      <c r="O130" s="217" t="b">
        <v>0</v>
      </c>
      <c r="P130" s="215" t="b">
        <v>0</v>
      </c>
      <c r="Q130" s="230"/>
      <c r="R130" s="217" t="b">
        <v>0</v>
      </c>
      <c r="S130" s="215" t="b">
        <v>0</v>
      </c>
      <c r="T130" s="218"/>
      <c r="U130" s="217" t="b">
        <v>0</v>
      </c>
      <c r="V130" s="215" t="b">
        <v>0</v>
      </c>
      <c r="W130" s="219"/>
      <c r="X130" s="217" t="b">
        <v>0</v>
      </c>
      <c r="Y130" s="215" t="b">
        <v>0</v>
      </c>
      <c r="Z130" s="232"/>
      <c r="AA130" s="217" t="b">
        <v>0</v>
      </c>
      <c r="AB130" s="215" t="b">
        <v>0</v>
      </c>
      <c r="AC130" s="221"/>
      <c r="AD130" s="217" t="b">
        <v>0</v>
      </c>
      <c r="AE130" s="215" t="b">
        <v>0</v>
      </c>
      <c r="AF130" s="222"/>
      <c r="AG130" s="217" t="b">
        <v>0</v>
      </c>
      <c r="AH130" s="215" t="b">
        <v>0</v>
      </c>
      <c r="AI130" s="207"/>
      <c r="AJ130" s="217" t="b">
        <v>0</v>
      </c>
      <c r="AK130" s="215" t="b">
        <v>0</v>
      </c>
      <c r="AL130" s="224"/>
      <c r="AM130" s="217" t="b">
        <v>0</v>
      </c>
      <c r="AN130" s="215" t="b">
        <v>0</v>
      </c>
      <c r="AO130" s="207"/>
      <c r="AP130" s="207"/>
      <c r="AQ130" s="207"/>
      <c r="AR130" s="207"/>
      <c r="AS130" s="207"/>
      <c r="AT130" s="207"/>
      <c r="AU130" s="207"/>
      <c r="AV130" s="207"/>
      <c r="AW130" s="207"/>
      <c r="AX130" s="207"/>
      <c r="AY130" s="207"/>
      <c r="AZ130" s="207"/>
      <c r="BA130" s="207"/>
    </row>
    <row r="131">
      <c r="A131" s="166" t="str">
        <f>IFERROR(__xludf.DUMMYFUNCTION("""COMPUTED_VALUE"""),"FEES PENDING")</f>
        <v>FEES PENDING</v>
      </c>
      <c r="B131" s="166" t="str">
        <f>IFERROR(__xludf.DUMMYFUNCTION("""COMPUTED_VALUE"""),"Joshua")</f>
        <v>Joshua</v>
      </c>
      <c r="C131" s="166" t="str">
        <f>IFERROR(__xludf.DUMMYFUNCTION("""COMPUTED_VALUE"""),"Kimberly Holder ")</f>
        <v>Kimberly Holder </v>
      </c>
      <c r="D131" s="166" t="str">
        <f>IFERROR(__xludf.DUMMYFUNCTION("""COMPUTED_VALUE"""),"863-205-2154")</f>
        <v>863-205-2154</v>
      </c>
      <c r="E131" s="166" t="str">
        <f>IFERROR(__xludf.DUMMYFUNCTION("""COMPUTED_VALUE"""),"kkholder13@gmail.com")</f>
        <v>kkholder13@gmail.com</v>
      </c>
      <c r="F131" s="166" t="str">
        <f>IFERROR(__xludf.DUMMYFUNCTION("""COMPUTED_VALUE"""),"201 4th St Homeland FL 33847 / PO BOX 102")</f>
        <v>201 4th St Homeland FL 33847 / PO BOX 102</v>
      </c>
      <c r="G131" s="166" t="str">
        <f>IFERROR(__xludf.DUMMYFUNCTION("""COMPUTED_VALUE"""),"Hurricane Ian")</f>
        <v>Hurricane Ian</v>
      </c>
      <c r="H131" s="166" t="str">
        <f>IFERROR(__xludf.DUMMYFUNCTION("""COMPUTED_VALUE"""),"New Claim")</f>
        <v>New Claim</v>
      </c>
      <c r="I131" s="173" t="b">
        <v>0</v>
      </c>
      <c r="J131" s="225" t="b">
        <v>0</v>
      </c>
      <c r="K131" s="178"/>
      <c r="L131" s="173" t="b">
        <v>0</v>
      </c>
      <c r="M131" s="226" t="b">
        <v>0</v>
      </c>
      <c r="N131" s="178"/>
      <c r="O131" s="173" t="b">
        <v>0</v>
      </c>
      <c r="P131" s="226" t="b">
        <v>0</v>
      </c>
      <c r="Q131" s="227"/>
      <c r="R131" s="173" t="b">
        <v>0</v>
      </c>
      <c r="S131" s="226" t="b">
        <v>0</v>
      </c>
      <c r="T131" s="228"/>
      <c r="U131" s="173" t="b">
        <v>0</v>
      </c>
      <c r="V131" s="226" t="b">
        <v>0</v>
      </c>
      <c r="W131" s="195"/>
      <c r="X131" s="190" t="b">
        <v>1</v>
      </c>
      <c r="Y131" s="192" t="b">
        <v>1</v>
      </c>
      <c r="Z131" s="436" t="s">
        <v>3343</v>
      </c>
      <c r="AA131" s="173" t="b">
        <v>0</v>
      </c>
      <c r="AB131" s="226" t="b">
        <v>0</v>
      </c>
      <c r="AC131" s="200"/>
      <c r="AD131" s="173" t="b">
        <v>0</v>
      </c>
      <c r="AE131" s="226" t="b">
        <v>0</v>
      </c>
      <c r="AF131" s="202"/>
      <c r="AG131" s="173" t="b">
        <v>0</v>
      </c>
      <c r="AH131" s="226" t="b">
        <v>0</v>
      </c>
      <c r="AI131" s="165"/>
      <c r="AJ131" s="173" t="b">
        <v>0</v>
      </c>
      <c r="AK131" s="226" t="b">
        <v>0</v>
      </c>
      <c r="AL131" s="204"/>
      <c r="AM131" s="173" t="b">
        <v>0</v>
      </c>
      <c r="AN131" s="226" t="b">
        <v>0</v>
      </c>
      <c r="AO131" s="165"/>
      <c r="AP131" s="165"/>
      <c r="AQ131" s="165"/>
      <c r="AR131" s="165"/>
      <c r="AS131" s="165"/>
      <c r="AT131" s="165"/>
      <c r="AU131" s="165"/>
      <c r="AV131" s="165"/>
      <c r="AW131" s="165"/>
      <c r="AX131" s="165"/>
      <c r="AY131" s="165"/>
      <c r="AZ131" s="165"/>
      <c r="BA131" s="165"/>
    </row>
    <row r="132">
      <c r="A132" s="267" t="str">
        <f>IFERROR(__xludf.DUMMYFUNCTION("""COMPUTED_VALUE"""),"PEN PAY")</f>
        <v>PEN PAY</v>
      </c>
      <c r="B132" s="267" t="str">
        <f>IFERROR(__xludf.DUMMYFUNCTION("""COMPUTED_VALUE"""),"David M.")</f>
        <v>David M.</v>
      </c>
      <c r="C132" s="267" t="str">
        <f>IFERROR(__xludf.DUMMYFUNCTION("""COMPUTED_VALUE"""),"Amanda Harris")</f>
        <v>Amanda Harris</v>
      </c>
      <c r="D132" s="267" t="str">
        <f>IFERROR(__xludf.DUMMYFUNCTION("""COMPUTED_VALUE"""),"407-953-0556")</f>
        <v>407-953-0556</v>
      </c>
      <c r="E132" s="267" t="str">
        <f>IFERROR(__xludf.DUMMYFUNCTION("""COMPUTED_VALUE"""),"amandapeaharris@gmail.com")</f>
        <v>amandapeaharris@gmail.com</v>
      </c>
      <c r="F132" s="267" t="str">
        <f>IFERROR(__xludf.DUMMYFUNCTION("""COMPUTED_VALUE"""),"1324 Clyde Memorial Ave, Lakeland FL 33805")</f>
        <v>1324 Clyde Memorial Ave, Lakeland FL 33805</v>
      </c>
      <c r="G132" s="267" t="str">
        <f>IFERROR(__xludf.DUMMYFUNCTION("""COMPUTED_VALUE"""),"Hurricane Ian")</f>
        <v>Hurricane Ian</v>
      </c>
      <c r="H132" s="267" t="str">
        <f>IFERROR(__xludf.DUMMYFUNCTION("""COMPUTED_VALUE"""),"New Claim")</f>
        <v>New Claim</v>
      </c>
      <c r="I132" s="410" t="b">
        <v>0</v>
      </c>
      <c r="J132" s="463" t="b">
        <v>0</v>
      </c>
      <c r="K132" s="414"/>
      <c r="L132" s="410" t="b">
        <v>0</v>
      </c>
      <c r="M132" s="412" t="b">
        <v>0</v>
      </c>
      <c r="N132" s="414"/>
      <c r="O132" s="410" t="b">
        <v>0</v>
      </c>
      <c r="P132" s="412" t="b">
        <v>0</v>
      </c>
      <c r="Q132" s="416"/>
      <c r="R132" s="410" t="b">
        <v>0</v>
      </c>
      <c r="S132" s="412" t="b">
        <v>0</v>
      </c>
      <c r="T132" s="417"/>
      <c r="U132" s="410" t="b">
        <v>0</v>
      </c>
      <c r="V132" s="412" t="b">
        <v>0</v>
      </c>
      <c r="W132" s="418"/>
      <c r="X132" s="410" t="b">
        <v>0</v>
      </c>
      <c r="Y132" s="412" t="b">
        <v>0</v>
      </c>
      <c r="Z132" s="419"/>
      <c r="AA132" s="410" t="b">
        <v>0</v>
      </c>
      <c r="AB132" s="412" t="b">
        <v>0</v>
      </c>
      <c r="AC132" s="420"/>
      <c r="AD132" s="410" t="b">
        <v>0</v>
      </c>
      <c r="AE132" s="412" t="b">
        <v>0</v>
      </c>
      <c r="AF132" s="421"/>
      <c r="AG132" s="410" t="b">
        <v>0</v>
      </c>
      <c r="AH132" s="412" t="b">
        <v>0</v>
      </c>
      <c r="AI132" s="423"/>
      <c r="AJ132" s="410" t="b">
        <v>0</v>
      </c>
      <c r="AK132" s="412" t="b">
        <v>0</v>
      </c>
      <c r="AL132" s="424"/>
      <c r="AM132" s="410" t="b">
        <v>0</v>
      </c>
      <c r="AN132" s="412" t="b">
        <v>0</v>
      </c>
      <c r="AO132" s="423"/>
      <c r="AP132" s="423"/>
      <c r="AQ132" s="423"/>
      <c r="AR132" s="423"/>
      <c r="AS132" s="423"/>
      <c r="AT132" s="423"/>
      <c r="AU132" s="423"/>
      <c r="AV132" s="423"/>
      <c r="AW132" s="423"/>
      <c r="AX132" s="423"/>
      <c r="AY132" s="423"/>
      <c r="AZ132" s="423"/>
      <c r="BA132" s="423"/>
    </row>
    <row r="133">
      <c r="A133" s="166" t="str">
        <f>IFERROR(__xludf.DUMMYFUNCTION("""COMPUTED_VALUE"""),"SETTLED")</f>
        <v>SETTLED</v>
      </c>
      <c r="B133" s="166" t="str">
        <f>IFERROR(__xludf.DUMMYFUNCTION("""COMPUTED_VALUE"""),"David M.")</f>
        <v>David M.</v>
      </c>
      <c r="C133" s="166" t="str">
        <f>IFERROR(__xludf.DUMMYFUNCTION("""COMPUTED_VALUE"""),"Leilani Moore")</f>
        <v>Leilani Moore</v>
      </c>
      <c r="D133" s="166" t="str">
        <f>IFERROR(__xludf.DUMMYFUNCTION("""COMPUTED_VALUE"""),"863-738-4154")</f>
        <v>863-738-4154</v>
      </c>
      <c r="E133" s="166" t="str">
        <f>IFERROR(__xludf.DUMMYFUNCTION("""COMPUTED_VALUE"""),"mooreleilani71@gmail.com")</f>
        <v>mooreleilani71@gmail.com</v>
      </c>
      <c r="F133" s="166" t="str">
        <f>IFERROR(__xludf.DUMMYFUNCTION("""COMPUTED_VALUE"""),"634 Strain Blvd Lakeland FL 33815")</f>
        <v>634 Strain Blvd Lakeland FL 33815</v>
      </c>
      <c r="G133" s="166" t="str">
        <f>IFERROR(__xludf.DUMMYFUNCTION("""COMPUTED_VALUE"""),"Hurricane Ian")</f>
        <v>Hurricane Ian</v>
      </c>
      <c r="H133" s="166" t="str">
        <f>IFERROR(__xludf.DUMMYFUNCTION("""COMPUTED_VALUE"""),"New Claim")</f>
        <v>New Claim</v>
      </c>
      <c r="I133" s="173" t="b">
        <v>0</v>
      </c>
      <c r="J133" s="225" t="b">
        <v>0</v>
      </c>
      <c r="K133" s="178"/>
      <c r="L133" s="173" t="b">
        <v>0</v>
      </c>
      <c r="M133" s="226" t="b">
        <v>0</v>
      </c>
      <c r="N133" s="178"/>
      <c r="O133" s="173" t="b">
        <v>0</v>
      </c>
      <c r="P133" s="226" t="b">
        <v>0</v>
      </c>
      <c r="Q133" s="227"/>
      <c r="R133" s="173" t="b">
        <v>0</v>
      </c>
      <c r="S133" s="226" t="b">
        <v>0</v>
      </c>
      <c r="T133" s="228"/>
      <c r="U133" s="173" t="b">
        <v>0</v>
      </c>
      <c r="V133" s="226" t="b">
        <v>0</v>
      </c>
      <c r="W133" s="195"/>
      <c r="X133" s="173" t="b">
        <v>0</v>
      </c>
      <c r="Y133" s="226" t="b">
        <v>0</v>
      </c>
      <c r="Z133" s="197"/>
      <c r="AA133" s="173" t="b">
        <v>0</v>
      </c>
      <c r="AB133" s="226" t="b">
        <v>0</v>
      </c>
      <c r="AC133" s="200"/>
      <c r="AD133" s="173" t="b">
        <v>0</v>
      </c>
      <c r="AE133" s="226" t="b">
        <v>0</v>
      </c>
      <c r="AF133" s="202"/>
      <c r="AG133" s="173" t="b">
        <v>0</v>
      </c>
      <c r="AH133" s="226" t="b">
        <v>0</v>
      </c>
      <c r="AI133" s="165"/>
      <c r="AJ133" s="173" t="b">
        <v>0</v>
      </c>
      <c r="AK133" s="226" t="b">
        <v>0</v>
      </c>
      <c r="AL133" s="204"/>
      <c r="AM133" s="173" t="b">
        <v>0</v>
      </c>
      <c r="AN133" s="226" t="b">
        <v>0</v>
      </c>
      <c r="AO133" s="165"/>
      <c r="AP133" s="165"/>
      <c r="AQ133" s="165"/>
      <c r="AR133" s="165"/>
      <c r="AS133" s="165"/>
      <c r="AT133" s="165"/>
      <c r="AU133" s="165"/>
      <c r="AV133" s="165"/>
      <c r="AW133" s="165"/>
      <c r="AX133" s="165"/>
      <c r="AY133" s="165"/>
      <c r="AZ133" s="165"/>
      <c r="BA133" s="165"/>
    </row>
    <row r="134">
      <c r="A134" s="267" t="str">
        <f>IFERROR(__xludf.DUMMYFUNCTION("""COMPUTED_VALUE"""),"SETTLED")</f>
        <v>SETTLED</v>
      </c>
      <c r="B134" s="267" t="str">
        <f>IFERROR(__xludf.DUMMYFUNCTION("""COMPUTED_VALUE"""),"Jakey")</f>
        <v>Jakey</v>
      </c>
      <c r="C134" s="267" t="str">
        <f>IFERROR(__xludf.DUMMYFUNCTION("""COMPUTED_VALUE"""),"Schnei Hogarth")</f>
        <v>Schnei Hogarth</v>
      </c>
      <c r="D134" s="267" t="str">
        <f>IFERROR(__xludf.DUMMYFUNCTION("""COMPUTED_VALUE"""),"301-609-1131")</f>
        <v>301-609-1131</v>
      </c>
      <c r="E134" s="267" t="str">
        <f>IFERROR(__xludf.DUMMYFUNCTION("""COMPUTED_VALUE"""),"schneihogarth@ymail.com")</f>
        <v>schneihogarth@ymail.com</v>
      </c>
      <c r="F134" s="267" t="str">
        <f>IFERROR(__xludf.DUMMYFUNCTION("""COMPUTED_VALUE"""),"1829 Optimist Dr Lakeland FL 33801")</f>
        <v>1829 Optimist Dr Lakeland FL 33801</v>
      </c>
      <c r="G134" s="267" t="str">
        <f>IFERROR(__xludf.DUMMYFUNCTION("""COMPUTED_VALUE"""),"Hurricane Ian")</f>
        <v>Hurricane Ian</v>
      </c>
      <c r="H134" s="267" t="str">
        <f>IFERROR(__xludf.DUMMYFUNCTION("""COMPUTED_VALUE"""),"New Claim")</f>
        <v>New Claim</v>
      </c>
      <c r="I134" s="406" t="b">
        <v>1</v>
      </c>
      <c r="J134" s="407" t="b">
        <v>1</v>
      </c>
      <c r="K134" s="409" t="s">
        <v>3345</v>
      </c>
      <c r="L134" s="410" t="b">
        <v>0</v>
      </c>
      <c r="M134" s="412" t="b">
        <v>0</v>
      </c>
      <c r="N134" s="414"/>
      <c r="O134" s="410" t="b">
        <v>0</v>
      </c>
      <c r="P134" s="412" t="b">
        <v>0</v>
      </c>
      <c r="Q134" s="416"/>
      <c r="R134" s="410" t="b">
        <v>0</v>
      </c>
      <c r="S134" s="412" t="b">
        <v>0</v>
      </c>
      <c r="T134" s="417"/>
      <c r="U134" s="410" t="b">
        <v>0</v>
      </c>
      <c r="V134" s="412" t="b">
        <v>0</v>
      </c>
      <c r="W134" s="418"/>
      <c r="X134" s="410" t="b">
        <v>0</v>
      </c>
      <c r="Y134" s="412" t="b">
        <v>0</v>
      </c>
      <c r="Z134" s="419"/>
      <c r="AA134" s="410" t="b">
        <v>0</v>
      </c>
      <c r="AB134" s="412" t="b">
        <v>0</v>
      </c>
      <c r="AC134" s="420"/>
      <c r="AD134" s="410" t="b">
        <v>0</v>
      </c>
      <c r="AE134" s="412" t="b">
        <v>0</v>
      </c>
      <c r="AF134" s="421"/>
      <c r="AG134" s="410" t="b">
        <v>0</v>
      </c>
      <c r="AH134" s="412" t="b">
        <v>0</v>
      </c>
      <c r="AI134" s="423"/>
      <c r="AJ134" s="410" t="b">
        <v>0</v>
      </c>
      <c r="AK134" s="412" t="b">
        <v>0</v>
      </c>
      <c r="AL134" s="424"/>
      <c r="AM134" s="410" t="b">
        <v>0</v>
      </c>
      <c r="AN134" s="412" t="b">
        <v>0</v>
      </c>
      <c r="AO134" s="423"/>
      <c r="AP134" s="423"/>
      <c r="AQ134" s="423"/>
      <c r="AR134" s="423"/>
      <c r="AS134" s="423"/>
      <c r="AT134" s="423"/>
      <c r="AU134" s="423"/>
      <c r="AV134" s="423"/>
      <c r="AW134" s="423"/>
      <c r="AX134" s="423"/>
      <c r="AY134" s="423"/>
      <c r="AZ134" s="423"/>
      <c r="BA134" s="423"/>
    </row>
    <row r="135">
      <c r="A135" s="209" t="str">
        <f>IFERROR(__xludf.DUMMYFUNCTION("""COMPUTED_VALUE"""),"PEN O&amp;L/DEPRECIATION")</f>
        <v>PEN O&amp;L/DEPRECIATION</v>
      </c>
      <c r="B135" s="209" t="str">
        <f>IFERROR(__xludf.DUMMYFUNCTION("""COMPUTED_VALUE"""),"Jakey")</f>
        <v>Jakey</v>
      </c>
      <c r="C135" s="209" t="str">
        <f>IFERROR(__xludf.DUMMYFUNCTION("""COMPUTED_VALUE"""),"Edward Randall")</f>
        <v>Edward Randall</v>
      </c>
      <c r="D135" s="209" t="str">
        <f>IFERROR(__xludf.DUMMYFUNCTION("""COMPUTED_VALUE"""),"518-590-4811")</f>
        <v>518-590-4811</v>
      </c>
      <c r="E135" s="209" t="str">
        <f>IFERROR(__xludf.DUMMYFUNCTION("""COMPUTED_VALUE"""),"igotfiveonit07@yahoo.com")</f>
        <v>igotfiveonit07@yahoo.com</v>
      </c>
      <c r="F135" s="209" t="str">
        <f>IFERROR(__xludf.DUMMYFUNCTION("""COMPUTED_VALUE"""),"1034 Cove Ln Winter Haven, FL 33880")</f>
        <v>1034 Cove Ln Winter Haven, FL 33880</v>
      </c>
      <c r="G135" s="209" t="str">
        <f>IFERROR(__xludf.DUMMYFUNCTION("""COMPUTED_VALUE"""),"Hurricane Ian")</f>
        <v>Hurricane Ian</v>
      </c>
      <c r="H135" s="209" t="str">
        <f>IFERROR(__xludf.DUMMYFUNCTION("""COMPUTED_VALUE"""),"New Claim")</f>
        <v>New Claim</v>
      </c>
      <c r="I135" s="210" t="b">
        <v>0</v>
      </c>
      <c r="J135" s="212" t="b">
        <v>0</v>
      </c>
      <c r="K135" s="238"/>
      <c r="L135" s="217" t="b">
        <v>0</v>
      </c>
      <c r="M135" s="215" t="b">
        <v>0</v>
      </c>
      <c r="N135" s="238"/>
      <c r="O135" s="217" t="b">
        <v>0</v>
      </c>
      <c r="P135" s="215" t="b">
        <v>0</v>
      </c>
      <c r="Q135" s="230"/>
      <c r="R135" s="217" t="b">
        <v>0</v>
      </c>
      <c r="S135" s="215" t="b">
        <v>0</v>
      </c>
      <c r="T135" s="218"/>
      <c r="U135" s="217" t="b">
        <v>0</v>
      </c>
      <c r="V135" s="215" t="b">
        <v>0</v>
      </c>
      <c r="W135" s="219"/>
      <c r="X135" s="217" t="b">
        <v>0</v>
      </c>
      <c r="Y135" s="215" t="b">
        <v>0</v>
      </c>
      <c r="Z135" s="232"/>
      <c r="AA135" s="217" t="b">
        <v>0</v>
      </c>
      <c r="AB135" s="215" t="b">
        <v>0</v>
      </c>
      <c r="AC135" s="221"/>
      <c r="AD135" s="217" t="b">
        <v>0</v>
      </c>
      <c r="AE135" s="215" t="b">
        <v>0</v>
      </c>
      <c r="AF135" s="222"/>
      <c r="AG135" s="217" t="b">
        <v>0</v>
      </c>
      <c r="AH135" s="215" t="b">
        <v>0</v>
      </c>
      <c r="AI135" s="207"/>
      <c r="AJ135" s="217" t="b">
        <v>0</v>
      </c>
      <c r="AK135" s="215" t="b">
        <v>0</v>
      </c>
      <c r="AL135" s="224"/>
      <c r="AM135" s="217" t="b">
        <v>0</v>
      </c>
      <c r="AN135" s="215" t="b">
        <v>0</v>
      </c>
      <c r="AO135" s="207"/>
      <c r="AP135" s="207"/>
      <c r="AQ135" s="207"/>
      <c r="AR135" s="207"/>
      <c r="AS135" s="207"/>
      <c r="AT135" s="207"/>
      <c r="AU135" s="207"/>
      <c r="AV135" s="207"/>
      <c r="AW135" s="207"/>
      <c r="AX135" s="207"/>
      <c r="AY135" s="207"/>
      <c r="AZ135" s="207"/>
      <c r="BA135" s="207"/>
    </row>
    <row r="136">
      <c r="A136" s="209" t="str">
        <f>IFERROR(__xludf.DUMMYFUNCTION("""COMPUTED_VALUE"""),"SETTLED")</f>
        <v>SETTLED</v>
      </c>
      <c r="B136" s="209" t="str">
        <f>IFERROR(__xludf.DUMMYFUNCTION("""COMPUTED_VALUE"""),"David M.")</f>
        <v>David M.</v>
      </c>
      <c r="C136" s="209" t="str">
        <f>IFERROR(__xludf.DUMMYFUNCTION("""COMPUTED_VALUE"""),"Sandra Mayfield ")</f>
        <v>Sandra Mayfield </v>
      </c>
      <c r="D136" s="209" t="str">
        <f>IFERROR(__xludf.DUMMYFUNCTION("""COMPUTED_VALUE"""),"863-698-8154")</f>
        <v>863-698-8154</v>
      </c>
      <c r="E136" s="209" t="str">
        <f>IFERROR(__xludf.DUMMYFUNCTION("""COMPUTED_VALUE"""),"sassygirl405@aol.com")</f>
        <v>sassygirl405@aol.com</v>
      </c>
      <c r="F136" s="209" t="str">
        <f>IFERROR(__xludf.DUMMYFUNCTION("""COMPUTED_VALUE"""),"2225 Crystal Grove Lane, Lakeland FL 33801")</f>
        <v>2225 Crystal Grove Lane, Lakeland FL 33801</v>
      </c>
      <c r="G136" s="209" t="str">
        <f>IFERROR(__xludf.DUMMYFUNCTION("""COMPUTED_VALUE"""),"Hurricane Ian")</f>
        <v>Hurricane Ian</v>
      </c>
      <c r="H136" s="209" t="str">
        <f>IFERROR(__xludf.DUMMYFUNCTION("""COMPUTED_VALUE"""),"New Claim")</f>
        <v>New Claim</v>
      </c>
      <c r="I136" s="210" t="b">
        <v>1</v>
      </c>
      <c r="J136" s="212" t="b">
        <v>1</v>
      </c>
      <c r="K136" s="213" t="s">
        <v>3346</v>
      </c>
      <c r="L136" s="217" t="b">
        <v>0</v>
      </c>
      <c r="M136" s="215" t="b">
        <v>0</v>
      </c>
      <c r="N136" s="238"/>
      <c r="O136" s="217" t="b">
        <v>0</v>
      </c>
      <c r="P136" s="215" t="b">
        <v>0</v>
      </c>
      <c r="Q136" s="230"/>
      <c r="R136" s="217" t="b">
        <v>0</v>
      </c>
      <c r="S136" s="215" t="b">
        <v>0</v>
      </c>
      <c r="T136" s="218"/>
      <c r="U136" s="210" t="b">
        <v>1</v>
      </c>
      <c r="V136" s="214" t="b">
        <v>1</v>
      </c>
      <c r="W136" s="316" t="s">
        <v>3347</v>
      </c>
      <c r="X136" s="217" t="b">
        <v>0</v>
      </c>
      <c r="Y136" s="215" t="b">
        <v>0</v>
      </c>
      <c r="Z136" s="232"/>
      <c r="AA136" s="217" t="b">
        <v>0</v>
      </c>
      <c r="AB136" s="215" t="b">
        <v>0</v>
      </c>
      <c r="AC136" s="221"/>
      <c r="AD136" s="217" t="b">
        <v>0</v>
      </c>
      <c r="AE136" s="215" t="b">
        <v>0</v>
      </c>
      <c r="AF136" s="222"/>
      <c r="AG136" s="217" t="b">
        <v>0</v>
      </c>
      <c r="AH136" s="215" t="b">
        <v>0</v>
      </c>
      <c r="AI136" s="207"/>
      <c r="AJ136" s="217" t="b">
        <v>0</v>
      </c>
      <c r="AK136" s="215" t="b">
        <v>0</v>
      </c>
      <c r="AL136" s="224"/>
      <c r="AM136" s="217" t="b">
        <v>0</v>
      </c>
      <c r="AN136" s="215" t="b">
        <v>0</v>
      </c>
      <c r="AO136" s="207"/>
      <c r="AP136" s="207"/>
      <c r="AQ136" s="207"/>
      <c r="AR136" s="207"/>
      <c r="AS136" s="207"/>
      <c r="AT136" s="207"/>
      <c r="AU136" s="207"/>
      <c r="AV136" s="207"/>
      <c r="AW136" s="207"/>
      <c r="AX136" s="207"/>
      <c r="AY136" s="207"/>
      <c r="AZ136" s="207"/>
      <c r="BA136" s="207"/>
    </row>
    <row r="137">
      <c r="A137" s="209" t="str">
        <f>IFERROR(__xludf.DUMMYFUNCTION("""COMPUTED_VALUE"""),"CLSD CLAIMS")</f>
        <v>CLSD CLAIMS</v>
      </c>
      <c r="B137" s="209" t="str">
        <f>IFERROR(__xludf.DUMMYFUNCTION("""COMPUTED_VALUE"""),"David M.")</f>
        <v>David M.</v>
      </c>
      <c r="C137" s="209" t="str">
        <f>IFERROR(__xludf.DUMMYFUNCTION("""COMPUTED_VALUE"""),"Nereida Irizarry")</f>
        <v>Nereida Irizarry</v>
      </c>
      <c r="D137" s="209" t="str">
        <f>IFERROR(__xludf.DUMMYFUNCTION("""COMPUTED_VALUE"""),"267-499-0917/ 267-258-6764")</f>
        <v>267-499-0917/ 267-258-6764</v>
      </c>
      <c r="E137" s="209" t="str">
        <f>IFERROR(__xludf.DUMMYFUNCTION("""COMPUTED_VALUE"""),"Irizarryn733@gmail.com")</f>
        <v>Irizarryn733@gmail.com</v>
      </c>
      <c r="F137" s="209" t="str">
        <f>IFERROR(__xludf.DUMMYFUNCTION("""COMPUTED_VALUE"""),"111 18TH Wahneta St W, Winter Haven FL 33880")</f>
        <v>111 18TH Wahneta St W, Winter Haven FL 33880</v>
      </c>
      <c r="G137" s="209" t="str">
        <f>IFERROR(__xludf.DUMMYFUNCTION("""COMPUTED_VALUE"""),"Hurricane Ian")</f>
        <v>Hurricane Ian</v>
      </c>
      <c r="H137" s="209" t="str">
        <f>IFERROR(__xludf.DUMMYFUNCTION("""COMPUTED_VALUE"""),"New Claim")</f>
        <v>New Claim</v>
      </c>
      <c r="I137" s="210" t="b">
        <v>1</v>
      </c>
      <c r="J137" s="212" t="b">
        <v>1</v>
      </c>
      <c r="K137" s="213" t="s">
        <v>3348</v>
      </c>
      <c r="L137" s="217" t="b">
        <v>0</v>
      </c>
      <c r="M137" s="215" t="b">
        <v>0</v>
      </c>
      <c r="N137" s="238"/>
      <c r="O137" s="217" t="b">
        <v>0</v>
      </c>
      <c r="P137" s="215" t="b">
        <v>0</v>
      </c>
      <c r="Q137" s="230"/>
      <c r="R137" s="217" t="b">
        <v>0</v>
      </c>
      <c r="S137" s="215" t="b">
        <v>0</v>
      </c>
      <c r="T137" s="218"/>
      <c r="U137" s="217" t="b">
        <v>0</v>
      </c>
      <c r="V137" s="215" t="b">
        <v>0</v>
      </c>
      <c r="W137" s="219"/>
      <c r="X137" s="217" t="b">
        <v>0</v>
      </c>
      <c r="Y137" s="215" t="b">
        <v>0</v>
      </c>
      <c r="Z137" s="232"/>
      <c r="AA137" s="217" t="b">
        <v>0</v>
      </c>
      <c r="AB137" s="215" t="b">
        <v>0</v>
      </c>
      <c r="AC137" s="221"/>
      <c r="AD137" s="217" t="b">
        <v>0</v>
      </c>
      <c r="AE137" s="215" t="b">
        <v>0</v>
      </c>
      <c r="AF137" s="222"/>
      <c r="AG137" s="217" t="b">
        <v>0</v>
      </c>
      <c r="AH137" s="215" t="b">
        <v>0</v>
      </c>
      <c r="AI137" s="207"/>
      <c r="AJ137" s="217" t="b">
        <v>0</v>
      </c>
      <c r="AK137" s="215" t="b">
        <v>0</v>
      </c>
      <c r="AL137" s="224"/>
      <c r="AM137" s="217" t="b">
        <v>0</v>
      </c>
      <c r="AN137" s="215" t="b">
        <v>0</v>
      </c>
      <c r="AO137" s="207"/>
      <c r="AP137" s="207"/>
      <c r="AQ137" s="207"/>
      <c r="AR137" s="207"/>
      <c r="AS137" s="207"/>
      <c r="AT137" s="207"/>
      <c r="AU137" s="207"/>
      <c r="AV137" s="207"/>
      <c r="AW137" s="207"/>
      <c r="AX137" s="207"/>
      <c r="AY137" s="207"/>
      <c r="AZ137" s="207"/>
      <c r="BA137" s="207"/>
    </row>
    <row r="138">
      <c r="A138" s="209" t="str">
        <f>IFERROR(__xludf.DUMMYFUNCTION("""COMPUTED_VALUE"""),"CLSD CLAIMS")</f>
        <v>CLSD CLAIMS</v>
      </c>
      <c r="B138" s="209" t="str">
        <f>IFERROR(__xludf.DUMMYFUNCTION("""COMPUTED_VALUE"""),"Jakey")</f>
        <v>Jakey</v>
      </c>
      <c r="C138" s="209" t="str">
        <f>IFERROR(__xludf.DUMMYFUNCTION("""COMPUTED_VALUE"""),"Anna &amp; Dakota Anderson")</f>
        <v>Anna &amp; Dakota Anderson</v>
      </c>
      <c r="D138" s="209" t="str">
        <f>IFERROR(__xludf.DUMMYFUNCTION("""COMPUTED_VALUE"""),"863-804-8969 / 863-5826740")</f>
        <v>863-804-8969 / 863-5826740</v>
      </c>
      <c r="E138" s="209" t="str">
        <f>IFERROR(__xludf.DUMMYFUNCTION("""COMPUTED_VALUE"""),"kotaanderson1999@gmail.com")</f>
        <v>kotaanderson1999@gmail.com</v>
      </c>
      <c r="F138" s="209" t="str">
        <f>IFERROR(__xludf.DUMMYFUNCTION("""COMPUTED_VALUE"""),"4530 David dr Bartow FL 33830")</f>
        <v>4530 David dr Bartow FL 33830</v>
      </c>
      <c r="G138" s="209" t="str">
        <f>IFERROR(__xludf.DUMMYFUNCTION("""COMPUTED_VALUE"""),"Hurricane Ian")</f>
        <v>Hurricane Ian</v>
      </c>
      <c r="H138" s="209" t="str">
        <f>IFERROR(__xludf.DUMMYFUNCTION("""COMPUTED_VALUE"""),"New Claim")</f>
        <v>New Claim</v>
      </c>
      <c r="I138" s="217" t="b">
        <v>0</v>
      </c>
      <c r="J138" s="229" t="b">
        <v>0</v>
      </c>
      <c r="K138" s="238"/>
      <c r="L138" s="217" t="b">
        <v>0</v>
      </c>
      <c r="M138" s="215" t="b">
        <v>0</v>
      </c>
      <c r="N138" s="238"/>
      <c r="O138" s="217" t="b">
        <v>0</v>
      </c>
      <c r="P138" s="215" t="b">
        <v>0</v>
      </c>
      <c r="Q138" s="230"/>
      <c r="R138" s="217" t="b">
        <v>0</v>
      </c>
      <c r="S138" s="215" t="b">
        <v>0</v>
      </c>
      <c r="T138" s="218"/>
      <c r="U138" s="210" t="b">
        <v>1</v>
      </c>
      <c r="V138" s="214" t="b">
        <v>1</v>
      </c>
      <c r="W138" s="316" t="s">
        <v>3349</v>
      </c>
      <c r="X138" s="210" t="b">
        <v>1</v>
      </c>
      <c r="Y138" s="215" t="b">
        <v>0</v>
      </c>
      <c r="Z138" s="232"/>
      <c r="AA138" s="217" t="b">
        <v>0</v>
      </c>
      <c r="AB138" s="215" t="b">
        <v>0</v>
      </c>
      <c r="AC138" s="221"/>
      <c r="AD138" s="217" t="b">
        <v>0</v>
      </c>
      <c r="AE138" s="215" t="b">
        <v>0</v>
      </c>
      <c r="AF138" s="222"/>
      <c r="AG138" s="217" t="b">
        <v>0</v>
      </c>
      <c r="AH138" s="215" t="b">
        <v>0</v>
      </c>
      <c r="AI138" s="207"/>
      <c r="AJ138" s="217" t="b">
        <v>0</v>
      </c>
      <c r="AK138" s="215" t="b">
        <v>0</v>
      </c>
      <c r="AL138" s="224"/>
      <c r="AM138" s="217" t="b">
        <v>0</v>
      </c>
      <c r="AN138" s="215" t="b">
        <v>0</v>
      </c>
      <c r="AO138" s="207"/>
      <c r="AP138" s="207"/>
      <c r="AQ138" s="207"/>
      <c r="AR138" s="207"/>
      <c r="AS138" s="207"/>
      <c r="AT138" s="207"/>
      <c r="AU138" s="207"/>
      <c r="AV138" s="207"/>
      <c r="AW138" s="207"/>
      <c r="AX138" s="207"/>
      <c r="AY138" s="207"/>
      <c r="AZ138" s="207"/>
      <c r="BA138" s="207"/>
    </row>
    <row r="139">
      <c r="A139" s="209" t="str">
        <f>IFERROR(__xludf.DUMMYFUNCTION("""COMPUTED_VALUE"""),"SETTLED")</f>
        <v>SETTLED</v>
      </c>
      <c r="B139" s="209" t="str">
        <f>IFERROR(__xludf.DUMMYFUNCTION("""COMPUTED_VALUE"""),"Ivan")</f>
        <v>Ivan</v>
      </c>
      <c r="C139" s="209" t="str">
        <f>IFERROR(__xludf.DUMMYFUNCTION("""COMPUTED_VALUE"""),"Cameron Jones")</f>
        <v>Cameron Jones</v>
      </c>
      <c r="D139" s="209" t="str">
        <f>IFERROR(__xludf.DUMMYFUNCTION("""COMPUTED_VALUE"""),"Anastasia 352-697-1751")</f>
        <v>Anastasia 352-697-1751</v>
      </c>
      <c r="E139" s="209" t="str">
        <f>IFERROR(__xludf.DUMMYFUNCTION("""COMPUTED_VALUE"""),"cambowjones@gmail.com")</f>
        <v>cambowjones@gmail.com</v>
      </c>
      <c r="F139" s="209" t="str">
        <f>IFERROR(__xludf.DUMMYFUNCTION("""COMPUTED_VALUE"""),"3414 E Cedar Oak Ln Dunnellon, FL 34434")</f>
        <v>3414 E Cedar Oak Ln Dunnellon, FL 34434</v>
      </c>
      <c r="G139" s="209" t="str">
        <f>IFERROR(__xludf.DUMMYFUNCTION("""COMPUTED_VALUE"""),"Hail")</f>
        <v>Hail</v>
      </c>
      <c r="H139" s="209" t="str">
        <f>IFERROR(__xludf.DUMMYFUNCTION("""COMPUTED_VALUE"""),"New Claim")</f>
        <v>New Claim</v>
      </c>
      <c r="I139" s="210" t="b">
        <v>1</v>
      </c>
      <c r="J139" s="212" t="b">
        <v>1</v>
      </c>
      <c r="K139" s="213" t="s">
        <v>3351</v>
      </c>
      <c r="L139" s="217" t="b">
        <v>0</v>
      </c>
      <c r="M139" s="215" t="b">
        <v>0</v>
      </c>
      <c r="N139" s="238"/>
      <c r="O139" s="217" t="b">
        <v>0</v>
      </c>
      <c r="P139" s="215" t="b">
        <v>0</v>
      </c>
      <c r="Q139" s="230"/>
      <c r="R139" s="217" t="b">
        <v>0</v>
      </c>
      <c r="S139" s="215" t="b">
        <v>0</v>
      </c>
      <c r="T139" s="218"/>
      <c r="U139" s="217" t="b">
        <v>0</v>
      </c>
      <c r="V139" s="215" t="b">
        <v>0</v>
      </c>
      <c r="W139" s="219"/>
      <c r="X139" s="217" t="b">
        <v>0</v>
      </c>
      <c r="Y139" s="215" t="b">
        <v>0</v>
      </c>
      <c r="Z139" s="232"/>
      <c r="AA139" s="217" t="b">
        <v>0</v>
      </c>
      <c r="AB139" s="215" t="b">
        <v>0</v>
      </c>
      <c r="AC139" s="221"/>
      <c r="AD139" s="217" t="b">
        <v>0</v>
      </c>
      <c r="AE139" s="215" t="b">
        <v>0</v>
      </c>
      <c r="AF139" s="222"/>
      <c r="AG139" s="217" t="b">
        <v>0</v>
      </c>
      <c r="AH139" s="215" t="b">
        <v>0</v>
      </c>
      <c r="AI139" s="207"/>
      <c r="AJ139" s="217" t="b">
        <v>0</v>
      </c>
      <c r="AK139" s="215" t="b">
        <v>0</v>
      </c>
      <c r="AL139" s="224"/>
      <c r="AM139" s="217" t="b">
        <v>0</v>
      </c>
      <c r="AN139" s="215" t="b">
        <v>0</v>
      </c>
      <c r="AO139" s="207"/>
      <c r="AP139" s="207"/>
      <c r="AQ139" s="207"/>
      <c r="AR139" s="207"/>
      <c r="AS139" s="207"/>
      <c r="AT139" s="207"/>
      <c r="AU139" s="207"/>
      <c r="AV139" s="207"/>
      <c r="AW139" s="207"/>
      <c r="AX139" s="207"/>
      <c r="AY139" s="207"/>
      <c r="AZ139" s="207"/>
      <c r="BA139" s="207"/>
    </row>
    <row r="140">
      <c r="A140" s="209" t="str">
        <f>IFERROR(__xludf.DUMMYFUNCTION("""COMPUTED_VALUE"""),"SETTLED")</f>
        <v>SETTLED</v>
      </c>
      <c r="B140" s="209" t="str">
        <f>IFERROR(__xludf.DUMMYFUNCTION("""COMPUTED_VALUE"""),"Joshua")</f>
        <v>Joshua</v>
      </c>
      <c r="C140" s="209" t="str">
        <f>IFERROR(__xludf.DUMMYFUNCTION("""COMPUTED_VALUE"""),"Luz Favrow")</f>
        <v>Luz Favrow</v>
      </c>
      <c r="D140" s="209" t="str">
        <f>IFERROR(__xludf.DUMMYFUNCTION("""COMPUTED_VALUE"""),"203-601-2301")</f>
        <v>203-601-2301</v>
      </c>
      <c r="E140" s="209" t="str">
        <f>IFERROR(__xludf.DUMMYFUNCTION("""COMPUTED_VALUE"""),"kevin.lugardo@gmail.com")</f>
        <v>kevin.lugardo@gmail.com</v>
      </c>
      <c r="F140" s="209" t="str">
        <f>IFERROR(__xludf.DUMMYFUNCTION("""COMPUTED_VALUE"""),"315 Caroline Dr, Lakeland FL 33803")</f>
        <v>315 Caroline Dr, Lakeland FL 33803</v>
      </c>
      <c r="G140" s="209" t="str">
        <f>IFERROR(__xludf.DUMMYFUNCTION("""COMPUTED_VALUE"""),"Hurricane Ian")</f>
        <v>Hurricane Ian</v>
      </c>
      <c r="H140" s="209" t="str">
        <f>IFERROR(__xludf.DUMMYFUNCTION("""COMPUTED_VALUE"""),"New Claim")</f>
        <v>New Claim</v>
      </c>
      <c r="I140" s="210" t="b">
        <v>1</v>
      </c>
      <c r="J140" s="212" t="b">
        <v>1</v>
      </c>
      <c r="K140" s="238"/>
      <c r="L140" s="217" t="b">
        <v>0</v>
      </c>
      <c r="M140" s="215" t="b">
        <v>0</v>
      </c>
      <c r="N140" s="238"/>
      <c r="O140" s="217" t="b">
        <v>0</v>
      </c>
      <c r="P140" s="215" t="b">
        <v>0</v>
      </c>
      <c r="Q140" s="230"/>
      <c r="R140" s="217" t="b">
        <v>0</v>
      </c>
      <c r="S140" s="215" t="b">
        <v>0</v>
      </c>
      <c r="T140" s="218"/>
      <c r="U140" s="217" t="b">
        <v>0</v>
      </c>
      <c r="V140" s="215" t="b">
        <v>0</v>
      </c>
      <c r="W140" s="219"/>
      <c r="X140" s="217" t="b">
        <v>0</v>
      </c>
      <c r="Y140" s="215" t="b">
        <v>0</v>
      </c>
      <c r="Z140" s="232"/>
      <c r="AA140" s="217" t="b">
        <v>0</v>
      </c>
      <c r="AB140" s="215" t="b">
        <v>0</v>
      </c>
      <c r="AC140" s="221"/>
      <c r="AD140" s="217" t="b">
        <v>0</v>
      </c>
      <c r="AE140" s="215" t="b">
        <v>0</v>
      </c>
      <c r="AF140" s="222"/>
      <c r="AG140" s="217" t="b">
        <v>0</v>
      </c>
      <c r="AH140" s="215" t="b">
        <v>0</v>
      </c>
      <c r="AI140" s="207"/>
      <c r="AJ140" s="217" t="b">
        <v>0</v>
      </c>
      <c r="AK140" s="215" t="b">
        <v>0</v>
      </c>
      <c r="AL140" s="224"/>
      <c r="AM140" s="217" t="b">
        <v>0</v>
      </c>
      <c r="AN140" s="215" t="b">
        <v>0</v>
      </c>
      <c r="AO140" s="207"/>
      <c r="AP140" s="207"/>
      <c r="AQ140" s="207"/>
      <c r="AR140" s="207"/>
      <c r="AS140" s="207"/>
      <c r="AT140" s="207"/>
      <c r="AU140" s="207"/>
      <c r="AV140" s="207"/>
      <c r="AW140" s="207"/>
      <c r="AX140" s="207"/>
      <c r="AY140" s="207"/>
      <c r="AZ140" s="207"/>
      <c r="BA140" s="207"/>
    </row>
    <row r="141">
      <c r="A141" s="209" t="str">
        <f>IFERROR(__xludf.DUMMYFUNCTION("""COMPUTED_VALUE"""),"CLSD CLAIMS")</f>
        <v>CLSD CLAIMS</v>
      </c>
      <c r="B141" s="209" t="str">
        <f>IFERROR(__xludf.DUMMYFUNCTION("""COMPUTED_VALUE"""),"Joshua")</f>
        <v>Joshua</v>
      </c>
      <c r="C141" s="267" t="str">
        <f>IFERROR(__xludf.DUMMYFUNCTION("""COMPUTED_VALUE"""),"Javier Aguilar")</f>
        <v>Javier Aguilar</v>
      </c>
      <c r="D141" s="209" t="str">
        <f>IFERROR(__xludf.DUMMYFUNCTION("""COMPUTED_VALUE"""),"863-245-9879")</f>
        <v>863-245-9879</v>
      </c>
      <c r="E141" s="209" t="str">
        <f>IFERROR(__xludf.DUMMYFUNCTION("""COMPUTED_VALUE"""),"aguilartommy9876@gmail.com")</f>
        <v>aguilartommy9876@gmail.com</v>
      </c>
      <c r="F141" s="209" t="str">
        <f>IFERROR(__xludf.DUMMYFUNCTION("""COMPUTED_VALUE"""),"432 Lee St Bowling Green FL 33834")</f>
        <v>432 Lee St Bowling Green FL 33834</v>
      </c>
      <c r="G141" s="209" t="str">
        <f>IFERROR(__xludf.DUMMYFUNCTION("""COMPUTED_VALUE"""),"Hurricane Ian")</f>
        <v>Hurricane Ian</v>
      </c>
      <c r="H141" s="209" t="str">
        <f>IFERROR(__xludf.DUMMYFUNCTION("""COMPUTED_VALUE"""),"New Claim")</f>
        <v>New Claim</v>
      </c>
      <c r="I141" s="210" t="b">
        <v>1</v>
      </c>
      <c r="J141" s="212" t="b">
        <v>1</v>
      </c>
      <c r="K141" s="464" t="s">
        <v>3352</v>
      </c>
      <c r="L141" s="217" t="b">
        <v>0</v>
      </c>
      <c r="M141" s="214" t="b">
        <v>0</v>
      </c>
      <c r="N141" s="465"/>
      <c r="O141" s="217" t="b">
        <v>0</v>
      </c>
      <c r="P141" s="215" t="b">
        <v>0</v>
      </c>
      <c r="Q141" s="230"/>
      <c r="R141" s="217" t="b">
        <v>0</v>
      </c>
      <c r="S141" s="215" t="b">
        <v>0</v>
      </c>
      <c r="T141" s="218"/>
      <c r="U141" s="217" t="b">
        <v>0</v>
      </c>
      <c r="V141" s="215" t="b">
        <v>0</v>
      </c>
      <c r="W141" s="219"/>
      <c r="X141" s="217" t="b">
        <v>0</v>
      </c>
      <c r="Y141" s="215" t="b">
        <v>0</v>
      </c>
      <c r="Z141" s="232"/>
      <c r="AA141" s="217" t="b">
        <v>0</v>
      </c>
      <c r="AB141" s="215" t="b">
        <v>0</v>
      </c>
      <c r="AC141" s="221"/>
      <c r="AD141" s="217" t="b">
        <v>0</v>
      </c>
      <c r="AE141" s="215" t="b">
        <v>0</v>
      </c>
      <c r="AF141" s="222"/>
      <c r="AG141" s="217" t="b">
        <v>0</v>
      </c>
      <c r="AH141" s="215" t="b">
        <v>0</v>
      </c>
      <c r="AI141" s="207"/>
      <c r="AJ141" s="217" t="b">
        <v>0</v>
      </c>
      <c r="AK141" s="215" t="b">
        <v>0</v>
      </c>
      <c r="AL141" s="224"/>
      <c r="AM141" s="217" t="b">
        <v>0</v>
      </c>
      <c r="AN141" s="215" t="b">
        <v>0</v>
      </c>
      <c r="AO141" s="207"/>
      <c r="AP141" s="207"/>
      <c r="AQ141" s="207"/>
      <c r="AR141" s="207"/>
      <c r="AS141" s="207"/>
      <c r="AT141" s="207"/>
      <c r="AU141" s="207"/>
      <c r="AV141" s="207"/>
      <c r="AW141" s="207"/>
      <c r="AX141" s="207"/>
      <c r="AY141" s="207"/>
      <c r="AZ141" s="207"/>
      <c r="BA141" s="207"/>
    </row>
    <row r="142">
      <c r="A142" s="209" t="str">
        <f>IFERROR(__xludf.DUMMYFUNCTION("""COMPUTED_VALUE"""),"PEND. FILE NOI")</f>
        <v>PEND. FILE NOI</v>
      </c>
      <c r="B142" s="209" t="str">
        <f>IFERROR(__xludf.DUMMYFUNCTION("""COMPUTED_VALUE"""),"Juan")</f>
        <v>Juan</v>
      </c>
      <c r="C142" s="209" t="str">
        <f>IFERROR(__xludf.DUMMYFUNCTION("""COMPUTED_VALUE"""),"Barrington and Conchita James")</f>
        <v>Barrington and Conchita James</v>
      </c>
      <c r="D142" s="209" t="str">
        <f>IFERROR(__xludf.DUMMYFUNCTION("""COMPUTED_VALUE"""),"863-682-6676")</f>
        <v>863-682-6676</v>
      </c>
      <c r="E142" s="209" t="str">
        <f>IFERROR(__xludf.DUMMYFUNCTION("""COMPUTED_VALUE"""),"conchitajames626@gmail.com")</f>
        <v>conchitajames626@gmail.com</v>
      </c>
      <c r="F142" s="209" t="str">
        <f>IFERROR(__xludf.DUMMYFUNCTION("""COMPUTED_VALUE"""),"1722 Staunton Ave Lakeland FL 33803")</f>
        <v>1722 Staunton Ave Lakeland FL 33803</v>
      </c>
      <c r="G142" s="209" t="str">
        <f>IFERROR(__xludf.DUMMYFUNCTION("""COMPUTED_VALUE"""),"Hurricane Ian")</f>
        <v>Hurricane Ian</v>
      </c>
      <c r="H142" s="209" t="str">
        <f>IFERROR(__xludf.DUMMYFUNCTION("""COMPUTED_VALUE"""),"New Claim")</f>
        <v>New Claim</v>
      </c>
      <c r="I142" s="210" t="b">
        <v>1</v>
      </c>
      <c r="J142" s="212" t="b">
        <v>1</v>
      </c>
      <c r="K142" s="213" t="s">
        <v>3353</v>
      </c>
      <c r="L142" s="217" t="b">
        <v>0</v>
      </c>
      <c r="M142" s="215" t="b">
        <v>0</v>
      </c>
      <c r="N142" s="238"/>
      <c r="O142" s="217" t="b">
        <v>0</v>
      </c>
      <c r="P142" s="215" t="b">
        <v>0</v>
      </c>
      <c r="Q142" s="230"/>
      <c r="R142" s="217" t="b">
        <v>0</v>
      </c>
      <c r="S142" s="215" t="b">
        <v>0</v>
      </c>
      <c r="T142" s="218"/>
      <c r="U142" s="217" t="b">
        <v>0</v>
      </c>
      <c r="V142" s="215" t="b">
        <v>0</v>
      </c>
      <c r="W142" s="219"/>
      <c r="X142" s="217" t="b">
        <v>0</v>
      </c>
      <c r="Y142" s="215" t="b">
        <v>0</v>
      </c>
      <c r="Z142" s="232"/>
      <c r="AA142" s="217" t="b">
        <v>0</v>
      </c>
      <c r="AB142" s="215" t="b">
        <v>0</v>
      </c>
      <c r="AC142" s="221"/>
      <c r="AD142" s="217" t="b">
        <v>0</v>
      </c>
      <c r="AE142" s="215" t="b">
        <v>0</v>
      </c>
      <c r="AF142" s="222"/>
      <c r="AG142" s="217" t="b">
        <v>0</v>
      </c>
      <c r="AH142" s="215" t="b">
        <v>0</v>
      </c>
      <c r="AI142" s="207"/>
      <c r="AJ142" s="217" t="b">
        <v>0</v>
      </c>
      <c r="AK142" s="215" t="b">
        <v>0</v>
      </c>
      <c r="AL142" s="224"/>
      <c r="AM142" s="217" t="b">
        <v>0</v>
      </c>
      <c r="AN142" s="215" t="b">
        <v>0</v>
      </c>
      <c r="AO142" s="207"/>
      <c r="AP142" s="207"/>
      <c r="AQ142" s="207"/>
      <c r="AR142" s="207"/>
      <c r="AS142" s="207"/>
      <c r="AT142" s="207"/>
      <c r="AU142" s="207"/>
      <c r="AV142" s="207"/>
      <c r="AW142" s="207"/>
      <c r="AX142" s="207"/>
      <c r="AY142" s="207"/>
      <c r="AZ142" s="207"/>
      <c r="BA142" s="207"/>
    </row>
    <row r="143">
      <c r="A143" s="209" t="str">
        <f>IFERROR(__xludf.DUMMYFUNCTION("""COMPUTED_VALUE"""),"SETTLED")</f>
        <v>SETTLED</v>
      </c>
      <c r="B143" s="209" t="str">
        <f>IFERROR(__xludf.DUMMYFUNCTION("""COMPUTED_VALUE"""),"Ivan, Angie")</f>
        <v>Ivan, Angie</v>
      </c>
      <c r="C143" s="209" t="str">
        <f>IFERROR(__xludf.DUMMYFUNCTION("""COMPUTED_VALUE"""),"Luis Cruz-Cedeno")</f>
        <v>Luis Cruz-Cedeno</v>
      </c>
      <c r="D143" s="209" t="str">
        <f>IFERROR(__xludf.DUMMYFUNCTION("""COMPUTED_VALUE"""),"609-638-5836")</f>
        <v>609-638-5836</v>
      </c>
      <c r="E143" s="209" t="str">
        <f>IFERROR(__xludf.DUMMYFUNCTION("""COMPUTED_VALUE"""),"lcruzjr28@gmail.com")</f>
        <v>lcruzjr28@gmail.com</v>
      </c>
      <c r="F143" s="209" t="str">
        <f>IFERROR(__xludf.DUMMYFUNCTION("""COMPUTED_VALUE"""),"2111 Smithfield PL. Lakeland FL 33801")</f>
        <v>2111 Smithfield PL. Lakeland FL 33801</v>
      </c>
      <c r="G143" s="209" t="str">
        <f>IFERROR(__xludf.DUMMYFUNCTION("""COMPUTED_VALUE"""),"Hurricane Ian")</f>
        <v>Hurricane Ian</v>
      </c>
      <c r="H143" s="209" t="str">
        <f>IFERROR(__xludf.DUMMYFUNCTION("""COMPUTED_VALUE"""),"Reopen")</f>
        <v>Reopen</v>
      </c>
      <c r="I143" s="217" t="b">
        <v>0</v>
      </c>
      <c r="J143" s="229" t="b">
        <v>0</v>
      </c>
      <c r="K143" s="238"/>
      <c r="L143" s="217" t="b">
        <v>0</v>
      </c>
      <c r="M143" s="215" t="b">
        <v>0</v>
      </c>
      <c r="N143" s="238"/>
      <c r="O143" s="217" t="b">
        <v>0</v>
      </c>
      <c r="P143" s="215" t="b">
        <v>0</v>
      </c>
      <c r="Q143" s="230"/>
      <c r="R143" s="217" t="b">
        <v>0</v>
      </c>
      <c r="S143" s="215" t="b">
        <v>0</v>
      </c>
      <c r="T143" s="218"/>
      <c r="U143" s="217" t="b">
        <v>0</v>
      </c>
      <c r="V143" s="215" t="b">
        <v>0</v>
      </c>
      <c r="W143" s="219"/>
      <c r="X143" s="217" t="b">
        <v>0</v>
      </c>
      <c r="Y143" s="215" t="b">
        <v>0</v>
      </c>
      <c r="Z143" s="232"/>
      <c r="AA143" s="217" t="b">
        <v>0</v>
      </c>
      <c r="AB143" s="215" t="b">
        <v>0</v>
      </c>
      <c r="AC143" s="221"/>
      <c r="AD143" s="217" t="b">
        <v>0</v>
      </c>
      <c r="AE143" s="215" t="b">
        <v>0</v>
      </c>
      <c r="AF143" s="222"/>
      <c r="AG143" s="217" t="b">
        <v>0</v>
      </c>
      <c r="AH143" s="215" t="b">
        <v>0</v>
      </c>
      <c r="AI143" s="207"/>
      <c r="AJ143" s="217" t="b">
        <v>0</v>
      </c>
      <c r="AK143" s="215" t="b">
        <v>0</v>
      </c>
      <c r="AL143" s="224"/>
      <c r="AM143" s="217" t="b">
        <v>0</v>
      </c>
      <c r="AN143" s="215" t="b">
        <v>0</v>
      </c>
      <c r="AO143" s="207"/>
      <c r="AP143" s="207"/>
      <c r="AQ143" s="207"/>
      <c r="AR143" s="207"/>
      <c r="AS143" s="207"/>
      <c r="AT143" s="207"/>
      <c r="AU143" s="207"/>
      <c r="AV143" s="207"/>
      <c r="AW143" s="207"/>
      <c r="AX143" s="207"/>
      <c r="AY143" s="207"/>
      <c r="AZ143" s="207"/>
      <c r="BA143" s="207"/>
    </row>
    <row r="144">
      <c r="A144" s="267" t="str">
        <f>IFERROR(__xludf.DUMMYFUNCTION("""COMPUTED_VALUE"""),"FEES PENDING")</f>
        <v>FEES PENDING</v>
      </c>
      <c r="B144" s="267" t="str">
        <f>IFERROR(__xludf.DUMMYFUNCTION("""COMPUTED_VALUE"""),"Ivan")</f>
        <v>Ivan</v>
      </c>
      <c r="C144" s="267" t="str">
        <f>IFERROR(__xludf.DUMMYFUNCTION("""COMPUTED_VALUE"""),"Manzoorul Haq ")</f>
        <v>Manzoorul Haq </v>
      </c>
      <c r="D144" s="267" t="str">
        <f>IFERROR(__xludf.DUMMYFUNCTION("""COMPUTED_VALUE"""),"772-985-2279")</f>
        <v>772-985-2279</v>
      </c>
      <c r="E144" s="267" t="str">
        <f>IFERROR(__xludf.DUMMYFUNCTION("""COMPUTED_VALUE"""),"thisismhaq@gmail.com")</f>
        <v>thisismhaq@gmail.com</v>
      </c>
      <c r="F144" s="267" t="str">
        <f>IFERROR(__xludf.DUMMYFUNCTION("""COMPUTED_VALUE"""),"1802 SW Dalmatian Ave. Port Saint Lucie, FL 34953 ")</f>
        <v>1802 SW Dalmatian Ave. Port Saint Lucie, FL 34953 </v>
      </c>
      <c r="G144" s="267" t="str">
        <f>IFERROR(__xludf.DUMMYFUNCTION("""COMPUTED_VALUE"""),"Windstorm ")</f>
        <v>Windstorm </v>
      </c>
      <c r="H144" s="267" t="str">
        <f>IFERROR(__xludf.DUMMYFUNCTION("""COMPUTED_VALUE"""),"New Claim")</f>
        <v>New Claim</v>
      </c>
      <c r="I144" s="410" t="b">
        <v>0</v>
      </c>
      <c r="J144" s="463" t="b">
        <v>0</v>
      </c>
      <c r="K144" s="414"/>
      <c r="L144" s="410" t="b">
        <v>0</v>
      </c>
      <c r="M144" s="412" t="b">
        <v>0</v>
      </c>
      <c r="N144" s="414"/>
      <c r="O144" s="410" t="b">
        <v>0</v>
      </c>
      <c r="P144" s="412" t="b">
        <v>0</v>
      </c>
      <c r="Q144" s="416"/>
      <c r="R144" s="410" t="b">
        <v>0</v>
      </c>
      <c r="S144" s="412" t="b">
        <v>0</v>
      </c>
      <c r="T144" s="417"/>
      <c r="U144" s="410" t="b">
        <v>0</v>
      </c>
      <c r="V144" s="412" t="b">
        <v>0</v>
      </c>
      <c r="W144" s="467" t="s">
        <v>3356</v>
      </c>
      <c r="X144" s="410" t="b">
        <v>0</v>
      </c>
      <c r="Y144" s="412" t="b">
        <v>0</v>
      </c>
      <c r="Z144" s="419"/>
      <c r="AA144" s="410" t="b">
        <v>0</v>
      </c>
      <c r="AB144" s="412" t="b">
        <v>0</v>
      </c>
      <c r="AC144" s="420"/>
      <c r="AD144" s="410" t="b">
        <v>0</v>
      </c>
      <c r="AE144" s="412" t="b">
        <v>0</v>
      </c>
      <c r="AF144" s="421"/>
      <c r="AG144" s="410" t="b">
        <v>0</v>
      </c>
      <c r="AH144" s="412" t="b">
        <v>0</v>
      </c>
      <c r="AI144" s="423"/>
      <c r="AJ144" s="410" t="b">
        <v>0</v>
      </c>
      <c r="AK144" s="412" t="b">
        <v>0</v>
      </c>
      <c r="AL144" s="424"/>
      <c r="AM144" s="410" t="b">
        <v>0</v>
      </c>
      <c r="AN144" s="412" t="b">
        <v>0</v>
      </c>
      <c r="AO144" s="423"/>
      <c r="AP144" s="423"/>
      <c r="AQ144" s="423"/>
      <c r="AR144" s="423"/>
      <c r="AS144" s="423"/>
      <c r="AT144" s="423"/>
      <c r="AU144" s="423"/>
      <c r="AV144" s="423"/>
      <c r="AW144" s="423"/>
      <c r="AX144" s="423"/>
      <c r="AY144" s="423"/>
      <c r="AZ144" s="423"/>
      <c r="BA144" s="423"/>
    </row>
    <row r="145">
      <c r="A145" s="166" t="str">
        <f>IFERROR(__xludf.DUMMYFUNCTION("""COMPUTED_VALUE"""),"SETTLED")</f>
        <v>SETTLED</v>
      </c>
      <c r="B145" s="166" t="str">
        <f>IFERROR(__xludf.DUMMYFUNCTION("""COMPUTED_VALUE"""),"Jakey")</f>
        <v>Jakey</v>
      </c>
      <c r="C145" s="166" t="str">
        <f>IFERROR(__xludf.DUMMYFUNCTION("""COMPUTED_VALUE"""),"Tarryn Bosley")</f>
        <v>Tarryn Bosley</v>
      </c>
      <c r="D145" s="166" t="str">
        <f>IFERROR(__xludf.DUMMYFUNCTION("""COMPUTED_VALUE"""),"301-582-8013")</f>
        <v>301-582-8013</v>
      </c>
      <c r="E145" s="166" t="str">
        <f>IFERROR(__xludf.DUMMYFUNCTION("""COMPUTED_VALUE"""),"terandolph01@gmail.com")</f>
        <v>terandolph01@gmail.com</v>
      </c>
      <c r="F145" s="166" t="str">
        <f>IFERROR(__xludf.DUMMYFUNCTION("""COMPUTED_VALUE"""),"2258 Lake Holloway Blvd, Lakeland FL 33801")</f>
        <v>2258 Lake Holloway Blvd, Lakeland FL 33801</v>
      </c>
      <c r="G145" s="166" t="str">
        <f>IFERROR(__xludf.DUMMYFUNCTION("""COMPUTED_VALUE"""),"Water")</f>
        <v>Water</v>
      </c>
      <c r="H145" s="166" t="str">
        <f>IFERROR(__xludf.DUMMYFUNCTION("""COMPUTED_VALUE"""),"Reopen")</f>
        <v>Reopen</v>
      </c>
      <c r="I145" s="190" t="b">
        <v>1</v>
      </c>
      <c r="J145" s="176" t="b">
        <v>1</v>
      </c>
      <c r="K145" s="268" t="s">
        <v>3357</v>
      </c>
      <c r="L145" s="173" t="b">
        <v>0</v>
      </c>
      <c r="M145" s="226" t="b">
        <v>0</v>
      </c>
      <c r="N145" s="178"/>
      <c r="O145" s="173" t="b">
        <v>0</v>
      </c>
      <c r="P145" s="226" t="b">
        <v>0</v>
      </c>
      <c r="Q145" s="227"/>
      <c r="R145" s="173" t="b">
        <v>0</v>
      </c>
      <c r="S145" s="226" t="b">
        <v>0</v>
      </c>
      <c r="T145" s="228"/>
      <c r="U145" s="173" t="b">
        <v>0</v>
      </c>
      <c r="V145" s="226" t="b">
        <v>0</v>
      </c>
      <c r="W145" s="403"/>
      <c r="X145" s="173" t="b">
        <v>0</v>
      </c>
      <c r="Y145" s="226" t="b">
        <v>0</v>
      </c>
      <c r="Z145" s="197"/>
      <c r="AA145" s="173" t="b">
        <v>0</v>
      </c>
      <c r="AB145" s="226" t="b">
        <v>0</v>
      </c>
      <c r="AC145" s="200"/>
      <c r="AD145" s="173" t="b">
        <v>0</v>
      </c>
      <c r="AE145" s="226" t="b">
        <v>0</v>
      </c>
      <c r="AF145" s="202"/>
      <c r="AG145" s="173" t="b">
        <v>0</v>
      </c>
      <c r="AH145" s="226" t="b">
        <v>0</v>
      </c>
      <c r="AI145" s="165"/>
      <c r="AJ145" s="173" t="b">
        <v>0</v>
      </c>
      <c r="AK145" s="226" t="b">
        <v>0</v>
      </c>
      <c r="AL145" s="204"/>
      <c r="AM145" s="173" t="b">
        <v>0</v>
      </c>
      <c r="AN145" s="226" t="b">
        <v>0</v>
      </c>
      <c r="AO145" s="165"/>
      <c r="AP145" s="165"/>
      <c r="AQ145" s="165"/>
      <c r="AR145" s="165"/>
      <c r="AS145" s="165"/>
      <c r="AT145" s="165"/>
      <c r="AU145" s="165"/>
      <c r="AV145" s="165"/>
      <c r="AW145" s="165"/>
      <c r="AX145" s="165"/>
      <c r="AY145" s="165"/>
      <c r="AZ145" s="165"/>
      <c r="BA145" s="165"/>
    </row>
    <row r="146">
      <c r="A146" s="166" t="str">
        <f>IFERROR(__xludf.DUMMYFUNCTION("""COMPUTED_VALUE"""),"PEN PAY")</f>
        <v>PEN PAY</v>
      </c>
      <c r="B146" s="166" t="str">
        <f>IFERROR(__xludf.DUMMYFUNCTION("""COMPUTED_VALUE"""),"Peter")</f>
        <v>Peter</v>
      </c>
      <c r="C146" s="166" t="str">
        <f>IFERROR(__xludf.DUMMYFUNCTION("""COMPUTED_VALUE"""),"Edward &amp; Mercedes Ricardo")</f>
        <v>Edward &amp; Mercedes Ricardo</v>
      </c>
      <c r="D146" s="166" t="str">
        <f>IFERROR(__xludf.DUMMYFUNCTION("""COMPUTED_VALUE"""),"305-301-0570 / 786-280-0760")</f>
        <v>305-301-0570 / 786-280-0760</v>
      </c>
      <c r="E146" s="166" t="str">
        <f>IFERROR(__xludf.DUMMYFUNCTION("""COMPUTED_VALUE"""),"edric05@bellsouth.com")</f>
        <v>edric05@bellsouth.com</v>
      </c>
      <c r="F146" s="166" t="str">
        <f>IFERROR(__xludf.DUMMYFUNCTION("""COMPUTED_VALUE"""),"698 SW Veronica Ave Port Saint Lucie, FL 34953")</f>
        <v>698 SW Veronica Ave Port Saint Lucie, FL 34953</v>
      </c>
      <c r="G146" s="166" t="str">
        <f>IFERROR(__xludf.DUMMYFUNCTION("""COMPUTED_VALUE"""),"Water Damage")</f>
        <v>Water Damage</v>
      </c>
      <c r="H146" s="166" t="str">
        <f>IFERROR(__xludf.DUMMYFUNCTION("""COMPUTED_VALUE"""),"New Claim")</f>
        <v>New Claim</v>
      </c>
      <c r="I146" s="190" t="b">
        <v>0</v>
      </c>
      <c r="J146" s="176" t="b">
        <v>0</v>
      </c>
      <c r="K146" s="178"/>
      <c r="L146" s="217" t="b">
        <v>0</v>
      </c>
      <c r="M146" s="215" t="b">
        <v>0</v>
      </c>
      <c r="N146" s="238"/>
      <c r="O146" s="217" t="b">
        <v>0</v>
      </c>
      <c r="P146" s="215" t="b">
        <v>0</v>
      </c>
      <c r="Q146" s="230"/>
      <c r="R146" s="217" t="b">
        <v>0</v>
      </c>
      <c r="S146" s="215" t="b">
        <v>0</v>
      </c>
      <c r="T146" s="218"/>
      <c r="U146" s="217" t="b">
        <v>0</v>
      </c>
      <c r="V146" s="215" t="b">
        <v>0</v>
      </c>
      <c r="W146" s="219"/>
      <c r="X146" s="217" t="b">
        <v>0</v>
      </c>
      <c r="Y146" s="215" t="b">
        <v>0</v>
      </c>
      <c r="Z146" s="232"/>
      <c r="AA146" s="217" t="b">
        <v>0</v>
      </c>
      <c r="AB146" s="215" t="b">
        <v>0</v>
      </c>
      <c r="AC146" s="221"/>
      <c r="AD146" s="217" t="b">
        <v>0</v>
      </c>
      <c r="AE146" s="215" t="b">
        <v>0</v>
      </c>
      <c r="AF146" s="222"/>
      <c r="AG146" s="217" t="b">
        <v>0</v>
      </c>
      <c r="AH146" s="215" t="b">
        <v>0</v>
      </c>
      <c r="AI146" s="207"/>
      <c r="AJ146" s="217" t="b">
        <v>0</v>
      </c>
      <c r="AK146" s="215" t="b">
        <v>0</v>
      </c>
      <c r="AL146" s="224"/>
      <c r="AM146" s="217" t="b">
        <v>0</v>
      </c>
      <c r="AN146" s="215" t="b">
        <v>0</v>
      </c>
      <c r="AO146" s="207"/>
      <c r="AP146" s="165"/>
      <c r="AQ146" s="165"/>
      <c r="AR146" s="165"/>
      <c r="AS146" s="165"/>
      <c r="AT146" s="165"/>
      <c r="AU146" s="165"/>
      <c r="AV146" s="165"/>
      <c r="AW146" s="165"/>
      <c r="AX146" s="165"/>
      <c r="AY146" s="165"/>
      <c r="AZ146" s="165"/>
      <c r="BA146" s="165"/>
    </row>
    <row r="147">
      <c r="A147" s="209" t="str">
        <f>IFERROR(__xludf.DUMMYFUNCTION("""COMPUTED_VALUE"""),"LITIGATION")</f>
        <v>LITIGATION</v>
      </c>
      <c r="B147" s="209" t="str">
        <f>IFERROR(__xludf.DUMMYFUNCTION("""COMPUTED_VALUE"""),"Peter")</f>
        <v>Peter</v>
      </c>
      <c r="C147" s="209" t="str">
        <f>IFERROR(__xludf.DUMMYFUNCTION("""COMPUTED_VALUE"""),"Christian Aguirre")</f>
        <v>Christian Aguirre</v>
      </c>
      <c r="D147" s="209" t="str">
        <f>IFERROR(__xludf.DUMMYFUNCTION("""COMPUTED_VALUE"""),"305-720-0931")</f>
        <v>305-720-0931</v>
      </c>
      <c r="E147" s="209" t="str">
        <f>IFERROR(__xludf.DUMMYFUNCTION("""COMPUTED_VALUE"""),"aguirre.christian07@gmail.com")</f>
        <v>aguirre.christian07@gmail.com</v>
      </c>
      <c r="F147" s="209" t="str">
        <f>IFERROR(__xludf.DUMMYFUNCTION("""COMPUTED_VALUE"""),"5201 SW 31ST Ave Apt 245 Fort Lauderdale, FL 33312")</f>
        <v>5201 SW 31ST Ave Apt 245 Fort Lauderdale, FL 33312</v>
      </c>
      <c r="G147" s="209" t="str">
        <f>IFERROR(__xludf.DUMMYFUNCTION("""COMPUTED_VALUE"""),"Water Damage")</f>
        <v>Water Damage</v>
      </c>
      <c r="H147" s="209" t="str">
        <f>IFERROR(__xludf.DUMMYFUNCTION("""COMPUTED_VALUE"""),"New Claim")</f>
        <v>New Claim</v>
      </c>
      <c r="I147" s="217" t="b">
        <v>0</v>
      </c>
      <c r="J147" s="229" t="b">
        <v>0</v>
      </c>
      <c r="K147" s="238"/>
      <c r="L147" s="217" t="b">
        <v>0</v>
      </c>
      <c r="M147" s="215" t="b">
        <v>0</v>
      </c>
      <c r="N147" s="238"/>
      <c r="O147" s="217" t="b">
        <v>0</v>
      </c>
      <c r="P147" s="215" t="b">
        <v>0</v>
      </c>
      <c r="Q147" s="230"/>
      <c r="R147" s="217" t="b">
        <v>0</v>
      </c>
      <c r="S147" s="215" t="b">
        <v>0</v>
      </c>
      <c r="T147" s="218"/>
      <c r="U147" s="217" t="b">
        <v>0</v>
      </c>
      <c r="V147" s="215" t="b">
        <v>0</v>
      </c>
      <c r="W147" s="219"/>
      <c r="X147" s="217" t="b">
        <v>0</v>
      </c>
      <c r="Y147" s="215" t="b">
        <v>0</v>
      </c>
      <c r="Z147" s="232"/>
      <c r="AA147" s="217" t="b">
        <v>0</v>
      </c>
      <c r="AB147" s="215" t="b">
        <v>0</v>
      </c>
      <c r="AC147" s="221"/>
      <c r="AD147" s="217" t="b">
        <v>0</v>
      </c>
      <c r="AE147" s="215" t="b">
        <v>0</v>
      </c>
      <c r="AF147" s="222"/>
      <c r="AG147" s="217" t="b">
        <v>0</v>
      </c>
      <c r="AH147" s="215" t="b">
        <v>0</v>
      </c>
      <c r="AI147" s="207"/>
      <c r="AJ147" s="217" t="b">
        <v>0</v>
      </c>
      <c r="AK147" s="215" t="b">
        <v>0</v>
      </c>
      <c r="AL147" s="224"/>
      <c r="AM147" s="217" t="b">
        <v>0</v>
      </c>
      <c r="AN147" s="215" t="b">
        <v>0</v>
      </c>
      <c r="AO147" s="207"/>
      <c r="AP147" s="207"/>
      <c r="AQ147" s="207"/>
      <c r="AR147" s="207"/>
      <c r="AS147" s="207"/>
      <c r="AT147" s="207"/>
      <c r="AU147" s="207"/>
      <c r="AV147" s="207"/>
      <c r="AW147" s="207"/>
      <c r="AX147" s="207"/>
      <c r="AY147" s="207"/>
      <c r="AZ147" s="207"/>
      <c r="BA147" s="207"/>
    </row>
    <row r="148">
      <c r="A148" s="166" t="str">
        <f>IFERROR(__xludf.DUMMYFUNCTION("""COMPUTED_VALUE"""),"SETTLED")</f>
        <v>SETTLED</v>
      </c>
      <c r="B148" s="166" t="str">
        <f>IFERROR(__xludf.DUMMYFUNCTION("""COMPUTED_VALUE"""),"Peter")</f>
        <v>Peter</v>
      </c>
      <c r="C148" s="166" t="str">
        <f>IFERROR(__xludf.DUMMYFUNCTION("""COMPUTED_VALUE"""),"John Puterbaugh")</f>
        <v>John Puterbaugh</v>
      </c>
      <c r="D148" s="166" t="str">
        <f>IFERROR(__xludf.DUMMYFUNCTION("""COMPUTED_VALUE"""),"239-841-3585")</f>
        <v>239-841-3585</v>
      </c>
      <c r="E148" s="166" t="str">
        <f>IFERROR(__xludf.DUMMYFUNCTION("""COMPUTED_VALUE"""),"coachjohn63@aol.com")</f>
        <v>coachjohn63@aol.com</v>
      </c>
      <c r="F148" s="166" t="str">
        <f>IFERROR(__xludf.DUMMYFUNCTION("""COMPUTED_VALUE"""),"9185 Temple Rd E, Fort Myers, FL 33967")</f>
        <v>9185 Temple Rd E, Fort Myers, FL 33967</v>
      </c>
      <c r="G148" s="166" t="str">
        <f>IFERROR(__xludf.DUMMYFUNCTION("""COMPUTED_VALUE"""),"Water Damage")</f>
        <v>Water Damage</v>
      </c>
      <c r="H148" s="166" t="str">
        <f>IFERROR(__xludf.DUMMYFUNCTION("""COMPUTED_VALUE"""),"Reopen")</f>
        <v>Reopen</v>
      </c>
      <c r="I148" s="190" t="b">
        <v>1</v>
      </c>
      <c r="J148" s="176" t="b">
        <v>1</v>
      </c>
      <c r="K148" s="268" t="s">
        <v>3360</v>
      </c>
      <c r="L148" s="173" t="b">
        <v>0</v>
      </c>
      <c r="M148" s="226" t="b">
        <v>0</v>
      </c>
      <c r="N148" s="178"/>
      <c r="O148" s="173" t="b">
        <v>0</v>
      </c>
      <c r="P148" s="226" t="b">
        <v>0</v>
      </c>
      <c r="Q148" s="227"/>
      <c r="R148" s="173" t="b">
        <v>0</v>
      </c>
      <c r="S148" s="226" t="b">
        <v>0</v>
      </c>
      <c r="T148" s="228"/>
      <c r="U148" s="173" t="b">
        <v>0</v>
      </c>
      <c r="V148" s="226" t="b">
        <v>0</v>
      </c>
      <c r="W148" s="195"/>
      <c r="X148" s="173" t="b">
        <v>0</v>
      </c>
      <c r="Y148" s="226" t="b">
        <v>0</v>
      </c>
      <c r="Z148" s="197"/>
      <c r="AA148" s="173" t="b">
        <v>0</v>
      </c>
      <c r="AB148" s="226" t="b">
        <v>0</v>
      </c>
      <c r="AC148" s="200"/>
      <c r="AD148" s="173" t="b">
        <v>0</v>
      </c>
      <c r="AE148" s="226" t="b">
        <v>0</v>
      </c>
      <c r="AF148" s="202"/>
      <c r="AG148" s="173" t="b">
        <v>0</v>
      </c>
      <c r="AH148" s="226" t="b">
        <v>0</v>
      </c>
      <c r="AI148" s="165"/>
      <c r="AJ148" s="173" t="b">
        <v>0</v>
      </c>
      <c r="AK148" s="226" t="b">
        <v>0</v>
      </c>
      <c r="AL148" s="204"/>
      <c r="AM148" s="173" t="b">
        <v>0</v>
      </c>
      <c r="AN148" s="226" t="b">
        <v>0</v>
      </c>
      <c r="AO148" s="165"/>
      <c r="AP148" s="165"/>
      <c r="AQ148" s="165"/>
      <c r="AR148" s="165"/>
      <c r="AS148" s="165"/>
      <c r="AT148" s="165"/>
      <c r="AU148" s="165"/>
      <c r="AV148" s="165"/>
      <c r="AW148" s="165"/>
      <c r="AX148" s="165"/>
      <c r="AY148" s="165"/>
      <c r="AZ148" s="165"/>
      <c r="BA148" s="165"/>
    </row>
    <row r="149">
      <c r="A149" s="267" t="str">
        <f>IFERROR(__xludf.DUMMYFUNCTION("""COMPUTED_VALUE"""),"SETTLED")</f>
        <v>SETTLED</v>
      </c>
      <c r="B149" s="267" t="str">
        <f>IFERROR(__xludf.DUMMYFUNCTION("""COMPUTED_VALUE"""),"Jakey")</f>
        <v>Jakey</v>
      </c>
      <c r="C149" s="267" t="str">
        <f>IFERROR(__xludf.DUMMYFUNCTION("""COMPUTED_VALUE"""),"Jessie Wiggins")</f>
        <v>Jessie Wiggins</v>
      </c>
      <c r="D149" s="267" t="str">
        <f>IFERROR(__xludf.DUMMYFUNCTION("""COMPUTED_VALUE"""),"863-832-2800")</f>
        <v>863-832-2800</v>
      </c>
      <c r="E149" s="267" t="str">
        <f>IFERROR(__xludf.DUMMYFUNCTION("""COMPUTED_VALUE"""),"Jwigginsj@hotmail.com")</f>
        <v>Jwigginsj@hotmail.com</v>
      </c>
      <c r="F149" s="267" t="str">
        <f>IFERROR(__xludf.DUMMYFUNCTION("""COMPUTED_VALUE"""),"955 Martin Luther King Blvd Wauchula FL 33873")</f>
        <v>955 Martin Luther King Blvd Wauchula FL 33873</v>
      </c>
      <c r="G149" s="267" t="str">
        <f>IFERROR(__xludf.DUMMYFUNCTION("""COMPUTED_VALUE"""),"Hurricane Ian")</f>
        <v>Hurricane Ian</v>
      </c>
      <c r="H149" s="267" t="str">
        <f>IFERROR(__xludf.DUMMYFUNCTION("""COMPUTED_VALUE"""),"Reopen")</f>
        <v>Reopen</v>
      </c>
      <c r="I149" s="410" t="b">
        <v>0</v>
      </c>
      <c r="J149" s="463" t="b">
        <v>0</v>
      </c>
      <c r="K149" s="409" t="s">
        <v>3361</v>
      </c>
      <c r="L149" s="410" t="b">
        <v>0</v>
      </c>
      <c r="M149" s="412" t="b">
        <v>0</v>
      </c>
      <c r="N149" s="414"/>
      <c r="O149" s="410" t="b">
        <v>0</v>
      </c>
      <c r="P149" s="412" t="b">
        <v>0</v>
      </c>
      <c r="Q149" s="416"/>
      <c r="R149" s="410" t="b">
        <v>0</v>
      </c>
      <c r="S149" s="412" t="b">
        <v>0</v>
      </c>
      <c r="T149" s="417"/>
      <c r="U149" s="410" t="b">
        <v>0</v>
      </c>
      <c r="V149" s="412" t="b">
        <v>0</v>
      </c>
      <c r="W149" s="418"/>
      <c r="X149" s="410" t="b">
        <v>0</v>
      </c>
      <c r="Y149" s="412" t="b">
        <v>0</v>
      </c>
      <c r="Z149" s="419"/>
      <c r="AA149" s="410" t="b">
        <v>0</v>
      </c>
      <c r="AB149" s="412" t="b">
        <v>0</v>
      </c>
      <c r="AC149" s="420"/>
      <c r="AD149" s="410" t="b">
        <v>0</v>
      </c>
      <c r="AE149" s="412" t="b">
        <v>0</v>
      </c>
      <c r="AF149" s="421"/>
      <c r="AG149" s="410" t="b">
        <v>0</v>
      </c>
      <c r="AH149" s="412" t="b">
        <v>0</v>
      </c>
      <c r="AI149" s="423"/>
      <c r="AJ149" s="410" t="b">
        <v>0</v>
      </c>
      <c r="AK149" s="412" t="b">
        <v>0</v>
      </c>
      <c r="AL149" s="424"/>
      <c r="AM149" s="410" t="b">
        <v>0</v>
      </c>
      <c r="AN149" s="412" t="b">
        <v>0</v>
      </c>
      <c r="AO149" s="423"/>
      <c r="AP149" s="423"/>
      <c r="AQ149" s="423"/>
      <c r="AR149" s="423"/>
      <c r="AS149" s="423"/>
      <c r="AT149" s="423"/>
      <c r="AU149" s="423"/>
      <c r="AV149" s="423"/>
      <c r="AW149" s="423"/>
      <c r="AX149" s="423"/>
      <c r="AY149" s="423"/>
      <c r="AZ149" s="423"/>
      <c r="BA149" s="423"/>
    </row>
    <row r="150">
      <c r="A150" s="166" t="str">
        <f>IFERROR(__xludf.DUMMYFUNCTION("""COMPUTED_VALUE"""),"SETTLED")</f>
        <v>SETTLED</v>
      </c>
      <c r="B150" s="166" t="str">
        <f>IFERROR(__xludf.DUMMYFUNCTION("""COMPUTED_VALUE"""),"Ivan, Angie")</f>
        <v>Ivan, Angie</v>
      </c>
      <c r="C150" s="166" t="str">
        <f>IFERROR(__xludf.DUMMYFUNCTION("""COMPUTED_VALUE"""),"Gladys Groomes")</f>
        <v>Gladys Groomes</v>
      </c>
      <c r="D150" s="166" t="str">
        <f>IFERROR(__xludf.DUMMYFUNCTION("""COMPUTED_VALUE"""),"863-529-7343")</f>
        <v>863-529-7343</v>
      </c>
      <c r="E150" s="166" t="str">
        <f>IFERROR(__xludf.DUMMYFUNCTION("""COMPUTED_VALUE"""),"irvingroomes@yahoo.com")</f>
        <v>irvingroomes@yahoo.com</v>
      </c>
      <c r="F150" s="166" t="str">
        <f>IFERROR(__xludf.DUMMYFUNCTION("""COMPUTED_VALUE"""),"849 Chamberlain Blvd. Wauchula FL 33873")</f>
        <v>849 Chamberlain Blvd. Wauchula FL 33873</v>
      </c>
      <c r="G150" s="166" t="str">
        <f>IFERROR(__xludf.DUMMYFUNCTION("""COMPUTED_VALUE"""),"Hurricane Ian")</f>
        <v>Hurricane Ian</v>
      </c>
      <c r="H150" s="166" t="str">
        <f>IFERROR(__xludf.DUMMYFUNCTION("""COMPUTED_VALUE"""),"Reopen")</f>
        <v>Reopen</v>
      </c>
      <c r="I150" s="173" t="b">
        <v>0</v>
      </c>
      <c r="J150" s="225" t="b">
        <v>0</v>
      </c>
      <c r="K150" s="178"/>
      <c r="L150" s="173" t="b">
        <v>0</v>
      </c>
      <c r="M150" s="226" t="b">
        <v>0</v>
      </c>
      <c r="N150" s="178"/>
      <c r="O150" s="173" t="b">
        <v>0</v>
      </c>
      <c r="P150" s="226" t="b">
        <v>0</v>
      </c>
      <c r="Q150" s="227"/>
      <c r="R150" s="173" t="b">
        <v>0</v>
      </c>
      <c r="S150" s="226" t="b">
        <v>0</v>
      </c>
      <c r="T150" s="228"/>
      <c r="U150" s="173" t="b">
        <v>0</v>
      </c>
      <c r="V150" s="226" t="b">
        <v>0</v>
      </c>
      <c r="W150" s="195"/>
      <c r="X150" s="173" t="b">
        <v>0</v>
      </c>
      <c r="Y150" s="226" t="b">
        <v>0</v>
      </c>
      <c r="Z150" s="197"/>
      <c r="AA150" s="173" t="b">
        <v>0</v>
      </c>
      <c r="AB150" s="226" t="b">
        <v>0</v>
      </c>
      <c r="AC150" s="200"/>
      <c r="AD150" s="173" t="b">
        <v>0</v>
      </c>
      <c r="AE150" s="226" t="b">
        <v>0</v>
      </c>
      <c r="AF150" s="202"/>
      <c r="AG150" s="173" t="b">
        <v>0</v>
      </c>
      <c r="AH150" s="226" t="b">
        <v>0</v>
      </c>
      <c r="AI150" s="165"/>
      <c r="AJ150" s="173" t="b">
        <v>0</v>
      </c>
      <c r="AK150" s="226" t="b">
        <v>0</v>
      </c>
      <c r="AL150" s="204"/>
      <c r="AM150" s="173" t="b">
        <v>0</v>
      </c>
      <c r="AN150" s="226" t="b">
        <v>0</v>
      </c>
      <c r="AO150" s="165"/>
      <c r="AP150" s="165"/>
      <c r="AQ150" s="165"/>
      <c r="AR150" s="165"/>
      <c r="AS150" s="165"/>
      <c r="AT150" s="165"/>
      <c r="AU150" s="165"/>
      <c r="AV150" s="165"/>
      <c r="AW150" s="165"/>
      <c r="AX150" s="165"/>
      <c r="AY150" s="165"/>
      <c r="AZ150" s="165"/>
      <c r="BA150" s="165"/>
    </row>
    <row r="151">
      <c r="A151" s="267" t="str">
        <f>IFERROR(__xludf.DUMMYFUNCTION("""COMPUTED_VALUE"""),"SETTLED")</f>
        <v>SETTLED</v>
      </c>
      <c r="B151" s="267" t="str">
        <f>IFERROR(__xludf.DUMMYFUNCTION("""COMPUTED_VALUE"""),"Juan")</f>
        <v>Juan</v>
      </c>
      <c r="C151" s="267" t="str">
        <f>IFERROR(__xludf.DUMMYFUNCTION("""COMPUTED_VALUE"""),"Joe &amp; Andrew Bennet")</f>
        <v>Joe &amp; Andrew Bennet</v>
      </c>
      <c r="D151" s="267" t="str">
        <f>IFERROR(__xludf.DUMMYFUNCTION("""COMPUTED_VALUE"""),"941-769-2099")</f>
        <v>941-769-2099</v>
      </c>
      <c r="E151" s="267" t="str">
        <f>IFERROR(__xludf.DUMMYFUNCTION("""COMPUTED_VALUE"""),"Dclferrentino@icloud.com")</f>
        <v>Dclferrentino@icloud.com</v>
      </c>
      <c r="F151" s="267" t="str">
        <f>IFERROR(__xludf.DUMMYFUNCTION("""COMPUTED_VALUE"""),"23178 Rye Ave Punta Gorda, FL 33980")</f>
        <v>23178 Rye Ave Punta Gorda, FL 33980</v>
      </c>
      <c r="G151" s="267" t="str">
        <f>IFERROR(__xludf.DUMMYFUNCTION("""COMPUTED_VALUE"""),"Hurricane Ian")</f>
        <v>Hurricane Ian</v>
      </c>
      <c r="H151" s="267" t="str">
        <f>IFERROR(__xludf.DUMMYFUNCTION("""COMPUTED_VALUE"""),"Reopen")</f>
        <v>Reopen</v>
      </c>
      <c r="I151" s="410" t="b">
        <v>0</v>
      </c>
      <c r="J151" s="463" t="b">
        <v>0</v>
      </c>
      <c r="K151" s="409" t="s">
        <v>3365</v>
      </c>
      <c r="L151" s="410" t="b">
        <v>0</v>
      </c>
      <c r="M151" s="412" t="b">
        <v>0</v>
      </c>
      <c r="N151" s="414"/>
      <c r="O151" s="410" t="b">
        <v>0</v>
      </c>
      <c r="P151" s="412" t="b">
        <v>0</v>
      </c>
      <c r="Q151" s="416"/>
      <c r="R151" s="410" t="b">
        <v>0</v>
      </c>
      <c r="S151" s="412" t="b">
        <v>0</v>
      </c>
      <c r="T151" s="417"/>
      <c r="U151" s="410" t="b">
        <v>0</v>
      </c>
      <c r="V151" s="412" t="b">
        <v>0</v>
      </c>
      <c r="W151" s="418"/>
      <c r="X151" s="410" t="b">
        <v>0</v>
      </c>
      <c r="Y151" s="412" t="b">
        <v>0</v>
      </c>
      <c r="Z151" s="419"/>
      <c r="AA151" s="406" t="b">
        <v>1</v>
      </c>
      <c r="AB151" s="432" t="b">
        <v>1</v>
      </c>
      <c r="AC151" s="470" t="s">
        <v>3366</v>
      </c>
      <c r="AD151" s="410" t="b">
        <v>0</v>
      </c>
      <c r="AE151" s="412" t="b">
        <v>0</v>
      </c>
      <c r="AF151" s="421"/>
      <c r="AG151" s="410" t="b">
        <v>0</v>
      </c>
      <c r="AH151" s="412" t="b">
        <v>0</v>
      </c>
      <c r="AI151" s="423"/>
      <c r="AJ151" s="410" t="b">
        <v>0</v>
      </c>
      <c r="AK151" s="412" t="b">
        <v>0</v>
      </c>
      <c r="AL151" s="424"/>
      <c r="AM151" s="410" t="b">
        <v>0</v>
      </c>
      <c r="AN151" s="412" t="b">
        <v>0</v>
      </c>
      <c r="AO151" s="423"/>
      <c r="AP151" s="423"/>
      <c r="AQ151" s="423"/>
      <c r="AR151" s="423"/>
      <c r="AS151" s="423"/>
      <c r="AT151" s="423"/>
      <c r="AU151" s="423"/>
      <c r="AV151" s="423"/>
      <c r="AW151" s="423"/>
      <c r="AX151" s="423"/>
      <c r="AY151" s="423"/>
      <c r="AZ151" s="423"/>
      <c r="BA151" s="423"/>
    </row>
    <row r="152">
      <c r="A152" s="166" t="str">
        <f>IFERROR(__xludf.DUMMYFUNCTION("""COMPUTED_VALUE"""),"SETTLED")</f>
        <v>SETTLED</v>
      </c>
      <c r="B152" s="166" t="str">
        <f>IFERROR(__xludf.DUMMYFUNCTION("""COMPUTED_VALUE"""),"Juan")</f>
        <v>Juan</v>
      </c>
      <c r="C152" s="166" t="str">
        <f>IFERROR(__xludf.DUMMYFUNCTION("""COMPUTED_VALUE"""),"Antonio Cabrera")</f>
        <v>Antonio Cabrera</v>
      </c>
      <c r="D152" s="166" t="str">
        <f>IFERROR(__xludf.DUMMYFUNCTION("""COMPUTED_VALUE"""),"863-832-9945")</f>
        <v>863-832-9945</v>
      </c>
      <c r="E152" s="166" t="str">
        <f>IFERROR(__xludf.DUMMYFUNCTION("""COMPUTED_VALUE"""),"cabrera_0513@yahoo.com")</f>
        <v>cabrera_0513@yahoo.com</v>
      </c>
      <c r="F152" s="166" t="str">
        <f>IFERROR(__xludf.DUMMYFUNCTION("""COMPUTED_VALUE"""),"409 Pineapple St W. Bowling Green, FL 33834")</f>
        <v>409 Pineapple St W. Bowling Green, FL 33834</v>
      </c>
      <c r="G152" s="166" t="str">
        <f>IFERROR(__xludf.DUMMYFUNCTION("""COMPUTED_VALUE"""),"Hurricane Ian")</f>
        <v>Hurricane Ian</v>
      </c>
      <c r="H152" s="166" t="str">
        <f>IFERROR(__xludf.DUMMYFUNCTION("""COMPUTED_VALUE"""),"Reopen")</f>
        <v>Reopen</v>
      </c>
      <c r="I152" s="173" t="b">
        <v>0</v>
      </c>
      <c r="J152" s="225" t="b">
        <v>0</v>
      </c>
      <c r="K152" s="213" t="s">
        <v>3367</v>
      </c>
      <c r="L152" s="217" t="b">
        <v>0</v>
      </c>
      <c r="M152" s="215" t="b">
        <v>0</v>
      </c>
      <c r="N152" s="238"/>
      <c r="O152" s="217" t="b">
        <v>0</v>
      </c>
      <c r="P152" s="215" t="b">
        <v>0</v>
      </c>
      <c r="Q152" s="230"/>
      <c r="R152" s="217" t="b">
        <v>0</v>
      </c>
      <c r="S152" s="215" t="b">
        <v>0</v>
      </c>
      <c r="T152" s="218"/>
      <c r="U152" s="217" t="b">
        <v>0</v>
      </c>
      <c r="V152" s="215" t="b">
        <v>0</v>
      </c>
      <c r="W152" s="219"/>
      <c r="X152" s="217" t="b">
        <v>0</v>
      </c>
      <c r="Y152" s="215" t="b">
        <v>0</v>
      </c>
      <c r="Z152" s="232"/>
      <c r="AA152" s="217" t="b">
        <v>0</v>
      </c>
      <c r="AB152" s="215" t="b">
        <v>0</v>
      </c>
      <c r="AC152" s="221"/>
      <c r="AD152" s="217" t="b">
        <v>0</v>
      </c>
      <c r="AE152" s="215" t="b">
        <v>0</v>
      </c>
      <c r="AF152" s="222"/>
      <c r="AG152" s="217" t="b">
        <v>0</v>
      </c>
      <c r="AH152" s="215" t="b">
        <v>0</v>
      </c>
      <c r="AI152" s="207"/>
      <c r="AJ152" s="217" t="b">
        <v>0</v>
      </c>
      <c r="AK152" s="215" t="b">
        <v>0</v>
      </c>
      <c r="AL152" s="224"/>
      <c r="AM152" s="217" t="b">
        <v>0</v>
      </c>
      <c r="AN152" s="215" t="b">
        <v>0</v>
      </c>
      <c r="AO152" s="207"/>
      <c r="AP152" s="165"/>
      <c r="AQ152" s="165"/>
      <c r="AR152" s="165"/>
      <c r="AS152" s="165"/>
      <c r="AT152" s="165"/>
      <c r="AU152" s="165"/>
      <c r="AV152" s="165"/>
      <c r="AW152" s="165"/>
      <c r="AX152" s="165"/>
      <c r="AY152" s="165"/>
      <c r="AZ152" s="165"/>
      <c r="BA152" s="165"/>
    </row>
    <row r="153">
      <c r="A153" s="166" t="str">
        <f>IFERROR(__xludf.DUMMYFUNCTION("""COMPUTED_VALUE"""),"SETTLED")</f>
        <v>SETTLED</v>
      </c>
      <c r="B153" s="166" t="str">
        <f>IFERROR(__xludf.DUMMYFUNCTION("""COMPUTED_VALUE"""),"Juan")</f>
        <v>Juan</v>
      </c>
      <c r="C153" s="166" t="str">
        <f>IFERROR(__xludf.DUMMYFUNCTION("""COMPUTED_VALUE"""),"Garrett Lightsey")</f>
        <v>Garrett Lightsey</v>
      </c>
      <c r="D153" s="166" t="str">
        <f>IFERROR(__xludf.DUMMYFUNCTION("""COMPUTED_VALUE"""),"863-258-9593")</f>
        <v>863-258-9593</v>
      </c>
      <c r="E153" s="166" t="str">
        <f>IFERROR(__xludf.DUMMYFUNCTION("""COMPUTED_VALUE"""),"Gglightsey@gmail.com")</f>
        <v>Gglightsey@gmail.com</v>
      </c>
      <c r="F153" s="166" t="str">
        <f>IFERROR(__xludf.DUMMYFUNCTION("""COMPUTED_VALUE"""),"410 Ralph St Bartow FL 33830")</f>
        <v>410 Ralph St Bartow FL 33830</v>
      </c>
      <c r="G153" s="166" t="str">
        <f>IFERROR(__xludf.DUMMYFUNCTION("""COMPUTED_VALUE"""),"Hurricane Ian")</f>
        <v>Hurricane Ian</v>
      </c>
      <c r="H153" s="166" t="str">
        <f>IFERROR(__xludf.DUMMYFUNCTION("""COMPUTED_VALUE"""),"Reopen")</f>
        <v>Reopen</v>
      </c>
      <c r="I153" s="190" t="b">
        <v>1</v>
      </c>
      <c r="J153" s="176" t="b">
        <v>1</v>
      </c>
      <c r="K153" s="178"/>
      <c r="L153" s="173" t="b">
        <v>0</v>
      </c>
      <c r="M153" s="226" t="b">
        <v>0</v>
      </c>
      <c r="N153" s="178"/>
      <c r="O153" s="173" t="b">
        <v>0</v>
      </c>
      <c r="P153" s="226" t="b">
        <v>0</v>
      </c>
      <c r="Q153" s="227"/>
      <c r="R153" s="173" t="b">
        <v>0</v>
      </c>
      <c r="S153" s="226" t="b">
        <v>0</v>
      </c>
      <c r="T153" s="228"/>
      <c r="U153" s="173" t="b">
        <v>0</v>
      </c>
      <c r="V153" s="226" t="b">
        <v>0</v>
      </c>
      <c r="W153" s="195"/>
      <c r="X153" s="173" t="b">
        <v>0</v>
      </c>
      <c r="Y153" s="226" t="b">
        <v>0</v>
      </c>
      <c r="Z153" s="197"/>
      <c r="AA153" s="173" t="b">
        <v>0</v>
      </c>
      <c r="AB153" s="226" t="b">
        <v>0</v>
      </c>
      <c r="AC153" s="200"/>
      <c r="AD153" s="173" t="b">
        <v>0</v>
      </c>
      <c r="AE153" s="226" t="b">
        <v>0</v>
      </c>
      <c r="AF153" s="202"/>
      <c r="AG153" s="173" t="b">
        <v>0</v>
      </c>
      <c r="AH153" s="226" t="b">
        <v>0</v>
      </c>
      <c r="AI153" s="165"/>
      <c r="AJ153" s="173" t="b">
        <v>0</v>
      </c>
      <c r="AK153" s="226" t="b">
        <v>0</v>
      </c>
      <c r="AL153" s="204"/>
      <c r="AM153" s="173" t="b">
        <v>0</v>
      </c>
      <c r="AN153" s="226" t="b">
        <v>0</v>
      </c>
      <c r="AO153" s="165"/>
      <c r="AP153" s="165"/>
      <c r="AQ153" s="165"/>
      <c r="AR153" s="165"/>
      <c r="AS153" s="165"/>
      <c r="AT153" s="165"/>
      <c r="AU153" s="165"/>
      <c r="AV153" s="165"/>
      <c r="AW153" s="165"/>
      <c r="AX153" s="165"/>
      <c r="AY153" s="165"/>
      <c r="AZ153" s="165"/>
      <c r="BA153" s="165"/>
    </row>
    <row r="154">
      <c r="A154" s="267" t="str">
        <f>IFERROR(__xludf.DUMMYFUNCTION("""COMPUTED_VALUE"""),"SETTLED")</f>
        <v>SETTLED</v>
      </c>
      <c r="B154" s="267" t="str">
        <f>IFERROR(__xludf.DUMMYFUNCTION("""COMPUTED_VALUE"""),"Ivan, David M.")</f>
        <v>Ivan, David M.</v>
      </c>
      <c r="C154" s="267" t="str">
        <f>IFERROR(__xludf.DUMMYFUNCTION("""COMPUTED_VALUE"""),"Nichole Davila-Orford ")</f>
        <v>Nichole Davila-Orford </v>
      </c>
      <c r="D154" s="267" t="str">
        <f>IFERROR(__xludf.DUMMYFUNCTION("""COMPUTED_VALUE"""),"863-212-1272")</f>
        <v>863-212-1272</v>
      </c>
      <c r="E154" s="267" t="str">
        <f>IFERROR(__xludf.DUMMYFUNCTION("""COMPUTED_VALUE"""),"Nicholemdavila@gmail.com")</f>
        <v>Nicholemdavila@gmail.com</v>
      </c>
      <c r="F154" s="267" t="str">
        <f>IFERROR(__xludf.DUMMYFUNCTION("""COMPUTED_VALUE"""),"214 Pennsylvania Ave Wauchula, FL 33873")</f>
        <v>214 Pennsylvania Ave Wauchula, FL 33873</v>
      </c>
      <c r="G154" s="267" t="str">
        <f>IFERROR(__xludf.DUMMYFUNCTION("""COMPUTED_VALUE"""),"AWD")</f>
        <v>AWD</v>
      </c>
      <c r="H154" s="267" t="str">
        <f>IFERROR(__xludf.DUMMYFUNCTION("""COMPUTED_VALUE"""),"New Claim")</f>
        <v>New Claim</v>
      </c>
      <c r="I154" s="410" t="b">
        <v>0</v>
      </c>
      <c r="J154" s="463" t="b">
        <v>0</v>
      </c>
      <c r="K154" s="409" t="s">
        <v>3369</v>
      </c>
      <c r="L154" s="410" t="b">
        <v>0</v>
      </c>
      <c r="M154" s="412" t="b">
        <v>0</v>
      </c>
      <c r="N154" s="414"/>
      <c r="O154" s="410" t="b">
        <v>0</v>
      </c>
      <c r="P154" s="412" t="b">
        <v>0</v>
      </c>
      <c r="Q154" s="416"/>
      <c r="R154" s="410" t="b">
        <v>0</v>
      </c>
      <c r="S154" s="412" t="b">
        <v>0</v>
      </c>
      <c r="T154" s="417"/>
      <c r="U154" s="410" t="b">
        <v>0</v>
      </c>
      <c r="V154" s="412" t="b">
        <v>0</v>
      </c>
      <c r="W154" s="418"/>
      <c r="X154" s="410" t="b">
        <v>0</v>
      </c>
      <c r="Y154" s="412" t="b">
        <v>0</v>
      </c>
      <c r="Z154" s="419"/>
      <c r="AA154" s="410" t="b">
        <v>0</v>
      </c>
      <c r="AB154" s="412" t="b">
        <v>0</v>
      </c>
      <c r="AC154" s="420"/>
      <c r="AD154" s="410" t="b">
        <v>0</v>
      </c>
      <c r="AE154" s="412" t="b">
        <v>0</v>
      </c>
      <c r="AF154" s="421"/>
      <c r="AG154" s="410" t="b">
        <v>0</v>
      </c>
      <c r="AH154" s="412" t="b">
        <v>0</v>
      </c>
      <c r="AI154" s="423"/>
      <c r="AJ154" s="410" t="b">
        <v>0</v>
      </c>
      <c r="AK154" s="412" t="b">
        <v>0</v>
      </c>
      <c r="AL154" s="424"/>
      <c r="AM154" s="410" t="b">
        <v>0</v>
      </c>
      <c r="AN154" s="412" t="b">
        <v>0</v>
      </c>
      <c r="AO154" s="423"/>
      <c r="AP154" s="423"/>
      <c r="AQ154" s="423"/>
      <c r="AR154" s="423"/>
      <c r="AS154" s="423"/>
      <c r="AT154" s="423"/>
      <c r="AU154" s="423"/>
      <c r="AV154" s="423"/>
      <c r="AW154" s="423"/>
      <c r="AX154" s="423"/>
      <c r="AY154" s="423"/>
      <c r="AZ154" s="423"/>
      <c r="BA154" s="423"/>
    </row>
    <row r="155">
      <c r="A155" s="166" t="str">
        <f>IFERROR(__xludf.DUMMYFUNCTION("""COMPUTED_VALUE"""),"SETTLED")</f>
        <v>SETTLED</v>
      </c>
      <c r="B155" s="166" t="str">
        <f>IFERROR(__xludf.DUMMYFUNCTION("""COMPUTED_VALUE"""),"David M.")</f>
        <v>David M.</v>
      </c>
      <c r="C155" s="166" t="str">
        <f>IFERROR(__xludf.DUMMYFUNCTION("""COMPUTED_VALUE"""),"Elvy Chilel &amp; Juan Baltazar")</f>
        <v>Elvy Chilel &amp; Juan Baltazar</v>
      </c>
      <c r="D155" s="166" t="str">
        <f>IFERROR(__xludf.DUMMYFUNCTION("""COMPUTED_VALUE"""),"863-244-4916, 863-244-4913")</f>
        <v>863-244-4916, 863-244-4913</v>
      </c>
      <c r="E155" s="166" t="str">
        <f>IFERROR(__xludf.DUMMYFUNCTION("""COMPUTED_VALUE"""),"jbaltazar05@icloud.com")</f>
        <v>jbaltazar05@icloud.com</v>
      </c>
      <c r="F155" s="166" t="str">
        <f>IFERROR(__xludf.DUMMYFUNCTION("""COMPUTED_VALUE"""),"602 N Mills Ave Arcadia FL 34266")</f>
        <v>602 N Mills Ave Arcadia FL 34266</v>
      </c>
      <c r="G155" s="166" t="str">
        <f>IFERROR(__xludf.DUMMYFUNCTION("""COMPUTED_VALUE"""),"Hurricane Ian")</f>
        <v>Hurricane Ian</v>
      </c>
      <c r="H155" s="166" t="str">
        <f>IFERROR(__xludf.DUMMYFUNCTION("""COMPUTED_VALUE"""),"New Claim")</f>
        <v>New Claim</v>
      </c>
      <c r="I155" s="190" t="b">
        <v>0</v>
      </c>
      <c r="J155" s="225" t="b">
        <v>0</v>
      </c>
      <c r="K155" s="178"/>
      <c r="L155" s="173" t="b">
        <v>0</v>
      </c>
      <c r="M155" s="226" t="b">
        <v>0</v>
      </c>
      <c r="N155" s="178"/>
      <c r="O155" s="173" t="b">
        <v>0</v>
      </c>
      <c r="P155" s="226" t="b">
        <v>0</v>
      </c>
      <c r="Q155" s="227"/>
      <c r="R155" s="173" t="b">
        <v>0</v>
      </c>
      <c r="S155" s="226" t="b">
        <v>0</v>
      </c>
      <c r="T155" s="228"/>
      <c r="U155" s="173" t="b">
        <v>0</v>
      </c>
      <c r="V155" s="226" t="b">
        <v>0</v>
      </c>
      <c r="W155" s="195"/>
      <c r="X155" s="173" t="b">
        <v>0</v>
      </c>
      <c r="Y155" s="226" t="b">
        <v>0</v>
      </c>
      <c r="Z155" s="197"/>
      <c r="AA155" s="173" t="b">
        <v>0</v>
      </c>
      <c r="AB155" s="226" t="b">
        <v>0</v>
      </c>
      <c r="AC155" s="200"/>
      <c r="AD155" s="173" t="b">
        <v>0</v>
      </c>
      <c r="AE155" s="226" t="b">
        <v>0</v>
      </c>
      <c r="AF155" s="202"/>
      <c r="AG155" s="173" t="b">
        <v>0</v>
      </c>
      <c r="AH155" s="226" t="b">
        <v>0</v>
      </c>
      <c r="AI155" s="165"/>
      <c r="AJ155" s="173" t="b">
        <v>0</v>
      </c>
      <c r="AK155" s="226" t="b">
        <v>0</v>
      </c>
      <c r="AL155" s="204"/>
      <c r="AM155" s="173" t="b">
        <v>0</v>
      </c>
      <c r="AN155" s="226" t="b">
        <v>0</v>
      </c>
      <c r="AO155" s="165"/>
      <c r="AP155" s="165"/>
      <c r="AQ155" s="165"/>
      <c r="AR155" s="165"/>
      <c r="AS155" s="165"/>
      <c r="AT155" s="165"/>
      <c r="AU155" s="165"/>
      <c r="AV155" s="165"/>
      <c r="AW155" s="165"/>
      <c r="AX155" s="165"/>
      <c r="AY155" s="165"/>
      <c r="AZ155" s="165"/>
      <c r="BA155" s="165"/>
    </row>
    <row r="156">
      <c r="A156" s="267" t="str">
        <f>IFERROR(__xludf.DUMMYFUNCTION("""COMPUTED_VALUE"""),"LITIGATION")</f>
        <v>LITIGATION</v>
      </c>
      <c r="B156" s="267" t="str">
        <f>IFERROR(__xludf.DUMMYFUNCTION("""COMPUTED_VALUE"""),"Juan")</f>
        <v>Juan</v>
      </c>
      <c r="C156" s="267" t="str">
        <f>IFERROR(__xludf.DUMMYFUNCTION("""COMPUTED_VALUE"""),"Pamela Ruth")</f>
        <v>Pamela Ruth</v>
      </c>
      <c r="D156" s="267" t="str">
        <f>IFERROR(__xludf.DUMMYFUNCTION("""COMPUTED_VALUE"""),"863-244-2411")</f>
        <v>863-244-2411</v>
      </c>
      <c r="E156" s="267" t="str">
        <f>IFERROR(__xludf.DUMMYFUNCTION("""COMPUTED_VALUE"""),"pruth288@gmail.com")</f>
        <v>pruth288@gmail.com</v>
      </c>
      <c r="F156" s="267" t="str">
        <f>IFERROR(__xludf.DUMMYFUNCTION("""COMPUTED_VALUE"""),"1576 SE Ohio Ave Arcadia FL 34266")</f>
        <v>1576 SE Ohio Ave Arcadia FL 34266</v>
      </c>
      <c r="G156" s="267" t="str">
        <f>IFERROR(__xludf.DUMMYFUNCTION("""COMPUTED_VALUE"""),"Hurricane Ian")</f>
        <v>Hurricane Ian</v>
      </c>
      <c r="H156" s="267" t="str">
        <f>IFERROR(__xludf.DUMMYFUNCTION("""COMPUTED_VALUE"""),"New Claim")</f>
        <v>New Claim</v>
      </c>
      <c r="I156" s="410" t="b">
        <v>0</v>
      </c>
      <c r="J156" s="463" t="b">
        <v>0</v>
      </c>
      <c r="K156" s="409" t="s">
        <v>3372</v>
      </c>
      <c r="L156" s="410" t="b">
        <v>0</v>
      </c>
      <c r="M156" s="412" t="b">
        <v>0</v>
      </c>
      <c r="N156" s="414"/>
      <c r="O156" s="410" t="b">
        <v>0</v>
      </c>
      <c r="P156" s="412" t="b">
        <v>0</v>
      </c>
      <c r="Q156" s="416"/>
      <c r="R156" s="410" t="b">
        <v>0</v>
      </c>
      <c r="S156" s="412" t="b">
        <v>0</v>
      </c>
      <c r="T156" s="417"/>
      <c r="U156" s="410" t="b">
        <v>0</v>
      </c>
      <c r="V156" s="412" t="b">
        <v>0</v>
      </c>
      <c r="W156" s="418"/>
      <c r="X156" s="410" t="b">
        <v>0</v>
      </c>
      <c r="Y156" s="412" t="b">
        <v>0</v>
      </c>
      <c r="Z156" s="419"/>
      <c r="AA156" s="410" t="b">
        <v>0</v>
      </c>
      <c r="AB156" s="412" t="b">
        <v>0</v>
      </c>
      <c r="AC156" s="420"/>
      <c r="AD156" s="410" t="b">
        <v>0</v>
      </c>
      <c r="AE156" s="412" t="b">
        <v>0</v>
      </c>
      <c r="AF156" s="421"/>
      <c r="AG156" s="410" t="b">
        <v>0</v>
      </c>
      <c r="AH156" s="412" t="b">
        <v>0</v>
      </c>
      <c r="AI156" s="423"/>
      <c r="AJ156" s="410" t="b">
        <v>0</v>
      </c>
      <c r="AK156" s="412" t="b">
        <v>0</v>
      </c>
      <c r="AL156" s="424"/>
      <c r="AM156" s="410" t="b">
        <v>0</v>
      </c>
      <c r="AN156" s="412" t="b">
        <v>0</v>
      </c>
      <c r="AO156" s="423"/>
      <c r="AP156" s="423"/>
      <c r="AQ156" s="423"/>
      <c r="AR156" s="423"/>
      <c r="AS156" s="423"/>
      <c r="AT156" s="423"/>
      <c r="AU156" s="423"/>
      <c r="AV156" s="423"/>
      <c r="AW156" s="423"/>
      <c r="AX156" s="423"/>
      <c r="AY156" s="423"/>
      <c r="AZ156" s="423"/>
      <c r="BA156" s="423"/>
    </row>
    <row r="157">
      <c r="A157" s="166" t="str">
        <f>IFERROR(__xludf.DUMMYFUNCTION("""COMPUTED_VALUE"""),"SETTLED")</f>
        <v>SETTLED</v>
      </c>
      <c r="B157" s="166" t="str">
        <f>IFERROR(__xludf.DUMMYFUNCTION("""COMPUTED_VALUE"""),"Juan")</f>
        <v>Juan</v>
      </c>
      <c r="C157" s="166" t="str">
        <f>IFERROR(__xludf.DUMMYFUNCTION("""COMPUTED_VALUE"""),"Lionel &amp; Maria Olvera")</f>
        <v>Lionel &amp; Maria Olvera</v>
      </c>
      <c r="D157" s="166" t="str">
        <f>IFERROR(__xludf.DUMMYFUNCTION("""COMPUTED_VALUE"""),"863-990-4137")</f>
        <v>863-990-4137</v>
      </c>
      <c r="E157" s="166" t="str">
        <f>IFERROR(__xludf.DUMMYFUNCTION("""COMPUTED_VALUE"""),"mariaolvera5@icloud.com")</f>
        <v>mariaolvera5@icloud.com</v>
      </c>
      <c r="F157" s="166" t="str">
        <f>IFERROR(__xludf.DUMMYFUNCTION("""COMPUTED_VALUE"""),"1713 SE Apple Dr Arcadia Florida 34266")</f>
        <v>1713 SE Apple Dr Arcadia Florida 34266</v>
      </c>
      <c r="G157" s="166" t="str">
        <f>IFERROR(__xludf.DUMMYFUNCTION("""COMPUTED_VALUE"""),"Hurricane Ian")</f>
        <v>Hurricane Ian</v>
      </c>
      <c r="H157" s="166" t="str">
        <f>IFERROR(__xludf.DUMMYFUNCTION("""COMPUTED_VALUE"""),"New Claim")</f>
        <v>New Claim</v>
      </c>
      <c r="I157" s="190" t="b">
        <v>0</v>
      </c>
      <c r="J157" s="176" t="b">
        <v>0</v>
      </c>
      <c r="K157" s="178"/>
      <c r="L157" s="217" t="b">
        <v>0</v>
      </c>
      <c r="M157" s="215" t="b">
        <v>0</v>
      </c>
      <c r="N157" s="238"/>
      <c r="O157" s="217" t="b">
        <v>0</v>
      </c>
      <c r="P157" s="215" t="b">
        <v>0</v>
      </c>
      <c r="Q157" s="230"/>
      <c r="R157" s="217" t="b">
        <v>0</v>
      </c>
      <c r="S157" s="215" t="b">
        <v>0</v>
      </c>
      <c r="T157" s="218"/>
      <c r="U157" s="217" t="b">
        <v>0</v>
      </c>
      <c r="V157" s="215" t="b">
        <v>0</v>
      </c>
      <c r="W157" s="219"/>
      <c r="X157" s="217" t="b">
        <v>0</v>
      </c>
      <c r="Y157" s="215" t="b">
        <v>0</v>
      </c>
      <c r="Z157" s="232"/>
      <c r="AA157" s="217" t="b">
        <v>0</v>
      </c>
      <c r="AB157" s="215" t="b">
        <v>0</v>
      </c>
      <c r="AC157" s="221"/>
      <c r="AD157" s="217" t="b">
        <v>0</v>
      </c>
      <c r="AE157" s="215" t="b">
        <v>0</v>
      </c>
      <c r="AF157" s="222"/>
      <c r="AG157" s="217" t="b">
        <v>0</v>
      </c>
      <c r="AH157" s="215" t="b">
        <v>0</v>
      </c>
      <c r="AI157" s="207"/>
      <c r="AJ157" s="217" t="b">
        <v>0</v>
      </c>
      <c r="AK157" s="215" t="b">
        <v>0</v>
      </c>
      <c r="AL157" s="224"/>
      <c r="AM157" s="217" t="b">
        <v>0</v>
      </c>
      <c r="AN157" s="215" t="b">
        <v>0</v>
      </c>
      <c r="AO157" s="207"/>
      <c r="AP157" s="165"/>
      <c r="AQ157" s="165"/>
      <c r="AR157" s="165"/>
      <c r="AS157" s="165"/>
      <c r="AT157" s="165"/>
      <c r="AU157" s="165"/>
      <c r="AV157" s="165"/>
      <c r="AW157" s="165"/>
      <c r="AX157" s="165"/>
      <c r="AY157" s="165"/>
      <c r="AZ157" s="165"/>
      <c r="BA157" s="165"/>
    </row>
    <row r="158">
      <c r="A158" s="166" t="str">
        <f>IFERROR(__xludf.DUMMYFUNCTION("""COMPUTED_VALUE"""),"FEES PENDING")</f>
        <v>FEES PENDING</v>
      </c>
      <c r="B158" s="166" t="str">
        <f>IFERROR(__xludf.DUMMYFUNCTION("""COMPUTED_VALUE"""),"David M.")</f>
        <v>David M.</v>
      </c>
      <c r="C158" s="166" t="str">
        <f>IFERROR(__xludf.DUMMYFUNCTION("""COMPUTED_VALUE"""),"Terry L Simmons")</f>
        <v>Terry L Simmons</v>
      </c>
      <c r="D158" s="166" t="str">
        <f>IFERROR(__xludf.DUMMYFUNCTION("""COMPUTED_VALUE"""),"941-769-4459")</f>
        <v>941-769-4459</v>
      </c>
      <c r="E158" s="166" t="str">
        <f>IFERROR(__xludf.DUMMYFUNCTION("""COMPUTED_VALUE"""),"pclaytonsimmons@gmail.com")</f>
        <v>pclaytonsimmons@gmail.com</v>
      </c>
      <c r="F158" s="166" t="str">
        <f>IFERROR(__xludf.DUMMYFUNCTION("""COMPUTED_VALUE"""),"716 N Mills Ave Arcadia, FL 34266")</f>
        <v>716 N Mills Ave Arcadia, FL 34266</v>
      </c>
      <c r="G158" s="166" t="str">
        <f>IFERROR(__xludf.DUMMYFUNCTION("""COMPUTED_VALUE"""),"Hurricane Ian")</f>
        <v>Hurricane Ian</v>
      </c>
      <c r="H158" s="166" t="str">
        <f>IFERROR(__xludf.DUMMYFUNCTION("""COMPUTED_VALUE"""),"Reopen")</f>
        <v>Reopen</v>
      </c>
      <c r="I158" s="173" t="b">
        <v>0</v>
      </c>
      <c r="J158" s="225" t="b">
        <v>0</v>
      </c>
      <c r="K158" s="475"/>
      <c r="L158" s="476" t="b">
        <v>0</v>
      </c>
      <c r="M158" s="477" t="b">
        <v>0</v>
      </c>
      <c r="N158" s="475"/>
      <c r="O158" s="476" t="b">
        <v>0</v>
      </c>
      <c r="P158" s="477" t="b">
        <v>0</v>
      </c>
      <c r="Q158" s="478"/>
      <c r="R158" s="476" t="b">
        <v>0</v>
      </c>
      <c r="S158" s="477" t="b">
        <v>0</v>
      </c>
      <c r="T158" s="479"/>
      <c r="U158" s="476" t="b">
        <v>0</v>
      </c>
      <c r="V158" s="477" t="b">
        <v>0</v>
      </c>
      <c r="W158" s="480"/>
      <c r="X158" s="476" t="b">
        <v>0</v>
      </c>
      <c r="Y158" s="477" t="b">
        <v>0</v>
      </c>
      <c r="Z158" s="481"/>
      <c r="AA158" s="476" t="b">
        <v>0</v>
      </c>
      <c r="AB158" s="477" t="b">
        <v>0</v>
      </c>
      <c r="AC158" s="482"/>
      <c r="AD158" s="476" t="b">
        <v>0</v>
      </c>
      <c r="AE158" s="477" t="b">
        <v>0</v>
      </c>
      <c r="AF158" s="484"/>
      <c r="AG158" s="476" t="b">
        <v>0</v>
      </c>
      <c r="AH158" s="477" t="b">
        <v>0</v>
      </c>
      <c r="AI158" s="485"/>
      <c r="AJ158" s="476" t="b">
        <v>0</v>
      </c>
      <c r="AK158" s="477" t="b">
        <v>0</v>
      </c>
      <c r="AL158" s="486"/>
      <c r="AM158" s="476" t="b">
        <v>0</v>
      </c>
      <c r="AN158" s="477" t="b">
        <v>0</v>
      </c>
      <c r="AO158" s="485"/>
      <c r="AP158" s="165"/>
      <c r="AQ158" s="165"/>
      <c r="AR158" s="165"/>
      <c r="AS158" s="165"/>
      <c r="AT158" s="165"/>
      <c r="AU158" s="165"/>
      <c r="AV158" s="165"/>
      <c r="AW158" s="165"/>
      <c r="AX158" s="165"/>
      <c r="AY158" s="165"/>
      <c r="AZ158" s="165"/>
      <c r="BA158" s="165"/>
    </row>
    <row r="159">
      <c r="A159" s="487" t="str">
        <f>IFERROR(__xludf.DUMMYFUNCTION("""COMPUTED_VALUE"""),"SETTLED")</f>
        <v>SETTLED</v>
      </c>
      <c r="B159" s="487" t="str">
        <f>IFERROR(__xludf.DUMMYFUNCTION("""COMPUTED_VALUE"""),"Juan")</f>
        <v>Juan</v>
      </c>
      <c r="C159" s="487" t="str">
        <f>IFERROR(__xludf.DUMMYFUNCTION("""COMPUTED_VALUE"""),"Jonatan &amp; Elizabeth Serrano")</f>
        <v>Jonatan &amp; Elizabeth Serrano</v>
      </c>
      <c r="D159" s="487" t="str">
        <f>IFERROR(__xludf.DUMMYFUNCTION("""COMPUTED_VALUE"""),"863-444-8319")</f>
        <v>863-444-8319</v>
      </c>
      <c r="E159" s="487" t="str">
        <f>IFERROR(__xludf.DUMMYFUNCTION("""COMPUTED_VALUE"""),"jonathamserr94@gmail.com")</f>
        <v>jonathamserr94@gmail.com</v>
      </c>
      <c r="F159" s="487" t="str">
        <f>IFERROR(__xludf.DUMMYFUNCTION("""COMPUTED_VALUE"""),"519 N 15th Ave Arcadia, FL 34266")</f>
        <v>519 N 15th Ave Arcadia, FL 34266</v>
      </c>
      <c r="G159" s="487" t="str">
        <f>IFERROR(__xludf.DUMMYFUNCTION("""COMPUTED_VALUE"""),"Hurricane Ian")</f>
        <v>Hurricane Ian</v>
      </c>
      <c r="H159" s="487" t="str">
        <f>IFERROR(__xludf.DUMMYFUNCTION("""COMPUTED_VALUE"""),"Reopen")</f>
        <v>Reopen</v>
      </c>
      <c r="I159" s="488" t="b">
        <v>0</v>
      </c>
      <c r="J159" s="489" t="b">
        <v>0</v>
      </c>
      <c r="K159" s="490" t="s">
        <v>3374</v>
      </c>
      <c r="L159" s="488" t="b">
        <v>0</v>
      </c>
      <c r="M159" s="491" t="b">
        <v>0</v>
      </c>
      <c r="N159" s="492"/>
      <c r="O159" s="488" t="b">
        <v>0</v>
      </c>
      <c r="P159" s="491" t="b">
        <v>0</v>
      </c>
      <c r="Q159" s="493"/>
      <c r="R159" s="488" t="b">
        <v>0</v>
      </c>
      <c r="S159" s="491" t="b">
        <v>0</v>
      </c>
      <c r="T159" s="494"/>
      <c r="U159" s="488" t="b">
        <v>0</v>
      </c>
      <c r="V159" s="491" t="b">
        <v>0</v>
      </c>
      <c r="W159" s="495"/>
      <c r="X159" s="488" t="b">
        <v>0</v>
      </c>
      <c r="Y159" s="491" t="b">
        <v>0</v>
      </c>
      <c r="Z159" s="496"/>
      <c r="AA159" s="488" t="b">
        <v>0</v>
      </c>
      <c r="AB159" s="491" t="b">
        <v>0</v>
      </c>
      <c r="AC159" s="497"/>
      <c r="AD159" s="488" t="b">
        <v>0</v>
      </c>
      <c r="AE159" s="491" t="b">
        <v>0</v>
      </c>
      <c r="AF159" s="498"/>
      <c r="AG159" s="488" t="b">
        <v>0</v>
      </c>
      <c r="AH159" s="491" t="b">
        <v>0</v>
      </c>
      <c r="AI159" s="499"/>
      <c r="AJ159" s="488" t="b">
        <v>0</v>
      </c>
      <c r="AK159" s="491" t="b">
        <v>0</v>
      </c>
      <c r="AL159" s="500"/>
      <c r="AM159" s="488" t="b">
        <v>0</v>
      </c>
      <c r="AN159" s="491" t="b">
        <v>0</v>
      </c>
      <c r="AO159" s="499"/>
      <c r="AP159" s="499"/>
      <c r="AQ159" s="499"/>
      <c r="AR159" s="499"/>
      <c r="AS159" s="499"/>
      <c r="AT159" s="499"/>
      <c r="AU159" s="499"/>
      <c r="AV159" s="499"/>
      <c r="AW159" s="499"/>
      <c r="AX159" s="499"/>
      <c r="AY159" s="499"/>
      <c r="AZ159" s="499"/>
      <c r="BA159" s="499"/>
    </row>
    <row r="160">
      <c r="A160" s="501" t="str">
        <f>IFERROR(__xludf.DUMMYFUNCTION("""COMPUTED_VALUE"""),"PEN O&amp;L/DEPRECIATION")</f>
        <v>PEN O&amp;L/DEPRECIATION</v>
      </c>
      <c r="B160" s="501" t="str">
        <f>IFERROR(__xludf.DUMMYFUNCTION("""COMPUTED_VALUE"""),"Juan")</f>
        <v>Juan</v>
      </c>
      <c r="C160" s="501" t="str">
        <f>IFERROR(__xludf.DUMMYFUNCTION("""COMPUTED_VALUE"""),"Elizabeth Garner")</f>
        <v>Elizabeth Garner</v>
      </c>
      <c r="D160" s="501" t="str">
        <f>IFERROR(__xludf.DUMMYFUNCTION("""COMPUTED_VALUE"""),"863-244-8234")</f>
        <v>863-244-8234</v>
      </c>
      <c r="E160" s="501" t="str">
        <f>IFERROR(__xludf.DUMMYFUNCTION("""COMPUTED_VALUE"""),"Bethnegrete.bn@gmail.com")</f>
        <v>Bethnegrete.bn@gmail.com</v>
      </c>
      <c r="F160" s="501" t="str">
        <f>IFERROR(__xludf.DUMMYFUNCTION("""COMPUTED_VALUE"""),"109 Mira Flores RD Arcadia, Florida 34266")</f>
        <v>109 Mira Flores RD Arcadia, Florida 34266</v>
      </c>
      <c r="G160" s="501" t="str">
        <f>IFERROR(__xludf.DUMMYFUNCTION("""COMPUTED_VALUE"""),"Hurricane Ian")</f>
        <v>Hurricane Ian</v>
      </c>
      <c r="H160" s="501" t="str">
        <f>IFERROR(__xludf.DUMMYFUNCTION("""COMPUTED_VALUE"""),"Reopen")</f>
        <v>Reopen</v>
      </c>
      <c r="I160" s="476" t="b">
        <v>0</v>
      </c>
      <c r="J160" s="502" t="b">
        <v>0</v>
      </c>
      <c r="K160" s="503"/>
      <c r="L160" s="110" t="b">
        <v>1</v>
      </c>
      <c r="M160" s="504" t="b">
        <v>0</v>
      </c>
      <c r="N160" s="112"/>
      <c r="O160" s="505" t="b">
        <v>0</v>
      </c>
      <c r="P160" s="504" t="b">
        <v>0</v>
      </c>
      <c r="Q160" s="116"/>
      <c r="R160" s="505" t="b">
        <v>0</v>
      </c>
      <c r="S160" s="504" t="b">
        <v>0</v>
      </c>
      <c r="T160" s="117"/>
      <c r="U160" s="505" t="b">
        <v>0</v>
      </c>
      <c r="V160" s="504" t="b">
        <v>0</v>
      </c>
      <c r="W160" s="118"/>
      <c r="X160" s="505" t="b">
        <v>0</v>
      </c>
      <c r="Y160" s="504" t="b">
        <v>0</v>
      </c>
      <c r="Z160" s="119"/>
      <c r="AA160" s="505" t="b">
        <v>0</v>
      </c>
      <c r="AB160" s="504" t="b">
        <v>0</v>
      </c>
      <c r="AC160" s="121"/>
      <c r="AD160" s="505" t="b">
        <v>0</v>
      </c>
      <c r="AE160" s="504" t="b">
        <v>0</v>
      </c>
      <c r="AF160" s="125"/>
      <c r="AG160" s="505" t="b">
        <v>0</v>
      </c>
      <c r="AH160" s="504" t="b">
        <v>0</v>
      </c>
      <c r="AI160" s="105"/>
      <c r="AJ160" s="505" t="b">
        <v>0</v>
      </c>
      <c r="AK160" s="504" t="b">
        <v>0</v>
      </c>
      <c r="AL160" s="126"/>
      <c r="AM160" s="505" t="b">
        <v>0</v>
      </c>
      <c r="AN160" s="504" t="b">
        <v>0</v>
      </c>
      <c r="AO160" s="105"/>
      <c r="AP160" s="485"/>
      <c r="AQ160" s="485"/>
      <c r="AR160" s="485"/>
      <c r="AS160" s="485"/>
      <c r="AT160" s="485"/>
      <c r="AU160" s="485"/>
      <c r="AV160" s="485"/>
      <c r="AW160" s="485"/>
      <c r="AX160" s="485"/>
      <c r="AY160" s="485"/>
      <c r="AZ160" s="485"/>
      <c r="BA160" s="485"/>
    </row>
    <row r="161">
      <c r="A161" s="506" t="str">
        <f>IFERROR(__xludf.DUMMYFUNCTION("""COMPUTED_VALUE"""),"SETTLED")</f>
        <v>SETTLED</v>
      </c>
      <c r="B161" s="506" t="str">
        <f>IFERROR(__xludf.DUMMYFUNCTION("""COMPUTED_VALUE"""),"Juan")</f>
        <v>Juan</v>
      </c>
      <c r="C161" s="506" t="str">
        <f>IFERROR(__xludf.DUMMYFUNCTION("""COMPUTED_VALUE"""),"Brian Harris")</f>
        <v>Brian Harris</v>
      </c>
      <c r="D161" s="506" t="str">
        <f>IFERROR(__xludf.DUMMYFUNCTION("""COMPUTED_VALUE"""),"863-231-2405")</f>
        <v>863-231-2405</v>
      </c>
      <c r="E161" s="506" t="str">
        <f>IFERROR(__xludf.DUMMYFUNCTION("""COMPUTED_VALUE"""),"Jqharris1881@gmail.com")</f>
        <v>Jqharris1881@gmail.com</v>
      </c>
      <c r="F161" s="506" t="str">
        <f>IFERROR(__xludf.DUMMYFUNCTION("""COMPUTED_VALUE"""),"139 Asbury St, Arcadia, FL 34266")</f>
        <v>139 Asbury St, Arcadia, FL 34266</v>
      </c>
      <c r="G161" s="506" t="str">
        <f>IFERROR(__xludf.DUMMYFUNCTION("""COMPUTED_VALUE"""),"Hurricane Ian")</f>
        <v>Hurricane Ian</v>
      </c>
      <c r="H161" s="506" t="str">
        <f>IFERROR(__xludf.DUMMYFUNCTION("""COMPUTED_VALUE"""),"Reopen")</f>
        <v>Reopen</v>
      </c>
      <c r="I161" s="505" t="b">
        <v>0</v>
      </c>
      <c r="J161" s="507" t="b">
        <v>0</v>
      </c>
      <c r="K161" s="112"/>
      <c r="L161" s="505" t="b">
        <v>0</v>
      </c>
      <c r="M161" s="504" t="b">
        <v>0</v>
      </c>
      <c r="N161" s="112"/>
      <c r="O161" s="505" t="b">
        <v>0</v>
      </c>
      <c r="P161" s="504" t="b">
        <v>0</v>
      </c>
      <c r="Q161" s="116"/>
      <c r="R161" s="505" t="b">
        <v>0</v>
      </c>
      <c r="S161" s="504" t="b">
        <v>0</v>
      </c>
      <c r="T161" s="117"/>
      <c r="U161" s="505" t="b">
        <v>0</v>
      </c>
      <c r="V161" s="504" t="b">
        <v>0</v>
      </c>
      <c r="W161" s="118"/>
      <c r="X161" s="505" t="b">
        <v>0</v>
      </c>
      <c r="Y161" s="504" t="b">
        <v>0</v>
      </c>
      <c r="Z161" s="119"/>
      <c r="AA161" s="505" t="b">
        <v>0</v>
      </c>
      <c r="AB161" s="504" t="b">
        <v>0</v>
      </c>
      <c r="AC161" s="121"/>
      <c r="AD161" s="505" t="b">
        <v>0</v>
      </c>
      <c r="AE161" s="504" t="b">
        <v>0</v>
      </c>
      <c r="AF161" s="125"/>
      <c r="AG161" s="505" t="b">
        <v>0</v>
      </c>
      <c r="AH161" s="504" t="b">
        <v>0</v>
      </c>
      <c r="AI161" s="105"/>
      <c r="AJ161" s="505" t="b">
        <v>0</v>
      </c>
      <c r="AK161" s="504" t="b">
        <v>0</v>
      </c>
      <c r="AL161" s="126"/>
      <c r="AM161" s="505" t="b">
        <v>0</v>
      </c>
      <c r="AN161" s="504" t="b">
        <v>0</v>
      </c>
      <c r="AO161" s="105"/>
      <c r="AP161" s="105"/>
      <c r="AQ161" s="105"/>
      <c r="AR161" s="105"/>
      <c r="AS161" s="105"/>
      <c r="AT161" s="105"/>
      <c r="AU161" s="105"/>
      <c r="AV161" s="105"/>
      <c r="AW161" s="105"/>
      <c r="AX161" s="105"/>
      <c r="AY161" s="105"/>
      <c r="AZ161" s="105"/>
      <c r="BA161" s="105"/>
    </row>
    <row r="162">
      <c r="A162" s="506" t="str">
        <f>IFERROR(__xludf.DUMMYFUNCTION("""COMPUTED_VALUE"""),"FEES PENDING")</f>
        <v>FEES PENDING</v>
      </c>
      <c r="B162" s="506" t="str">
        <f>IFERROR(__xludf.DUMMYFUNCTION("""COMPUTED_VALUE"""),"David M.")</f>
        <v>David M.</v>
      </c>
      <c r="C162" s="506" t="str">
        <f>IFERROR(__xludf.DUMMYFUNCTION("""COMPUTED_VALUE"""),"Patricia Wiggins ")</f>
        <v>Patricia Wiggins </v>
      </c>
      <c r="D162" s="506" t="str">
        <f>IFERROR(__xludf.DUMMYFUNCTION("""COMPUTED_VALUE"""),"863-245-4447")</f>
        <v>863-245-4447</v>
      </c>
      <c r="E162" s="506" t="str">
        <f>IFERROR(__xludf.DUMMYFUNCTION("""COMPUTED_VALUE"""),"Pltwiggins@yahoo.com")</f>
        <v>Pltwiggins@yahoo.com</v>
      </c>
      <c r="F162" s="506" t="str">
        <f>IFERROR(__xludf.DUMMYFUNCTION("""COMPUTED_VALUE"""),"209 N 10th Ave Arcadia, FL 34266")</f>
        <v>209 N 10th Ave Arcadia, FL 34266</v>
      </c>
      <c r="G162" s="506" t="str">
        <f>IFERROR(__xludf.DUMMYFUNCTION("""COMPUTED_VALUE"""),"Hurricane Ian")</f>
        <v>Hurricane Ian</v>
      </c>
      <c r="H162" s="506" t="str">
        <f>IFERROR(__xludf.DUMMYFUNCTION("""COMPUTED_VALUE"""),"New Claim")</f>
        <v>New Claim</v>
      </c>
      <c r="I162" s="505" t="b">
        <v>0</v>
      </c>
      <c r="J162" s="507" t="b">
        <v>0</v>
      </c>
      <c r="K162" s="112"/>
      <c r="L162" s="505" t="b">
        <v>0</v>
      </c>
      <c r="M162" s="504" t="b">
        <v>0</v>
      </c>
      <c r="N162" s="112"/>
      <c r="O162" s="505" t="b">
        <v>0</v>
      </c>
      <c r="P162" s="504" t="b">
        <v>0</v>
      </c>
      <c r="Q162" s="116"/>
      <c r="R162" s="505" t="b">
        <v>0</v>
      </c>
      <c r="S162" s="504" t="b">
        <v>0</v>
      </c>
      <c r="T162" s="117"/>
      <c r="U162" s="505" t="b">
        <v>0</v>
      </c>
      <c r="V162" s="504" t="b">
        <v>0</v>
      </c>
      <c r="W162" s="118"/>
      <c r="X162" s="505" t="b">
        <v>0</v>
      </c>
      <c r="Y162" s="504" t="b">
        <v>0</v>
      </c>
      <c r="Z162" s="119"/>
      <c r="AA162" s="505" t="b">
        <v>0</v>
      </c>
      <c r="AB162" s="504" t="b">
        <v>0</v>
      </c>
      <c r="AC162" s="121"/>
      <c r="AD162" s="505" t="b">
        <v>0</v>
      </c>
      <c r="AE162" s="504" t="b">
        <v>0</v>
      </c>
      <c r="AF162" s="125"/>
      <c r="AG162" s="505" t="b">
        <v>0</v>
      </c>
      <c r="AH162" s="504" t="b">
        <v>0</v>
      </c>
      <c r="AI162" s="105"/>
      <c r="AJ162" s="505" t="b">
        <v>0</v>
      </c>
      <c r="AK162" s="504" t="b">
        <v>0</v>
      </c>
      <c r="AL162" s="126"/>
      <c r="AM162" s="505" t="b">
        <v>0</v>
      </c>
      <c r="AN162" s="504" t="b">
        <v>0</v>
      </c>
      <c r="AO162" s="105"/>
      <c r="AP162" s="105"/>
      <c r="AQ162" s="105"/>
      <c r="AR162" s="105"/>
      <c r="AS162" s="105"/>
      <c r="AT162" s="105"/>
      <c r="AU162" s="105"/>
      <c r="AV162" s="105"/>
      <c r="AW162" s="105"/>
      <c r="AX162" s="105"/>
      <c r="AY162" s="105"/>
      <c r="AZ162" s="105"/>
      <c r="BA162" s="105"/>
    </row>
    <row r="163">
      <c r="A163" s="506" t="str">
        <f>IFERROR(__xludf.DUMMYFUNCTION("""COMPUTED_VALUE"""),"SETTLED")</f>
        <v>SETTLED</v>
      </c>
      <c r="B163" s="506" t="str">
        <f>IFERROR(__xludf.DUMMYFUNCTION("""COMPUTED_VALUE"""),"David M.")</f>
        <v>David M.</v>
      </c>
      <c r="C163" s="506" t="str">
        <f>IFERROR(__xludf.DUMMYFUNCTION("""COMPUTED_VALUE"""),"Gabriel &amp; Emma Velasquez ")</f>
        <v>Gabriel &amp; Emma Velasquez </v>
      </c>
      <c r="D163" s="506" t="str">
        <f>IFERROR(__xludf.DUMMYFUNCTION("""COMPUTED_VALUE"""),"941-276-4943")</f>
        <v>941-276-4943</v>
      </c>
      <c r="E163" s="508" t="str">
        <f>IFERROR(__xludf.DUMMYFUNCTION("""COMPUTED_VALUE"""),"gabvelasquez228@gmail.com")</f>
        <v>gabvelasquez228@gmail.com</v>
      </c>
      <c r="F163" s="506" t="str">
        <f>IFERROR(__xludf.DUMMYFUNCTION("""COMPUTED_VALUE"""),"1731 NE Floridian Cir Arcadia, FL 34266")</f>
        <v>1731 NE Floridian Cir Arcadia, FL 34266</v>
      </c>
      <c r="G163" s="506" t="str">
        <f>IFERROR(__xludf.DUMMYFUNCTION("""COMPUTED_VALUE"""),"Hurricane Ian")</f>
        <v>Hurricane Ian</v>
      </c>
      <c r="H163" s="506" t="str">
        <f>IFERROR(__xludf.DUMMYFUNCTION("""COMPUTED_VALUE"""),"Reopen")</f>
        <v>Reopen</v>
      </c>
      <c r="I163" s="505" t="b">
        <v>0</v>
      </c>
      <c r="J163" s="507" t="b">
        <v>0</v>
      </c>
      <c r="K163" s="112"/>
      <c r="L163" s="505" t="b">
        <v>0</v>
      </c>
      <c r="M163" s="504" t="b">
        <v>0</v>
      </c>
      <c r="N163" s="112"/>
      <c r="O163" s="505" t="b">
        <v>0</v>
      </c>
      <c r="P163" s="504" t="b">
        <v>0</v>
      </c>
      <c r="Q163" s="116"/>
      <c r="R163" s="505" t="b">
        <v>0</v>
      </c>
      <c r="S163" s="504" t="b">
        <v>0</v>
      </c>
      <c r="T163" s="117"/>
      <c r="U163" s="505" t="b">
        <v>0</v>
      </c>
      <c r="V163" s="504" t="b">
        <v>0</v>
      </c>
      <c r="W163" s="118"/>
      <c r="X163" s="505" t="b">
        <v>0</v>
      </c>
      <c r="Y163" s="504" t="b">
        <v>0</v>
      </c>
      <c r="Z163" s="119"/>
      <c r="AA163" s="505" t="b">
        <v>0</v>
      </c>
      <c r="AB163" s="504" t="b">
        <v>0</v>
      </c>
      <c r="AC163" s="121"/>
      <c r="AD163" s="505" t="b">
        <v>0</v>
      </c>
      <c r="AE163" s="504" t="b">
        <v>0</v>
      </c>
      <c r="AF163" s="125"/>
      <c r="AG163" s="505" t="b">
        <v>0</v>
      </c>
      <c r="AH163" s="504" t="b">
        <v>0</v>
      </c>
      <c r="AI163" s="105"/>
      <c r="AJ163" s="505" t="b">
        <v>0</v>
      </c>
      <c r="AK163" s="504" t="b">
        <v>0</v>
      </c>
      <c r="AL163" s="126"/>
      <c r="AM163" s="505" t="b">
        <v>0</v>
      </c>
      <c r="AN163" s="504" t="b">
        <v>0</v>
      </c>
      <c r="AO163" s="105"/>
      <c r="AP163" s="105"/>
      <c r="AQ163" s="105"/>
      <c r="AR163" s="105"/>
      <c r="AS163" s="105"/>
      <c r="AT163" s="105"/>
      <c r="AU163" s="105"/>
      <c r="AV163" s="105"/>
      <c r="AW163" s="105"/>
      <c r="AX163" s="105"/>
      <c r="AY163" s="105"/>
      <c r="AZ163" s="105"/>
      <c r="BA163" s="105"/>
    </row>
    <row r="164">
      <c r="A164" s="506" t="str">
        <f>IFERROR(__xludf.DUMMYFUNCTION("""COMPUTED_VALUE"""),"LITIGATION")</f>
        <v>LITIGATION</v>
      </c>
      <c r="B164" s="506" t="str">
        <f>IFERROR(__xludf.DUMMYFUNCTION("""COMPUTED_VALUE"""),"Juan")</f>
        <v>Juan</v>
      </c>
      <c r="C164" s="506" t="str">
        <f>IFERROR(__xludf.DUMMYFUNCTION("""COMPUTED_VALUE"""),"William Murphy")</f>
        <v>William Murphy</v>
      </c>
      <c r="D164" s="506" t="str">
        <f>IFERROR(__xludf.DUMMYFUNCTION("""COMPUTED_VALUE"""),"781-941-6065")</f>
        <v>781-941-6065</v>
      </c>
      <c r="E164" s="506" t="str">
        <f>IFERROR(__xludf.DUMMYFUNCTION("""COMPUTED_VALUE"""),"Murphysteve244@gmail.com")</f>
        <v>Murphysteve244@gmail.com</v>
      </c>
      <c r="F164" s="506" t="str">
        <f>IFERROR(__xludf.DUMMYFUNCTION("""COMPUTED_VALUE"""),"1464 NE Leisure Ave Arcadia, FL 34266")</f>
        <v>1464 NE Leisure Ave Arcadia, FL 34266</v>
      </c>
      <c r="G164" s="506" t="str">
        <f>IFERROR(__xludf.DUMMYFUNCTION("""COMPUTED_VALUE"""),"Hurricane Ian")</f>
        <v>Hurricane Ian</v>
      </c>
      <c r="H164" s="506" t="str">
        <f>IFERROR(__xludf.DUMMYFUNCTION("""COMPUTED_VALUE"""),"Reopen")</f>
        <v>Reopen</v>
      </c>
      <c r="I164" s="505" t="b">
        <v>0</v>
      </c>
      <c r="J164" s="507" t="b">
        <v>0</v>
      </c>
      <c r="K164" s="112"/>
      <c r="L164" s="505" t="b">
        <v>0</v>
      </c>
      <c r="M164" s="504" t="b">
        <v>0</v>
      </c>
      <c r="N164" s="112"/>
      <c r="O164" s="505" t="b">
        <v>0</v>
      </c>
      <c r="P164" s="504" t="b">
        <v>0</v>
      </c>
      <c r="Q164" s="116"/>
      <c r="R164" s="505" t="b">
        <v>0</v>
      </c>
      <c r="S164" s="504" t="b">
        <v>0</v>
      </c>
      <c r="T164" s="117"/>
      <c r="U164" s="505" t="b">
        <v>0</v>
      </c>
      <c r="V164" s="504" t="b">
        <v>0</v>
      </c>
      <c r="W164" s="118"/>
      <c r="X164" s="505" t="b">
        <v>0</v>
      </c>
      <c r="Y164" s="504" t="b">
        <v>0</v>
      </c>
      <c r="Z164" s="119"/>
      <c r="AA164" s="505" t="b">
        <v>0</v>
      </c>
      <c r="AB164" s="504" t="b">
        <v>0</v>
      </c>
      <c r="AC164" s="121"/>
      <c r="AD164" s="505" t="b">
        <v>0</v>
      </c>
      <c r="AE164" s="504" t="b">
        <v>0</v>
      </c>
      <c r="AF164" s="125"/>
      <c r="AG164" s="505" t="b">
        <v>0</v>
      </c>
      <c r="AH164" s="504" t="b">
        <v>0</v>
      </c>
      <c r="AI164" s="105"/>
      <c r="AJ164" s="505" t="b">
        <v>0</v>
      </c>
      <c r="AK164" s="504" t="b">
        <v>0</v>
      </c>
      <c r="AL164" s="126"/>
      <c r="AM164" s="505" t="b">
        <v>0</v>
      </c>
      <c r="AN164" s="504" t="b">
        <v>0</v>
      </c>
      <c r="AO164" s="105"/>
      <c r="AP164" s="105"/>
      <c r="AQ164" s="105"/>
      <c r="AR164" s="105"/>
      <c r="AS164" s="105"/>
      <c r="AT164" s="105"/>
      <c r="AU164" s="105"/>
      <c r="AV164" s="105"/>
      <c r="AW164" s="105"/>
      <c r="AX164" s="105"/>
      <c r="AY164" s="105"/>
      <c r="AZ164" s="105"/>
      <c r="BA164" s="105"/>
    </row>
    <row r="165">
      <c r="A165" s="506" t="str">
        <f>IFERROR(__xludf.DUMMYFUNCTION("""COMPUTED_VALUE"""),"SETTLED")</f>
        <v>SETTLED</v>
      </c>
      <c r="B165" s="506" t="str">
        <f>IFERROR(__xludf.DUMMYFUNCTION("""COMPUTED_VALUE"""),"Jakey")</f>
        <v>Jakey</v>
      </c>
      <c r="C165" s="506" t="str">
        <f>IFERROR(__xludf.DUMMYFUNCTION("""COMPUTED_VALUE"""),"Latonia &amp; Youseline Dale")</f>
        <v>Latonia &amp; Youseline Dale</v>
      </c>
      <c r="D165" s="506" t="str">
        <f>IFERROR(__xludf.DUMMYFUNCTION("""COMPUTED_VALUE"""),"239-867-1983")</f>
        <v>239-867-1983</v>
      </c>
      <c r="E165" s="506" t="str">
        <f>IFERROR(__xludf.DUMMYFUNCTION("""COMPUTED_VALUE"""),"Lldale1976@gmail.com")</f>
        <v>Lldale1976@gmail.com</v>
      </c>
      <c r="F165" s="506" t="str">
        <f>IFERROR(__xludf.DUMMYFUNCTION("""COMPUTED_VALUE"""),"3111 12th St W Lehigh Acres, FL 33971")</f>
        <v>3111 12th St W Lehigh Acres, FL 33971</v>
      </c>
      <c r="G165" s="506" t="str">
        <f>IFERROR(__xludf.DUMMYFUNCTION("""COMPUTED_VALUE"""),"Hurricane Ian")</f>
        <v>Hurricane Ian</v>
      </c>
      <c r="H165" s="506" t="str">
        <f>IFERROR(__xludf.DUMMYFUNCTION("""COMPUTED_VALUE"""),"Reopen")</f>
        <v>Reopen</v>
      </c>
      <c r="I165" s="505" t="b">
        <v>0</v>
      </c>
      <c r="J165" s="507" t="b">
        <v>0</v>
      </c>
      <c r="K165" s="112"/>
      <c r="L165" s="505" t="b">
        <v>0</v>
      </c>
      <c r="M165" s="504" t="b">
        <v>0</v>
      </c>
      <c r="N165" s="112"/>
      <c r="O165" s="505" t="b">
        <v>0</v>
      </c>
      <c r="P165" s="504" t="b">
        <v>0</v>
      </c>
      <c r="Q165" s="116"/>
      <c r="R165" s="505" t="b">
        <v>0</v>
      </c>
      <c r="S165" s="504" t="b">
        <v>0</v>
      </c>
      <c r="T165" s="117"/>
      <c r="U165" s="505" t="b">
        <v>0</v>
      </c>
      <c r="V165" s="504" t="b">
        <v>0</v>
      </c>
      <c r="W165" s="118"/>
      <c r="X165" s="505" t="b">
        <v>0</v>
      </c>
      <c r="Y165" s="504" t="b">
        <v>0</v>
      </c>
      <c r="Z165" s="119"/>
      <c r="AA165" s="505" t="b">
        <v>0</v>
      </c>
      <c r="AB165" s="504" t="b">
        <v>0</v>
      </c>
      <c r="AC165" s="121"/>
      <c r="AD165" s="505" t="b">
        <v>0</v>
      </c>
      <c r="AE165" s="504" t="b">
        <v>0</v>
      </c>
      <c r="AF165" s="125"/>
      <c r="AG165" s="505" t="b">
        <v>0</v>
      </c>
      <c r="AH165" s="504" t="b">
        <v>0</v>
      </c>
      <c r="AI165" s="105"/>
      <c r="AJ165" s="505" t="b">
        <v>0</v>
      </c>
      <c r="AK165" s="504" t="b">
        <v>0</v>
      </c>
      <c r="AL165" s="126"/>
      <c r="AM165" s="505" t="b">
        <v>0</v>
      </c>
      <c r="AN165" s="504" t="b">
        <v>0</v>
      </c>
      <c r="AO165" s="105"/>
      <c r="AP165" s="105"/>
      <c r="AQ165" s="105"/>
      <c r="AR165" s="105"/>
      <c r="AS165" s="105"/>
      <c r="AT165" s="105"/>
      <c r="AU165" s="105"/>
      <c r="AV165" s="105"/>
      <c r="AW165" s="105"/>
      <c r="AX165" s="105"/>
      <c r="AY165" s="105"/>
      <c r="AZ165" s="105"/>
      <c r="BA165" s="105"/>
    </row>
    <row r="166">
      <c r="A166" s="506" t="str">
        <f>IFERROR(__xludf.DUMMYFUNCTION("""COMPUTED_VALUE"""),"SETTLED")</f>
        <v>SETTLED</v>
      </c>
      <c r="B166" s="506" t="str">
        <f>IFERROR(__xludf.DUMMYFUNCTION("""COMPUTED_VALUE"""),"Joshua")</f>
        <v>Joshua</v>
      </c>
      <c r="C166" s="506" t="str">
        <f>IFERROR(__xludf.DUMMYFUNCTION("""COMPUTED_VALUE"""),"Gil Perez Hawkins")</f>
        <v>Gil Perez Hawkins</v>
      </c>
      <c r="D166" s="506" t="str">
        <f>IFERROR(__xludf.DUMMYFUNCTION("""COMPUTED_VALUE"""),"239-200-8783")</f>
        <v>239-200-8783</v>
      </c>
      <c r="E166" s="506" t="str">
        <f>IFERROR(__xludf.DUMMYFUNCTION("""COMPUTED_VALUE"""),"worldman7201@hotmail.com")</f>
        <v>worldman7201@hotmail.com</v>
      </c>
      <c r="F166" s="506" t="str">
        <f>IFERROR(__xludf.DUMMYFUNCTION("""COMPUTED_VALUE"""),"442 NE Van Loon Ln, Cape Coral, FL 33909")</f>
        <v>442 NE Van Loon Ln, Cape Coral, FL 33909</v>
      </c>
      <c r="G166" s="506" t="str">
        <f>IFERROR(__xludf.DUMMYFUNCTION("""COMPUTED_VALUE"""),"AWD")</f>
        <v>AWD</v>
      </c>
      <c r="H166" s="506" t="str">
        <f>IFERROR(__xludf.DUMMYFUNCTION("""COMPUTED_VALUE"""),"New Claim")</f>
        <v>New Claim</v>
      </c>
      <c r="I166" s="505" t="b">
        <v>0</v>
      </c>
      <c r="J166" s="507" t="b">
        <v>0</v>
      </c>
      <c r="K166" s="112"/>
      <c r="L166" s="505" t="b">
        <v>0</v>
      </c>
      <c r="M166" s="504" t="b">
        <v>0</v>
      </c>
      <c r="N166" s="112"/>
      <c r="O166" s="505" t="b">
        <v>0</v>
      </c>
      <c r="P166" s="504" t="b">
        <v>0</v>
      </c>
      <c r="Q166" s="116"/>
      <c r="R166" s="505" t="b">
        <v>0</v>
      </c>
      <c r="S166" s="504" t="b">
        <v>0</v>
      </c>
      <c r="T166" s="117"/>
      <c r="U166" s="505" t="b">
        <v>0</v>
      </c>
      <c r="V166" s="504" t="b">
        <v>0</v>
      </c>
      <c r="W166" s="118"/>
      <c r="X166" s="505" t="b">
        <v>0</v>
      </c>
      <c r="Y166" s="504" t="b">
        <v>0</v>
      </c>
      <c r="Z166" s="119"/>
      <c r="AA166" s="505" t="b">
        <v>0</v>
      </c>
      <c r="AB166" s="504" t="b">
        <v>0</v>
      </c>
      <c r="AC166" s="121"/>
      <c r="AD166" s="505" t="b">
        <v>0</v>
      </c>
      <c r="AE166" s="504" t="b">
        <v>0</v>
      </c>
      <c r="AF166" s="125"/>
      <c r="AG166" s="505" t="b">
        <v>0</v>
      </c>
      <c r="AH166" s="504" t="b">
        <v>0</v>
      </c>
      <c r="AI166" s="105"/>
      <c r="AJ166" s="505" t="b">
        <v>0</v>
      </c>
      <c r="AK166" s="504" t="b">
        <v>0</v>
      </c>
      <c r="AL166" s="126"/>
      <c r="AM166" s="505" t="b">
        <v>0</v>
      </c>
      <c r="AN166" s="504" t="b">
        <v>0</v>
      </c>
      <c r="AO166" s="105"/>
      <c r="AP166" s="105"/>
      <c r="AQ166" s="105"/>
      <c r="AR166" s="105"/>
      <c r="AS166" s="105"/>
      <c r="AT166" s="105"/>
      <c r="AU166" s="105"/>
      <c r="AV166" s="105"/>
      <c r="AW166" s="105"/>
      <c r="AX166" s="105"/>
      <c r="AY166" s="105"/>
      <c r="AZ166" s="105"/>
      <c r="BA166" s="105"/>
    </row>
    <row r="167">
      <c r="A167" s="506" t="str">
        <f>IFERROR(__xludf.DUMMYFUNCTION("""COMPUTED_VALUE"""),"SETTLED")</f>
        <v>SETTLED</v>
      </c>
      <c r="B167" s="506" t="str">
        <f>IFERROR(__xludf.DUMMYFUNCTION("""COMPUTED_VALUE"""),"Juan")</f>
        <v>Juan</v>
      </c>
      <c r="C167" s="506" t="str">
        <f>IFERROR(__xludf.DUMMYFUNCTION("""COMPUTED_VALUE"""),"Matthew Boerwinkle &amp; Jody Huffman")</f>
        <v>Matthew Boerwinkle &amp; Jody Huffman</v>
      </c>
      <c r="D167" s="506" t="str">
        <f>IFERROR(__xludf.DUMMYFUNCTION("""COMPUTED_VALUE"""),"217-620-6020")</f>
        <v>217-620-6020</v>
      </c>
      <c r="E167" s="506" t="str">
        <f>IFERROR(__xludf.DUMMYFUNCTION("""COMPUTED_VALUE"""),"Matt.boerwinkle@gmail.com")</f>
        <v>Matt.boerwinkle@gmail.com</v>
      </c>
      <c r="F167" s="506" t="str">
        <f>IFERROR(__xludf.DUMMYFUNCTION("""COMPUTED_VALUE"""),"4407 SE 19th Ave Cape Coral, FL 33904")</f>
        <v>4407 SE 19th Ave Cape Coral, FL 33904</v>
      </c>
      <c r="G167" s="506" t="str">
        <f>IFERROR(__xludf.DUMMYFUNCTION("""COMPUTED_VALUE"""),"Hurricane Ian")</f>
        <v>Hurricane Ian</v>
      </c>
      <c r="H167" s="506" t="str">
        <f>IFERROR(__xludf.DUMMYFUNCTION("""COMPUTED_VALUE"""),"Reopen")</f>
        <v>Reopen</v>
      </c>
      <c r="I167" s="505" t="b">
        <v>0</v>
      </c>
      <c r="J167" s="507" t="b">
        <v>0</v>
      </c>
      <c r="K167" s="112"/>
      <c r="L167" s="505" t="b">
        <v>0</v>
      </c>
      <c r="M167" s="504" t="b">
        <v>0</v>
      </c>
      <c r="N167" s="112"/>
      <c r="O167" s="505" t="b">
        <v>0</v>
      </c>
      <c r="P167" s="504" t="b">
        <v>0</v>
      </c>
      <c r="Q167" s="116"/>
      <c r="R167" s="505" t="b">
        <v>0</v>
      </c>
      <c r="S167" s="504" t="b">
        <v>0</v>
      </c>
      <c r="T167" s="117"/>
      <c r="U167" s="505" t="b">
        <v>0</v>
      </c>
      <c r="V167" s="504" t="b">
        <v>0</v>
      </c>
      <c r="W167" s="118"/>
      <c r="X167" s="505" t="b">
        <v>0</v>
      </c>
      <c r="Y167" s="504" t="b">
        <v>0</v>
      </c>
      <c r="Z167" s="119"/>
      <c r="AA167" s="505" t="b">
        <v>0</v>
      </c>
      <c r="AB167" s="504" t="b">
        <v>0</v>
      </c>
      <c r="AC167" s="121"/>
      <c r="AD167" s="505" t="b">
        <v>0</v>
      </c>
      <c r="AE167" s="504" t="b">
        <v>0</v>
      </c>
      <c r="AF167" s="125"/>
      <c r="AG167" s="505" t="b">
        <v>0</v>
      </c>
      <c r="AH167" s="504" t="b">
        <v>0</v>
      </c>
      <c r="AI167" s="105"/>
      <c r="AJ167" s="505" t="b">
        <v>0</v>
      </c>
      <c r="AK167" s="504" t="b">
        <v>0</v>
      </c>
      <c r="AL167" s="126"/>
      <c r="AM167" s="505" t="b">
        <v>0</v>
      </c>
      <c r="AN167" s="504" t="b">
        <v>0</v>
      </c>
      <c r="AO167" s="105"/>
      <c r="AP167" s="105"/>
      <c r="AQ167" s="105"/>
      <c r="AR167" s="105"/>
      <c r="AS167" s="105"/>
      <c r="AT167" s="105"/>
      <c r="AU167" s="105"/>
      <c r="AV167" s="105"/>
      <c r="AW167" s="105"/>
      <c r="AX167" s="105"/>
      <c r="AY167" s="105"/>
      <c r="AZ167" s="105"/>
      <c r="BA167" s="105"/>
    </row>
    <row r="168">
      <c r="A168" s="506" t="str">
        <f>IFERROR(__xludf.DUMMYFUNCTION("""COMPUTED_VALUE"""),"SETTLED")</f>
        <v>SETTLED</v>
      </c>
      <c r="B168" s="506" t="str">
        <f>IFERROR(__xludf.DUMMYFUNCTION("""COMPUTED_VALUE"""),"Jakey")</f>
        <v>Jakey</v>
      </c>
      <c r="C168" s="506" t="str">
        <f>IFERROR(__xludf.DUMMYFUNCTION("""COMPUTED_VALUE"""),"Calixto Portillo")</f>
        <v>Calixto Portillo</v>
      </c>
      <c r="D168" s="506" t="str">
        <f>IFERROR(__xludf.DUMMYFUNCTION("""COMPUTED_VALUE"""),"239-848-8687")</f>
        <v>239-848-8687</v>
      </c>
      <c r="E168" s="506" t="str">
        <f>IFERROR(__xludf.DUMMYFUNCTION("""COMPUTED_VALUE"""),"Wendydolphin13@yahoo.com")</f>
        <v>Wendydolphin13@yahoo.com</v>
      </c>
      <c r="F168" s="506" t="str">
        <f>IFERROR(__xludf.DUMMYFUNCTION("""COMPUTED_VALUE"""),"106 NE 9TH Pl Cape Coral FL 33909")</f>
        <v>106 NE 9TH Pl Cape Coral FL 33909</v>
      </c>
      <c r="G168" s="506" t="str">
        <f>IFERROR(__xludf.DUMMYFUNCTION("""COMPUTED_VALUE"""),"Hurricane Ian")</f>
        <v>Hurricane Ian</v>
      </c>
      <c r="H168" s="506" t="str">
        <f>IFERROR(__xludf.DUMMYFUNCTION("""COMPUTED_VALUE"""),"Reopen")</f>
        <v>Reopen</v>
      </c>
      <c r="I168" s="505" t="b">
        <v>0</v>
      </c>
      <c r="J168" s="507" t="b">
        <v>0</v>
      </c>
      <c r="K168" s="112"/>
      <c r="L168" s="505" t="b">
        <v>0</v>
      </c>
      <c r="M168" s="504" t="b">
        <v>0</v>
      </c>
      <c r="N168" s="112"/>
      <c r="O168" s="505" t="b">
        <v>0</v>
      </c>
      <c r="P168" s="504" t="b">
        <v>0</v>
      </c>
      <c r="Q168" s="116"/>
      <c r="R168" s="505" t="b">
        <v>0</v>
      </c>
      <c r="S168" s="504" t="b">
        <v>0</v>
      </c>
      <c r="T168" s="117"/>
      <c r="U168" s="505" t="b">
        <v>0</v>
      </c>
      <c r="V168" s="504" t="b">
        <v>0</v>
      </c>
      <c r="W168" s="118"/>
      <c r="X168" s="505" t="b">
        <v>0</v>
      </c>
      <c r="Y168" s="504" t="b">
        <v>0</v>
      </c>
      <c r="Z168" s="119"/>
      <c r="AA168" s="505" t="b">
        <v>0</v>
      </c>
      <c r="AB168" s="504" t="b">
        <v>0</v>
      </c>
      <c r="AC168" s="121"/>
      <c r="AD168" s="505" t="b">
        <v>0</v>
      </c>
      <c r="AE168" s="504" t="b">
        <v>0</v>
      </c>
      <c r="AF168" s="125"/>
      <c r="AG168" s="505" t="b">
        <v>0</v>
      </c>
      <c r="AH168" s="504" t="b">
        <v>0</v>
      </c>
      <c r="AI168" s="105"/>
      <c r="AJ168" s="505" t="b">
        <v>0</v>
      </c>
      <c r="AK168" s="504" t="b">
        <v>0</v>
      </c>
      <c r="AL168" s="126"/>
      <c r="AM168" s="505" t="b">
        <v>0</v>
      </c>
      <c r="AN168" s="504" t="b">
        <v>0</v>
      </c>
      <c r="AO168" s="105"/>
      <c r="AP168" s="105"/>
      <c r="AQ168" s="105"/>
      <c r="AR168" s="105"/>
      <c r="AS168" s="105"/>
      <c r="AT168" s="105"/>
      <c r="AU168" s="105"/>
      <c r="AV168" s="105"/>
      <c r="AW168" s="105"/>
      <c r="AX168" s="105"/>
      <c r="AY168" s="105"/>
      <c r="AZ168" s="105"/>
      <c r="BA168" s="105"/>
    </row>
    <row r="169">
      <c r="A169" s="506" t="str">
        <f>IFERROR(__xludf.DUMMYFUNCTION("""COMPUTED_VALUE"""),"PEND. FILE NOI")</f>
        <v>PEND. FILE NOI</v>
      </c>
      <c r="B169" s="506" t="str">
        <f>IFERROR(__xludf.DUMMYFUNCTION("""COMPUTED_VALUE"""),"Jakey")</f>
        <v>Jakey</v>
      </c>
      <c r="C169" s="506" t="str">
        <f>IFERROR(__xludf.DUMMYFUNCTION("""COMPUTED_VALUE"""),"Calixto Portillo")</f>
        <v>Calixto Portillo</v>
      </c>
      <c r="D169" s="506" t="str">
        <f>IFERROR(__xludf.DUMMYFUNCTION("""COMPUTED_VALUE"""),"239-848-8687")</f>
        <v>239-848-8687</v>
      </c>
      <c r="E169" s="506" t="str">
        <f>IFERROR(__xludf.DUMMYFUNCTION("""COMPUTED_VALUE"""),"Wendydolphin13@yahoo.com")</f>
        <v>Wendydolphin13@yahoo.com</v>
      </c>
      <c r="F169" s="506" t="str">
        <f>IFERROR(__xludf.DUMMYFUNCTION("""COMPUTED_VALUE"""),"106 NE 9TH Pl Cape Coral FL 33909")</f>
        <v>106 NE 9TH Pl Cape Coral FL 33909</v>
      </c>
      <c r="G169" s="506" t="str">
        <f>IFERROR(__xludf.DUMMYFUNCTION("""COMPUTED_VALUE"""),"AWD")</f>
        <v>AWD</v>
      </c>
      <c r="H169" s="506" t="str">
        <f>IFERROR(__xludf.DUMMYFUNCTION("""COMPUTED_VALUE"""),"New Claim")</f>
        <v>New Claim</v>
      </c>
      <c r="I169" s="505" t="b">
        <v>0</v>
      </c>
      <c r="J169" s="507" t="b">
        <v>0</v>
      </c>
      <c r="K169" s="112"/>
      <c r="L169" s="505" t="b">
        <v>0</v>
      </c>
      <c r="M169" s="504" t="b">
        <v>0</v>
      </c>
      <c r="N169" s="112"/>
      <c r="O169" s="505" t="b">
        <v>0</v>
      </c>
      <c r="P169" s="504" t="b">
        <v>0</v>
      </c>
      <c r="Q169" s="116"/>
      <c r="R169" s="505" t="b">
        <v>0</v>
      </c>
      <c r="S169" s="504" t="b">
        <v>0</v>
      </c>
      <c r="T169" s="117"/>
      <c r="U169" s="505" t="b">
        <v>0</v>
      </c>
      <c r="V169" s="504" t="b">
        <v>0</v>
      </c>
      <c r="W169" s="118"/>
      <c r="X169" s="505" t="b">
        <v>0</v>
      </c>
      <c r="Y169" s="504" t="b">
        <v>0</v>
      </c>
      <c r="Z169" s="119"/>
      <c r="AA169" s="505" t="b">
        <v>0</v>
      </c>
      <c r="AB169" s="504" t="b">
        <v>0</v>
      </c>
      <c r="AC169" s="121"/>
      <c r="AD169" s="505" t="b">
        <v>0</v>
      </c>
      <c r="AE169" s="504" t="b">
        <v>0</v>
      </c>
      <c r="AF169" s="125"/>
      <c r="AG169" s="505" t="b">
        <v>0</v>
      </c>
      <c r="AH169" s="504" t="b">
        <v>0</v>
      </c>
      <c r="AI169" s="105"/>
      <c r="AJ169" s="505" t="b">
        <v>0</v>
      </c>
      <c r="AK169" s="504" t="b">
        <v>0</v>
      </c>
      <c r="AL169" s="126"/>
      <c r="AM169" s="505" t="b">
        <v>0</v>
      </c>
      <c r="AN169" s="504" t="b">
        <v>0</v>
      </c>
      <c r="AO169" s="105"/>
      <c r="AP169" s="105"/>
      <c r="AQ169" s="105"/>
      <c r="AR169" s="105"/>
      <c r="AS169" s="105"/>
      <c r="AT169" s="105"/>
      <c r="AU169" s="105"/>
      <c r="AV169" s="105"/>
      <c r="AW169" s="105"/>
      <c r="AX169" s="105"/>
      <c r="AY169" s="105"/>
      <c r="AZ169" s="105"/>
      <c r="BA169" s="105"/>
    </row>
    <row r="170">
      <c r="A170" s="506" t="str">
        <f>IFERROR(__xludf.DUMMYFUNCTION("""COMPUTED_VALUE"""),"SETTLED")</f>
        <v>SETTLED</v>
      </c>
      <c r="B170" s="506" t="str">
        <f>IFERROR(__xludf.DUMMYFUNCTION("""COMPUTED_VALUE"""),"David M.")</f>
        <v>David M.</v>
      </c>
      <c r="C170" s="506" t="str">
        <f>IFERROR(__xludf.DUMMYFUNCTION("""COMPUTED_VALUE"""),"Jesus Alvarez ")</f>
        <v>Jesus Alvarez </v>
      </c>
      <c r="D170" s="506" t="str">
        <f>IFERROR(__xludf.DUMMYFUNCTION("""COMPUTED_VALUE"""),"863-263-6462")</f>
        <v>863-263-6462</v>
      </c>
      <c r="E170" s="506" t="str">
        <f>IFERROR(__xludf.DUMMYFUNCTION("""COMPUTED_VALUE"""),"Luzyjesus32@hotmail.com")</f>
        <v>Luzyjesus32@hotmail.com</v>
      </c>
      <c r="F170" s="506" t="str">
        <f>IFERROR(__xludf.DUMMYFUNCTION("""COMPUTED_VALUE"""),"1684 SE Tangelo Dr, Arcadia FL 34266")</f>
        <v>1684 SE Tangelo Dr, Arcadia FL 34266</v>
      </c>
      <c r="G170" s="506" t="str">
        <f>IFERROR(__xludf.DUMMYFUNCTION("""COMPUTED_VALUE"""),"Hurricane Ian")</f>
        <v>Hurricane Ian</v>
      </c>
      <c r="H170" s="506" t="str">
        <f>IFERROR(__xludf.DUMMYFUNCTION("""COMPUTED_VALUE"""),"Reopen")</f>
        <v>Reopen</v>
      </c>
      <c r="I170" s="505" t="b">
        <v>0</v>
      </c>
      <c r="J170" s="507" t="b">
        <v>0</v>
      </c>
      <c r="K170" s="112"/>
      <c r="L170" s="505" t="b">
        <v>0</v>
      </c>
      <c r="M170" s="504" t="b">
        <v>0</v>
      </c>
      <c r="N170" s="112"/>
      <c r="O170" s="505" t="b">
        <v>0</v>
      </c>
      <c r="P170" s="504" t="b">
        <v>0</v>
      </c>
      <c r="Q170" s="116"/>
      <c r="R170" s="505" t="b">
        <v>0</v>
      </c>
      <c r="S170" s="504" t="b">
        <v>0</v>
      </c>
      <c r="T170" s="117"/>
      <c r="U170" s="505" t="b">
        <v>0</v>
      </c>
      <c r="V170" s="504" t="b">
        <v>0</v>
      </c>
      <c r="W170" s="118"/>
      <c r="X170" s="505" t="b">
        <v>0</v>
      </c>
      <c r="Y170" s="504" t="b">
        <v>0</v>
      </c>
      <c r="Z170" s="119"/>
      <c r="AA170" s="505" t="b">
        <v>0</v>
      </c>
      <c r="AB170" s="504" t="b">
        <v>0</v>
      </c>
      <c r="AC170" s="121"/>
      <c r="AD170" s="505" t="b">
        <v>0</v>
      </c>
      <c r="AE170" s="504" t="b">
        <v>0</v>
      </c>
      <c r="AF170" s="125"/>
      <c r="AG170" s="505" t="b">
        <v>0</v>
      </c>
      <c r="AH170" s="504" t="b">
        <v>0</v>
      </c>
      <c r="AI170" s="105"/>
      <c r="AJ170" s="505" t="b">
        <v>0</v>
      </c>
      <c r="AK170" s="504" t="b">
        <v>0</v>
      </c>
      <c r="AL170" s="126"/>
      <c r="AM170" s="505" t="b">
        <v>0</v>
      </c>
      <c r="AN170" s="504" t="b">
        <v>0</v>
      </c>
      <c r="AO170" s="105"/>
      <c r="AP170" s="105"/>
      <c r="AQ170" s="105"/>
      <c r="AR170" s="105"/>
      <c r="AS170" s="105"/>
      <c r="AT170" s="105"/>
      <c r="AU170" s="105"/>
      <c r="AV170" s="105"/>
      <c r="AW170" s="105"/>
      <c r="AX170" s="105"/>
      <c r="AY170" s="105"/>
      <c r="AZ170" s="105"/>
      <c r="BA170" s="105"/>
    </row>
    <row r="171">
      <c r="A171" s="506" t="str">
        <f>IFERROR(__xludf.DUMMYFUNCTION("""COMPUTED_VALUE"""),"CLSD CLAIMS")</f>
        <v>CLSD CLAIMS</v>
      </c>
      <c r="B171" s="506" t="str">
        <f>IFERROR(__xludf.DUMMYFUNCTION("""COMPUTED_VALUE"""),"Ivan")</f>
        <v>Ivan</v>
      </c>
      <c r="C171" s="506" t="str">
        <f>IFERROR(__xludf.DUMMYFUNCTION("""COMPUTED_VALUE"""),"Cynthia &amp; Loern Jones")</f>
        <v>Cynthia &amp; Loern Jones</v>
      </c>
      <c r="D171" s="506" t="str">
        <f>IFERROR(__xludf.DUMMYFUNCTION("""COMPUTED_VALUE"""),"352-212-2135")</f>
        <v>352-212-2135</v>
      </c>
      <c r="E171" s="506" t="str">
        <f>IFERROR(__xludf.DUMMYFUNCTION("""COMPUTED_VALUE"""),"cindy.leon.jones@gmail.com")</f>
        <v>cindy.leon.jones@gmail.com</v>
      </c>
      <c r="F171" s="506" t="str">
        <f>IFERROR(__xludf.DUMMYFUNCTION("""COMPUTED_VALUE"""),"9354 W Chata PL. Crystal River, FL 34428")</f>
        <v>9354 W Chata PL. Crystal River, FL 34428</v>
      </c>
      <c r="G171" s="506" t="str">
        <f>IFERROR(__xludf.DUMMYFUNCTION("""COMPUTED_VALUE"""),"Hail")</f>
        <v>Hail</v>
      </c>
      <c r="H171" s="506" t="str">
        <f>IFERROR(__xludf.DUMMYFUNCTION("""COMPUTED_VALUE"""),"New Claim")</f>
        <v>New Claim</v>
      </c>
      <c r="I171" s="505" t="b">
        <v>0</v>
      </c>
      <c r="J171" s="507" t="b">
        <v>0</v>
      </c>
      <c r="K171" s="112"/>
      <c r="L171" s="505" t="b">
        <v>0</v>
      </c>
      <c r="M171" s="504" t="b">
        <v>0</v>
      </c>
      <c r="N171" s="112"/>
      <c r="O171" s="505" t="b">
        <v>0</v>
      </c>
      <c r="P171" s="504" t="b">
        <v>0</v>
      </c>
      <c r="Q171" s="116"/>
      <c r="R171" s="505" t="b">
        <v>0</v>
      </c>
      <c r="S171" s="504" t="b">
        <v>0</v>
      </c>
      <c r="T171" s="117"/>
      <c r="U171" s="505" t="b">
        <v>0</v>
      </c>
      <c r="V171" s="504" t="b">
        <v>0</v>
      </c>
      <c r="W171" s="118"/>
      <c r="X171" s="505" t="b">
        <v>0</v>
      </c>
      <c r="Y171" s="504" t="b">
        <v>0</v>
      </c>
      <c r="Z171" s="119"/>
      <c r="AA171" s="505" t="b">
        <v>0</v>
      </c>
      <c r="AB171" s="504" t="b">
        <v>0</v>
      </c>
      <c r="AC171" s="121"/>
      <c r="AD171" s="505" t="b">
        <v>0</v>
      </c>
      <c r="AE171" s="504" t="b">
        <v>0</v>
      </c>
      <c r="AF171" s="125"/>
      <c r="AG171" s="505" t="b">
        <v>0</v>
      </c>
      <c r="AH171" s="504" t="b">
        <v>0</v>
      </c>
      <c r="AI171" s="105"/>
      <c r="AJ171" s="505" t="b">
        <v>0</v>
      </c>
      <c r="AK171" s="504" t="b">
        <v>0</v>
      </c>
      <c r="AL171" s="126"/>
      <c r="AM171" s="505" t="b">
        <v>0</v>
      </c>
      <c r="AN171" s="504" t="b">
        <v>0</v>
      </c>
      <c r="AO171" s="105"/>
      <c r="AP171" s="105"/>
      <c r="AQ171" s="105"/>
      <c r="AR171" s="105"/>
      <c r="AS171" s="105"/>
      <c r="AT171" s="105"/>
      <c r="AU171" s="105"/>
      <c r="AV171" s="105"/>
      <c r="AW171" s="105"/>
      <c r="AX171" s="105"/>
      <c r="AY171" s="105"/>
      <c r="AZ171" s="105"/>
      <c r="BA171" s="105"/>
    </row>
    <row r="172">
      <c r="A172" s="506" t="str">
        <f>IFERROR(__xludf.DUMMYFUNCTION("""COMPUTED_VALUE"""),"SETTLED")</f>
        <v>SETTLED</v>
      </c>
      <c r="B172" s="506" t="str">
        <f>IFERROR(__xludf.DUMMYFUNCTION("""COMPUTED_VALUE"""),"Juan")</f>
        <v>Juan</v>
      </c>
      <c r="C172" s="506" t="str">
        <f>IFERROR(__xludf.DUMMYFUNCTION("""COMPUTED_VALUE"""),"Brandy &amp; Daniel Hand")</f>
        <v>Brandy &amp; Daniel Hand</v>
      </c>
      <c r="D172" s="506" t="str">
        <f>IFERROR(__xludf.DUMMYFUNCTION("""COMPUTED_VALUE"""),"941-661-4970")</f>
        <v>941-661-4970</v>
      </c>
      <c r="E172" s="506" t="str">
        <f>IFERROR(__xludf.DUMMYFUNCTION("""COMPUTED_VALUE"""),"Brandee_fl@yahoo.com")</f>
        <v>Brandee_fl@yahoo.com</v>
      </c>
      <c r="F172" s="506" t="str">
        <f>IFERROR(__xludf.DUMMYFUNCTION("""COMPUTED_VALUE"""),"1760 SE Peach Dr Arcadia FL 34266")</f>
        <v>1760 SE Peach Dr Arcadia FL 34266</v>
      </c>
      <c r="G172" s="506" t="str">
        <f>IFERROR(__xludf.DUMMYFUNCTION("""COMPUTED_VALUE"""),"Hurricane Ian")</f>
        <v>Hurricane Ian</v>
      </c>
      <c r="H172" s="506" t="str">
        <f>IFERROR(__xludf.DUMMYFUNCTION("""COMPUTED_VALUE"""),"New Claim")</f>
        <v>New Claim</v>
      </c>
      <c r="I172" s="505" t="b">
        <v>0</v>
      </c>
      <c r="J172" s="507" t="b">
        <v>0</v>
      </c>
      <c r="K172" s="112"/>
      <c r="L172" s="505" t="b">
        <v>0</v>
      </c>
      <c r="M172" s="504" t="b">
        <v>0</v>
      </c>
      <c r="N172" s="112"/>
      <c r="O172" s="110" t="b">
        <v>1</v>
      </c>
      <c r="P172" s="509" t="b">
        <v>1</v>
      </c>
      <c r="Q172" s="510" t="s">
        <v>3381</v>
      </c>
      <c r="R172" s="505" t="b">
        <v>0</v>
      </c>
      <c r="S172" s="504" t="b">
        <v>0</v>
      </c>
      <c r="T172" s="117"/>
      <c r="U172" s="505" t="b">
        <v>0</v>
      </c>
      <c r="V172" s="504" t="b">
        <v>0</v>
      </c>
      <c r="W172" s="118"/>
      <c r="X172" s="505" t="b">
        <v>0</v>
      </c>
      <c r="Y172" s="504" t="b">
        <v>0</v>
      </c>
      <c r="Z172" s="119"/>
      <c r="AA172" s="505" t="b">
        <v>0</v>
      </c>
      <c r="AB172" s="504" t="b">
        <v>0</v>
      </c>
      <c r="AC172" s="121"/>
      <c r="AD172" s="505" t="b">
        <v>0</v>
      </c>
      <c r="AE172" s="504" t="b">
        <v>0</v>
      </c>
      <c r="AF172" s="125"/>
      <c r="AG172" s="505" t="b">
        <v>0</v>
      </c>
      <c r="AH172" s="504" t="b">
        <v>0</v>
      </c>
      <c r="AI172" s="105"/>
      <c r="AJ172" s="505" t="b">
        <v>0</v>
      </c>
      <c r="AK172" s="504" t="b">
        <v>0</v>
      </c>
      <c r="AL172" s="126"/>
      <c r="AM172" s="505" t="b">
        <v>0</v>
      </c>
      <c r="AN172" s="504" t="b">
        <v>0</v>
      </c>
      <c r="AO172" s="105"/>
      <c r="AP172" s="105"/>
      <c r="AQ172" s="105"/>
      <c r="AR172" s="105"/>
      <c r="AS172" s="105"/>
      <c r="AT172" s="105"/>
      <c r="AU172" s="105"/>
      <c r="AV172" s="105"/>
      <c r="AW172" s="105"/>
      <c r="AX172" s="105"/>
      <c r="AY172" s="105"/>
      <c r="AZ172" s="105"/>
      <c r="BA172" s="105"/>
    </row>
    <row r="173">
      <c r="A173" s="105" t="str">
        <f>IFERROR(__xludf.DUMMYFUNCTION("""COMPUTED_VALUE"""),"STAND BY")</f>
        <v>STAND BY</v>
      </c>
      <c r="B173" s="506" t="str">
        <f>IFERROR(__xludf.DUMMYFUNCTION("""COMPUTED_VALUE"""),"Jakey")</f>
        <v>Jakey</v>
      </c>
      <c r="C173" s="506" t="str">
        <f>IFERROR(__xludf.DUMMYFUNCTION("""COMPUTED_VALUE"""),"Rose Paul")</f>
        <v>Rose Paul</v>
      </c>
      <c r="D173" s="506" t="str">
        <f>IFERROR(__xludf.DUMMYFUNCTION("""COMPUTED_VALUE"""),"239-244-6777 / sister's 786-413-5146")</f>
        <v>239-244-6777 / sister's 786-413-5146</v>
      </c>
      <c r="E173" s="506" t="str">
        <f>IFERROR(__xludf.DUMMYFUNCTION("""COMPUTED_VALUE"""),"Stepharha1@gmail.com")</f>
        <v>Stepharha1@gmail.com</v>
      </c>
      <c r="F173" s="506" t="str">
        <f>IFERROR(__xludf.DUMMYFUNCTION("""COMPUTED_VALUE"""),"3808 Fourth St Sw Lehigh Acres, FL 33976")</f>
        <v>3808 Fourth St Sw Lehigh Acres, FL 33976</v>
      </c>
      <c r="G173" s="506" t="str">
        <f>IFERROR(__xludf.DUMMYFUNCTION("""COMPUTED_VALUE"""),"Hurricane Ian")</f>
        <v>Hurricane Ian</v>
      </c>
      <c r="H173" s="506" t="str">
        <f>IFERROR(__xludf.DUMMYFUNCTION("""COMPUTED_VALUE"""),"Reopen")</f>
        <v>Reopen</v>
      </c>
      <c r="I173" s="505" t="b">
        <v>0</v>
      </c>
      <c r="J173" s="507" t="b">
        <v>0</v>
      </c>
      <c r="K173" s="112"/>
      <c r="L173" s="505" t="b">
        <v>0</v>
      </c>
      <c r="M173" s="504" t="b">
        <v>0</v>
      </c>
      <c r="N173" s="112"/>
      <c r="O173" s="505" t="b">
        <v>0</v>
      </c>
      <c r="P173" s="504" t="b">
        <v>0</v>
      </c>
      <c r="Q173" s="116"/>
      <c r="R173" s="505" t="b">
        <v>0</v>
      </c>
      <c r="S173" s="504" t="b">
        <v>0</v>
      </c>
      <c r="T173" s="117"/>
      <c r="U173" s="505" t="b">
        <v>0</v>
      </c>
      <c r="V173" s="504" t="b">
        <v>0</v>
      </c>
      <c r="W173" s="118"/>
      <c r="X173" s="505" t="b">
        <v>0</v>
      </c>
      <c r="Y173" s="504" t="b">
        <v>0</v>
      </c>
      <c r="Z173" s="119"/>
      <c r="AA173" s="505" t="b">
        <v>0</v>
      </c>
      <c r="AB173" s="504" t="b">
        <v>0</v>
      </c>
      <c r="AC173" s="121"/>
      <c r="AD173" s="505" t="b">
        <v>0</v>
      </c>
      <c r="AE173" s="504" t="b">
        <v>0</v>
      </c>
      <c r="AF173" s="125"/>
      <c r="AG173" s="505" t="b">
        <v>0</v>
      </c>
      <c r="AH173" s="504" t="b">
        <v>0</v>
      </c>
      <c r="AI173" s="105"/>
      <c r="AJ173" s="505" t="b">
        <v>0</v>
      </c>
      <c r="AK173" s="504" t="b">
        <v>0</v>
      </c>
      <c r="AL173" s="126"/>
      <c r="AM173" s="505" t="b">
        <v>0</v>
      </c>
      <c r="AN173" s="504" t="b">
        <v>0</v>
      </c>
      <c r="AO173" s="105"/>
      <c r="AP173" s="105"/>
      <c r="AQ173" s="105"/>
      <c r="AR173" s="105"/>
      <c r="AS173" s="105"/>
      <c r="AT173" s="105"/>
      <c r="AU173" s="105"/>
      <c r="AV173" s="105"/>
      <c r="AW173" s="105"/>
      <c r="AX173" s="105"/>
      <c r="AY173" s="105"/>
      <c r="AZ173" s="105"/>
      <c r="BA173" s="105"/>
    </row>
    <row r="174">
      <c r="A174" s="506" t="str">
        <f>IFERROR(__xludf.DUMMYFUNCTION("""COMPUTED_VALUE"""),"SETTLED")</f>
        <v>SETTLED</v>
      </c>
      <c r="B174" s="506" t="str">
        <f>IFERROR(__xludf.DUMMYFUNCTION("""COMPUTED_VALUE"""),"Jakey")</f>
        <v>Jakey</v>
      </c>
      <c r="C174" s="506" t="str">
        <f>IFERROR(__xludf.DUMMYFUNCTION("""COMPUTED_VALUE"""),"Rose Paul")</f>
        <v>Rose Paul</v>
      </c>
      <c r="D174" s="506" t="str">
        <f>IFERROR(__xludf.DUMMYFUNCTION("""COMPUTED_VALUE"""),"239-244-6777")</f>
        <v>239-244-6777</v>
      </c>
      <c r="E174" s="506" t="str">
        <f>IFERROR(__xludf.DUMMYFUNCTION("""COMPUTED_VALUE"""),"Stepharha1@gmail.com")</f>
        <v>Stepharha1@gmail.com</v>
      </c>
      <c r="F174" s="506" t="str">
        <f>IFERROR(__xludf.DUMMYFUNCTION("""COMPUTED_VALUE"""),"3808 Fourth St Sw Lehigh Acres, FL 33976")</f>
        <v>3808 Fourth St Sw Lehigh Acres, FL 33976</v>
      </c>
      <c r="G174" s="506" t="str">
        <f>IFERROR(__xludf.DUMMYFUNCTION("""COMPUTED_VALUE"""),"AWD")</f>
        <v>AWD</v>
      </c>
      <c r="H174" s="506" t="str">
        <f>IFERROR(__xludf.DUMMYFUNCTION("""COMPUTED_VALUE"""),"New Claim")</f>
        <v>New Claim</v>
      </c>
      <c r="I174" s="505" t="b">
        <v>0</v>
      </c>
      <c r="J174" s="507" t="b">
        <v>0</v>
      </c>
      <c r="K174" s="112"/>
      <c r="L174" s="505" t="b">
        <v>0</v>
      </c>
      <c r="M174" s="504" t="b">
        <v>0</v>
      </c>
      <c r="N174" s="112"/>
      <c r="O174" s="505" t="b">
        <v>0</v>
      </c>
      <c r="P174" s="504" t="b">
        <v>0</v>
      </c>
      <c r="Q174" s="116"/>
      <c r="R174" s="505" t="b">
        <v>0</v>
      </c>
      <c r="S174" s="504" t="b">
        <v>0</v>
      </c>
      <c r="T174" s="117"/>
      <c r="U174" s="505" t="b">
        <v>0</v>
      </c>
      <c r="V174" s="504" t="b">
        <v>0</v>
      </c>
      <c r="W174" s="118"/>
      <c r="X174" s="505" t="b">
        <v>0</v>
      </c>
      <c r="Y174" s="504" t="b">
        <v>0</v>
      </c>
      <c r="Z174" s="119"/>
      <c r="AA174" s="505" t="b">
        <v>0</v>
      </c>
      <c r="AB174" s="504" t="b">
        <v>0</v>
      </c>
      <c r="AC174" s="121"/>
      <c r="AD174" s="505" t="b">
        <v>0</v>
      </c>
      <c r="AE174" s="504" t="b">
        <v>0</v>
      </c>
      <c r="AF174" s="125"/>
      <c r="AG174" s="505" t="b">
        <v>0</v>
      </c>
      <c r="AH174" s="504" t="b">
        <v>0</v>
      </c>
      <c r="AI174" s="105"/>
      <c r="AJ174" s="505" t="b">
        <v>0</v>
      </c>
      <c r="AK174" s="504" t="b">
        <v>0</v>
      </c>
      <c r="AL174" s="126"/>
      <c r="AM174" s="505" t="b">
        <v>0</v>
      </c>
      <c r="AN174" s="504" t="b">
        <v>0</v>
      </c>
      <c r="AO174" s="105"/>
      <c r="AP174" s="105"/>
      <c r="AQ174" s="105"/>
      <c r="AR174" s="105"/>
      <c r="AS174" s="105"/>
      <c r="AT174" s="105"/>
      <c r="AU174" s="105"/>
      <c r="AV174" s="105"/>
      <c r="AW174" s="105"/>
      <c r="AX174" s="105"/>
      <c r="AY174" s="105"/>
      <c r="AZ174" s="105"/>
      <c r="BA174" s="105"/>
    </row>
    <row r="175">
      <c r="A175" s="506" t="str">
        <f>IFERROR(__xludf.DUMMYFUNCTION("""COMPUTED_VALUE"""),"PEND. FILE NOI")</f>
        <v>PEND. FILE NOI</v>
      </c>
      <c r="B175" s="506" t="str">
        <f>IFERROR(__xludf.DUMMYFUNCTION("""COMPUTED_VALUE"""),"Peter")</f>
        <v>Peter</v>
      </c>
      <c r="C175" s="506" t="str">
        <f>IFERROR(__xludf.DUMMYFUNCTION("""COMPUTED_VALUE"""),"Michael &amp; Kelli Ogrady")</f>
        <v>Michael &amp; Kelli Ogrady</v>
      </c>
      <c r="D175" s="506" t="str">
        <f>IFERROR(__xludf.DUMMYFUNCTION("""COMPUTED_VALUE"""),"352-422-4550")</f>
        <v>352-422-4550</v>
      </c>
      <c r="E175" s="506" t="str">
        <f>IFERROR(__xludf.DUMMYFUNCTION("""COMPUTED_VALUE"""),"mwog1951@gmail.com")</f>
        <v>mwog1951@gmail.com</v>
      </c>
      <c r="F175" s="506" t="str">
        <f>IFERROR(__xludf.DUMMYFUNCTION("""COMPUTED_VALUE"""),"1361 S BROOKFIELD DR LECANTO, FL 34461")</f>
        <v>1361 S BROOKFIELD DR LECANTO, FL 34461</v>
      </c>
      <c r="G175" s="506" t="str">
        <f>IFERROR(__xludf.DUMMYFUNCTION("""COMPUTED_VALUE"""),"Hail")</f>
        <v>Hail</v>
      </c>
      <c r="H175" s="506" t="str">
        <f>IFERROR(__xludf.DUMMYFUNCTION("""COMPUTED_VALUE"""),"New Claim")</f>
        <v>New Claim</v>
      </c>
      <c r="I175" s="505" t="b">
        <v>0</v>
      </c>
      <c r="J175" s="507" t="b">
        <v>0</v>
      </c>
      <c r="K175" s="112"/>
      <c r="L175" s="505" t="b">
        <v>0</v>
      </c>
      <c r="M175" s="504" t="b">
        <v>0</v>
      </c>
      <c r="N175" s="112"/>
      <c r="O175" s="505" t="b">
        <v>0</v>
      </c>
      <c r="P175" s="504" t="b">
        <v>0</v>
      </c>
      <c r="Q175" s="116"/>
      <c r="R175" s="505" t="b">
        <v>0</v>
      </c>
      <c r="S175" s="504" t="b">
        <v>0</v>
      </c>
      <c r="T175" s="117"/>
      <c r="U175" s="505" t="b">
        <v>0</v>
      </c>
      <c r="V175" s="504" t="b">
        <v>0</v>
      </c>
      <c r="W175" s="118"/>
      <c r="X175" s="505" t="b">
        <v>0</v>
      </c>
      <c r="Y175" s="504" t="b">
        <v>0</v>
      </c>
      <c r="Z175" s="119"/>
      <c r="AA175" s="505" t="b">
        <v>0</v>
      </c>
      <c r="AB175" s="504" t="b">
        <v>0</v>
      </c>
      <c r="AC175" s="121"/>
      <c r="AD175" s="505" t="b">
        <v>0</v>
      </c>
      <c r="AE175" s="504" t="b">
        <v>0</v>
      </c>
      <c r="AF175" s="125"/>
      <c r="AG175" s="505" t="b">
        <v>0</v>
      </c>
      <c r="AH175" s="504" t="b">
        <v>0</v>
      </c>
      <c r="AI175" s="105"/>
      <c r="AJ175" s="505" t="b">
        <v>0</v>
      </c>
      <c r="AK175" s="504" t="b">
        <v>0</v>
      </c>
      <c r="AL175" s="126"/>
      <c r="AM175" s="505" t="b">
        <v>0</v>
      </c>
      <c r="AN175" s="504" t="b">
        <v>0</v>
      </c>
      <c r="AO175" s="105"/>
      <c r="AP175" s="105"/>
      <c r="AQ175" s="105"/>
      <c r="AR175" s="105"/>
      <c r="AS175" s="105"/>
      <c r="AT175" s="105"/>
      <c r="AU175" s="105"/>
      <c r="AV175" s="105"/>
      <c r="AW175" s="105"/>
      <c r="AX175" s="105"/>
      <c r="AY175" s="105"/>
      <c r="AZ175" s="105"/>
      <c r="BA175" s="105"/>
    </row>
    <row r="176">
      <c r="A176" s="506" t="str">
        <f>IFERROR(__xludf.DUMMYFUNCTION("""COMPUTED_VALUE"""),"SETTLED")</f>
        <v>SETTLED</v>
      </c>
      <c r="B176" s="506" t="str">
        <f>IFERROR(__xludf.DUMMYFUNCTION("""COMPUTED_VALUE"""),"Ivan")</f>
        <v>Ivan</v>
      </c>
      <c r="C176" s="506" t="str">
        <f>IFERROR(__xludf.DUMMYFUNCTION("""COMPUTED_VALUE"""),"Susan &amp; Michael Bunting")</f>
        <v>Susan &amp; Michael Bunting</v>
      </c>
      <c r="D176" s="506" t="str">
        <f>IFERROR(__xludf.DUMMYFUNCTION("""COMPUTED_VALUE"""),"321-914-8768")</f>
        <v>321-914-8768</v>
      </c>
      <c r="E176" s="506" t="str">
        <f>IFERROR(__xludf.DUMMYFUNCTION("""COMPUTED_VALUE"""),"Llordssoth@yahoo.com")</f>
        <v>Llordssoth@yahoo.com</v>
      </c>
      <c r="F176" s="506" t="str">
        <f>IFERROR(__xludf.DUMMYFUNCTION("""COMPUTED_VALUE"""),"3516 W Roundtree DR. Cocoa, FL 32926")</f>
        <v>3516 W Roundtree DR. Cocoa, FL 32926</v>
      </c>
      <c r="G176" s="506" t="str">
        <f>IFERROR(__xludf.DUMMYFUNCTION("""COMPUTED_VALUE"""),"AWD")</f>
        <v>AWD</v>
      </c>
      <c r="H176" s="506" t="str">
        <f>IFERROR(__xludf.DUMMYFUNCTION("""COMPUTED_VALUE"""),"New Claim")</f>
        <v>New Claim</v>
      </c>
      <c r="I176" s="505" t="b">
        <v>0</v>
      </c>
      <c r="J176" s="507" t="b">
        <v>0</v>
      </c>
      <c r="K176" s="112"/>
      <c r="L176" s="505" t="b">
        <v>0</v>
      </c>
      <c r="M176" s="504" t="b">
        <v>0</v>
      </c>
      <c r="N176" s="112"/>
      <c r="O176" s="505" t="b">
        <v>0</v>
      </c>
      <c r="P176" s="504" t="b">
        <v>0</v>
      </c>
      <c r="Q176" s="116"/>
      <c r="R176" s="505" t="b">
        <v>0</v>
      </c>
      <c r="S176" s="504" t="b">
        <v>0</v>
      </c>
      <c r="T176" s="117"/>
      <c r="U176" s="505" t="b">
        <v>0</v>
      </c>
      <c r="V176" s="504" t="b">
        <v>0</v>
      </c>
      <c r="W176" s="118"/>
      <c r="X176" s="505" t="b">
        <v>0</v>
      </c>
      <c r="Y176" s="504" t="b">
        <v>0</v>
      </c>
      <c r="Z176" s="119"/>
      <c r="AA176" s="505" t="b">
        <v>0</v>
      </c>
      <c r="AB176" s="504" t="b">
        <v>0</v>
      </c>
      <c r="AC176" s="121"/>
      <c r="AD176" s="505" t="b">
        <v>0</v>
      </c>
      <c r="AE176" s="504" t="b">
        <v>0</v>
      </c>
      <c r="AF176" s="125"/>
      <c r="AG176" s="505" t="b">
        <v>0</v>
      </c>
      <c r="AH176" s="504" t="b">
        <v>0</v>
      </c>
      <c r="AI176" s="105"/>
      <c r="AJ176" s="505" t="b">
        <v>0</v>
      </c>
      <c r="AK176" s="504" t="b">
        <v>0</v>
      </c>
      <c r="AL176" s="126"/>
      <c r="AM176" s="505" t="b">
        <v>0</v>
      </c>
      <c r="AN176" s="504" t="b">
        <v>0</v>
      </c>
      <c r="AO176" s="105"/>
      <c r="AP176" s="105"/>
      <c r="AQ176" s="105"/>
      <c r="AR176" s="105"/>
      <c r="AS176" s="105"/>
      <c r="AT176" s="105"/>
      <c r="AU176" s="105"/>
      <c r="AV176" s="105"/>
      <c r="AW176" s="105"/>
      <c r="AX176" s="105"/>
      <c r="AY176" s="105"/>
      <c r="AZ176" s="105"/>
      <c r="BA176" s="105"/>
    </row>
    <row r="177">
      <c r="A177" s="506" t="str">
        <f>IFERROR(__xludf.DUMMYFUNCTION("""COMPUTED_VALUE"""),"LITIGATION")</f>
        <v>LITIGATION</v>
      </c>
      <c r="B177" s="506" t="str">
        <f>IFERROR(__xludf.DUMMYFUNCTION("""COMPUTED_VALUE"""),"David F.")</f>
        <v>David F.</v>
      </c>
      <c r="C177" s="506" t="str">
        <f>IFERROR(__xludf.DUMMYFUNCTION("""COMPUTED_VALUE"""),"Hamlet &amp; Mildre Felix")</f>
        <v>Hamlet &amp; Mildre Felix</v>
      </c>
      <c r="D177" s="506" t="str">
        <f>IFERROR(__xludf.DUMMYFUNCTION("""COMPUTED_VALUE"""),"352-560-1471")</f>
        <v>352-560-1471</v>
      </c>
      <c r="E177" s="506" t="str">
        <f>IFERROR(__xludf.DUMMYFUNCTION("""COMPUTED_VALUE"""),"felixhmsh@hotmail.com")</f>
        <v>felixhmsh@hotmail.com</v>
      </c>
      <c r="F177" s="506" t="str">
        <f>IFERROR(__xludf.DUMMYFUNCTION("""COMPUTED_VALUE"""),"172 W Staggerbush Path, Beverlyhills, FL 34465")</f>
        <v>172 W Staggerbush Path, Beverlyhills, FL 34465</v>
      </c>
      <c r="G177" s="506" t="str">
        <f>IFERROR(__xludf.DUMMYFUNCTION("""COMPUTED_VALUE"""),"Hurricane")</f>
        <v>Hurricane</v>
      </c>
      <c r="H177" s="506" t="str">
        <f>IFERROR(__xludf.DUMMYFUNCTION("""COMPUTED_VALUE"""),"New Claim")</f>
        <v>New Claim</v>
      </c>
      <c r="I177" s="505" t="b">
        <v>0</v>
      </c>
      <c r="J177" s="507" t="b">
        <v>0</v>
      </c>
      <c r="K177" s="112"/>
      <c r="L177" s="505" t="b">
        <v>0</v>
      </c>
      <c r="M177" s="504" t="b">
        <v>0</v>
      </c>
      <c r="N177" s="112"/>
      <c r="O177" s="505" t="b">
        <v>0</v>
      </c>
      <c r="P177" s="504" t="b">
        <v>0</v>
      </c>
      <c r="Q177" s="116"/>
      <c r="R177" s="505" t="b">
        <v>0</v>
      </c>
      <c r="S177" s="504" t="b">
        <v>0</v>
      </c>
      <c r="T177" s="117"/>
      <c r="U177" s="505" t="b">
        <v>0</v>
      </c>
      <c r="V177" s="504" t="b">
        <v>0</v>
      </c>
      <c r="W177" s="118"/>
      <c r="X177" s="505" t="b">
        <v>0</v>
      </c>
      <c r="Y177" s="504" t="b">
        <v>0</v>
      </c>
      <c r="Z177" s="119"/>
      <c r="AA177" s="505" t="b">
        <v>0</v>
      </c>
      <c r="AB177" s="504" t="b">
        <v>0</v>
      </c>
      <c r="AC177" s="121"/>
      <c r="AD177" s="505" t="b">
        <v>0</v>
      </c>
      <c r="AE177" s="504" t="b">
        <v>0</v>
      </c>
      <c r="AF177" s="125"/>
      <c r="AG177" s="505" t="b">
        <v>0</v>
      </c>
      <c r="AH177" s="504" t="b">
        <v>0</v>
      </c>
      <c r="AI177" s="105"/>
      <c r="AJ177" s="505" t="b">
        <v>0</v>
      </c>
      <c r="AK177" s="504" t="b">
        <v>0</v>
      </c>
      <c r="AL177" s="126"/>
      <c r="AM177" s="505" t="b">
        <v>0</v>
      </c>
      <c r="AN177" s="504" t="b">
        <v>0</v>
      </c>
      <c r="AO177" s="105"/>
      <c r="AP177" s="105"/>
      <c r="AQ177" s="105"/>
      <c r="AR177" s="105"/>
      <c r="AS177" s="105"/>
      <c r="AT177" s="105"/>
      <c r="AU177" s="105"/>
      <c r="AV177" s="105"/>
      <c r="AW177" s="105"/>
      <c r="AX177" s="105"/>
      <c r="AY177" s="105"/>
      <c r="AZ177" s="105"/>
      <c r="BA177" s="105"/>
    </row>
    <row r="178">
      <c r="A178" s="506" t="str">
        <f>IFERROR(__xludf.DUMMYFUNCTION("""COMPUTED_VALUE"""),"SETTLED")</f>
        <v>SETTLED</v>
      </c>
      <c r="B178" s="506" t="str">
        <f>IFERROR(__xludf.DUMMYFUNCTION("""COMPUTED_VALUE"""),"Jakey")</f>
        <v>Jakey</v>
      </c>
      <c r="C178" s="506" t="str">
        <f>IFERROR(__xludf.DUMMYFUNCTION("""COMPUTED_VALUE"""),"Carl Watson")</f>
        <v>Carl Watson</v>
      </c>
      <c r="D178" s="506" t="str">
        <f>IFERROR(__xludf.DUMMYFUNCTION("""COMPUTED_VALUE"""),"863-244-4550")</f>
        <v>863-244-4550</v>
      </c>
      <c r="E178" s="506" t="str">
        <f>IFERROR(__xludf.DUMMYFUNCTION("""COMPUTED_VALUE"""),"Cronaldowatson@yahoo.com")</f>
        <v>Cronaldowatson@yahoo.com</v>
      </c>
      <c r="F178" s="506" t="str">
        <f>IFERROR(__xludf.DUMMYFUNCTION("""COMPUTED_VALUE"""),"308 N Mills Ave Arcadia FL 34266")</f>
        <v>308 N Mills Ave Arcadia FL 34266</v>
      </c>
      <c r="G178" s="506" t="str">
        <f>IFERROR(__xludf.DUMMYFUNCTION("""COMPUTED_VALUE"""),"Hurricane Ian")</f>
        <v>Hurricane Ian</v>
      </c>
      <c r="H178" s="506" t="str">
        <f>IFERROR(__xludf.DUMMYFUNCTION("""COMPUTED_VALUE"""),"Reopen")</f>
        <v>Reopen</v>
      </c>
      <c r="I178" s="505" t="b">
        <v>0</v>
      </c>
      <c r="J178" s="507" t="b">
        <v>0</v>
      </c>
      <c r="K178" s="112"/>
      <c r="L178" s="217" t="b">
        <v>0</v>
      </c>
      <c r="M178" s="215" t="b">
        <v>0</v>
      </c>
      <c r="N178" s="238"/>
      <c r="O178" s="217" t="b">
        <v>0</v>
      </c>
      <c r="P178" s="215" t="b">
        <v>0</v>
      </c>
      <c r="Q178" s="230"/>
      <c r="R178" s="217" t="b">
        <v>0</v>
      </c>
      <c r="S178" s="215" t="b">
        <v>0</v>
      </c>
      <c r="T178" s="218"/>
      <c r="U178" s="217" t="b">
        <v>0</v>
      </c>
      <c r="V178" s="215" t="b">
        <v>0</v>
      </c>
      <c r="W178" s="219"/>
      <c r="X178" s="217" t="b">
        <v>0</v>
      </c>
      <c r="Y178" s="215" t="b">
        <v>0</v>
      </c>
      <c r="Z178" s="232"/>
      <c r="AA178" s="217" t="b">
        <v>0</v>
      </c>
      <c r="AB178" s="215" t="b">
        <v>0</v>
      </c>
      <c r="AC178" s="221"/>
      <c r="AD178" s="217" t="b">
        <v>0</v>
      </c>
      <c r="AE178" s="215" t="b">
        <v>0</v>
      </c>
      <c r="AF178" s="222"/>
      <c r="AG178" s="217" t="b">
        <v>0</v>
      </c>
      <c r="AH178" s="215" t="b">
        <v>0</v>
      </c>
      <c r="AI178" s="207"/>
      <c r="AJ178" s="217" t="b">
        <v>0</v>
      </c>
      <c r="AK178" s="215" t="b">
        <v>0</v>
      </c>
      <c r="AL178" s="224"/>
      <c r="AM178" s="217" t="b">
        <v>0</v>
      </c>
      <c r="AN178" s="215" t="b">
        <v>0</v>
      </c>
      <c r="AO178" s="207"/>
      <c r="AP178" s="105"/>
      <c r="AQ178" s="105"/>
      <c r="AR178" s="105"/>
      <c r="AS178" s="105"/>
      <c r="AT178" s="105"/>
      <c r="AU178" s="105"/>
      <c r="AV178" s="105"/>
      <c r="AW178" s="105"/>
      <c r="AX178" s="105"/>
      <c r="AY178" s="105"/>
      <c r="AZ178" s="105"/>
      <c r="BA178" s="105"/>
    </row>
    <row r="179">
      <c r="A179" s="209" t="str">
        <f>IFERROR(__xludf.DUMMYFUNCTION("""COMPUTED_VALUE"""),"LITIGATION")</f>
        <v>LITIGATION</v>
      </c>
      <c r="B179" s="209" t="str">
        <f>IFERROR(__xludf.DUMMYFUNCTION("""COMPUTED_VALUE"""),"David M.")</f>
        <v>David M.</v>
      </c>
      <c r="C179" s="209" t="str">
        <f>IFERROR(__xludf.DUMMYFUNCTION("""COMPUTED_VALUE"""),"Mu Ying Wu")</f>
        <v>Mu Ying Wu</v>
      </c>
      <c r="D179" s="209" t="str">
        <f>IFERROR(__xludf.DUMMYFUNCTION("""COMPUTED_VALUE"""),"917-929-7092")</f>
        <v>917-929-7092</v>
      </c>
      <c r="E179" s="209" t="str">
        <f>IFERROR(__xludf.DUMMYFUNCTION("""COMPUTED_VALUE"""),"Zhangs1107@gmail.com")</f>
        <v>Zhangs1107@gmail.com</v>
      </c>
      <c r="F179" s="209" t="str">
        <f>IFERROR(__xludf.DUMMYFUNCTION("""COMPUTED_VALUE"""),"525 N Mills Ave Arcadia FL 34266")</f>
        <v>525 N Mills Ave Arcadia FL 34266</v>
      </c>
      <c r="G179" s="209" t="str">
        <f>IFERROR(__xludf.DUMMYFUNCTION("""COMPUTED_VALUE"""),"Hurricane Ian")</f>
        <v>Hurricane Ian</v>
      </c>
      <c r="H179" s="209" t="str">
        <f>IFERROR(__xludf.DUMMYFUNCTION("""COMPUTED_VALUE"""),"New Claim")</f>
        <v>New Claim</v>
      </c>
      <c r="I179" s="217" t="b">
        <v>0</v>
      </c>
      <c r="J179" s="229" t="b">
        <v>0</v>
      </c>
      <c r="K179" s="238"/>
      <c r="L179" s="505" t="b">
        <v>0</v>
      </c>
      <c r="M179" s="504" t="b">
        <v>0</v>
      </c>
      <c r="N179" s="112"/>
      <c r="O179" s="505" t="b">
        <v>0</v>
      </c>
      <c r="P179" s="504" t="b">
        <v>0</v>
      </c>
      <c r="Q179" s="116"/>
      <c r="R179" s="505" t="b">
        <v>0</v>
      </c>
      <c r="S179" s="504" t="b">
        <v>0</v>
      </c>
      <c r="T179" s="117"/>
      <c r="U179" s="505" t="b">
        <v>0</v>
      </c>
      <c r="V179" s="504" t="b">
        <v>0</v>
      </c>
      <c r="W179" s="118"/>
      <c r="X179" s="505" t="b">
        <v>0</v>
      </c>
      <c r="Y179" s="504" t="b">
        <v>0</v>
      </c>
      <c r="Z179" s="119"/>
      <c r="AA179" s="505" t="b">
        <v>0</v>
      </c>
      <c r="AB179" s="504" t="b">
        <v>0</v>
      </c>
      <c r="AC179" s="121"/>
      <c r="AD179" s="505" t="b">
        <v>0</v>
      </c>
      <c r="AE179" s="504" t="b">
        <v>0</v>
      </c>
      <c r="AF179" s="125"/>
      <c r="AG179" s="505" t="b">
        <v>0</v>
      </c>
      <c r="AH179" s="504" t="b">
        <v>0</v>
      </c>
      <c r="AI179" s="105"/>
      <c r="AJ179" s="505" t="b">
        <v>0</v>
      </c>
      <c r="AK179" s="504" t="b">
        <v>0</v>
      </c>
      <c r="AL179" s="126"/>
      <c r="AM179" s="505" t="b">
        <v>0</v>
      </c>
      <c r="AN179" s="504" t="b">
        <v>0</v>
      </c>
      <c r="AO179" s="105"/>
      <c r="AP179" s="207"/>
      <c r="AQ179" s="207"/>
      <c r="AR179" s="207"/>
      <c r="AS179" s="207"/>
      <c r="AT179" s="207"/>
      <c r="AU179" s="207"/>
      <c r="AV179" s="207"/>
      <c r="AW179" s="207"/>
      <c r="AX179" s="207"/>
      <c r="AY179" s="207"/>
      <c r="AZ179" s="207"/>
      <c r="BA179" s="207"/>
    </row>
    <row r="180">
      <c r="A180" s="506" t="str">
        <f>IFERROR(__xludf.DUMMYFUNCTION("""COMPUTED_VALUE"""),"PEN O&amp;L/DEPRECIATION")</f>
        <v>PEN O&amp;L/DEPRECIATION</v>
      </c>
      <c r="B180" s="506" t="str">
        <f>IFERROR(__xludf.DUMMYFUNCTION("""COMPUTED_VALUE"""),"Juan")</f>
        <v>Juan</v>
      </c>
      <c r="C180" s="506" t="str">
        <f>IFERROR(__xludf.DUMMYFUNCTION("""COMPUTED_VALUE"""),"Garry &amp; Rachel Smith")</f>
        <v>Garry &amp; Rachel Smith</v>
      </c>
      <c r="D180" s="506" t="str">
        <f>IFERROR(__xludf.DUMMYFUNCTION("""COMPUTED_VALUE"""),"863-244-1992")</f>
        <v>863-244-1992</v>
      </c>
      <c r="E180" s="506" t="str">
        <f>IFERROR(__xludf.DUMMYFUNCTION("""COMPUTED_VALUE"""),"arcadialady54@gmail.com")</f>
        <v>arcadialady54@gmail.com</v>
      </c>
      <c r="F180" s="506" t="str">
        <f>IFERROR(__xludf.DUMMYFUNCTION("""COMPUTED_VALUE"""),"122 N Hernando Ave Arcadia FL 34266")</f>
        <v>122 N Hernando Ave Arcadia FL 34266</v>
      </c>
      <c r="G180" s="506" t="str">
        <f>IFERROR(__xludf.DUMMYFUNCTION("""COMPUTED_VALUE"""),"Hurricane Ian")</f>
        <v>Hurricane Ian</v>
      </c>
      <c r="H180" s="506" t="str">
        <f>IFERROR(__xludf.DUMMYFUNCTION("""COMPUTED_VALUE"""),"Reopen")</f>
        <v>Reopen</v>
      </c>
      <c r="I180" s="505" t="b">
        <v>0</v>
      </c>
      <c r="J180" s="507" t="b">
        <v>0</v>
      </c>
      <c r="K180" s="513" t="s">
        <v>3384</v>
      </c>
      <c r="L180" s="505" t="b">
        <v>0</v>
      </c>
      <c r="M180" s="504" t="b">
        <v>0</v>
      </c>
      <c r="N180" s="112"/>
      <c r="O180" s="505" t="b">
        <v>0</v>
      </c>
      <c r="P180" s="504" t="b">
        <v>0</v>
      </c>
      <c r="Q180" s="116"/>
      <c r="R180" s="505" t="b">
        <v>0</v>
      </c>
      <c r="S180" s="504" t="b">
        <v>0</v>
      </c>
      <c r="T180" s="117"/>
      <c r="U180" s="505" t="b">
        <v>0</v>
      </c>
      <c r="V180" s="504" t="b">
        <v>0</v>
      </c>
      <c r="W180" s="118"/>
      <c r="X180" s="505" t="b">
        <v>0</v>
      </c>
      <c r="Y180" s="504" t="b">
        <v>0</v>
      </c>
      <c r="Z180" s="119"/>
      <c r="AA180" s="505" t="b">
        <v>0</v>
      </c>
      <c r="AB180" s="504" t="b">
        <v>0</v>
      </c>
      <c r="AC180" s="121"/>
      <c r="AD180" s="505" t="b">
        <v>0</v>
      </c>
      <c r="AE180" s="504" t="b">
        <v>0</v>
      </c>
      <c r="AF180" s="125"/>
      <c r="AG180" s="505" t="b">
        <v>0</v>
      </c>
      <c r="AH180" s="504" t="b">
        <v>0</v>
      </c>
      <c r="AI180" s="105"/>
      <c r="AJ180" s="505" t="b">
        <v>0</v>
      </c>
      <c r="AK180" s="504" t="b">
        <v>0</v>
      </c>
      <c r="AL180" s="126"/>
      <c r="AM180" s="505" t="b">
        <v>0</v>
      </c>
      <c r="AN180" s="504" t="b">
        <v>0</v>
      </c>
      <c r="AO180" s="105"/>
      <c r="AP180" s="105"/>
      <c r="AQ180" s="105"/>
      <c r="AR180" s="105"/>
      <c r="AS180" s="105"/>
      <c r="AT180" s="105"/>
      <c r="AU180" s="105"/>
      <c r="AV180" s="105"/>
      <c r="AW180" s="105"/>
      <c r="AX180" s="105"/>
      <c r="AY180" s="105"/>
      <c r="AZ180" s="105"/>
      <c r="BA180" s="105"/>
    </row>
    <row r="181">
      <c r="A181" s="506" t="str">
        <f>IFERROR(__xludf.DUMMYFUNCTION("""COMPUTED_VALUE"""),"SETTLED")</f>
        <v>SETTLED</v>
      </c>
      <c r="B181" s="506" t="str">
        <f>IFERROR(__xludf.DUMMYFUNCTION("""COMPUTED_VALUE"""),"Juan")</f>
        <v>Juan</v>
      </c>
      <c r="C181" s="105" t="str">
        <f>IFERROR(__xludf.DUMMYFUNCTION("""COMPUTED_VALUE"""),"Andrew &amp; Amy Garner")</f>
        <v>Andrew &amp; Amy Garner</v>
      </c>
      <c r="D181" s="506" t="str">
        <f>IFERROR(__xludf.DUMMYFUNCTION("""COMPUTED_VALUE"""),"863-990-7470")</f>
        <v>863-990-7470</v>
      </c>
      <c r="E181" s="506" t="str">
        <f>IFERROR(__xludf.DUMMYFUNCTION("""COMPUTED_VALUE"""),"Drewb1964@icloud.com")</f>
        <v>Drewb1964@icloud.com</v>
      </c>
      <c r="F181" s="506" t="str">
        <f>IFERROR(__xludf.DUMMYFUNCTION("""COMPUTED_VALUE"""),"241 N Roger’s Ave Arcadia FL 34266")</f>
        <v>241 N Roger’s Ave Arcadia FL 34266</v>
      </c>
      <c r="G181" s="506" t="str">
        <f>IFERROR(__xludf.DUMMYFUNCTION("""COMPUTED_VALUE"""),"Hurricane Ian")</f>
        <v>Hurricane Ian</v>
      </c>
      <c r="H181" s="506" t="str">
        <f>IFERROR(__xludf.DUMMYFUNCTION("""COMPUTED_VALUE"""),"Reopen")</f>
        <v>Reopen</v>
      </c>
      <c r="I181" s="505" t="b">
        <v>0</v>
      </c>
      <c r="J181" s="507" t="b">
        <v>0</v>
      </c>
      <c r="K181" s="112"/>
      <c r="L181" s="505" t="b">
        <v>0</v>
      </c>
      <c r="M181" s="504" t="b">
        <v>0</v>
      </c>
      <c r="N181" s="112"/>
      <c r="O181" s="505" t="b">
        <v>0</v>
      </c>
      <c r="P181" s="504" t="b">
        <v>0</v>
      </c>
      <c r="Q181" s="116"/>
      <c r="R181" s="505" t="b">
        <v>0</v>
      </c>
      <c r="S181" s="504" t="b">
        <v>0</v>
      </c>
      <c r="T181" s="117"/>
      <c r="U181" s="505" t="b">
        <v>0</v>
      </c>
      <c r="V181" s="504" t="b">
        <v>0</v>
      </c>
      <c r="W181" s="118"/>
      <c r="X181" s="505" t="b">
        <v>0</v>
      </c>
      <c r="Y181" s="504" t="b">
        <v>0</v>
      </c>
      <c r="Z181" s="119"/>
      <c r="AA181" s="505" t="b">
        <v>0</v>
      </c>
      <c r="AB181" s="504" t="b">
        <v>0</v>
      </c>
      <c r="AC181" s="121"/>
      <c r="AD181" s="505" t="b">
        <v>0</v>
      </c>
      <c r="AE181" s="504" t="b">
        <v>0</v>
      </c>
      <c r="AF181" s="125"/>
      <c r="AG181" s="505" t="b">
        <v>0</v>
      </c>
      <c r="AH181" s="504" t="b">
        <v>0</v>
      </c>
      <c r="AI181" s="105"/>
      <c r="AJ181" s="505" t="b">
        <v>0</v>
      </c>
      <c r="AK181" s="504" t="b">
        <v>0</v>
      </c>
      <c r="AL181" s="126"/>
      <c r="AM181" s="505" t="b">
        <v>0</v>
      </c>
      <c r="AN181" s="504" t="b">
        <v>0</v>
      </c>
      <c r="AO181" s="105"/>
      <c r="AP181" s="105"/>
      <c r="AQ181" s="105"/>
      <c r="AR181" s="105"/>
      <c r="AS181" s="105"/>
      <c r="AT181" s="105"/>
      <c r="AU181" s="105"/>
      <c r="AV181" s="105"/>
      <c r="AW181" s="105"/>
      <c r="AX181" s="105"/>
      <c r="AY181" s="105"/>
      <c r="AZ181" s="105"/>
      <c r="BA181" s="105"/>
    </row>
    <row r="182">
      <c r="A182" s="506" t="str">
        <f>IFERROR(__xludf.DUMMYFUNCTION("""COMPUTED_VALUE"""),"SETTLED")</f>
        <v>SETTLED</v>
      </c>
      <c r="B182" s="506" t="str">
        <f>IFERROR(__xludf.DUMMYFUNCTION("""COMPUTED_VALUE"""),"David M.")</f>
        <v>David M.</v>
      </c>
      <c r="C182" s="506" t="str">
        <f>IFERROR(__xludf.DUMMYFUNCTION("""COMPUTED_VALUE"""),"Robert Hairston")</f>
        <v>Robert Hairston</v>
      </c>
      <c r="D182" s="506" t="str">
        <f>IFERROR(__xludf.DUMMYFUNCTION("""COMPUTED_VALUE"""),"941-286-3166")</f>
        <v>941-286-3166</v>
      </c>
      <c r="E182" s="506" t="str">
        <f>IFERROR(__xludf.DUMMYFUNCTION("""COMPUTED_VALUE"""),"Roberthairston1123@gmail.com")</f>
        <v>Roberthairston1123@gmail.com</v>
      </c>
      <c r="F182" s="506" t="str">
        <f>IFERROR(__xludf.DUMMYFUNCTION("""COMPUTED_VALUE"""),"1135 SW Rainbow Ave, Arcadia Fl 34266")</f>
        <v>1135 SW Rainbow Ave, Arcadia Fl 34266</v>
      </c>
      <c r="G182" s="506" t="str">
        <f>IFERROR(__xludf.DUMMYFUNCTION("""COMPUTED_VALUE"""),"Hurricane Ian")</f>
        <v>Hurricane Ian</v>
      </c>
      <c r="H182" s="506" t="str">
        <f>IFERROR(__xludf.DUMMYFUNCTION("""COMPUTED_VALUE"""),"New Claim")</f>
        <v>New Claim</v>
      </c>
      <c r="I182" s="505" t="b">
        <v>0</v>
      </c>
      <c r="J182" s="507" t="b">
        <v>0</v>
      </c>
      <c r="K182" s="112"/>
      <c r="L182" s="505" t="b">
        <v>0</v>
      </c>
      <c r="M182" s="504" t="b">
        <v>0</v>
      </c>
      <c r="N182" s="112"/>
      <c r="O182" s="505" t="b">
        <v>0</v>
      </c>
      <c r="P182" s="504" t="b">
        <v>0</v>
      </c>
      <c r="Q182" s="116"/>
      <c r="R182" s="505" t="b">
        <v>0</v>
      </c>
      <c r="S182" s="504" t="b">
        <v>0</v>
      </c>
      <c r="T182" s="117"/>
      <c r="U182" s="505" t="b">
        <v>0</v>
      </c>
      <c r="V182" s="504" t="b">
        <v>0</v>
      </c>
      <c r="W182" s="118"/>
      <c r="X182" s="505" t="b">
        <v>0</v>
      </c>
      <c r="Y182" s="504" t="b">
        <v>0</v>
      </c>
      <c r="Z182" s="119"/>
      <c r="AA182" s="505" t="b">
        <v>0</v>
      </c>
      <c r="AB182" s="504" t="b">
        <v>0</v>
      </c>
      <c r="AC182" s="121"/>
      <c r="AD182" s="505" t="b">
        <v>0</v>
      </c>
      <c r="AE182" s="504" t="b">
        <v>0</v>
      </c>
      <c r="AF182" s="125"/>
      <c r="AG182" s="505" t="b">
        <v>0</v>
      </c>
      <c r="AH182" s="504" t="b">
        <v>0</v>
      </c>
      <c r="AI182" s="105"/>
      <c r="AJ182" s="505" t="b">
        <v>0</v>
      </c>
      <c r="AK182" s="504" t="b">
        <v>0</v>
      </c>
      <c r="AL182" s="126"/>
      <c r="AM182" s="505" t="b">
        <v>0</v>
      </c>
      <c r="AN182" s="504" t="b">
        <v>0</v>
      </c>
      <c r="AO182" s="105"/>
      <c r="AP182" s="105"/>
      <c r="AQ182" s="105"/>
      <c r="AR182" s="105"/>
      <c r="AS182" s="105"/>
      <c r="AT182" s="105"/>
      <c r="AU182" s="105"/>
      <c r="AV182" s="105"/>
      <c r="AW182" s="105"/>
      <c r="AX182" s="105"/>
      <c r="AY182" s="105"/>
      <c r="AZ182" s="105"/>
      <c r="BA182" s="105"/>
    </row>
    <row r="183">
      <c r="A183" s="506" t="str">
        <f>IFERROR(__xludf.DUMMYFUNCTION("""COMPUTED_VALUE"""),"PEN O&amp;L/DEPRECIATION")</f>
        <v>PEN O&amp;L/DEPRECIATION</v>
      </c>
      <c r="B183" s="506" t="str">
        <f>IFERROR(__xludf.DUMMYFUNCTION("""COMPUTED_VALUE"""),"Jakey")</f>
        <v>Jakey</v>
      </c>
      <c r="C183" s="506" t="str">
        <f>IFERROR(__xludf.DUMMYFUNCTION("""COMPUTED_VALUE"""),"Sherman Blandin")</f>
        <v>Sherman Blandin</v>
      </c>
      <c r="D183" s="506" t="str">
        <f>IFERROR(__xludf.DUMMYFUNCTION("""COMPUTED_VALUE"""),"(863) 263-8117")</f>
        <v>(863) 263-8117</v>
      </c>
      <c r="E183" s="506"/>
      <c r="F183" s="506" t="str">
        <f>IFERROR(__xludf.DUMMYFUNCTION("""COMPUTED_VALUE"""),"312 E Gibson St Arcadia, FL 34266")</f>
        <v>312 E Gibson St Arcadia, FL 34266</v>
      </c>
      <c r="G183" s="506" t="str">
        <f>IFERROR(__xludf.DUMMYFUNCTION("""COMPUTED_VALUE"""),"Hurricane Ian")</f>
        <v>Hurricane Ian</v>
      </c>
      <c r="H183" s="506" t="str">
        <f>IFERROR(__xludf.DUMMYFUNCTION("""COMPUTED_VALUE"""),"Reopen")</f>
        <v>Reopen</v>
      </c>
      <c r="I183" s="505" t="b">
        <v>0</v>
      </c>
      <c r="J183" s="507" t="b">
        <v>0</v>
      </c>
      <c r="K183" s="112"/>
      <c r="L183" s="505" t="b">
        <v>0</v>
      </c>
      <c r="M183" s="504" t="b">
        <v>0</v>
      </c>
      <c r="N183" s="112"/>
      <c r="O183" s="505" t="b">
        <v>0</v>
      </c>
      <c r="P183" s="504" t="b">
        <v>0</v>
      </c>
      <c r="Q183" s="116"/>
      <c r="R183" s="505" t="b">
        <v>0</v>
      </c>
      <c r="S183" s="504" t="b">
        <v>0</v>
      </c>
      <c r="T183" s="117"/>
      <c r="U183" s="505" t="b">
        <v>0</v>
      </c>
      <c r="V183" s="504" t="b">
        <v>0</v>
      </c>
      <c r="W183" s="118"/>
      <c r="X183" s="505" t="b">
        <v>0</v>
      </c>
      <c r="Y183" s="504" t="b">
        <v>0</v>
      </c>
      <c r="Z183" s="119"/>
      <c r="AA183" s="505" t="b">
        <v>0</v>
      </c>
      <c r="AB183" s="504" t="b">
        <v>0</v>
      </c>
      <c r="AC183" s="121"/>
      <c r="AD183" s="505" t="b">
        <v>0</v>
      </c>
      <c r="AE183" s="504" t="b">
        <v>0</v>
      </c>
      <c r="AF183" s="125"/>
      <c r="AG183" s="505" t="b">
        <v>0</v>
      </c>
      <c r="AH183" s="504" t="b">
        <v>0</v>
      </c>
      <c r="AI183" s="105"/>
      <c r="AJ183" s="505" t="b">
        <v>0</v>
      </c>
      <c r="AK183" s="504" t="b">
        <v>0</v>
      </c>
      <c r="AL183" s="126"/>
      <c r="AM183" s="505" t="b">
        <v>0</v>
      </c>
      <c r="AN183" s="504" t="b">
        <v>0</v>
      </c>
      <c r="AO183" s="105"/>
      <c r="AP183" s="105"/>
      <c r="AQ183" s="105"/>
      <c r="AR183" s="105"/>
      <c r="AS183" s="105"/>
      <c r="AT183" s="105"/>
      <c r="AU183" s="105"/>
      <c r="AV183" s="105"/>
      <c r="AW183" s="105"/>
      <c r="AX183" s="105"/>
      <c r="AY183" s="105"/>
      <c r="AZ183" s="105"/>
      <c r="BA183" s="105"/>
    </row>
    <row r="184">
      <c r="A184" s="506" t="str">
        <f>IFERROR(__xludf.DUMMYFUNCTION("""COMPUTED_VALUE"""),"SETTLED")</f>
        <v>SETTLED</v>
      </c>
      <c r="B184" s="506" t="str">
        <f>IFERROR(__xludf.DUMMYFUNCTION("""COMPUTED_VALUE"""),"Juan")</f>
        <v>Juan</v>
      </c>
      <c r="C184" s="506" t="str">
        <f>IFERROR(__xludf.DUMMYFUNCTION("""COMPUTED_VALUE"""),"Colby &amp; Sarah Woppman")</f>
        <v>Colby &amp; Sarah Woppman</v>
      </c>
      <c r="D184" s="506" t="str">
        <f>IFERROR(__xludf.DUMMYFUNCTION("""COMPUTED_VALUE"""),"863-231-2011")</f>
        <v>863-231-2011</v>
      </c>
      <c r="E184" s="506" t="str">
        <f>IFERROR(__xludf.DUMMYFUNCTION("""COMPUTED_VALUE"""),"Sarahwoppman@yahoo.com")</f>
        <v>Sarahwoppman@yahoo.com</v>
      </c>
      <c r="F184" s="506" t="str">
        <f>IFERROR(__xludf.DUMMYFUNCTION("""COMPUTED_VALUE"""),"5717 SW Shores Ave Arcadia, FL 34266")</f>
        <v>5717 SW Shores Ave Arcadia, FL 34266</v>
      </c>
      <c r="G184" s="506" t="str">
        <f>IFERROR(__xludf.DUMMYFUNCTION("""COMPUTED_VALUE"""),"Hurricane Ian")</f>
        <v>Hurricane Ian</v>
      </c>
      <c r="H184" s="506" t="str">
        <f>IFERROR(__xludf.DUMMYFUNCTION("""COMPUTED_VALUE"""),"Reopen")</f>
        <v>Reopen</v>
      </c>
      <c r="I184" s="505" t="b">
        <v>0</v>
      </c>
      <c r="J184" s="507" t="b">
        <v>0</v>
      </c>
      <c r="K184" s="112"/>
      <c r="L184" s="505" t="b">
        <v>0</v>
      </c>
      <c r="M184" s="504" t="b">
        <v>0</v>
      </c>
      <c r="N184" s="112"/>
      <c r="O184" s="505" t="b">
        <v>0</v>
      </c>
      <c r="P184" s="504" t="b">
        <v>0</v>
      </c>
      <c r="Q184" s="116"/>
      <c r="R184" s="505" t="b">
        <v>0</v>
      </c>
      <c r="S184" s="504" t="b">
        <v>0</v>
      </c>
      <c r="T184" s="117"/>
      <c r="U184" s="505" t="b">
        <v>0</v>
      </c>
      <c r="V184" s="504" t="b">
        <v>0</v>
      </c>
      <c r="W184" s="118"/>
      <c r="X184" s="505" t="b">
        <v>0</v>
      </c>
      <c r="Y184" s="504" t="b">
        <v>0</v>
      </c>
      <c r="Z184" s="119"/>
      <c r="AA184" s="505" t="b">
        <v>0</v>
      </c>
      <c r="AB184" s="504" t="b">
        <v>0</v>
      </c>
      <c r="AC184" s="121"/>
      <c r="AD184" s="505" t="b">
        <v>0</v>
      </c>
      <c r="AE184" s="504" t="b">
        <v>0</v>
      </c>
      <c r="AF184" s="125"/>
      <c r="AG184" s="505" t="b">
        <v>0</v>
      </c>
      <c r="AH184" s="504" t="b">
        <v>0</v>
      </c>
      <c r="AI184" s="105"/>
      <c r="AJ184" s="505" t="b">
        <v>0</v>
      </c>
      <c r="AK184" s="504" t="b">
        <v>0</v>
      </c>
      <c r="AL184" s="126"/>
      <c r="AM184" s="505" t="b">
        <v>0</v>
      </c>
      <c r="AN184" s="504" t="b">
        <v>0</v>
      </c>
      <c r="AO184" s="105"/>
      <c r="AP184" s="105"/>
      <c r="AQ184" s="105"/>
      <c r="AR184" s="105"/>
      <c r="AS184" s="105"/>
      <c r="AT184" s="105"/>
      <c r="AU184" s="105"/>
      <c r="AV184" s="105"/>
      <c r="AW184" s="105"/>
      <c r="AX184" s="105"/>
      <c r="AY184" s="105"/>
      <c r="AZ184" s="105"/>
      <c r="BA184" s="105"/>
    </row>
    <row r="185">
      <c r="A185" s="506" t="str">
        <f>IFERROR(__xludf.DUMMYFUNCTION("""COMPUTED_VALUE"""),"SETTLED")</f>
        <v>SETTLED</v>
      </c>
      <c r="B185" s="506" t="str">
        <f>IFERROR(__xludf.DUMMYFUNCTION("""COMPUTED_VALUE"""),"Juan")</f>
        <v>Juan</v>
      </c>
      <c r="C185" s="506" t="str">
        <f>IFERROR(__xludf.DUMMYFUNCTION("""COMPUTED_VALUE"""),"Christine Routson")</f>
        <v>Christine Routson</v>
      </c>
      <c r="D185" s="506" t="str">
        <f>IFERROR(__xludf.DUMMYFUNCTION("""COMPUTED_VALUE"""),"863-993-5550")</f>
        <v>863-993-5550</v>
      </c>
      <c r="E185" s="506" t="str">
        <f>IFERROR(__xludf.DUMMYFUNCTION("""COMPUTED_VALUE"""),"Christineroutson61@gmail.com")</f>
        <v>Christineroutson61@gmail.com</v>
      </c>
      <c r="F185" s="506" t="str">
        <f>IFERROR(__xludf.DUMMYFUNCTION("""COMPUTED_VALUE"""),"2268 SE Shady Cir, Arcadia FL 34266")</f>
        <v>2268 SE Shady Cir, Arcadia FL 34266</v>
      </c>
      <c r="G185" s="506" t="str">
        <f>IFERROR(__xludf.DUMMYFUNCTION("""COMPUTED_VALUE"""),"Hurricane Ian")</f>
        <v>Hurricane Ian</v>
      </c>
      <c r="H185" s="506" t="str">
        <f>IFERROR(__xludf.DUMMYFUNCTION("""COMPUTED_VALUE"""),"New Claim")</f>
        <v>New Claim</v>
      </c>
      <c r="I185" s="505" t="b">
        <v>0</v>
      </c>
      <c r="J185" s="507" t="b">
        <v>0</v>
      </c>
      <c r="K185" s="112"/>
      <c r="L185" s="505" t="b">
        <v>0</v>
      </c>
      <c r="M185" s="504" t="b">
        <v>0</v>
      </c>
      <c r="N185" s="112"/>
      <c r="O185" s="505" t="b">
        <v>0</v>
      </c>
      <c r="P185" s="504" t="b">
        <v>0</v>
      </c>
      <c r="Q185" s="116"/>
      <c r="R185" s="505" t="b">
        <v>0</v>
      </c>
      <c r="S185" s="504" t="b">
        <v>0</v>
      </c>
      <c r="T185" s="117"/>
      <c r="U185" s="505" t="b">
        <v>0</v>
      </c>
      <c r="V185" s="504" t="b">
        <v>0</v>
      </c>
      <c r="W185" s="118"/>
      <c r="X185" s="505" t="b">
        <v>0</v>
      </c>
      <c r="Y185" s="504" t="b">
        <v>0</v>
      </c>
      <c r="Z185" s="119"/>
      <c r="AA185" s="505" t="b">
        <v>0</v>
      </c>
      <c r="AB185" s="504" t="b">
        <v>0</v>
      </c>
      <c r="AC185" s="121"/>
      <c r="AD185" s="505" t="b">
        <v>0</v>
      </c>
      <c r="AE185" s="504" t="b">
        <v>0</v>
      </c>
      <c r="AF185" s="125"/>
      <c r="AG185" s="505" t="b">
        <v>0</v>
      </c>
      <c r="AH185" s="504" t="b">
        <v>0</v>
      </c>
      <c r="AI185" s="105"/>
      <c r="AJ185" s="505" t="b">
        <v>0</v>
      </c>
      <c r="AK185" s="504" t="b">
        <v>0</v>
      </c>
      <c r="AL185" s="126"/>
      <c r="AM185" s="505" t="b">
        <v>0</v>
      </c>
      <c r="AN185" s="504" t="b">
        <v>0</v>
      </c>
      <c r="AO185" s="105"/>
      <c r="AP185" s="105"/>
      <c r="AQ185" s="105"/>
      <c r="AR185" s="105"/>
      <c r="AS185" s="105"/>
      <c r="AT185" s="105"/>
      <c r="AU185" s="105"/>
      <c r="AV185" s="105"/>
      <c r="AW185" s="105"/>
      <c r="AX185" s="105"/>
      <c r="AY185" s="105"/>
      <c r="AZ185" s="105"/>
      <c r="BA185" s="105"/>
    </row>
    <row r="186">
      <c r="A186" s="506" t="str">
        <f>IFERROR(__xludf.DUMMYFUNCTION("""COMPUTED_VALUE"""),"SETTLED")</f>
        <v>SETTLED</v>
      </c>
      <c r="B186" s="506" t="str">
        <f>IFERROR(__xludf.DUMMYFUNCTION("""COMPUTED_VALUE"""),"Juan")</f>
        <v>Juan</v>
      </c>
      <c r="C186" s="506" t="str">
        <f>IFERROR(__xludf.DUMMYFUNCTION("""COMPUTED_VALUE"""),"Julio Calderon Campo")</f>
        <v>Julio Calderon Campo</v>
      </c>
      <c r="D186" s="506" t="str">
        <f>IFERROR(__xludf.DUMMYFUNCTION("""COMPUTED_VALUE"""),"863-303-9753")</f>
        <v>863-303-9753</v>
      </c>
      <c r="E186" s="506" t="str">
        <f>IFERROR(__xludf.DUMMYFUNCTION("""COMPUTED_VALUE"""),"Juliofcalderon72@icloud.com")</f>
        <v>Juliofcalderon72@icloud.com</v>
      </c>
      <c r="F186" s="506" t="str">
        <f>IFERROR(__xludf.DUMMYFUNCTION("""COMPUTED_VALUE"""),"1501 SE Tangelo Dr, Arcadia FL 34266")</f>
        <v>1501 SE Tangelo Dr, Arcadia FL 34266</v>
      </c>
      <c r="G186" s="506" t="str">
        <f>IFERROR(__xludf.DUMMYFUNCTION("""COMPUTED_VALUE"""),"Hurricane Ian")</f>
        <v>Hurricane Ian</v>
      </c>
      <c r="H186" s="506" t="str">
        <f>IFERROR(__xludf.DUMMYFUNCTION("""COMPUTED_VALUE"""),"New Claim")</f>
        <v>New Claim</v>
      </c>
      <c r="I186" s="505" t="b">
        <v>0</v>
      </c>
      <c r="J186" s="507" t="b">
        <v>0</v>
      </c>
      <c r="K186" s="112"/>
      <c r="L186" s="505" t="b">
        <v>0</v>
      </c>
      <c r="M186" s="504" t="b">
        <v>0</v>
      </c>
      <c r="N186" s="112"/>
      <c r="O186" s="505" t="b">
        <v>0</v>
      </c>
      <c r="P186" s="504" t="b">
        <v>0</v>
      </c>
      <c r="Q186" s="116"/>
      <c r="R186" s="505" t="b">
        <v>0</v>
      </c>
      <c r="S186" s="504" t="b">
        <v>0</v>
      </c>
      <c r="T186" s="117"/>
      <c r="U186" s="505" t="b">
        <v>0</v>
      </c>
      <c r="V186" s="504" t="b">
        <v>0</v>
      </c>
      <c r="W186" s="118"/>
      <c r="X186" s="505" t="b">
        <v>0</v>
      </c>
      <c r="Y186" s="504" t="b">
        <v>0</v>
      </c>
      <c r="Z186" s="119"/>
      <c r="AA186" s="505" t="b">
        <v>0</v>
      </c>
      <c r="AB186" s="504" t="b">
        <v>0</v>
      </c>
      <c r="AC186" s="121"/>
      <c r="AD186" s="505" t="b">
        <v>0</v>
      </c>
      <c r="AE186" s="504" t="b">
        <v>0</v>
      </c>
      <c r="AF186" s="125"/>
      <c r="AG186" s="505" t="b">
        <v>0</v>
      </c>
      <c r="AH186" s="504" t="b">
        <v>0</v>
      </c>
      <c r="AI186" s="105"/>
      <c r="AJ186" s="505" t="b">
        <v>0</v>
      </c>
      <c r="AK186" s="504" t="b">
        <v>0</v>
      </c>
      <c r="AL186" s="126"/>
      <c r="AM186" s="505" t="b">
        <v>0</v>
      </c>
      <c r="AN186" s="504" t="b">
        <v>0</v>
      </c>
      <c r="AO186" s="105"/>
      <c r="AP186" s="105"/>
      <c r="AQ186" s="105"/>
      <c r="AR186" s="105"/>
      <c r="AS186" s="105"/>
      <c r="AT186" s="105"/>
      <c r="AU186" s="105"/>
      <c r="AV186" s="105"/>
      <c r="AW186" s="105"/>
      <c r="AX186" s="105"/>
      <c r="AY186" s="105"/>
      <c r="AZ186" s="105"/>
      <c r="BA186" s="105"/>
    </row>
    <row r="187">
      <c r="A187" s="105" t="str">
        <f>IFERROR(__xludf.DUMMYFUNCTION("""COMPUTED_VALUE"""),"STAND BY")</f>
        <v>STAND BY</v>
      </c>
      <c r="B187" s="506" t="str">
        <f>IFERROR(__xludf.DUMMYFUNCTION("""COMPUTED_VALUE"""),"Ivan")</f>
        <v>Ivan</v>
      </c>
      <c r="C187" s="506" t="str">
        <f>IFERROR(__xludf.DUMMYFUNCTION("""COMPUTED_VALUE"""),"Christopher &amp; Carlotta Stephenson")</f>
        <v>Christopher &amp; Carlotta Stephenson</v>
      </c>
      <c r="D187" s="506" t="str">
        <f>IFERROR(__xludf.DUMMYFUNCTION("""COMPUTED_VALUE"""),"(941)628-3848")</f>
        <v>(941)628-3848</v>
      </c>
      <c r="E187" s="506" t="str">
        <f>IFERROR(__xludf.DUMMYFUNCTION("""COMPUTED_VALUE"""),"carlas4@comcast.net")</f>
        <v>carlas4@comcast.net</v>
      </c>
      <c r="F187" s="506" t="str">
        <f>IFERROR(__xludf.DUMMYFUNCTION("""COMPUTED_VALUE"""),"14442 Bridgeview Lane, Port Charlotte, FL 33953")</f>
        <v>14442 Bridgeview Lane, Port Charlotte, FL 33953</v>
      </c>
      <c r="G187" s="506" t="str">
        <f>IFERROR(__xludf.DUMMYFUNCTION("""COMPUTED_VALUE"""),"Flood")</f>
        <v>Flood</v>
      </c>
      <c r="H187" s="506" t="str">
        <f>IFERROR(__xludf.DUMMYFUNCTION("""COMPUTED_VALUE"""),"Reopen")</f>
        <v>Reopen</v>
      </c>
      <c r="I187" s="505" t="b">
        <v>0</v>
      </c>
      <c r="J187" s="507" t="b">
        <v>0</v>
      </c>
      <c r="K187" s="112"/>
      <c r="L187" s="505" t="b">
        <v>0</v>
      </c>
      <c r="M187" s="504" t="b">
        <v>0</v>
      </c>
      <c r="N187" s="112"/>
      <c r="O187" s="505" t="b">
        <v>0</v>
      </c>
      <c r="P187" s="504" t="b">
        <v>0</v>
      </c>
      <c r="Q187" s="116"/>
      <c r="R187" s="505" t="b">
        <v>0</v>
      </c>
      <c r="S187" s="504" t="b">
        <v>0</v>
      </c>
      <c r="T187" s="117"/>
      <c r="U187" s="505" t="b">
        <v>0</v>
      </c>
      <c r="V187" s="504" t="b">
        <v>0</v>
      </c>
      <c r="W187" s="118"/>
      <c r="X187" s="505" t="b">
        <v>0</v>
      </c>
      <c r="Y187" s="504" t="b">
        <v>0</v>
      </c>
      <c r="Z187" s="119"/>
      <c r="AA187" s="505" t="b">
        <v>0</v>
      </c>
      <c r="AB187" s="504" t="b">
        <v>0</v>
      </c>
      <c r="AC187" s="121"/>
      <c r="AD187" s="505" t="b">
        <v>0</v>
      </c>
      <c r="AE187" s="504" t="b">
        <v>0</v>
      </c>
      <c r="AF187" s="125"/>
      <c r="AG187" s="505" t="b">
        <v>0</v>
      </c>
      <c r="AH187" s="504" t="b">
        <v>0</v>
      </c>
      <c r="AI187" s="105"/>
      <c r="AJ187" s="505" t="b">
        <v>0</v>
      </c>
      <c r="AK187" s="504" t="b">
        <v>0</v>
      </c>
      <c r="AL187" s="126"/>
      <c r="AM187" s="505" t="b">
        <v>0</v>
      </c>
      <c r="AN187" s="504" t="b">
        <v>0</v>
      </c>
      <c r="AO187" s="105"/>
      <c r="AP187" s="105"/>
      <c r="AQ187" s="105"/>
      <c r="AR187" s="105"/>
      <c r="AS187" s="105"/>
      <c r="AT187" s="105"/>
      <c r="AU187" s="105"/>
      <c r="AV187" s="105"/>
      <c r="AW187" s="105"/>
      <c r="AX187" s="105"/>
      <c r="AY187" s="105"/>
      <c r="AZ187" s="105"/>
      <c r="BA187" s="105"/>
    </row>
    <row r="188">
      <c r="A188" s="506" t="str">
        <f>IFERROR(__xludf.DUMMYFUNCTION("""COMPUTED_VALUE"""),"SETTLED")</f>
        <v>SETTLED</v>
      </c>
      <c r="B188" s="506" t="str">
        <f>IFERROR(__xludf.DUMMYFUNCTION("""COMPUTED_VALUE"""),"Ivan")</f>
        <v>Ivan</v>
      </c>
      <c r="C188" s="506" t="str">
        <f>IFERROR(__xludf.DUMMYFUNCTION("""COMPUTED_VALUE"""),"Guilaine Guillaume")</f>
        <v>Guilaine Guillaume</v>
      </c>
      <c r="D188" s="506" t="str">
        <f>IFERROR(__xludf.DUMMYFUNCTION("""COMPUTED_VALUE"""),"954-995-1938")</f>
        <v>954-995-1938</v>
      </c>
      <c r="E188" s="506" t="str">
        <f>IFERROR(__xludf.DUMMYFUNCTION("""COMPUTED_VALUE"""),"gguilla81@gmail.com")</f>
        <v>gguilla81@gmail.com</v>
      </c>
      <c r="F188" s="506" t="str">
        <f>IFERROR(__xludf.DUMMYFUNCTION("""COMPUTED_VALUE"""),"1498 Sw Dimperio Ave, Port Saint Lucie, FL 34953")</f>
        <v>1498 Sw Dimperio Ave, Port Saint Lucie, FL 34953</v>
      </c>
      <c r="G188" s="506" t="str">
        <f>IFERROR(__xludf.DUMMYFUNCTION("""COMPUTED_VALUE"""),"Water Damage")</f>
        <v>Water Damage</v>
      </c>
      <c r="H188" s="506" t="str">
        <f>IFERROR(__xludf.DUMMYFUNCTION("""COMPUTED_VALUE"""),"New Claim")</f>
        <v>New Claim</v>
      </c>
      <c r="I188" s="505" t="b">
        <v>0</v>
      </c>
      <c r="J188" s="507" t="b">
        <v>0</v>
      </c>
      <c r="K188" s="112"/>
      <c r="L188" s="505" t="b">
        <v>0</v>
      </c>
      <c r="M188" s="504" t="b">
        <v>0</v>
      </c>
      <c r="N188" s="112"/>
      <c r="O188" s="505" t="b">
        <v>0</v>
      </c>
      <c r="P188" s="504" t="b">
        <v>0</v>
      </c>
      <c r="Q188" s="116"/>
      <c r="R188" s="505" t="b">
        <v>0</v>
      </c>
      <c r="S188" s="504" t="b">
        <v>0</v>
      </c>
      <c r="T188" s="117"/>
      <c r="U188" s="505" t="b">
        <v>0</v>
      </c>
      <c r="V188" s="504" t="b">
        <v>0</v>
      </c>
      <c r="W188" s="118"/>
      <c r="X188" s="505" t="b">
        <v>0</v>
      </c>
      <c r="Y188" s="504" t="b">
        <v>0</v>
      </c>
      <c r="Z188" s="119"/>
      <c r="AA188" s="505" t="b">
        <v>0</v>
      </c>
      <c r="AB188" s="504" t="b">
        <v>0</v>
      </c>
      <c r="AC188" s="121"/>
      <c r="AD188" s="505" t="b">
        <v>0</v>
      </c>
      <c r="AE188" s="504" t="b">
        <v>0</v>
      </c>
      <c r="AF188" s="125"/>
      <c r="AG188" s="505" t="b">
        <v>0</v>
      </c>
      <c r="AH188" s="504" t="b">
        <v>0</v>
      </c>
      <c r="AI188" s="105"/>
      <c r="AJ188" s="505" t="b">
        <v>0</v>
      </c>
      <c r="AK188" s="504" t="b">
        <v>0</v>
      </c>
      <c r="AL188" s="126"/>
      <c r="AM188" s="505" t="b">
        <v>0</v>
      </c>
      <c r="AN188" s="504" t="b">
        <v>0</v>
      </c>
      <c r="AO188" s="105"/>
      <c r="AP188" s="105"/>
      <c r="AQ188" s="105"/>
      <c r="AR188" s="105"/>
      <c r="AS188" s="105"/>
      <c r="AT188" s="105"/>
      <c r="AU188" s="105"/>
      <c r="AV188" s="105"/>
      <c r="AW188" s="105"/>
      <c r="AX188" s="105"/>
      <c r="AY188" s="105"/>
      <c r="AZ188" s="105"/>
      <c r="BA188" s="105"/>
    </row>
    <row r="189">
      <c r="A189" s="105" t="str">
        <f>IFERROR(__xludf.DUMMYFUNCTION("""COMPUTED_VALUE"""),"SETTLED")</f>
        <v>SETTLED</v>
      </c>
      <c r="B189" s="506" t="str">
        <f>IFERROR(__xludf.DUMMYFUNCTION("""COMPUTED_VALUE"""),"Juan")</f>
        <v>Juan</v>
      </c>
      <c r="C189" s="506" t="str">
        <f>IFERROR(__xludf.DUMMYFUNCTION("""COMPUTED_VALUE"""),"Jaime Rivera")</f>
        <v>Jaime Rivera</v>
      </c>
      <c r="D189" s="506" t="str">
        <f>IFERROR(__xludf.DUMMYFUNCTION("""COMPUTED_VALUE"""),"863-245-7856")</f>
        <v>863-245-7856</v>
      </c>
      <c r="E189" s="506" t="str">
        <f>IFERROR(__xludf.DUMMYFUNCTION("""COMPUTED_VALUE"""),"jaime.rivera86322@gmail.com")</f>
        <v>jaime.rivera86322@gmail.com</v>
      </c>
      <c r="F189" s="506" t="str">
        <f>IFERROR(__xludf.DUMMYFUNCTION("""COMPUTED_VALUE"""),"5022 Doyle Parker Ave Bowling Green, FL 33834")</f>
        <v>5022 Doyle Parker Ave Bowling Green, FL 33834</v>
      </c>
      <c r="G189" s="506" t="str">
        <f>IFERROR(__xludf.DUMMYFUNCTION("""COMPUTED_VALUE"""),"Hurricane Ian")</f>
        <v>Hurricane Ian</v>
      </c>
      <c r="H189" s="506" t="str">
        <f>IFERROR(__xludf.DUMMYFUNCTION("""COMPUTED_VALUE"""),"New Claim")</f>
        <v>New Claim</v>
      </c>
      <c r="I189" s="505" t="b">
        <v>0</v>
      </c>
      <c r="J189" s="507" t="b">
        <v>0</v>
      </c>
      <c r="K189" s="112"/>
      <c r="L189" s="505" t="b">
        <v>0</v>
      </c>
      <c r="M189" s="504" t="b">
        <v>0</v>
      </c>
      <c r="N189" s="112"/>
      <c r="O189" s="505" t="b">
        <v>0</v>
      </c>
      <c r="P189" s="504" t="b">
        <v>0</v>
      </c>
      <c r="Q189" s="116"/>
      <c r="R189" s="505" t="b">
        <v>0</v>
      </c>
      <c r="S189" s="504" t="b">
        <v>0</v>
      </c>
      <c r="T189" s="117"/>
      <c r="U189" s="505" t="b">
        <v>0</v>
      </c>
      <c r="V189" s="504" t="b">
        <v>0</v>
      </c>
      <c r="W189" s="118"/>
      <c r="X189" s="505" t="b">
        <v>0</v>
      </c>
      <c r="Y189" s="504" t="b">
        <v>0</v>
      </c>
      <c r="Z189" s="119"/>
      <c r="AA189" s="505" t="b">
        <v>0</v>
      </c>
      <c r="AB189" s="504" t="b">
        <v>0</v>
      </c>
      <c r="AC189" s="121"/>
      <c r="AD189" s="505" t="b">
        <v>0</v>
      </c>
      <c r="AE189" s="504" t="b">
        <v>0</v>
      </c>
      <c r="AF189" s="125"/>
      <c r="AG189" s="505" t="b">
        <v>0</v>
      </c>
      <c r="AH189" s="504" t="b">
        <v>0</v>
      </c>
      <c r="AI189" s="105"/>
      <c r="AJ189" s="505" t="b">
        <v>0</v>
      </c>
      <c r="AK189" s="504" t="b">
        <v>0</v>
      </c>
      <c r="AL189" s="126"/>
      <c r="AM189" s="505" t="b">
        <v>0</v>
      </c>
      <c r="AN189" s="504" t="b">
        <v>0</v>
      </c>
      <c r="AO189" s="105"/>
      <c r="AP189" s="105"/>
      <c r="AQ189" s="105"/>
      <c r="AR189" s="105"/>
      <c r="AS189" s="105"/>
      <c r="AT189" s="105"/>
      <c r="AU189" s="105"/>
      <c r="AV189" s="105"/>
      <c r="AW189" s="105"/>
      <c r="AX189" s="105"/>
      <c r="AY189" s="105"/>
      <c r="AZ189" s="105"/>
      <c r="BA189" s="105"/>
    </row>
    <row r="190">
      <c r="A190" s="506" t="str">
        <f>IFERROR(__xludf.DUMMYFUNCTION("""COMPUTED_VALUE"""),"FEES PENDING")</f>
        <v>FEES PENDING</v>
      </c>
      <c r="B190" s="506" t="str">
        <f>IFERROR(__xludf.DUMMYFUNCTION("""COMPUTED_VALUE"""),"Ivan")</f>
        <v>Ivan</v>
      </c>
      <c r="C190" s="506" t="str">
        <f>IFERROR(__xludf.DUMMYFUNCTION("""COMPUTED_VALUE"""),"Gabriella Bollman &amp; Angelica Ansley")</f>
        <v>Gabriella Bollman &amp; Angelica Ansley</v>
      </c>
      <c r="D190" s="506" t="str">
        <f>IFERROR(__xludf.DUMMYFUNCTION("""COMPUTED_VALUE"""),"239-470-5171")</f>
        <v>239-470-5171</v>
      </c>
      <c r="E190" s="508" t="str">
        <f>IFERROR(__xludf.DUMMYFUNCTION("""COMPUTED_VALUE"""),"gabbibollman1215@gmail.com")</f>
        <v>gabbibollman1215@gmail.com</v>
      </c>
      <c r="F190" s="506" t="str">
        <f>IFERROR(__xludf.DUMMYFUNCTION("""COMPUTED_VALUE"""),"857 Bedford Dr. Lehigh Acres, FL 33974")</f>
        <v>857 Bedford Dr. Lehigh Acres, FL 33974</v>
      </c>
      <c r="G190" s="506" t="str">
        <f>IFERROR(__xludf.DUMMYFUNCTION("""COMPUTED_VALUE"""),"Hurricane Ian")</f>
        <v>Hurricane Ian</v>
      </c>
      <c r="H190" s="506" t="str">
        <f>IFERROR(__xludf.DUMMYFUNCTION("""COMPUTED_VALUE"""),"New Claim")</f>
        <v>New Claim</v>
      </c>
      <c r="I190" s="505" t="b">
        <v>0</v>
      </c>
      <c r="J190" s="507" t="b">
        <v>0</v>
      </c>
      <c r="K190" s="112"/>
      <c r="L190" s="505" t="b">
        <v>0</v>
      </c>
      <c r="M190" s="504" t="b">
        <v>0</v>
      </c>
      <c r="N190" s="112"/>
      <c r="O190" s="505" t="b">
        <v>0</v>
      </c>
      <c r="P190" s="504" t="b">
        <v>0</v>
      </c>
      <c r="Q190" s="116"/>
      <c r="R190" s="505" t="b">
        <v>0</v>
      </c>
      <c r="S190" s="504" t="b">
        <v>0</v>
      </c>
      <c r="T190" s="117"/>
      <c r="U190" s="505" t="b">
        <v>0</v>
      </c>
      <c r="V190" s="504" t="b">
        <v>0</v>
      </c>
      <c r="W190" s="118"/>
      <c r="X190" s="505" t="b">
        <v>0</v>
      </c>
      <c r="Y190" s="504" t="b">
        <v>0</v>
      </c>
      <c r="Z190" s="119"/>
      <c r="AA190" s="505" t="b">
        <v>0</v>
      </c>
      <c r="AB190" s="504" t="b">
        <v>0</v>
      </c>
      <c r="AC190" s="121"/>
      <c r="AD190" s="505" t="b">
        <v>0</v>
      </c>
      <c r="AE190" s="504" t="b">
        <v>0</v>
      </c>
      <c r="AF190" s="125"/>
      <c r="AG190" s="505" t="b">
        <v>0</v>
      </c>
      <c r="AH190" s="504" t="b">
        <v>0</v>
      </c>
      <c r="AI190" s="105"/>
      <c r="AJ190" s="505" t="b">
        <v>0</v>
      </c>
      <c r="AK190" s="504" t="b">
        <v>0</v>
      </c>
      <c r="AL190" s="126"/>
      <c r="AM190" s="505" t="b">
        <v>0</v>
      </c>
      <c r="AN190" s="504" t="b">
        <v>0</v>
      </c>
      <c r="AO190" s="105"/>
      <c r="AP190" s="105"/>
      <c r="AQ190" s="105"/>
      <c r="AR190" s="105"/>
      <c r="AS190" s="105"/>
      <c r="AT190" s="105"/>
      <c r="AU190" s="105"/>
      <c r="AV190" s="105"/>
      <c r="AW190" s="105"/>
      <c r="AX190" s="105"/>
      <c r="AY190" s="105"/>
      <c r="AZ190" s="105"/>
      <c r="BA190" s="105"/>
    </row>
    <row r="191">
      <c r="A191" s="105" t="str">
        <f>IFERROR(__xludf.DUMMYFUNCTION("""COMPUTED_VALUE"""),"FEES PENDING")</f>
        <v>FEES PENDING</v>
      </c>
      <c r="B191" s="506" t="str">
        <f>IFERROR(__xludf.DUMMYFUNCTION("""COMPUTED_VALUE"""),"Ivan")</f>
        <v>Ivan</v>
      </c>
      <c r="C191" s="506" t="str">
        <f>IFERROR(__xludf.DUMMYFUNCTION("""COMPUTED_VALUE"""),"Elda Torres &amp; Elda Chamale")</f>
        <v>Elda Torres &amp; Elda Chamale</v>
      </c>
      <c r="D191" s="506" t="str">
        <f>IFERROR(__xludf.DUMMYFUNCTION("""COMPUTED_VALUE"""),"239-841-1680")</f>
        <v>239-841-1680</v>
      </c>
      <c r="E191" s="506" t="str">
        <f>IFERROR(__xludf.DUMMYFUNCTION("""COMPUTED_VALUE"""),"ent7266@yahoo.com")</f>
        <v>ent7266@yahoo.com</v>
      </c>
      <c r="F191" s="506" t="str">
        <f>IFERROR(__xludf.DUMMYFUNCTION("""COMPUTED_VALUE"""),"1003 Chapel Ave Lehigh Acres, FL 33971")</f>
        <v>1003 Chapel Ave Lehigh Acres, FL 33971</v>
      </c>
      <c r="G191" s="506" t="str">
        <f>IFERROR(__xludf.DUMMYFUNCTION("""COMPUTED_VALUE"""),"Hurricane Ian")</f>
        <v>Hurricane Ian</v>
      </c>
      <c r="H191" s="506" t="str">
        <f>IFERROR(__xludf.DUMMYFUNCTION("""COMPUTED_VALUE"""),"Reopen")</f>
        <v>Reopen</v>
      </c>
      <c r="I191" s="505" t="b">
        <v>0</v>
      </c>
      <c r="J191" s="507" t="b">
        <v>0</v>
      </c>
      <c r="K191" s="112"/>
      <c r="L191" s="505" t="b">
        <v>0</v>
      </c>
      <c r="M191" s="504" t="b">
        <v>0</v>
      </c>
      <c r="N191" s="112"/>
      <c r="O191" s="505" t="b">
        <v>0</v>
      </c>
      <c r="P191" s="504" t="b">
        <v>0</v>
      </c>
      <c r="Q191" s="116"/>
      <c r="R191" s="505" t="b">
        <v>0</v>
      </c>
      <c r="S191" s="504" t="b">
        <v>0</v>
      </c>
      <c r="T191" s="117"/>
      <c r="U191" s="505" t="b">
        <v>0</v>
      </c>
      <c r="V191" s="504" t="b">
        <v>0</v>
      </c>
      <c r="W191" s="118"/>
      <c r="X191" s="505" t="b">
        <v>0</v>
      </c>
      <c r="Y191" s="504" t="b">
        <v>0</v>
      </c>
      <c r="Z191" s="119"/>
      <c r="AA191" s="505" t="b">
        <v>0</v>
      </c>
      <c r="AB191" s="504" t="b">
        <v>0</v>
      </c>
      <c r="AC191" s="121"/>
      <c r="AD191" s="505" t="b">
        <v>0</v>
      </c>
      <c r="AE191" s="504" t="b">
        <v>0</v>
      </c>
      <c r="AF191" s="125"/>
      <c r="AG191" s="505" t="b">
        <v>0</v>
      </c>
      <c r="AH191" s="504" t="b">
        <v>0</v>
      </c>
      <c r="AI191" s="105"/>
      <c r="AJ191" s="505" t="b">
        <v>0</v>
      </c>
      <c r="AK191" s="504" t="b">
        <v>0</v>
      </c>
      <c r="AL191" s="126"/>
      <c r="AM191" s="505" t="b">
        <v>0</v>
      </c>
      <c r="AN191" s="504" t="b">
        <v>0</v>
      </c>
      <c r="AO191" s="105"/>
      <c r="AP191" s="105"/>
      <c r="AQ191" s="105"/>
      <c r="AR191" s="105"/>
      <c r="AS191" s="105"/>
      <c r="AT191" s="105"/>
      <c r="AU191" s="105"/>
      <c r="AV191" s="105"/>
      <c r="AW191" s="105"/>
      <c r="AX191" s="105"/>
      <c r="AY191" s="105"/>
      <c r="AZ191" s="105"/>
      <c r="BA191" s="105"/>
    </row>
    <row r="192">
      <c r="A192" s="506" t="str">
        <f>IFERROR(__xludf.DUMMYFUNCTION("""COMPUTED_VALUE"""),"SETTLED")</f>
        <v>SETTLED</v>
      </c>
      <c r="B192" s="506" t="str">
        <f>IFERROR(__xludf.DUMMYFUNCTION("""COMPUTED_VALUE"""),"Ivan")</f>
        <v>Ivan</v>
      </c>
      <c r="C192" s="506" t="str">
        <f>IFERROR(__xludf.DUMMYFUNCTION("""COMPUTED_VALUE"""),"Immacula Atime")</f>
        <v>Immacula Atime</v>
      </c>
      <c r="D192" s="506" t="str">
        <f>IFERROR(__xludf.DUMMYFUNCTION("""COMPUTED_VALUE"""),"239-334-8947")</f>
        <v>239-334-8947</v>
      </c>
      <c r="E192" s="506" t="str">
        <f>IFERROR(__xludf.DUMMYFUNCTION("""COMPUTED_VALUE"""),"neveahagy@gmail.com")</f>
        <v>neveahagy@gmail.com</v>
      </c>
      <c r="F192" s="506" t="str">
        <f>IFERROR(__xludf.DUMMYFUNCTION("""COMPUTED_VALUE"""),"3052 Royal Palm Ave Fort Myers, FL 33901")</f>
        <v>3052 Royal Palm Ave Fort Myers, FL 33901</v>
      </c>
      <c r="G192" s="506" t="str">
        <f>IFERROR(__xludf.DUMMYFUNCTION("""COMPUTED_VALUE"""),"Hurricane Ian")</f>
        <v>Hurricane Ian</v>
      </c>
      <c r="H192" s="506" t="str">
        <f>IFERROR(__xludf.DUMMYFUNCTION("""COMPUTED_VALUE"""),"New Claim")</f>
        <v>New Claim</v>
      </c>
      <c r="I192" s="505" t="b">
        <v>0</v>
      </c>
      <c r="J192" s="507" t="b">
        <v>0</v>
      </c>
      <c r="K192" s="112"/>
      <c r="L192" s="505" t="b">
        <v>0</v>
      </c>
      <c r="M192" s="504" t="b">
        <v>0</v>
      </c>
      <c r="N192" s="112"/>
      <c r="O192" s="505" t="b">
        <v>0</v>
      </c>
      <c r="P192" s="504" t="b">
        <v>0</v>
      </c>
      <c r="Q192" s="116"/>
      <c r="R192" s="505" t="b">
        <v>0</v>
      </c>
      <c r="S192" s="504" t="b">
        <v>0</v>
      </c>
      <c r="T192" s="117"/>
      <c r="U192" s="505" t="b">
        <v>0</v>
      </c>
      <c r="V192" s="504" t="b">
        <v>0</v>
      </c>
      <c r="W192" s="118"/>
      <c r="X192" s="505" t="b">
        <v>0</v>
      </c>
      <c r="Y192" s="504" t="b">
        <v>0</v>
      </c>
      <c r="Z192" s="119"/>
      <c r="AA192" s="505" t="b">
        <v>0</v>
      </c>
      <c r="AB192" s="504" t="b">
        <v>0</v>
      </c>
      <c r="AC192" s="121"/>
      <c r="AD192" s="505" t="b">
        <v>0</v>
      </c>
      <c r="AE192" s="504" t="b">
        <v>0</v>
      </c>
      <c r="AF192" s="125"/>
      <c r="AG192" s="505" t="b">
        <v>0</v>
      </c>
      <c r="AH192" s="504" t="b">
        <v>0</v>
      </c>
      <c r="AI192" s="105"/>
      <c r="AJ192" s="505" t="b">
        <v>0</v>
      </c>
      <c r="AK192" s="504" t="b">
        <v>0</v>
      </c>
      <c r="AL192" s="126"/>
      <c r="AM192" s="505" t="b">
        <v>0</v>
      </c>
      <c r="AN192" s="504" t="b">
        <v>0</v>
      </c>
      <c r="AO192" s="105"/>
      <c r="AP192" s="105"/>
      <c r="AQ192" s="105"/>
      <c r="AR192" s="105"/>
      <c r="AS192" s="105"/>
      <c r="AT192" s="105"/>
      <c r="AU192" s="105"/>
      <c r="AV192" s="105"/>
      <c r="AW192" s="105"/>
      <c r="AX192" s="105"/>
      <c r="AY192" s="105"/>
      <c r="AZ192" s="105"/>
      <c r="BA192" s="105"/>
    </row>
    <row r="193">
      <c r="A193" s="506" t="str">
        <f>IFERROR(__xludf.DUMMYFUNCTION("""COMPUTED_VALUE"""),"PEN O&amp;L/DEPRECIATION")</f>
        <v>PEN O&amp;L/DEPRECIATION</v>
      </c>
      <c r="B193" s="506" t="str">
        <f>IFERROR(__xludf.DUMMYFUNCTION("""COMPUTED_VALUE"""),"Ivan")</f>
        <v>Ivan</v>
      </c>
      <c r="C193" s="506" t="str">
        <f>IFERROR(__xludf.DUMMYFUNCTION("""COMPUTED_VALUE"""),"Katelynne Campbell")</f>
        <v>Katelynne Campbell</v>
      </c>
      <c r="D193" s="506" t="str">
        <f>IFERROR(__xludf.DUMMYFUNCTION("""COMPUTED_VALUE"""),"352-697-3371")</f>
        <v>352-697-3371</v>
      </c>
      <c r="E193" s="506" t="str">
        <f>IFERROR(__xludf.DUMMYFUNCTION("""COMPUTED_VALUE"""),"kateogrady101113@gmail.com")</f>
        <v>kateogrady101113@gmail.com</v>
      </c>
      <c r="F193" s="506" t="str">
        <f>IFERROR(__xludf.DUMMYFUNCTION("""COMPUTED_VALUE"""),"6045 West Woodside Cir. Crystal River, FL 34429")</f>
        <v>6045 West Woodside Cir. Crystal River, FL 34429</v>
      </c>
      <c r="G193" s="506" t="str">
        <f>IFERROR(__xludf.DUMMYFUNCTION("""COMPUTED_VALUE"""),"Hurricane")</f>
        <v>Hurricane</v>
      </c>
      <c r="H193" s="506" t="str">
        <f>IFERROR(__xludf.DUMMYFUNCTION("""COMPUTED_VALUE"""),"New Claim")</f>
        <v>New Claim</v>
      </c>
      <c r="I193" s="505" t="b">
        <v>0</v>
      </c>
      <c r="J193" s="507" t="b">
        <v>0</v>
      </c>
      <c r="K193" s="112"/>
      <c r="L193" s="505" t="b">
        <v>0</v>
      </c>
      <c r="M193" s="504" t="b">
        <v>0</v>
      </c>
      <c r="N193" s="112"/>
      <c r="O193" s="505" t="b">
        <v>0</v>
      </c>
      <c r="P193" s="504" t="b">
        <v>0</v>
      </c>
      <c r="Q193" s="116"/>
      <c r="R193" s="505" t="b">
        <v>0</v>
      </c>
      <c r="S193" s="504" t="b">
        <v>0</v>
      </c>
      <c r="T193" s="117"/>
      <c r="U193" s="505" t="b">
        <v>0</v>
      </c>
      <c r="V193" s="504" t="b">
        <v>0</v>
      </c>
      <c r="W193" s="118"/>
      <c r="X193" s="505" t="b">
        <v>0</v>
      </c>
      <c r="Y193" s="504" t="b">
        <v>0</v>
      </c>
      <c r="Z193" s="119"/>
      <c r="AA193" s="505" t="b">
        <v>0</v>
      </c>
      <c r="AB193" s="504" t="b">
        <v>0</v>
      </c>
      <c r="AC193" s="121"/>
      <c r="AD193" s="505" t="b">
        <v>0</v>
      </c>
      <c r="AE193" s="504" t="b">
        <v>0</v>
      </c>
      <c r="AF193" s="125"/>
      <c r="AG193" s="505" t="b">
        <v>0</v>
      </c>
      <c r="AH193" s="504" t="b">
        <v>0</v>
      </c>
      <c r="AI193" s="105"/>
      <c r="AJ193" s="505" t="b">
        <v>0</v>
      </c>
      <c r="AK193" s="504" t="b">
        <v>0</v>
      </c>
      <c r="AL193" s="126"/>
      <c r="AM193" s="505" t="b">
        <v>0</v>
      </c>
      <c r="AN193" s="504" t="b">
        <v>0</v>
      </c>
      <c r="AO193" s="105"/>
      <c r="AP193" s="105"/>
      <c r="AQ193" s="105"/>
      <c r="AR193" s="105"/>
      <c r="AS193" s="105"/>
      <c r="AT193" s="105"/>
      <c r="AU193" s="105"/>
      <c r="AV193" s="105"/>
      <c r="AW193" s="105"/>
      <c r="AX193" s="105"/>
      <c r="AY193" s="105"/>
      <c r="AZ193" s="105"/>
      <c r="BA193" s="105"/>
    </row>
    <row r="194">
      <c r="A194" s="506" t="str">
        <f>IFERROR(__xludf.DUMMYFUNCTION("""COMPUTED_VALUE"""),"CLSD CLAIMS")</f>
        <v>CLSD CLAIMS</v>
      </c>
      <c r="B194" s="506" t="str">
        <f>IFERROR(__xludf.DUMMYFUNCTION("""COMPUTED_VALUE"""),"David M.")</f>
        <v>David M.</v>
      </c>
      <c r="C194" s="506" t="str">
        <f>IFERROR(__xludf.DUMMYFUNCTION("""COMPUTED_VALUE"""),"Nicholas &amp; Martine Rochemont")</f>
        <v>Nicholas &amp; Martine Rochemont</v>
      </c>
      <c r="D194" s="506" t="str">
        <f>IFERROR(__xludf.DUMMYFUNCTION("""COMPUTED_VALUE"""),"239-895-6000 &amp; 239-810-6662")</f>
        <v>239-895-6000 &amp; 239-810-6662</v>
      </c>
      <c r="E194" s="506" t="str">
        <f>IFERROR(__xludf.DUMMYFUNCTION("""COMPUTED_VALUE"""),"Marvinsmylove@yahoo.com")</f>
        <v>Marvinsmylove@yahoo.com</v>
      </c>
      <c r="F194" s="506" t="str">
        <f>IFERROR(__xludf.DUMMYFUNCTION("""COMPUTED_VALUE"""),"4708 Lee Blvd, Lehigh Acres FL 33971")</f>
        <v>4708 Lee Blvd, Lehigh Acres FL 33971</v>
      </c>
      <c r="G194" s="506" t="str">
        <f>IFERROR(__xludf.DUMMYFUNCTION("""COMPUTED_VALUE"""),"Hurricane Ian")</f>
        <v>Hurricane Ian</v>
      </c>
      <c r="H194" s="506" t="str">
        <f>IFERROR(__xludf.DUMMYFUNCTION("""COMPUTED_VALUE"""),"Reopen")</f>
        <v>Reopen</v>
      </c>
      <c r="I194" s="505" t="b">
        <v>0</v>
      </c>
      <c r="J194" s="507" t="b">
        <v>0</v>
      </c>
      <c r="K194" s="112"/>
      <c r="L194" s="505" t="b">
        <v>0</v>
      </c>
      <c r="M194" s="504" t="b">
        <v>0</v>
      </c>
      <c r="N194" s="112"/>
      <c r="O194" s="505" t="b">
        <v>0</v>
      </c>
      <c r="P194" s="504" t="b">
        <v>0</v>
      </c>
      <c r="Q194" s="116"/>
      <c r="R194" s="505" t="b">
        <v>0</v>
      </c>
      <c r="S194" s="504" t="b">
        <v>0</v>
      </c>
      <c r="T194" s="117"/>
      <c r="U194" s="505" t="b">
        <v>0</v>
      </c>
      <c r="V194" s="504" t="b">
        <v>0</v>
      </c>
      <c r="W194" s="118"/>
      <c r="X194" s="505" t="b">
        <v>0</v>
      </c>
      <c r="Y194" s="504" t="b">
        <v>0</v>
      </c>
      <c r="Z194" s="119"/>
      <c r="AA194" s="505" t="b">
        <v>0</v>
      </c>
      <c r="AB194" s="504" t="b">
        <v>0</v>
      </c>
      <c r="AC194" s="121"/>
      <c r="AD194" s="505" t="b">
        <v>0</v>
      </c>
      <c r="AE194" s="504" t="b">
        <v>0</v>
      </c>
      <c r="AF194" s="125"/>
      <c r="AG194" s="505" t="b">
        <v>0</v>
      </c>
      <c r="AH194" s="504" t="b">
        <v>0</v>
      </c>
      <c r="AI194" s="105"/>
      <c r="AJ194" s="505" t="b">
        <v>0</v>
      </c>
      <c r="AK194" s="504" t="b">
        <v>0</v>
      </c>
      <c r="AL194" s="126"/>
      <c r="AM194" s="505" t="b">
        <v>0</v>
      </c>
      <c r="AN194" s="504" t="b">
        <v>0</v>
      </c>
      <c r="AO194" s="105"/>
      <c r="AP194" s="105"/>
      <c r="AQ194" s="105"/>
      <c r="AR194" s="105"/>
      <c r="AS194" s="105"/>
      <c r="AT194" s="105"/>
      <c r="AU194" s="105"/>
      <c r="AV194" s="105"/>
      <c r="AW194" s="105"/>
      <c r="AX194" s="105"/>
      <c r="AY194" s="105"/>
      <c r="AZ194" s="105"/>
      <c r="BA194" s="105"/>
    </row>
    <row r="195">
      <c r="A195" s="506" t="str">
        <f>IFERROR(__xludf.DUMMYFUNCTION("""COMPUTED_VALUE"""),"FEES PENDING")</f>
        <v>FEES PENDING</v>
      </c>
      <c r="B195" s="506" t="str">
        <f>IFERROR(__xludf.DUMMYFUNCTION("""COMPUTED_VALUE"""),"Jakey")</f>
        <v>Jakey</v>
      </c>
      <c r="C195" s="506" t="str">
        <f>IFERROR(__xludf.DUMMYFUNCTION("""COMPUTED_VALUE"""),"Robert Reen")</f>
        <v>Robert Reen</v>
      </c>
      <c r="D195" s="506" t="str">
        <f>IFERROR(__xludf.DUMMYFUNCTION("""COMPUTED_VALUE"""),"413-883-1001")</f>
        <v>413-883-1001</v>
      </c>
      <c r="E195" s="506" t="str">
        <f>IFERROR(__xludf.DUMMYFUNCTION("""COMPUTED_VALUE"""),"Reener15rr@aol.com")</f>
        <v>Reener15rr@aol.com</v>
      </c>
      <c r="F195" s="506" t="str">
        <f>IFERROR(__xludf.DUMMYFUNCTION("""COMPUTED_VALUE"""),"1022 SE 30th St. Cape Coral, FL 33904")</f>
        <v>1022 SE 30th St. Cape Coral, FL 33904</v>
      </c>
      <c r="G195" s="506" t="str">
        <f>IFERROR(__xludf.DUMMYFUNCTION("""COMPUTED_VALUE"""),"Hurricane Ian")</f>
        <v>Hurricane Ian</v>
      </c>
      <c r="H195" s="506" t="str">
        <f>IFERROR(__xludf.DUMMYFUNCTION("""COMPUTED_VALUE"""),"Reopen")</f>
        <v>Reopen</v>
      </c>
      <c r="I195" s="505" t="b">
        <v>0</v>
      </c>
      <c r="J195" s="507" t="b">
        <v>0</v>
      </c>
      <c r="K195" s="112"/>
      <c r="AP195" s="105"/>
      <c r="AQ195" s="105"/>
      <c r="AR195" s="105"/>
      <c r="AS195" s="105"/>
      <c r="AT195" s="105"/>
      <c r="AU195" s="105"/>
      <c r="AV195" s="105"/>
      <c r="AW195" s="105"/>
      <c r="AX195" s="105"/>
      <c r="AY195" s="105"/>
      <c r="AZ195" s="105"/>
      <c r="BA195" s="105"/>
    </row>
    <row r="196">
      <c r="A196" s="506" t="str">
        <f>IFERROR(__xludf.DUMMYFUNCTION("""COMPUTED_VALUE"""),"SETTLED")</f>
        <v>SETTLED</v>
      </c>
      <c r="B196" s="506" t="str">
        <f>IFERROR(__xludf.DUMMYFUNCTION("""COMPUTED_VALUE"""),"Juan")</f>
        <v>Juan</v>
      </c>
      <c r="C196" s="506" t="str">
        <f>IFERROR(__xludf.DUMMYFUNCTION("""COMPUTED_VALUE"""),"Gerald &amp; Eva-Yee Nappi")</f>
        <v>Gerald &amp; Eva-Yee Nappi</v>
      </c>
      <c r="D196" s="506" t="str">
        <f>IFERROR(__xludf.DUMMYFUNCTION("""COMPUTED_VALUE"""),"239-218-1253")</f>
        <v>239-218-1253</v>
      </c>
      <c r="E196" s="506" t="str">
        <f>IFERROR(__xludf.DUMMYFUNCTION("""COMPUTED_VALUE"""),"Evanappi@yahoo.com")</f>
        <v>Evanappi@yahoo.com</v>
      </c>
      <c r="F196" s="506" t="str">
        <f>IFERROR(__xludf.DUMMYFUNCTION("""COMPUTED_VALUE"""),"1928 SE 36th Ter Cape Coral, FL 33904")</f>
        <v>1928 SE 36th Ter Cape Coral, FL 33904</v>
      </c>
      <c r="G196" s="506" t="str">
        <f>IFERROR(__xludf.DUMMYFUNCTION("""COMPUTED_VALUE"""),"Hurricane Ian")</f>
        <v>Hurricane Ian</v>
      </c>
      <c r="H196" s="506" t="str">
        <f>IFERROR(__xludf.DUMMYFUNCTION("""COMPUTED_VALUE"""),"New Claim")</f>
        <v>New Claim</v>
      </c>
      <c r="I196" s="505" t="b">
        <v>0</v>
      </c>
      <c r="J196" s="507" t="b">
        <v>0</v>
      </c>
      <c r="K196" s="112"/>
      <c r="L196" s="505" t="b">
        <v>0</v>
      </c>
      <c r="M196" s="504" t="b">
        <v>0</v>
      </c>
      <c r="N196" s="112"/>
      <c r="O196" s="505" t="b">
        <v>0</v>
      </c>
      <c r="P196" s="504" t="b">
        <v>0</v>
      </c>
      <c r="Q196" s="116"/>
      <c r="R196" s="505" t="b">
        <v>0</v>
      </c>
      <c r="S196" s="504" t="b">
        <v>0</v>
      </c>
      <c r="T196" s="117"/>
      <c r="U196" s="505" t="b">
        <v>0</v>
      </c>
      <c r="V196" s="504" t="b">
        <v>0</v>
      </c>
      <c r="W196" s="118"/>
      <c r="X196" s="505" t="b">
        <v>0</v>
      </c>
      <c r="Y196" s="504" t="b">
        <v>0</v>
      </c>
      <c r="Z196" s="119"/>
      <c r="AA196" s="505" t="b">
        <v>0</v>
      </c>
      <c r="AB196" s="504" t="b">
        <v>0</v>
      </c>
      <c r="AC196" s="121"/>
      <c r="AD196" s="505" t="b">
        <v>0</v>
      </c>
      <c r="AE196" s="504" t="b">
        <v>0</v>
      </c>
      <c r="AF196" s="125"/>
      <c r="AG196" s="505" t="b">
        <v>0</v>
      </c>
      <c r="AH196" s="504" t="b">
        <v>0</v>
      </c>
      <c r="AI196" s="105"/>
      <c r="AJ196" s="505" t="b">
        <v>0</v>
      </c>
      <c r="AK196" s="504" t="b">
        <v>0</v>
      </c>
      <c r="AL196" s="126"/>
      <c r="AM196" s="505" t="b">
        <v>0</v>
      </c>
      <c r="AN196" s="504" t="b">
        <v>0</v>
      </c>
      <c r="AO196" s="105"/>
      <c r="AP196" s="105"/>
      <c r="AQ196" s="105"/>
      <c r="AR196" s="105"/>
      <c r="AS196" s="105"/>
      <c r="AT196" s="105"/>
      <c r="AU196" s="105"/>
      <c r="AV196" s="105"/>
      <c r="AW196" s="105"/>
      <c r="AX196" s="105"/>
      <c r="AY196" s="105"/>
      <c r="AZ196" s="105"/>
      <c r="BA196" s="105"/>
    </row>
    <row r="197">
      <c r="A197" s="506" t="str">
        <f>IFERROR(__xludf.DUMMYFUNCTION("""COMPUTED_VALUE"""),"SETTLED")</f>
        <v>SETTLED</v>
      </c>
      <c r="B197" s="506" t="str">
        <f>IFERROR(__xludf.DUMMYFUNCTION("""COMPUTED_VALUE"""),"Joshua")</f>
        <v>Joshua</v>
      </c>
      <c r="C197" s="506" t="str">
        <f>IFERROR(__xludf.DUMMYFUNCTION("""COMPUTED_VALUE"""),"Beata Beyer ")</f>
        <v>Beata Beyer </v>
      </c>
      <c r="D197" s="506" t="str">
        <f>IFERROR(__xludf.DUMMYFUNCTION("""COMPUTED_VALUE"""),"408-605-3867")</f>
        <v>408-605-3867</v>
      </c>
      <c r="E197" s="506" t="str">
        <f>IFERROR(__xludf.DUMMYFUNCTION("""COMPUTED_VALUE"""),"Beata.beyer@gmail.com")</f>
        <v>Beata.beyer@gmail.com</v>
      </c>
      <c r="F197" s="506" t="str">
        <f>IFERROR(__xludf.DUMMYFUNCTION("""COMPUTED_VALUE"""),"2160 Chenille Ct Venice Fl 34292")</f>
        <v>2160 Chenille Ct Venice Fl 34292</v>
      </c>
      <c r="G197" s="506" t="str">
        <f>IFERROR(__xludf.DUMMYFUNCTION("""COMPUTED_VALUE"""),"Hurricane Ian")</f>
        <v>Hurricane Ian</v>
      </c>
      <c r="H197" s="506" t="str">
        <f>IFERROR(__xludf.DUMMYFUNCTION("""COMPUTED_VALUE"""),"New Claim")</f>
        <v>New Claim</v>
      </c>
      <c r="I197" s="505" t="b">
        <v>0</v>
      </c>
      <c r="J197" s="507" t="b">
        <v>0</v>
      </c>
      <c r="K197" s="112"/>
      <c r="L197" s="505" t="b">
        <v>0</v>
      </c>
      <c r="M197" s="504" t="b">
        <v>0</v>
      </c>
      <c r="N197" s="112"/>
      <c r="O197" s="505" t="b">
        <v>0</v>
      </c>
      <c r="P197" s="504" t="b">
        <v>0</v>
      </c>
      <c r="Q197" s="116"/>
      <c r="R197" s="505" t="b">
        <v>0</v>
      </c>
      <c r="S197" s="504" t="b">
        <v>0</v>
      </c>
      <c r="T197" s="117"/>
      <c r="U197" s="505" t="b">
        <v>0</v>
      </c>
      <c r="V197" s="504" t="b">
        <v>0</v>
      </c>
      <c r="W197" s="118"/>
      <c r="X197" s="505" t="b">
        <v>0</v>
      </c>
      <c r="Y197" s="504" t="b">
        <v>0</v>
      </c>
      <c r="Z197" s="119"/>
      <c r="AA197" s="505" t="b">
        <v>0</v>
      </c>
      <c r="AB197" s="504" t="b">
        <v>0</v>
      </c>
      <c r="AC197" s="121"/>
      <c r="AD197" s="505" t="b">
        <v>0</v>
      </c>
      <c r="AE197" s="504" t="b">
        <v>0</v>
      </c>
      <c r="AF197" s="125"/>
      <c r="AG197" s="505" t="b">
        <v>0</v>
      </c>
      <c r="AH197" s="504" t="b">
        <v>0</v>
      </c>
      <c r="AI197" s="105"/>
      <c r="AJ197" s="505" t="b">
        <v>0</v>
      </c>
      <c r="AK197" s="504" t="b">
        <v>0</v>
      </c>
      <c r="AL197" s="126"/>
      <c r="AM197" s="505" t="b">
        <v>0</v>
      </c>
      <c r="AN197" s="504" t="b">
        <v>0</v>
      </c>
      <c r="AO197" s="105"/>
      <c r="AP197" s="105"/>
      <c r="AQ197" s="105"/>
      <c r="AR197" s="105"/>
      <c r="AS197" s="105"/>
      <c r="AT197" s="105"/>
      <c r="AU197" s="105"/>
      <c r="AV197" s="105"/>
      <c r="AW197" s="105"/>
      <c r="AX197" s="105"/>
      <c r="AY197" s="105"/>
      <c r="AZ197" s="105"/>
      <c r="BA197" s="105"/>
    </row>
    <row r="198">
      <c r="A198" s="506" t="str">
        <f>IFERROR(__xludf.DUMMYFUNCTION("""COMPUTED_VALUE"""),"STAND BY")</f>
        <v>STAND BY</v>
      </c>
      <c r="B198" s="506" t="str">
        <f>IFERROR(__xludf.DUMMYFUNCTION("""COMPUTED_VALUE"""),"Ivan, David F.")</f>
        <v>Ivan, David F.</v>
      </c>
      <c r="C198" s="506" t="str">
        <f>IFERROR(__xludf.DUMMYFUNCTION("""COMPUTED_VALUE"""),"Sandy &amp; Lori Helmdach")</f>
        <v>Sandy &amp; Lori Helmdach</v>
      </c>
      <c r="D198" s="506" t="str">
        <f>IFERROR(__xludf.DUMMYFUNCTION("""COMPUTED_VALUE"""),"352-302-0733")</f>
        <v>352-302-0733</v>
      </c>
      <c r="E198" s="506" t="str">
        <f>IFERROR(__xludf.DUMMYFUNCTION("""COMPUTED_VALUE"""),"amipropertypreservationservice@gmail.com")</f>
        <v>amipropertypreservationservice@gmail.com</v>
      </c>
      <c r="F198" s="506" t="str">
        <f>IFERROR(__xludf.DUMMYFUNCTION("""COMPUTED_VALUE"""),"4442 North Saddle Dr. Beverly Hills FL, 34465")</f>
        <v>4442 North Saddle Dr. Beverly Hills FL, 34465</v>
      </c>
      <c r="G198" s="506" t="str">
        <f>IFERROR(__xludf.DUMMYFUNCTION("""COMPUTED_VALUE"""),"Hurricane")</f>
        <v>Hurricane</v>
      </c>
      <c r="H198" s="506" t="str">
        <f>IFERROR(__xludf.DUMMYFUNCTION("""COMPUTED_VALUE"""),"New Claim")</f>
        <v>New Claim</v>
      </c>
      <c r="I198" s="505" t="b">
        <v>0</v>
      </c>
      <c r="J198" s="507" t="b">
        <v>0</v>
      </c>
      <c r="K198" s="112"/>
      <c r="L198" s="505" t="b">
        <v>0</v>
      </c>
      <c r="M198" s="504" t="b">
        <v>0</v>
      </c>
      <c r="N198" s="112"/>
      <c r="O198" s="505" t="b">
        <v>0</v>
      </c>
      <c r="P198" s="504" t="b">
        <v>0</v>
      </c>
      <c r="Q198" s="116"/>
      <c r="R198" s="505" t="b">
        <v>0</v>
      </c>
      <c r="S198" s="504" t="b">
        <v>0</v>
      </c>
      <c r="T198" s="117"/>
      <c r="U198" s="505" t="b">
        <v>0</v>
      </c>
      <c r="V198" s="504" t="b">
        <v>0</v>
      </c>
      <c r="W198" s="118"/>
      <c r="X198" s="505" t="b">
        <v>0</v>
      </c>
      <c r="Y198" s="504" t="b">
        <v>0</v>
      </c>
      <c r="Z198" s="119"/>
      <c r="AA198" s="505" t="b">
        <v>0</v>
      </c>
      <c r="AB198" s="504" t="b">
        <v>0</v>
      </c>
      <c r="AC198" s="121"/>
      <c r="AD198" s="505" t="b">
        <v>0</v>
      </c>
      <c r="AE198" s="504" t="b">
        <v>0</v>
      </c>
      <c r="AF198" s="125"/>
      <c r="AG198" s="505" t="b">
        <v>0</v>
      </c>
      <c r="AH198" s="504" t="b">
        <v>0</v>
      </c>
      <c r="AI198" s="105"/>
      <c r="AJ198" s="505" t="b">
        <v>0</v>
      </c>
      <c r="AK198" s="504" t="b">
        <v>0</v>
      </c>
      <c r="AL198" s="126"/>
      <c r="AM198" s="505" t="b">
        <v>0</v>
      </c>
      <c r="AN198" s="504" t="b">
        <v>0</v>
      </c>
      <c r="AO198" s="105"/>
      <c r="AP198" s="105"/>
      <c r="AQ198" s="105"/>
      <c r="AR198" s="105"/>
      <c r="AS198" s="105"/>
      <c r="AT198" s="105"/>
      <c r="AU198" s="105"/>
      <c r="AV198" s="105"/>
      <c r="AW198" s="105"/>
      <c r="AX198" s="105"/>
      <c r="AY198" s="105"/>
      <c r="AZ198" s="105"/>
      <c r="BA198" s="105"/>
    </row>
    <row r="199">
      <c r="A199" s="506" t="str">
        <f>IFERROR(__xludf.DUMMYFUNCTION("""COMPUTED_VALUE"""),"CLSD CLAIMS")</f>
        <v>CLSD CLAIMS</v>
      </c>
      <c r="B199" s="506" t="str">
        <f>IFERROR(__xludf.DUMMYFUNCTION("""COMPUTED_VALUE"""),"Jakey")</f>
        <v>Jakey</v>
      </c>
      <c r="C199" s="506" t="str">
        <f>IFERROR(__xludf.DUMMYFUNCTION("""COMPUTED_VALUE"""),"Christina Suntai")</f>
        <v>Christina Suntai</v>
      </c>
      <c r="D199" s="506" t="str">
        <f>IFERROR(__xludf.DUMMYFUNCTION("""COMPUTED_VALUE"""),"239-466-7278")</f>
        <v>239-466-7278</v>
      </c>
      <c r="E199" s="506" t="str">
        <f>IFERROR(__xludf.DUMMYFUNCTION("""COMPUTED_VALUE"""),"Christinasuntai@gmail.com")</f>
        <v>Christinasuntai@gmail.com</v>
      </c>
      <c r="F199" s="506" t="str">
        <f>IFERROR(__xludf.DUMMYFUNCTION("""COMPUTED_VALUE"""),"800 N Entrada Dr Fort Myers 33919")</f>
        <v>800 N Entrada Dr Fort Myers 33919</v>
      </c>
      <c r="G199" s="506" t="str">
        <f>IFERROR(__xludf.DUMMYFUNCTION("""COMPUTED_VALUE"""),"Hurricane Ian")</f>
        <v>Hurricane Ian</v>
      </c>
      <c r="H199" s="506" t="str">
        <f>IFERROR(__xludf.DUMMYFUNCTION("""COMPUTED_VALUE"""),"Reopen")</f>
        <v>Reopen</v>
      </c>
      <c r="I199" s="505" t="b">
        <v>0</v>
      </c>
      <c r="J199" s="507" t="b">
        <v>0</v>
      </c>
      <c r="K199" s="112"/>
      <c r="L199" s="505" t="b">
        <v>0</v>
      </c>
      <c r="M199" s="504" t="b">
        <v>0</v>
      </c>
      <c r="N199" s="112"/>
      <c r="O199" s="505" t="b">
        <v>0</v>
      </c>
      <c r="P199" s="504" t="b">
        <v>0</v>
      </c>
      <c r="Q199" s="116"/>
      <c r="R199" s="505" t="b">
        <v>0</v>
      </c>
      <c r="S199" s="504" t="b">
        <v>0</v>
      </c>
      <c r="T199" s="117"/>
      <c r="U199" s="505" t="b">
        <v>0</v>
      </c>
      <c r="V199" s="504" t="b">
        <v>0</v>
      </c>
      <c r="W199" s="118"/>
      <c r="X199" s="505" t="b">
        <v>0</v>
      </c>
      <c r="Y199" s="504" t="b">
        <v>0</v>
      </c>
      <c r="Z199" s="119"/>
      <c r="AA199" s="505" t="b">
        <v>0</v>
      </c>
      <c r="AB199" s="504" t="b">
        <v>0</v>
      </c>
      <c r="AC199" s="121"/>
      <c r="AD199" s="505" t="b">
        <v>0</v>
      </c>
      <c r="AE199" s="504" t="b">
        <v>0</v>
      </c>
      <c r="AF199" s="125"/>
      <c r="AG199" s="505" t="b">
        <v>0</v>
      </c>
      <c r="AH199" s="504" t="b">
        <v>0</v>
      </c>
      <c r="AI199" s="105"/>
      <c r="AJ199" s="505" t="b">
        <v>0</v>
      </c>
      <c r="AK199" s="504" t="b">
        <v>0</v>
      </c>
      <c r="AL199" s="126"/>
      <c r="AM199" s="505" t="b">
        <v>0</v>
      </c>
      <c r="AN199" s="504" t="b">
        <v>0</v>
      </c>
      <c r="AO199" s="105"/>
      <c r="AP199" s="105"/>
      <c r="AQ199" s="105"/>
      <c r="AR199" s="105"/>
      <c r="AS199" s="105"/>
      <c r="AT199" s="105"/>
      <c r="AU199" s="105"/>
      <c r="AV199" s="105"/>
      <c r="AW199" s="105"/>
      <c r="AX199" s="105"/>
      <c r="AY199" s="105"/>
      <c r="AZ199" s="105"/>
      <c r="BA199" s="105"/>
    </row>
    <row r="200">
      <c r="A200" s="506" t="str">
        <f>IFERROR(__xludf.DUMMYFUNCTION("""COMPUTED_VALUE"""),"STAND BY")</f>
        <v>STAND BY</v>
      </c>
      <c r="B200" s="506" t="str">
        <f>IFERROR(__xludf.DUMMYFUNCTION("""COMPUTED_VALUE"""),"Ivan, Jakey")</f>
        <v>Ivan, Jakey</v>
      </c>
      <c r="C200" s="506" t="str">
        <f>IFERROR(__xludf.DUMMYFUNCTION("""COMPUTED_VALUE"""),"Anita McCloskey")</f>
        <v>Anita McCloskey</v>
      </c>
      <c r="D200" s="506" t="str">
        <f>IFERROR(__xludf.DUMMYFUNCTION("""COMPUTED_VALUE"""),"239-478-6065")</f>
        <v>239-478-6065</v>
      </c>
      <c r="E200" s="506" t="str">
        <f>IFERROR(__xludf.DUMMYFUNCTION("""COMPUTED_VALUE"""),"acm.fl@hotmail.com")</f>
        <v>acm.fl@hotmail.com</v>
      </c>
      <c r="F200" s="506" t="str">
        <f>IFERROR(__xludf.DUMMYFUNCTION("""COMPUTED_VALUE"""),"2826 SE 19 Ave Cape Coral, FL 33904")</f>
        <v>2826 SE 19 Ave Cape Coral, FL 33904</v>
      </c>
      <c r="G200" s="506" t="str">
        <f>IFERROR(__xludf.DUMMYFUNCTION("""COMPUTED_VALUE"""),"Hurricane Ian")</f>
        <v>Hurricane Ian</v>
      </c>
      <c r="H200" s="506" t="str">
        <f>IFERROR(__xludf.DUMMYFUNCTION("""COMPUTED_VALUE"""),"Reopen")</f>
        <v>Reopen</v>
      </c>
      <c r="I200" s="505" t="b">
        <v>0</v>
      </c>
      <c r="J200" s="507" t="b">
        <v>0</v>
      </c>
      <c r="K200" s="112"/>
      <c r="L200" s="505" t="b">
        <v>0</v>
      </c>
      <c r="M200" s="504" t="b">
        <v>0</v>
      </c>
      <c r="N200" s="112"/>
      <c r="O200" s="505" t="b">
        <v>0</v>
      </c>
      <c r="P200" s="504" t="b">
        <v>0</v>
      </c>
      <c r="Q200" s="116"/>
      <c r="R200" s="505" t="b">
        <v>0</v>
      </c>
      <c r="S200" s="504" t="b">
        <v>0</v>
      </c>
      <c r="T200" s="117"/>
      <c r="U200" s="505" t="b">
        <v>0</v>
      </c>
      <c r="V200" s="504" t="b">
        <v>0</v>
      </c>
      <c r="W200" s="118"/>
      <c r="X200" s="505" t="b">
        <v>0</v>
      </c>
      <c r="Y200" s="504" t="b">
        <v>0</v>
      </c>
      <c r="Z200" s="119"/>
      <c r="AA200" s="505" t="b">
        <v>0</v>
      </c>
      <c r="AB200" s="504" t="b">
        <v>0</v>
      </c>
      <c r="AC200" s="121"/>
      <c r="AD200" s="505" t="b">
        <v>0</v>
      </c>
      <c r="AE200" s="504" t="b">
        <v>0</v>
      </c>
      <c r="AF200" s="125"/>
      <c r="AG200" s="505" t="b">
        <v>0</v>
      </c>
      <c r="AH200" s="504" t="b">
        <v>0</v>
      </c>
      <c r="AI200" s="105"/>
      <c r="AJ200" s="505" t="b">
        <v>0</v>
      </c>
      <c r="AK200" s="504" t="b">
        <v>0</v>
      </c>
      <c r="AL200" s="126"/>
      <c r="AM200" s="505" t="b">
        <v>0</v>
      </c>
      <c r="AN200" s="504" t="b">
        <v>0</v>
      </c>
      <c r="AO200" s="105"/>
      <c r="AP200" s="105"/>
      <c r="AQ200" s="105"/>
      <c r="AR200" s="105"/>
      <c r="AS200" s="105"/>
      <c r="AT200" s="105"/>
      <c r="AU200" s="105"/>
      <c r="AV200" s="105"/>
      <c r="AW200" s="105"/>
      <c r="AX200" s="105"/>
      <c r="AY200" s="105"/>
      <c r="AZ200" s="105"/>
      <c r="BA200" s="105"/>
    </row>
    <row r="201">
      <c r="A201" s="506" t="str">
        <f>IFERROR(__xludf.DUMMYFUNCTION("""COMPUTED_VALUE"""),"SETTLED")</f>
        <v>SETTLED</v>
      </c>
      <c r="B201" s="506" t="str">
        <f>IFERROR(__xludf.DUMMYFUNCTION("""COMPUTED_VALUE"""),"David M.")</f>
        <v>David M.</v>
      </c>
      <c r="C201" s="506" t="str">
        <f>IFERROR(__xludf.DUMMYFUNCTION("""COMPUTED_VALUE"""),"David McClaim ")</f>
        <v>David McClaim </v>
      </c>
      <c r="D201" s="506" t="str">
        <f>IFERROR(__xludf.DUMMYFUNCTION("""COMPUTED_VALUE"""),"239-878-2068")</f>
        <v>239-878-2068</v>
      </c>
      <c r="E201" s="506" t="str">
        <f>IFERROR(__xludf.DUMMYFUNCTION("""COMPUTED_VALUE"""),"ciera.catuccio4@gmail.com")</f>
        <v>ciera.catuccio4@gmail.com</v>
      </c>
      <c r="F201" s="506" t="str">
        <f>IFERROR(__xludf.DUMMYFUNCTION("""COMPUTED_VALUE"""),"2124 Dover Ave Fort Myers, FL 33907")</f>
        <v>2124 Dover Ave Fort Myers, FL 33907</v>
      </c>
      <c r="G201" s="506" t="str">
        <f>IFERROR(__xludf.DUMMYFUNCTION("""COMPUTED_VALUE"""),"Hurricane Ian")</f>
        <v>Hurricane Ian</v>
      </c>
      <c r="H201" s="506" t="str">
        <f>IFERROR(__xludf.DUMMYFUNCTION("""COMPUTED_VALUE"""),"Reopen")</f>
        <v>Reopen</v>
      </c>
      <c r="I201" s="505" t="b">
        <v>0</v>
      </c>
      <c r="J201" s="507" t="b">
        <v>0</v>
      </c>
      <c r="K201" s="112"/>
      <c r="L201" s="505" t="b">
        <v>0</v>
      </c>
      <c r="M201" s="504" t="b">
        <v>0</v>
      </c>
      <c r="N201" s="112"/>
      <c r="O201" s="505" t="b">
        <v>0</v>
      </c>
      <c r="P201" s="504" t="b">
        <v>0</v>
      </c>
      <c r="Q201" s="116"/>
      <c r="R201" s="505" t="b">
        <v>0</v>
      </c>
      <c r="S201" s="504" t="b">
        <v>0</v>
      </c>
      <c r="T201" s="117"/>
      <c r="U201" s="505" t="b">
        <v>0</v>
      </c>
      <c r="V201" s="504" t="b">
        <v>0</v>
      </c>
      <c r="W201" s="118"/>
      <c r="X201" s="505" t="b">
        <v>0</v>
      </c>
      <c r="Y201" s="504" t="b">
        <v>0</v>
      </c>
      <c r="Z201" s="119"/>
      <c r="AA201" s="505" t="b">
        <v>0</v>
      </c>
      <c r="AB201" s="504" t="b">
        <v>0</v>
      </c>
      <c r="AC201" s="121"/>
      <c r="AD201" s="505" t="b">
        <v>0</v>
      </c>
      <c r="AE201" s="504" t="b">
        <v>0</v>
      </c>
      <c r="AF201" s="125"/>
      <c r="AG201" s="505" t="b">
        <v>0</v>
      </c>
      <c r="AH201" s="504" t="b">
        <v>0</v>
      </c>
      <c r="AI201" s="105"/>
      <c r="AJ201" s="505" t="b">
        <v>0</v>
      </c>
      <c r="AK201" s="504" t="b">
        <v>0</v>
      </c>
      <c r="AL201" s="126"/>
      <c r="AM201" s="505" t="b">
        <v>0</v>
      </c>
      <c r="AN201" s="504" t="b">
        <v>0</v>
      </c>
      <c r="AO201" s="105"/>
      <c r="AP201" s="105"/>
      <c r="AQ201" s="105"/>
      <c r="AR201" s="105"/>
      <c r="AS201" s="105"/>
      <c r="AT201" s="105"/>
      <c r="AU201" s="105"/>
      <c r="AV201" s="105"/>
      <c r="AW201" s="105"/>
      <c r="AX201" s="105"/>
      <c r="AY201" s="105"/>
      <c r="AZ201" s="105"/>
      <c r="BA201" s="105"/>
    </row>
    <row r="202">
      <c r="A202" s="506" t="str">
        <f>IFERROR(__xludf.DUMMYFUNCTION("""COMPUTED_VALUE"""),"SETTLED")</f>
        <v>SETTLED</v>
      </c>
      <c r="B202" s="506" t="str">
        <f>IFERROR(__xludf.DUMMYFUNCTION("""COMPUTED_VALUE"""),"Peter")</f>
        <v>Peter</v>
      </c>
      <c r="C202" s="506" t="str">
        <f>IFERROR(__xludf.DUMMYFUNCTION("""COMPUTED_VALUE"""),"Kevin Smith")</f>
        <v>Kevin Smith</v>
      </c>
      <c r="D202" s="506" t="str">
        <f>IFERROR(__xludf.DUMMYFUNCTION("""COMPUTED_VALUE"""),"239-229-6782")</f>
        <v>239-229-6782</v>
      </c>
      <c r="E202" s="506" t="str">
        <f>IFERROR(__xludf.DUMMYFUNCTION("""COMPUTED_VALUE"""),"nivekd1@ymail.com")</f>
        <v>nivekd1@ymail.com</v>
      </c>
      <c r="F202" s="506" t="str">
        <f>IFERROR(__xludf.DUMMYFUNCTION("""COMPUTED_VALUE"""),"5314 BYGONE ST LEHIGH ACRES, FL 33971")</f>
        <v>5314 BYGONE ST LEHIGH ACRES, FL 33971</v>
      </c>
      <c r="G202" s="506" t="str">
        <f>IFERROR(__xludf.DUMMYFUNCTION("""COMPUTED_VALUE"""),"Hurricane Ian")</f>
        <v>Hurricane Ian</v>
      </c>
      <c r="H202" s="506" t="str">
        <f>IFERROR(__xludf.DUMMYFUNCTION("""COMPUTED_VALUE"""),"New Claim")</f>
        <v>New Claim</v>
      </c>
      <c r="I202" s="505" t="b">
        <v>0</v>
      </c>
      <c r="J202" s="507" t="b">
        <v>0</v>
      </c>
      <c r="K202" s="112"/>
      <c r="L202" s="505" t="b">
        <v>0</v>
      </c>
      <c r="M202" s="504" t="b">
        <v>0</v>
      </c>
      <c r="N202" s="112"/>
      <c r="O202" s="505" t="b">
        <v>0</v>
      </c>
      <c r="P202" s="504" t="b">
        <v>0</v>
      </c>
      <c r="Q202" s="116"/>
      <c r="R202" s="505" t="b">
        <v>0</v>
      </c>
      <c r="S202" s="504" t="b">
        <v>0</v>
      </c>
      <c r="T202" s="117"/>
      <c r="U202" s="505" t="b">
        <v>0</v>
      </c>
      <c r="V202" s="504" t="b">
        <v>0</v>
      </c>
      <c r="W202" s="118"/>
      <c r="X202" s="505" t="b">
        <v>0</v>
      </c>
      <c r="Y202" s="504" t="b">
        <v>0</v>
      </c>
      <c r="Z202" s="119"/>
      <c r="AA202" s="505" t="b">
        <v>0</v>
      </c>
      <c r="AB202" s="504" t="b">
        <v>0</v>
      </c>
      <c r="AC202" s="121"/>
      <c r="AD202" s="505" t="b">
        <v>0</v>
      </c>
      <c r="AE202" s="504" t="b">
        <v>0</v>
      </c>
      <c r="AF202" s="125"/>
      <c r="AG202" s="505" t="b">
        <v>0</v>
      </c>
      <c r="AH202" s="504" t="b">
        <v>0</v>
      </c>
      <c r="AI202" s="105"/>
      <c r="AJ202" s="505" t="b">
        <v>0</v>
      </c>
      <c r="AK202" s="504" t="b">
        <v>0</v>
      </c>
      <c r="AL202" s="126"/>
      <c r="AM202" s="505" t="b">
        <v>0</v>
      </c>
      <c r="AN202" s="504" t="b">
        <v>0</v>
      </c>
      <c r="AO202" s="105"/>
      <c r="AP202" s="105"/>
      <c r="AQ202" s="105"/>
      <c r="AR202" s="105"/>
      <c r="AS202" s="105"/>
      <c r="AT202" s="105"/>
      <c r="AU202" s="105"/>
      <c r="AV202" s="105"/>
      <c r="AW202" s="105"/>
      <c r="AX202" s="105"/>
      <c r="AY202" s="105"/>
      <c r="AZ202" s="105"/>
      <c r="BA202" s="105"/>
    </row>
    <row r="203">
      <c r="A203" s="506" t="str">
        <f>IFERROR(__xludf.DUMMYFUNCTION("""COMPUTED_VALUE"""),"SETTLED")</f>
        <v>SETTLED</v>
      </c>
      <c r="B203" s="506" t="str">
        <f>IFERROR(__xludf.DUMMYFUNCTION("""COMPUTED_VALUE"""),"Ivan")</f>
        <v>Ivan</v>
      </c>
      <c r="C203" s="506" t="str">
        <f>IFERROR(__xludf.DUMMYFUNCTION("""COMPUTED_VALUE"""),"Tracy Olin")</f>
        <v>Tracy Olin</v>
      </c>
      <c r="D203" s="506" t="str">
        <f>IFERROR(__xludf.DUMMYFUNCTION("""COMPUTED_VALUE"""),"772-453-0576")</f>
        <v>772-453-0576</v>
      </c>
      <c r="E203" s="506" t="str">
        <f>IFERROR(__xludf.DUMMYFUNCTION("""COMPUTED_VALUE"""),"Dallasgirltray@aol.com")</f>
        <v>Dallasgirltray@aol.com</v>
      </c>
      <c r="F203" s="506" t="str">
        <f>IFERROR(__xludf.DUMMYFUNCTION("""COMPUTED_VALUE"""),"1475 33rd Ave. SW Vero Beach FL 32968")</f>
        <v>1475 33rd Ave. SW Vero Beach FL 32968</v>
      </c>
      <c r="G203" s="506" t="str">
        <f>IFERROR(__xludf.DUMMYFUNCTION("""COMPUTED_VALUE"""),"AWD")</f>
        <v>AWD</v>
      </c>
      <c r="H203" s="506" t="str">
        <f>IFERROR(__xludf.DUMMYFUNCTION("""COMPUTED_VALUE"""),"New Claim")</f>
        <v>New Claim</v>
      </c>
      <c r="I203" s="505" t="b">
        <v>0</v>
      </c>
      <c r="J203" s="507" t="b">
        <v>0</v>
      </c>
      <c r="K203" s="112"/>
      <c r="L203" s="505" t="b">
        <v>0</v>
      </c>
      <c r="M203" s="504" t="b">
        <v>0</v>
      </c>
      <c r="N203" s="112"/>
      <c r="O203" s="505" t="b">
        <v>0</v>
      </c>
      <c r="P203" s="504" t="b">
        <v>0</v>
      </c>
      <c r="Q203" s="116"/>
      <c r="R203" s="505" t="b">
        <v>0</v>
      </c>
      <c r="S203" s="504" t="b">
        <v>0</v>
      </c>
      <c r="T203" s="117"/>
      <c r="U203" s="505" t="b">
        <v>0</v>
      </c>
      <c r="V203" s="504" t="b">
        <v>0</v>
      </c>
      <c r="W203" s="118"/>
      <c r="X203" s="505" t="b">
        <v>0</v>
      </c>
      <c r="Y203" s="504" t="b">
        <v>0</v>
      </c>
      <c r="Z203" s="119"/>
      <c r="AA203" s="505" t="b">
        <v>0</v>
      </c>
      <c r="AB203" s="504" t="b">
        <v>0</v>
      </c>
      <c r="AC203" s="121"/>
      <c r="AD203" s="505" t="b">
        <v>0</v>
      </c>
      <c r="AE203" s="504" t="b">
        <v>0</v>
      </c>
      <c r="AF203" s="125"/>
      <c r="AG203" s="505" t="b">
        <v>0</v>
      </c>
      <c r="AH203" s="504" t="b">
        <v>0</v>
      </c>
      <c r="AI203" s="105"/>
      <c r="AJ203" s="505" t="b">
        <v>0</v>
      </c>
      <c r="AK203" s="504" t="b">
        <v>0</v>
      </c>
      <c r="AL203" s="126"/>
      <c r="AM203" s="505" t="b">
        <v>0</v>
      </c>
      <c r="AN203" s="504" t="b">
        <v>0</v>
      </c>
      <c r="AO203" s="105"/>
      <c r="AP203" s="105"/>
      <c r="AQ203" s="105"/>
      <c r="AR203" s="105"/>
      <c r="AS203" s="105"/>
      <c r="AT203" s="105"/>
      <c r="AU203" s="105"/>
      <c r="AV203" s="105"/>
      <c r="AW203" s="105"/>
      <c r="AX203" s="105"/>
      <c r="AY203" s="105"/>
      <c r="AZ203" s="105"/>
      <c r="BA203" s="105"/>
    </row>
    <row r="204">
      <c r="A204" s="506" t="str">
        <f>IFERROR(__xludf.DUMMYFUNCTION("""COMPUTED_VALUE"""),"SETTLED")</f>
        <v>SETTLED</v>
      </c>
      <c r="B204" s="506" t="str">
        <f>IFERROR(__xludf.DUMMYFUNCTION("""COMPUTED_VALUE"""),"David M.")</f>
        <v>David M.</v>
      </c>
      <c r="C204" s="506" t="str">
        <f>IFERROR(__xludf.DUMMYFUNCTION("""COMPUTED_VALUE"""),"Trenell Robinson ")</f>
        <v>Trenell Robinson </v>
      </c>
      <c r="D204" s="506" t="str">
        <f>IFERROR(__xludf.DUMMYFUNCTION("""COMPUTED_VALUE"""),"917-455-2127")</f>
        <v>917-455-2127</v>
      </c>
      <c r="E204" s="506" t="str">
        <f>IFERROR(__xludf.DUMMYFUNCTION("""COMPUTED_VALUE"""),"Trenell.robinson@yahoo.com")</f>
        <v>Trenell.robinson@yahoo.com</v>
      </c>
      <c r="F204" s="506" t="str">
        <f>IFERROR(__xludf.DUMMYFUNCTION("""COMPUTED_VALUE"""),"3014 41st ST SW Lehigh Acres FL 33976")</f>
        <v>3014 41st ST SW Lehigh Acres FL 33976</v>
      </c>
      <c r="G204" s="506" t="str">
        <f>IFERROR(__xludf.DUMMYFUNCTION("""COMPUTED_VALUE"""),"Hurricane Ian")</f>
        <v>Hurricane Ian</v>
      </c>
      <c r="H204" s="506" t="str">
        <f>IFERROR(__xludf.DUMMYFUNCTION("""COMPUTED_VALUE"""),"Reopen")</f>
        <v>Reopen</v>
      </c>
      <c r="I204" s="505" t="b">
        <v>0</v>
      </c>
      <c r="J204" s="507" t="b">
        <v>0</v>
      </c>
      <c r="K204" s="112"/>
      <c r="L204" s="505" t="b">
        <v>0</v>
      </c>
      <c r="M204" s="504" t="b">
        <v>0</v>
      </c>
      <c r="N204" s="112"/>
      <c r="O204" s="505" t="b">
        <v>0</v>
      </c>
      <c r="P204" s="504" t="b">
        <v>0</v>
      </c>
      <c r="Q204" s="116"/>
      <c r="R204" s="505" t="b">
        <v>0</v>
      </c>
      <c r="S204" s="504" t="b">
        <v>0</v>
      </c>
      <c r="T204" s="117"/>
      <c r="U204" s="505" t="b">
        <v>0</v>
      </c>
      <c r="V204" s="504" t="b">
        <v>0</v>
      </c>
      <c r="W204" s="118"/>
      <c r="X204" s="505" t="b">
        <v>0</v>
      </c>
      <c r="Y204" s="504" t="b">
        <v>0</v>
      </c>
      <c r="Z204" s="119"/>
      <c r="AA204" s="505" t="b">
        <v>0</v>
      </c>
      <c r="AB204" s="504" t="b">
        <v>0</v>
      </c>
      <c r="AC204" s="121"/>
      <c r="AD204" s="505" t="b">
        <v>0</v>
      </c>
      <c r="AE204" s="504" t="b">
        <v>0</v>
      </c>
      <c r="AF204" s="125"/>
      <c r="AG204" s="505" t="b">
        <v>0</v>
      </c>
      <c r="AH204" s="504" t="b">
        <v>0</v>
      </c>
      <c r="AI204" s="105"/>
      <c r="AJ204" s="505" t="b">
        <v>0</v>
      </c>
      <c r="AK204" s="504" t="b">
        <v>0</v>
      </c>
      <c r="AL204" s="126"/>
      <c r="AM204" s="505" t="b">
        <v>0</v>
      </c>
      <c r="AN204" s="504" t="b">
        <v>0</v>
      </c>
      <c r="AO204" s="105"/>
      <c r="AP204" s="105"/>
      <c r="AQ204" s="105"/>
      <c r="AR204" s="105"/>
      <c r="AS204" s="105"/>
      <c r="AT204" s="105"/>
      <c r="AU204" s="105"/>
      <c r="AV204" s="105"/>
      <c r="AW204" s="105"/>
      <c r="AX204" s="105"/>
      <c r="AY204" s="105"/>
      <c r="AZ204" s="105"/>
      <c r="BA204" s="105"/>
    </row>
    <row r="205">
      <c r="A205" s="506" t="str">
        <f>IFERROR(__xludf.DUMMYFUNCTION("""COMPUTED_VALUE"""),"SETTLED")</f>
        <v>SETTLED</v>
      </c>
      <c r="B205" s="506" t="str">
        <f>IFERROR(__xludf.DUMMYFUNCTION("""COMPUTED_VALUE"""),"David M.")</f>
        <v>David M.</v>
      </c>
      <c r="C205" s="506" t="str">
        <f>IFERROR(__xludf.DUMMYFUNCTION("""COMPUTED_VALUE"""),"Kerri &amp; William Koblentz")</f>
        <v>Kerri &amp; William Koblentz</v>
      </c>
      <c r="D205" s="506" t="str">
        <f>IFERROR(__xludf.DUMMYFUNCTION("""COMPUTED_VALUE"""),"863-513-6660 / 863-513-6665")</f>
        <v>863-513-6660 / 863-513-6665</v>
      </c>
      <c r="E205" s="506" t="str">
        <f>IFERROR(__xludf.DUMMYFUNCTION("""COMPUTED_VALUE"""),"Kkoblentz@yahoo.com")</f>
        <v>Kkoblentz@yahoo.com</v>
      </c>
      <c r="F205" s="506" t="str">
        <f>IFERROR(__xludf.DUMMYFUNCTION("""COMPUTED_VALUE"""),"6330 Presidential LN, Lakeland FL 33811")</f>
        <v>6330 Presidential LN, Lakeland FL 33811</v>
      </c>
      <c r="G205" s="506" t="str">
        <f>IFERROR(__xludf.DUMMYFUNCTION("""COMPUTED_VALUE"""),"Hurricane Ian")</f>
        <v>Hurricane Ian</v>
      </c>
      <c r="H205" s="506" t="str">
        <f>IFERROR(__xludf.DUMMYFUNCTION("""COMPUTED_VALUE"""),"New Claim")</f>
        <v>New Claim</v>
      </c>
      <c r="I205" s="505" t="b">
        <v>0</v>
      </c>
      <c r="J205" s="507" t="b">
        <v>0</v>
      </c>
      <c r="K205" s="112"/>
      <c r="L205" s="505" t="b">
        <v>0</v>
      </c>
      <c r="M205" s="504" t="b">
        <v>0</v>
      </c>
      <c r="N205" s="112"/>
      <c r="O205" s="505" t="b">
        <v>0</v>
      </c>
      <c r="P205" s="504" t="b">
        <v>0</v>
      </c>
      <c r="Q205" s="116"/>
      <c r="R205" s="505" t="b">
        <v>0</v>
      </c>
      <c r="S205" s="504" t="b">
        <v>0</v>
      </c>
      <c r="T205" s="117"/>
      <c r="U205" s="505" t="b">
        <v>0</v>
      </c>
      <c r="V205" s="504" t="b">
        <v>0</v>
      </c>
      <c r="W205" s="118"/>
      <c r="X205" s="505" t="b">
        <v>0</v>
      </c>
      <c r="Y205" s="504" t="b">
        <v>0</v>
      </c>
      <c r="Z205" s="119"/>
      <c r="AA205" s="505" t="b">
        <v>0</v>
      </c>
      <c r="AB205" s="504" t="b">
        <v>0</v>
      </c>
      <c r="AC205" s="121"/>
      <c r="AD205" s="505" t="b">
        <v>0</v>
      </c>
      <c r="AE205" s="504" t="b">
        <v>0</v>
      </c>
      <c r="AF205" s="125"/>
      <c r="AG205" s="505" t="b">
        <v>0</v>
      </c>
      <c r="AH205" s="504" t="b">
        <v>0</v>
      </c>
      <c r="AI205" s="105"/>
      <c r="AJ205" s="505" t="b">
        <v>0</v>
      </c>
      <c r="AK205" s="504" t="b">
        <v>0</v>
      </c>
      <c r="AL205" s="126"/>
      <c r="AM205" s="505" t="b">
        <v>0</v>
      </c>
      <c r="AN205" s="504" t="b">
        <v>0</v>
      </c>
      <c r="AO205" s="105"/>
      <c r="AP205" s="105"/>
      <c r="AQ205" s="105"/>
      <c r="AR205" s="105"/>
      <c r="AS205" s="105"/>
      <c r="AT205" s="105"/>
      <c r="AU205" s="105"/>
      <c r="AV205" s="105"/>
      <c r="AW205" s="105"/>
      <c r="AX205" s="105"/>
      <c r="AY205" s="105"/>
      <c r="AZ205" s="105"/>
      <c r="BA205" s="105"/>
    </row>
    <row r="206">
      <c r="A206" s="506" t="str">
        <f>IFERROR(__xludf.DUMMYFUNCTION("""COMPUTED_VALUE"""),"File a suit")</f>
        <v>File a suit</v>
      </c>
      <c r="B206" s="506" t="str">
        <f>IFERROR(__xludf.DUMMYFUNCTION("""COMPUTED_VALUE"""),"Jakey")</f>
        <v>Jakey</v>
      </c>
      <c r="C206" s="506" t="str">
        <f>IFERROR(__xludf.DUMMYFUNCTION("""COMPUTED_VALUE"""),"Victor Rollins")</f>
        <v>Victor Rollins</v>
      </c>
      <c r="D206" s="506" t="str">
        <f>IFERROR(__xludf.DUMMYFUNCTION("""COMPUTED_VALUE"""),"239-910-1280")</f>
        <v>239-910-1280</v>
      </c>
      <c r="E206" s="506" t="str">
        <f>IFERROR(__xludf.DUMMYFUNCTION("""COMPUTED_VALUE"""),"Rollinsbuilt@comcast.net")</f>
        <v>Rollinsbuilt@comcast.net</v>
      </c>
      <c r="F206" s="506" t="str">
        <f>IFERROR(__xludf.DUMMYFUNCTION("""COMPUTED_VALUE"""),"5730 Sw First Ct Cape Coral, FL 33914")</f>
        <v>5730 Sw First Ct Cape Coral, FL 33914</v>
      </c>
      <c r="G206" s="506" t="str">
        <f>IFERROR(__xludf.DUMMYFUNCTION("""COMPUTED_VALUE"""),"Hurricane Ian")</f>
        <v>Hurricane Ian</v>
      </c>
      <c r="H206" s="506" t="str">
        <f>IFERROR(__xludf.DUMMYFUNCTION("""COMPUTED_VALUE"""),"Reopen")</f>
        <v>Reopen</v>
      </c>
      <c r="I206" s="505" t="b">
        <v>0</v>
      </c>
      <c r="J206" s="507" t="b">
        <v>0</v>
      </c>
      <c r="K206" s="112"/>
      <c r="L206" s="505" t="b">
        <v>0</v>
      </c>
      <c r="M206" s="504" t="b">
        <v>0</v>
      </c>
      <c r="N206" s="112"/>
      <c r="O206" s="505" t="b">
        <v>0</v>
      </c>
      <c r="P206" s="504" t="b">
        <v>0</v>
      </c>
      <c r="Q206" s="116"/>
      <c r="R206" s="505" t="b">
        <v>0</v>
      </c>
      <c r="S206" s="504" t="b">
        <v>0</v>
      </c>
      <c r="T206" s="117"/>
      <c r="U206" s="505" t="b">
        <v>0</v>
      </c>
      <c r="V206" s="504" t="b">
        <v>0</v>
      </c>
      <c r="W206" s="118"/>
      <c r="X206" s="505" t="b">
        <v>0</v>
      </c>
      <c r="Y206" s="504" t="b">
        <v>0</v>
      </c>
      <c r="Z206" s="119"/>
      <c r="AA206" s="505" t="b">
        <v>0</v>
      </c>
      <c r="AB206" s="504" t="b">
        <v>0</v>
      </c>
      <c r="AC206" s="121"/>
      <c r="AD206" s="505" t="b">
        <v>0</v>
      </c>
      <c r="AE206" s="504" t="b">
        <v>0</v>
      </c>
      <c r="AF206" s="125"/>
      <c r="AG206" s="505" t="b">
        <v>0</v>
      </c>
      <c r="AH206" s="504" t="b">
        <v>0</v>
      </c>
      <c r="AI206" s="105"/>
      <c r="AJ206" s="505" t="b">
        <v>0</v>
      </c>
      <c r="AK206" s="504" t="b">
        <v>0</v>
      </c>
      <c r="AL206" s="126"/>
      <c r="AM206" s="505" t="b">
        <v>0</v>
      </c>
      <c r="AN206" s="504" t="b">
        <v>0</v>
      </c>
      <c r="AO206" s="105"/>
      <c r="AP206" s="105"/>
      <c r="AQ206" s="105"/>
      <c r="AR206" s="105"/>
      <c r="AS206" s="105"/>
      <c r="AT206" s="105"/>
      <c r="AU206" s="105"/>
      <c r="AV206" s="105"/>
      <c r="AW206" s="105"/>
      <c r="AX206" s="105"/>
      <c r="AY206" s="105"/>
      <c r="AZ206" s="105"/>
      <c r="BA206" s="105"/>
    </row>
    <row r="207">
      <c r="A207" s="506" t="str">
        <f>IFERROR(__xludf.DUMMYFUNCTION("""COMPUTED_VALUE"""),"LITIGATION")</f>
        <v>LITIGATION</v>
      </c>
      <c r="B207" s="506" t="str">
        <f>IFERROR(__xludf.DUMMYFUNCTION("""COMPUTED_VALUE"""),"David M.")</f>
        <v>David M.</v>
      </c>
      <c r="C207" s="506" t="str">
        <f>IFERROR(__xludf.DUMMYFUNCTION("""COMPUTED_VALUE"""),"John &amp; Marleni Daiello ")</f>
        <v>John &amp; Marleni Daiello </v>
      </c>
      <c r="D207" s="506" t="str">
        <f>IFERROR(__xludf.DUMMYFUNCTION("""COMPUTED_VALUE"""),"863-698-4802")</f>
        <v>863-698-4802</v>
      </c>
      <c r="E207" s="506" t="str">
        <f>IFERROR(__xludf.DUMMYFUNCTION("""COMPUTED_VALUE"""),"John.daiello@fedinc.com")</f>
        <v>John.daiello@fedinc.com</v>
      </c>
      <c r="F207" s="506" t="str">
        <f>IFERROR(__xludf.DUMMYFUNCTION("""COMPUTED_VALUE"""),"1914 Wind Meadows Dr, Bartow FL 33830")</f>
        <v>1914 Wind Meadows Dr, Bartow FL 33830</v>
      </c>
      <c r="G207" s="506" t="str">
        <f>IFERROR(__xludf.DUMMYFUNCTION("""COMPUTED_VALUE"""),"Hurricane Ian")</f>
        <v>Hurricane Ian</v>
      </c>
      <c r="H207" s="506" t="str">
        <f>IFERROR(__xludf.DUMMYFUNCTION("""COMPUTED_VALUE"""),"New Claim")</f>
        <v>New Claim</v>
      </c>
      <c r="I207" s="505" t="b">
        <v>0</v>
      </c>
      <c r="J207" s="507" t="b">
        <v>0</v>
      </c>
      <c r="K207" s="112"/>
      <c r="L207" s="505" t="b">
        <v>0</v>
      </c>
      <c r="M207" s="504" t="b">
        <v>0</v>
      </c>
      <c r="N207" s="112"/>
      <c r="O207" s="505" t="b">
        <v>0</v>
      </c>
      <c r="P207" s="504" t="b">
        <v>0</v>
      </c>
      <c r="Q207" s="116"/>
      <c r="R207" s="505" t="b">
        <v>0</v>
      </c>
      <c r="S207" s="504" t="b">
        <v>0</v>
      </c>
      <c r="T207" s="117"/>
      <c r="U207" s="505" t="b">
        <v>0</v>
      </c>
      <c r="V207" s="504" t="b">
        <v>0</v>
      </c>
      <c r="W207" s="118"/>
      <c r="X207" s="505" t="b">
        <v>0</v>
      </c>
      <c r="Y207" s="504" t="b">
        <v>0</v>
      </c>
      <c r="Z207" s="119"/>
      <c r="AA207" s="505" t="b">
        <v>0</v>
      </c>
      <c r="AB207" s="504" t="b">
        <v>0</v>
      </c>
      <c r="AC207" s="121"/>
      <c r="AD207" s="505" t="b">
        <v>0</v>
      </c>
      <c r="AE207" s="504" t="b">
        <v>0</v>
      </c>
      <c r="AF207" s="125"/>
      <c r="AG207" s="505" t="b">
        <v>0</v>
      </c>
      <c r="AH207" s="504" t="b">
        <v>0</v>
      </c>
      <c r="AI207" s="105"/>
      <c r="AJ207" s="505" t="b">
        <v>0</v>
      </c>
      <c r="AK207" s="504" t="b">
        <v>0</v>
      </c>
      <c r="AL207" s="126"/>
      <c r="AM207" s="505" t="b">
        <v>0</v>
      </c>
      <c r="AN207" s="504" t="b">
        <v>0</v>
      </c>
      <c r="AO207" s="105"/>
      <c r="AP207" s="105"/>
      <c r="AQ207" s="105"/>
      <c r="AR207" s="105"/>
      <c r="AS207" s="105"/>
      <c r="AT207" s="105"/>
      <c r="AU207" s="105"/>
      <c r="AV207" s="105"/>
      <c r="AW207" s="105"/>
      <c r="AX207" s="105"/>
      <c r="AY207" s="105"/>
      <c r="AZ207" s="105"/>
      <c r="BA207" s="105"/>
    </row>
    <row r="208">
      <c r="A208" s="506" t="str">
        <f>IFERROR(__xludf.DUMMYFUNCTION("""COMPUTED_VALUE"""),"SETTLED")</f>
        <v>SETTLED</v>
      </c>
      <c r="B208" s="506" t="str">
        <f>IFERROR(__xludf.DUMMYFUNCTION("""COMPUTED_VALUE"""),"Ivan")</f>
        <v>Ivan</v>
      </c>
      <c r="C208" s="506" t="str">
        <f>IFERROR(__xludf.DUMMYFUNCTION("""COMPUTED_VALUE"""),"Marcus Raney")</f>
        <v>Marcus Raney</v>
      </c>
      <c r="D208" s="506" t="str">
        <f>IFERROR(__xludf.DUMMYFUNCTION("""COMPUTED_VALUE"""),"614-202-9124")</f>
        <v>614-202-9124</v>
      </c>
      <c r="E208" s="506" t="str">
        <f>IFERROR(__xludf.DUMMYFUNCTION("""COMPUTED_VALUE"""),"Raneysworld@gmail.com")</f>
        <v>Raneysworld@gmail.com</v>
      </c>
      <c r="F208" s="506" t="str">
        <f>IFERROR(__xludf.DUMMYFUNCTION("""COMPUTED_VALUE"""),"7 NW 14th Ave Cape Coral, FL 33993")</f>
        <v>7 NW 14th Ave Cape Coral, FL 33993</v>
      </c>
      <c r="G208" s="506" t="str">
        <f>IFERROR(__xludf.DUMMYFUNCTION("""COMPUTED_VALUE"""),"Hurricane Helene")</f>
        <v>Hurricane Helene</v>
      </c>
      <c r="H208" s="506" t="str">
        <f>IFERROR(__xludf.DUMMYFUNCTION("""COMPUTED_VALUE"""),"New Claim")</f>
        <v>New Claim</v>
      </c>
      <c r="I208" s="505" t="b">
        <v>0</v>
      </c>
      <c r="J208" s="507" t="b">
        <v>0</v>
      </c>
      <c r="K208" s="112"/>
      <c r="L208" s="505" t="b">
        <v>0</v>
      </c>
      <c r="M208" s="504" t="b">
        <v>0</v>
      </c>
      <c r="N208" s="112"/>
      <c r="O208" s="505" t="b">
        <v>0</v>
      </c>
      <c r="P208" s="504" t="b">
        <v>0</v>
      </c>
      <c r="Q208" s="116"/>
      <c r="R208" s="505" t="b">
        <v>0</v>
      </c>
      <c r="S208" s="504" t="b">
        <v>0</v>
      </c>
      <c r="T208" s="117"/>
      <c r="U208" s="505" t="b">
        <v>0</v>
      </c>
      <c r="V208" s="504" t="b">
        <v>0</v>
      </c>
      <c r="W208" s="118"/>
      <c r="X208" s="505" t="b">
        <v>0</v>
      </c>
      <c r="Y208" s="504" t="b">
        <v>0</v>
      </c>
      <c r="Z208" s="119"/>
      <c r="AA208" s="505" t="b">
        <v>0</v>
      </c>
      <c r="AB208" s="504" t="b">
        <v>0</v>
      </c>
      <c r="AC208" s="121"/>
      <c r="AD208" s="505" t="b">
        <v>0</v>
      </c>
      <c r="AE208" s="504" t="b">
        <v>0</v>
      </c>
      <c r="AF208" s="125"/>
      <c r="AG208" s="505" t="b">
        <v>0</v>
      </c>
      <c r="AH208" s="504" t="b">
        <v>0</v>
      </c>
      <c r="AI208" s="105"/>
      <c r="AJ208" s="505" t="b">
        <v>0</v>
      </c>
      <c r="AK208" s="504" t="b">
        <v>0</v>
      </c>
      <c r="AL208" s="126"/>
      <c r="AM208" s="505" t="b">
        <v>0</v>
      </c>
      <c r="AN208" s="504" t="b">
        <v>0</v>
      </c>
      <c r="AO208" s="105"/>
      <c r="AP208" s="105"/>
      <c r="AQ208" s="105"/>
      <c r="AR208" s="105"/>
      <c r="AS208" s="105"/>
      <c r="AT208" s="105"/>
      <c r="AU208" s="105"/>
      <c r="AV208" s="105"/>
      <c r="AW208" s="105"/>
      <c r="AX208" s="105"/>
      <c r="AY208" s="105"/>
      <c r="AZ208" s="105"/>
      <c r="BA208" s="105"/>
    </row>
    <row r="209">
      <c r="A209" s="506" t="str">
        <f>IFERROR(__xludf.DUMMYFUNCTION("""COMPUTED_VALUE"""),"CLSD CLAIMS")</f>
        <v>CLSD CLAIMS</v>
      </c>
      <c r="B209" s="506" t="str">
        <f>IFERROR(__xludf.DUMMYFUNCTION("""COMPUTED_VALUE"""),"Juan")</f>
        <v>Juan</v>
      </c>
      <c r="C209" s="506" t="str">
        <f>IFERROR(__xludf.DUMMYFUNCTION("""COMPUTED_VALUE"""),"Tomas Planet Fucha")</f>
        <v>Tomas Planet Fucha</v>
      </c>
      <c r="D209" s="506" t="str">
        <f>IFERROR(__xludf.DUMMYFUNCTION("""COMPUTED_VALUE"""),"813-770-8282")</f>
        <v>813-770-8282</v>
      </c>
      <c r="E209" s="506" t="str">
        <f>IFERROR(__xludf.DUMMYFUNCTION("""COMPUTED_VALUE"""),"Caryplanet@yahoo.com")</f>
        <v>Caryplanet@yahoo.com</v>
      </c>
      <c r="F209" s="506" t="str">
        <f>IFERROR(__xludf.DUMMYFUNCTION("""COMPUTED_VALUE"""),"6502 W Clifton St Tampa, FL 33634")</f>
        <v>6502 W Clifton St Tampa, FL 33634</v>
      </c>
      <c r="G209" s="506" t="str">
        <f>IFERROR(__xludf.DUMMYFUNCTION("""COMPUTED_VALUE"""),"Hurricane Helene")</f>
        <v>Hurricane Helene</v>
      </c>
      <c r="H209" s="506" t="str">
        <f>IFERROR(__xludf.DUMMYFUNCTION("""COMPUTED_VALUE"""),"New Claim")</f>
        <v>New Claim</v>
      </c>
      <c r="I209" s="505" t="b">
        <v>0</v>
      </c>
      <c r="J209" s="507" t="b">
        <v>0</v>
      </c>
      <c r="K209" s="112"/>
      <c r="L209" s="505" t="b">
        <v>0</v>
      </c>
      <c r="M209" s="504" t="b">
        <v>0</v>
      </c>
      <c r="N209" s="112"/>
      <c r="O209" s="505" t="b">
        <v>0</v>
      </c>
      <c r="P209" s="504" t="b">
        <v>0</v>
      </c>
      <c r="Q209" s="116"/>
      <c r="R209" s="505" t="b">
        <v>0</v>
      </c>
      <c r="S209" s="504" t="b">
        <v>0</v>
      </c>
      <c r="T209" s="117"/>
      <c r="U209" s="505" t="b">
        <v>0</v>
      </c>
      <c r="V209" s="504" t="b">
        <v>0</v>
      </c>
      <c r="W209" s="118"/>
      <c r="X209" s="505" t="b">
        <v>0</v>
      </c>
      <c r="Y209" s="504" t="b">
        <v>0</v>
      </c>
      <c r="Z209" s="119"/>
      <c r="AA209" s="505" t="b">
        <v>0</v>
      </c>
      <c r="AB209" s="504" t="b">
        <v>0</v>
      </c>
      <c r="AC209" s="121"/>
      <c r="AD209" s="505" t="b">
        <v>0</v>
      </c>
      <c r="AE209" s="504" t="b">
        <v>0</v>
      </c>
      <c r="AF209" s="125"/>
      <c r="AG209" s="505" t="b">
        <v>0</v>
      </c>
      <c r="AH209" s="504" t="b">
        <v>0</v>
      </c>
      <c r="AI209" s="105"/>
      <c r="AJ209" s="505" t="b">
        <v>0</v>
      </c>
      <c r="AK209" s="504" t="b">
        <v>0</v>
      </c>
      <c r="AL209" s="126"/>
      <c r="AM209" s="505" t="b">
        <v>0</v>
      </c>
      <c r="AN209" s="504" t="b">
        <v>0</v>
      </c>
      <c r="AO209" s="105"/>
      <c r="AP209" s="105"/>
      <c r="AQ209" s="105"/>
      <c r="AR209" s="105"/>
      <c r="AS209" s="105"/>
      <c r="AT209" s="105"/>
      <c r="AU209" s="105"/>
      <c r="AV209" s="105"/>
      <c r="AW209" s="105"/>
      <c r="AX209" s="105"/>
      <c r="AY209" s="105"/>
      <c r="AZ209" s="105"/>
      <c r="BA209" s="105"/>
    </row>
    <row r="210">
      <c r="A210" s="506" t="str">
        <f>IFERROR(__xludf.DUMMYFUNCTION("""COMPUTED_VALUE"""),"SETTLED")</f>
        <v>SETTLED</v>
      </c>
      <c r="B210" s="506" t="str">
        <f>IFERROR(__xludf.DUMMYFUNCTION("""COMPUTED_VALUE"""),"Juan")</f>
        <v>Juan</v>
      </c>
      <c r="C210" s="506" t="str">
        <f>IFERROR(__xludf.DUMMYFUNCTION("""COMPUTED_VALUE"""),"Helena &amp; Todd Helbing")</f>
        <v>Helena &amp; Todd Helbing</v>
      </c>
      <c r="D210" s="506" t="str">
        <f>IFERROR(__xludf.DUMMYFUNCTION("""COMPUTED_VALUE"""),"813-240-9186 / 813-335-5986")</f>
        <v>813-240-9186 / 813-335-5986</v>
      </c>
      <c r="E210" s="506" t="str">
        <f>IFERROR(__xludf.DUMMYFUNCTION("""COMPUTED_VALUE"""),"Toddhelbing@aol.com / graetehelbing@aol.com")</f>
        <v>Toddhelbing@aol.com / graetehelbing@aol.com</v>
      </c>
      <c r="F210" s="506" t="str">
        <f>IFERROR(__xludf.DUMMYFUNCTION("""COMPUTED_VALUE"""),"6729 W Clifton St Tampa, FL 33603")</f>
        <v>6729 W Clifton St Tampa, FL 33603</v>
      </c>
      <c r="G210" s="506" t="str">
        <f>IFERROR(__xludf.DUMMYFUNCTION("""COMPUTED_VALUE"""),"Hurricane Helene")</f>
        <v>Hurricane Helene</v>
      </c>
      <c r="H210" s="506" t="str">
        <f>IFERROR(__xludf.DUMMYFUNCTION("""COMPUTED_VALUE"""),"New Claim")</f>
        <v>New Claim</v>
      </c>
      <c r="I210" s="505" t="b">
        <v>0</v>
      </c>
      <c r="J210" s="507" t="b">
        <v>0</v>
      </c>
      <c r="K210" s="112"/>
      <c r="L210" s="505" t="b">
        <v>0</v>
      </c>
      <c r="M210" s="504" t="b">
        <v>0</v>
      </c>
      <c r="N210" s="112"/>
      <c r="O210" s="505" t="b">
        <v>0</v>
      </c>
      <c r="P210" s="504" t="b">
        <v>0</v>
      </c>
      <c r="Q210" s="116"/>
      <c r="R210" s="505" t="b">
        <v>0</v>
      </c>
      <c r="S210" s="504" t="b">
        <v>0</v>
      </c>
      <c r="T210" s="117"/>
      <c r="U210" s="505" t="b">
        <v>0</v>
      </c>
      <c r="V210" s="504" t="b">
        <v>0</v>
      </c>
      <c r="W210" s="118"/>
      <c r="X210" s="505" t="b">
        <v>0</v>
      </c>
      <c r="Y210" s="504" t="b">
        <v>0</v>
      </c>
      <c r="Z210" s="119"/>
      <c r="AA210" s="505" t="b">
        <v>0</v>
      </c>
      <c r="AB210" s="504" t="b">
        <v>0</v>
      </c>
      <c r="AC210" s="121"/>
      <c r="AD210" s="505" t="b">
        <v>0</v>
      </c>
      <c r="AE210" s="504" t="b">
        <v>0</v>
      </c>
      <c r="AF210" s="125"/>
      <c r="AG210" s="505" t="b">
        <v>0</v>
      </c>
      <c r="AH210" s="504" t="b">
        <v>0</v>
      </c>
      <c r="AI210" s="105"/>
      <c r="AJ210" s="505" t="b">
        <v>0</v>
      </c>
      <c r="AK210" s="504" t="b">
        <v>0</v>
      </c>
      <c r="AL210" s="126"/>
      <c r="AM210" s="505" t="b">
        <v>0</v>
      </c>
      <c r="AN210" s="504" t="b">
        <v>0</v>
      </c>
      <c r="AO210" s="105"/>
      <c r="AP210" s="105"/>
      <c r="AQ210" s="105"/>
      <c r="AR210" s="105"/>
      <c r="AS210" s="105"/>
      <c r="AT210" s="105"/>
      <c r="AU210" s="105"/>
      <c r="AV210" s="105"/>
      <c r="AW210" s="105"/>
      <c r="AX210" s="105"/>
      <c r="AY210" s="105"/>
      <c r="AZ210" s="105"/>
      <c r="BA210" s="105"/>
    </row>
    <row r="211">
      <c r="A211" s="506" t="str">
        <f>IFERROR(__xludf.DUMMYFUNCTION("""COMPUTED_VALUE"""),"SETTLED")</f>
        <v>SETTLED</v>
      </c>
      <c r="B211" s="506" t="str">
        <f>IFERROR(__xludf.DUMMYFUNCTION("""COMPUTED_VALUE"""),"David F., Ivan")</f>
        <v>David F., Ivan</v>
      </c>
      <c r="C211" s="506" t="str">
        <f>IFERROR(__xludf.DUMMYFUNCTION("""COMPUTED_VALUE"""),"Donna Michelle Maidlow")</f>
        <v>Donna Michelle Maidlow</v>
      </c>
      <c r="D211" s="506" t="str">
        <f>IFERROR(__xludf.DUMMYFUNCTION("""COMPUTED_VALUE"""),"352-302-2785")</f>
        <v>352-302-2785</v>
      </c>
      <c r="E211" s="506" t="str">
        <f>IFERROR(__xludf.DUMMYFUNCTION("""COMPUTED_VALUE"""),"msmaidlow@yahoo.com")</f>
        <v>msmaidlow@yahoo.com</v>
      </c>
      <c r="F211" s="506" t="str">
        <f>IFERROR(__xludf.DUMMYFUNCTION("""COMPUTED_VALUE"""),"3729 W Augusta Path Lecanto, FL 34461")</f>
        <v>3729 W Augusta Path Lecanto, FL 34461</v>
      </c>
      <c r="G211" s="506" t="str">
        <f>IFERROR(__xludf.DUMMYFUNCTION("""COMPUTED_VALUE"""),"Hurricane Helene")</f>
        <v>Hurricane Helene</v>
      </c>
      <c r="H211" s="506" t="str">
        <f>IFERROR(__xludf.DUMMYFUNCTION("""COMPUTED_VALUE"""),"New Claim")</f>
        <v>New Claim</v>
      </c>
      <c r="I211" s="505" t="b">
        <v>0</v>
      </c>
      <c r="J211" s="507" t="b">
        <v>0</v>
      </c>
      <c r="K211" s="112"/>
      <c r="L211" s="505" t="b">
        <v>0</v>
      </c>
      <c r="M211" s="504" t="b">
        <v>0</v>
      </c>
      <c r="N211" s="112"/>
      <c r="O211" s="505" t="b">
        <v>0</v>
      </c>
      <c r="P211" s="504" t="b">
        <v>0</v>
      </c>
      <c r="Q211" s="116"/>
      <c r="R211" s="505" t="b">
        <v>0</v>
      </c>
      <c r="S211" s="504" t="b">
        <v>0</v>
      </c>
      <c r="T211" s="117"/>
      <c r="U211" s="505" t="b">
        <v>0</v>
      </c>
      <c r="V211" s="504" t="b">
        <v>0</v>
      </c>
      <c r="W211" s="118"/>
      <c r="X211" s="505" t="b">
        <v>0</v>
      </c>
      <c r="Y211" s="504" t="b">
        <v>0</v>
      </c>
      <c r="Z211" s="119"/>
      <c r="AA211" s="505" t="b">
        <v>0</v>
      </c>
      <c r="AB211" s="504" t="b">
        <v>0</v>
      </c>
      <c r="AC211" s="121"/>
      <c r="AD211" s="505" t="b">
        <v>0</v>
      </c>
      <c r="AE211" s="504" t="b">
        <v>0</v>
      </c>
      <c r="AF211" s="125"/>
      <c r="AG211" s="505" t="b">
        <v>0</v>
      </c>
      <c r="AH211" s="504" t="b">
        <v>0</v>
      </c>
      <c r="AI211" s="105"/>
      <c r="AJ211" s="505" t="b">
        <v>0</v>
      </c>
      <c r="AK211" s="504" t="b">
        <v>0</v>
      </c>
      <c r="AL211" s="126"/>
      <c r="AM211" s="505" t="b">
        <v>0</v>
      </c>
      <c r="AN211" s="504" t="b">
        <v>0</v>
      </c>
      <c r="AO211" s="105"/>
      <c r="AP211" s="105"/>
      <c r="AQ211" s="105"/>
      <c r="AR211" s="105"/>
      <c r="AS211" s="105"/>
      <c r="AT211" s="105"/>
      <c r="AU211" s="105"/>
      <c r="AV211" s="105"/>
      <c r="AW211" s="105"/>
      <c r="AX211" s="105"/>
      <c r="AY211" s="105"/>
      <c r="AZ211" s="105"/>
      <c r="BA211" s="105"/>
    </row>
    <row r="212">
      <c r="A212" s="506" t="str">
        <f>IFERROR(__xludf.DUMMYFUNCTION("""COMPUTED_VALUE"""),"SETTLED")</f>
        <v>SETTLED</v>
      </c>
      <c r="B212" s="506" t="str">
        <f>IFERROR(__xludf.DUMMYFUNCTION("""COMPUTED_VALUE"""),"David F., Ivan")</f>
        <v>David F., Ivan</v>
      </c>
      <c r="C212" s="506" t="str">
        <f>IFERROR(__xludf.DUMMYFUNCTION("""COMPUTED_VALUE"""),"Mayol Gutierrez")</f>
        <v>Mayol Gutierrez</v>
      </c>
      <c r="D212" s="506" t="str">
        <f>IFERROR(__xludf.DUMMYFUNCTION("""COMPUTED_VALUE"""),"352-535-7141")</f>
        <v>352-535-7141</v>
      </c>
      <c r="E212" s="506" t="str">
        <f>IFERROR(__xludf.DUMMYFUNCTION("""COMPUTED_VALUE"""),"Mayolg@yahoo.com")</f>
        <v>Mayolg@yahoo.com</v>
      </c>
      <c r="F212" s="506" t="str">
        <f>IFERROR(__xludf.DUMMYFUNCTION("""COMPUTED_VALUE"""),"5225 N Alabaster Dr. Hernando FL 34442")</f>
        <v>5225 N Alabaster Dr. Hernando FL 34442</v>
      </c>
      <c r="G212" s="506" t="str">
        <f>IFERROR(__xludf.DUMMYFUNCTION("""COMPUTED_VALUE"""),"Hurricane Helene")</f>
        <v>Hurricane Helene</v>
      </c>
      <c r="H212" s="506" t="str">
        <f>IFERROR(__xludf.DUMMYFUNCTION("""COMPUTED_VALUE"""),"New Claim")</f>
        <v>New Claim</v>
      </c>
      <c r="I212" s="505" t="b">
        <v>0</v>
      </c>
      <c r="J212" s="507" t="b">
        <v>0</v>
      </c>
      <c r="K212" s="112"/>
      <c r="L212" s="505" t="b">
        <v>0</v>
      </c>
      <c r="M212" s="504" t="b">
        <v>0</v>
      </c>
      <c r="N212" s="112"/>
      <c r="O212" s="505" t="b">
        <v>0</v>
      </c>
      <c r="P212" s="504" t="b">
        <v>0</v>
      </c>
      <c r="Q212" s="116"/>
      <c r="R212" s="505" t="b">
        <v>0</v>
      </c>
      <c r="S212" s="504" t="b">
        <v>0</v>
      </c>
      <c r="T212" s="117"/>
      <c r="U212" s="505" t="b">
        <v>0</v>
      </c>
      <c r="V212" s="504" t="b">
        <v>0</v>
      </c>
      <c r="W212" s="118"/>
      <c r="X212" s="505" t="b">
        <v>0</v>
      </c>
      <c r="Y212" s="504" t="b">
        <v>0</v>
      </c>
      <c r="Z212" s="119"/>
      <c r="AA212" s="505" t="b">
        <v>0</v>
      </c>
      <c r="AB212" s="504" t="b">
        <v>0</v>
      </c>
      <c r="AC212" s="121"/>
      <c r="AD212" s="505" t="b">
        <v>0</v>
      </c>
      <c r="AE212" s="504" t="b">
        <v>0</v>
      </c>
      <c r="AF212" s="125"/>
      <c r="AG212" s="505" t="b">
        <v>0</v>
      </c>
      <c r="AH212" s="504" t="b">
        <v>0</v>
      </c>
      <c r="AI212" s="105"/>
      <c r="AJ212" s="505" t="b">
        <v>0</v>
      </c>
      <c r="AK212" s="504" t="b">
        <v>0</v>
      </c>
      <c r="AL212" s="126"/>
      <c r="AM212" s="505" t="b">
        <v>0</v>
      </c>
      <c r="AN212" s="504" t="b">
        <v>0</v>
      </c>
      <c r="AO212" s="105"/>
      <c r="AP212" s="105"/>
      <c r="AQ212" s="105"/>
      <c r="AR212" s="105"/>
      <c r="AS212" s="105"/>
      <c r="AT212" s="105"/>
      <c r="AU212" s="105"/>
      <c r="AV212" s="105"/>
      <c r="AW212" s="105"/>
      <c r="AX212" s="105"/>
      <c r="AY212" s="105"/>
      <c r="AZ212" s="105"/>
      <c r="BA212" s="105"/>
    </row>
    <row r="213">
      <c r="A213" s="506" t="str">
        <f>IFERROR(__xludf.DUMMYFUNCTION("""COMPUTED_VALUE"""),"SETTLED")</f>
        <v>SETTLED</v>
      </c>
      <c r="B213" s="506" t="str">
        <f>IFERROR(__xludf.DUMMYFUNCTION("""COMPUTED_VALUE"""),"Ivan")</f>
        <v>Ivan</v>
      </c>
      <c r="C213" s="506" t="str">
        <f>IFERROR(__xludf.DUMMYFUNCTION("""COMPUTED_VALUE"""),"Larry Wilkie")</f>
        <v>Larry Wilkie</v>
      </c>
      <c r="D213" s="506" t="str">
        <f>IFERROR(__xludf.DUMMYFUNCTION("""COMPUTED_VALUE"""),"305-942-7187")</f>
        <v>305-942-7187</v>
      </c>
      <c r="E213" s="506" t="str">
        <f>IFERROR(__xludf.DUMMYFUNCTION("""COMPUTED_VALUE"""),"legpromotions@gmail.com")</f>
        <v>legpromotions@gmail.com</v>
      </c>
      <c r="F213" s="506" t="str">
        <f>IFERROR(__xludf.DUMMYFUNCTION("""COMPUTED_VALUE"""),"2421 Vineyard Cir Sanford, FL 32771")</f>
        <v>2421 Vineyard Cir Sanford, FL 32771</v>
      </c>
      <c r="G213" s="506" t="str">
        <f>IFERROR(__xludf.DUMMYFUNCTION("""COMPUTED_VALUE"""),"Hurricane Milton")</f>
        <v>Hurricane Milton</v>
      </c>
      <c r="H213" s="506" t="str">
        <f>IFERROR(__xludf.DUMMYFUNCTION("""COMPUTED_VALUE"""),"New Claim")</f>
        <v>New Claim</v>
      </c>
      <c r="I213" s="505" t="b">
        <v>0</v>
      </c>
      <c r="J213" s="507" t="b">
        <v>0</v>
      </c>
      <c r="K213" s="112"/>
      <c r="L213" s="505" t="b">
        <v>0</v>
      </c>
      <c r="M213" s="504" t="b">
        <v>0</v>
      </c>
      <c r="N213" s="112"/>
      <c r="O213" s="505" t="b">
        <v>0</v>
      </c>
      <c r="P213" s="504" t="b">
        <v>0</v>
      </c>
      <c r="Q213" s="116"/>
      <c r="R213" s="505" t="b">
        <v>0</v>
      </c>
      <c r="S213" s="504" t="b">
        <v>0</v>
      </c>
      <c r="T213" s="117"/>
      <c r="U213" s="505" t="b">
        <v>0</v>
      </c>
      <c r="V213" s="504" t="b">
        <v>0</v>
      </c>
      <c r="W213" s="118"/>
      <c r="X213" s="505" t="b">
        <v>0</v>
      </c>
      <c r="Y213" s="504" t="b">
        <v>0</v>
      </c>
      <c r="Z213" s="119"/>
      <c r="AA213" s="505" t="b">
        <v>0</v>
      </c>
      <c r="AB213" s="504" t="b">
        <v>0</v>
      </c>
      <c r="AC213" s="121"/>
      <c r="AD213" s="505" t="b">
        <v>0</v>
      </c>
      <c r="AE213" s="504" t="b">
        <v>0</v>
      </c>
      <c r="AF213" s="125"/>
      <c r="AG213" s="505" t="b">
        <v>0</v>
      </c>
      <c r="AH213" s="504" t="b">
        <v>0</v>
      </c>
      <c r="AI213" s="105"/>
      <c r="AJ213" s="505" t="b">
        <v>0</v>
      </c>
      <c r="AK213" s="504" t="b">
        <v>0</v>
      </c>
      <c r="AL213" s="126"/>
      <c r="AM213" s="505" t="b">
        <v>0</v>
      </c>
      <c r="AN213" s="504" t="b">
        <v>0</v>
      </c>
      <c r="AO213" s="105"/>
      <c r="AP213" s="105"/>
      <c r="AQ213" s="105"/>
      <c r="AR213" s="105"/>
      <c r="AS213" s="105"/>
      <c r="AT213" s="105"/>
      <c r="AU213" s="105"/>
      <c r="AV213" s="105"/>
      <c r="AW213" s="105"/>
      <c r="AX213" s="105"/>
      <c r="AY213" s="105"/>
      <c r="AZ213" s="105"/>
      <c r="BA213" s="105"/>
    </row>
    <row r="214">
      <c r="A214" s="506" t="str">
        <f>IFERROR(__xludf.DUMMYFUNCTION("""COMPUTED_VALUE"""),"FEES PENDING")</f>
        <v>FEES PENDING</v>
      </c>
      <c r="B214" s="506" t="str">
        <f>IFERROR(__xludf.DUMMYFUNCTION("""COMPUTED_VALUE"""),"Ivan")</f>
        <v>Ivan</v>
      </c>
      <c r="C214" s="506" t="str">
        <f>IFERROR(__xludf.DUMMYFUNCTION("""COMPUTED_VALUE"""),"Manzoorul Haq ")</f>
        <v>Manzoorul Haq </v>
      </c>
      <c r="D214" s="506" t="str">
        <f>IFERROR(__xludf.DUMMYFUNCTION("""COMPUTED_VALUE"""),"772-985-2279")</f>
        <v>772-985-2279</v>
      </c>
      <c r="E214" s="506" t="str">
        <f>IFERROR(__xludf.DUMMYFUNCTION("""COMPUTED_VALUE"""),"thisismhaq@gmail.com")</f>
        <v>thisismhaq@gmail.com</v>
      </c>
      <c r="F214" s="506" t="str">
        <f>IFERROR(__xludf.DUMMYFUNCTION("""COMPUTED_VALUE"""),"1802 SW Dalmatian Ave. Port Saint Lucie, FL 34953 ")</f>
        <v>1802 SW Dalmatian Ave. Port Saint Lucie, FL 34953 </v>
      </c>
      <c r="G214" s="506" t="str">
        <f>IFERROR(__xludf.DUMMYFUNCTION("""COMPUTED_VALUE"""),"Hurricane Milton")</f>
        <v>Hurricane Milton</v>
      </c>
      <c r="H214" s="506" t="str">
        <f>IFERROR(__xludf.DUMMYFUNCTION("""COMPUTED_VALUE"""),"New Claim")</f>
        <v>New Claim</v>
      </c>
      <c r="I214" s="505" t="b">
        <v>0</v>
      </c>
      <c r="J214" s="507" t="b">
        <v>0</v>
      </c>
      <c r="K214" s="112"/>
      <c r="L214" s="505" t="b">
        <v>0</v>
      </c>
      <c r="M214" s="504" t="b">
        <v>0</v>
      </c>
      <c r="N214" s="112"/>
      <c r="O214" s="505" t="b">
        <v>0</v>
      </c>
      <c r="P214" s="504" t="b">
        <v>0</v>
      </c>
      <c r="Q214" s="116"/>
      <c r="R214" s="505" t="b">
        <v>0</v>
      </c>
      <c r="S214" s="504" t="b">
        <v>0</v>
      </c>
      <c r="T214" s="117"/>
      <c r="U214" s="505" t="b">
        <v>0</v>
      </c>
      <c r="V214" s="504" t="b">
        <v>0</v>
      </c>
      <c r="W214" s="118"/>
      <c r="X214" s="505" t="b">
        <v>0</v>
      </c>
      <c r="Y214" s="504" t="b">
        <v>0</v>
      </c>
      <c r="Z214" s="119"/>
      <c r="AA214" s="505" t="b">
        <v>0</v>
      </c>
      <c r="AB214" s="504" t="b">
        <v>0</v>
      </c>
      <c r="AC214" s="121"/>
      <c r="AD214" s="505" t="b">
        <v>0</v>
      </c>
      <c r="AE214" s="504" t="b">
        <v>0</v>
      </c>
      <c r="AF214" s="125"/>
      <c r="AG214" s="505" t="b">
        <v>0</v>
      </c>
      <c r="AH214" s="504" t="b">
        <v>0</v>
      </c>
      <c r="AI214" s="105"/>
      <c r="AJ214" s="505" t="b">
        <v>0</v>
      </c>
      <c r="AK214" s="504" t="b">
        <v>0</v>
      </c>
      <c r="AL214" s="126"/>
      <c r="AM214" s="505" t="b">
        <v>0</v>
      </c>
      <c r="AN214" s="504" t="b">
        <v>0</v>
      </c>
      <c r="AO214" s="105"/>
      <c r="AP214" s="105"/>
      <c r="AQ214" s="105"/>
      <c r="AR214" s="105"/>
      <c r="AS214" s="105"/>
      <c r="AT214" s="105"/>
      <c r="AU214" s="105"/>
      <c r="AV214" s="105"/>
      <c r="AW214" s="105"/>
      <c r="AX214" s="105"/>
      <c r="AY214" s="105"/>
      <c r="AZ214" s="105"/>
      <c r="BA214" s="105"/>
    </row>
    <row r="215">
      <c r="A215" s="506" t="str">
        <f>IFERROR(__xludf.DUMMYFUNCTION("""COMPUTED_VALUE"""),"SETTLED")</f>
        <v>SETTLED</v>
      </c>
      <c r="B215" s="506" t="str">
        <f>IFERROR(__xludf.DUMMYFUNCTION("""COMPUTED_VALUE"""),"David F., Ivan")</f>
        <v>David F., Ivan</v>
      </c>
      <c r="C215" s="506" t="str">
        <f>IFERROR(__xludf.DUMMYFUNCTION("""COMPUTED_VALUE"""),"Chandler Maidlow")</f>
        <v>Chandler Maidlow</v>
      </c>
      <c r="D215" s="506" t="str">
        <f>IFERROR(__xludf.DUMMYFUNCTION("""COMPUTED_VALUE"""),"352-746-1855")</f>
        <v>352-746-1855</v>
      </c>
      <c r="E215" s="506" t="str">
        <f>IFERROR(__xludf.DUMMYFUNCTION("""COMPUTED_VALUE"""),"C.maidlow@gmail.com")</f>
        <v>C.maidlow@gmail.com</v>
      </c>
      <c r="F215" s="506" t="str">
        <f>IFERROR(__xludf.DUMMYFUNCTION("""COMPUTED_VALUE"""),"3728 W Augusta Path Lecanto, FL 34461")</f>
        <v>3728 W Augusta Path Lecanto, FL 34461</v>
      </c>
      <c r="G215" s="506" t="str">
        <f>IFERROR(__xludf.DUMMYFUNCTION("""COMPUTED_VALUE"""),"Hurricane Milton")</f>
        <v>Hurricane Milton</v>
      </c>
      <c r="H215" s="506" t="str">
        <f>IFERROR(__xludf.DUMMYFUNCTION("""COMPUTED_VALUE"""),"New Claim")</f>
        <v>New Claim</v>
      </c>
      <c r="I215" s="505" t="b">
        <v>0</v>
      </c>
      <c r="J215" s="507" t="b">
        <v>0</v>
      </c>
      <c r="K215" s="112"/>
      <c r="L215" s="505" t="b">
        <v>0</v>
      </c>
      <c r="M215" s="504" t="b">
        <v>0</v>
      </c>
      <c r="N215" s="112"/>
      <c r="O215" s="505" t="b">
        <v>0</v>
      </c>
      <c r="P215" s="504" t="b">
        <v>0</v>
      </c>
      <c r="Q215" s="116"/>
      <c r="R215" s="505" t="b">
        <v>0</v>
      </c>
      <c r="S215" s="504" t="b">
        <v>0</v>
      </c>
      <c r="T215" s="117"/>
      <c r="U215" s="505" t="b">
        <v>0</v>
      </c>
      <c r="V215" s="504" t="b">
        <v>0</v>
      </c>
      <c r="W215" s="118"/>
      <c r="X215" s="505" t="b">
        <v>0</v>
      </c>
      <c r="Y215" s="504" t="b">
        <v>0</v>
      </c>
      <c r="Z215" s="119"/>
      <c r="AA215" s="505" t="b">
        <v>0</v>
      </c>
      <c r="AB215" s="504" t="b">
        <v>0</v>
      </c>
      <c r="AC215" s="121"/>
      <c r="AD215" s="505" t="b">
        <v>0</v>
      </c>
      <c r="AE215" s="504" t="b">
        <v>0</v>
      </c>
      <c r="AF215" s="125"/>
      <c r="AG215" s="505" t="b">
        <v>0</v>
      </c>
      <c r="AH215" s="504" t="b">
        <v>0</v>
      </c>
      <c r="AI215" s="105"/>
      <c r="AJ215" s="505" t="b">
        <v>0</v>
      </c>
      <c r="AK215" s="504" t="b">
        <v>0</v>
      </c>
      <c r="AL215" s="126"/>
      <c r="AM215" s="505" t="b">
        <v>0</v>
      </c>
      <c r="AN215" s="504" t="b">
        <v>0</v>
      </c>
      <c r="AO215" s="105"/>
      <c r="AP215" s="105"/>
      <c r="AQ215" s="105"/>
      <c r="AR215" s="105"/>
      <c r="AS215" s="105"/>
      <c r="AT215" s="105"/>
      <c r="AU215" s="105"/>
      <c r="AV215" s="105"/>
      <c r="AW215" s="105"/>
      <c r="AX215" s="105"/>
      <c r="AY215" s="105"/>
      <c r="AZ215" s="105"/>
      <c r="BA215" s="105"/>
    </row>
    <row r="216">
      <c r="A216" s="506" t="str">
        <f>IFERROR(__xludf.DUMMYFUNCTION("""COMPUTED_VALUE"""),"SETTLED")</f>
        <v>SETTLED</v>
      </c>
      <c r="B216" s="506" t="str">
        <f>IFERROR(__xludf.DUMMYFUNCTION("""COMPUTED_VALUE"""),"David F., Ivan")</f>
        <v>David F., Ivan</v>
      </c>
      <c r="C216" s="506" t="str">
        <f>IFERROR(__xludf.DUMMYFUNCTION("""COMPUTED_VALUE"""),"Miguel Mendez")</f>
        <v>Miguel Mendez</v>
      </c>
      <c r="D216" s="506" t="str">
        <f>IFERROR(__xludf.DUMMYFUNCTION("""COMPUTED_VALUE"""),"727-688-9031")</f>
        <v>727-688-9031</v>
      </c>
      <c r="E216" s="506" t="str">
        <f>IFERROR(__xludf.DUMMYFUNCTION("""COMPUTED_VALUE"""),"mmasek18@gmail.com")</f>
        <v>mmasek18@gmail.com</v>
      </c>
      <c r="F216" s="506" t="str">
        <f>IFERROR(__xludf.DUMMYFUNCTION("""COMPUTED_VALUE"""),"13056 Sun Rd. Brooksville, FL 34613")</f>
        <v>13056 Sun Rd. Brooksville, FL 34613</v>
      </c>
      <c r="G216" s="506" t="str">
        <f>IFERROR(__xludf.DUMMYFUNCTION("""COMPUTED_VALUE"""),"Hurricane Milton")</f>
        <v>Hurricane Milton</v>
      </c>
      <c r="H216" s="506" t="str">
        <f>IFERROR(__xludf.DUMMYFUNCTION("""COMPUTED_VALUE"""),"New Claim")</f>
        <v>New Claim</v>
      </c>
      <c r="I216" s="505" t="b">
        <v>0</v>
      </c>
      <c r="J216" s="507" t="b">
        <v>0</v>
      </c>
      <c r="K216" s="112"/>
      <c r="L216" s="505" t="b">
        <v>0</v>
      </c>
      <c r="M216" s="504" t="b">
        <v>0</v>
      </c>
      <c r="N216" s="112"/>
      <c r="O216" s="505" t="b">
        <v>0</v>
      </c>
      <c r="P216" s="504" t="b">
        <v>0</v>
      </c>
      <c r="Q216" s="116"/>
      <c r="R216" s="505" t="b">
        <v>0</v>
      </c>
      <c r="S216" s="504" t="b">
        <v>0</v>
      </c>
      <c r="T216" s="117"/>
      <c r="U216" s="505" t="b">
        <v>0</v>
      </c>
      <c r="V216" s="504" t="b">
        <v>0</v>
      </c>
      <c r="W216" s="118"/>
      <c r="X216" s="505" t="b">
        <v>0</v>
      </c>
      <c r="Y216" s="504" t="b">
        <v>0</v>
      </c>
      <c r="Z216" s="119"/>
      <c r="AA216" s="505" t="b">
        <v>0</v>
      </c>
      <c r="AB216" s="504" t="b">
        <v>0</v>
      </c>
      <c r="AC216" s="121"/>
      <c r="AD216" s="505" t="b">
        <v>0</v>
      </c>
      <c r="AE216" s="504" t="b">
        <v>0</v>
      </c>
      <c r="AF216" s="125"/>
      <c r="AG216" s="505" t="b">
        <v>0</v>
      </c>
      <c r="AH216" s="504" t="b">
        <v>0</v>
      </c>
      <c r="AI216" s="105"/>
      <c r="AJ216" s="505" t="b">
        <v>0</v>
      </c>
      <c r="AK216" s="504" t="b">
        <v>0</v>
      </c>
      <c r="AL216" s="126"/>
      <c r="AM216" s="505" t="b">
        <v>0</v>
      </c>
      <c r="AN216" s="504" t="b">
        <v>0</v>
      </c>
      <c r="AO216" s="105"/>
      <c r="AP216" s="105"/>
      <c r="AQ216" s="105"/>
      <c r="AR216" s="105"/>
      <c r="AS216" s="105"/>
      <c r="AT216" s="105"/>
      <c r="AU216" s="105"/>
      <c r="AV216" s="105"/>
      <c r="AW216" s="105"/>
      <c r="AX216" s="105"/>
      <c r="AY216" s="105"/>
      <c r="AZ216" s="105"/>
      <c r="BA216" s="105"/>
    </row>
    <row r="217">
      <c r="A217" s="506" t="str">
        <f>IFERROR(__xludf.DUMMYFUNCTION("""COMPUTED_VALUE"""),"SETTLED")</f>
        <v>SETTLED</v>
      </c>
      <c r="B217" s="506" t="str">
        <f>IFERROR(__xludf.DUMMYFUNCTION("""COMPUTED_VALUE"""),"Jakey")</f>
        <v>Jakey</v>
      </c>
      <c r="C217" s="506" t="str">
        <f>IFERROR(__xludf.DUMMYFUNCTION("""COMPUTED_VALUE"""),"Joyce Webb")</f>
        <v>Joyce Webb</v>
      </c>
      <c r="D217" s="506" t="str">
        <f>IFERROR(__xludf.DUMMYFUNCTION("""COMPUTED_VALUE"""),"863-686-8316")</f>
        <v>863-686-8316</v>
      </c>
      <c r="E217" s="506" t="str">
        <f>IFERROR(__xludf.DUMMYFUNCTION("""COMPUTED_VALUE"""),"jhwebb16485@gmail.com")</f>
        <v>jhwebb16485@gmail.com</v>
      </c>
      <c r="F217" s="506" t="str">
        <f>IFERROR(__xludf.DUMMYFUNCTION("""COMPUTED_VALUE"""),"2216 Dille St Lakeland, FL 33815")</f>
        <v>2216 Dille St Lakeland, FL 33815</v>
      </c>
      <c r="G217" s="506" t="str">
        <f>IFERROR(__xludf.DUMMYFUNCTION("""COMPUTED_VALUE"""),"Hurricane Milton")</f>
        <v>Hurricane Milton</v>
      </c>
      <c r="H217" s="506" t="str">
        <f>IFERROR(__xludf.DUMMYFUNCTION("""COMPUTED_VALUE"""),"New Claim")</f>
        <v>New Claim</v>
      </c>
      <c r="I217" s="505" t="b">
        <v>0</v>
      </c>
      <c r="J217" s="507" t="b">
        <v>0</v>
      </c>
      <c r="K217" s="112"/>
      <c r="L217" s="505" t="b">
        <v>0</v>
      </c>
      <c r="M217" s="504" t="b">
        <v>0</v>
      </c>
      <c r="N217" s="112"/>
      <c r="O217" s="505" t="b">
        <v>0</v>
      </c>
      <c r="P217" s="504" t="b">
        <v>0</v>
      </c>
      <c r="Q217" s="116"/>
      <c r="R217" s="505" t="b">
        <v>0</v>
      </c>
      <c r="S217" s="504" t="b">
        <v>0</v>
      </c>
      <c r="T217" s="117"/>
      <c r="U217" s="505" t="b">
        <v>0</v>
      </c>
      <c r="V217" s="504" t="b">
        <v>0</v>
      </c>
      <c r="W217" s="118"/>
      <c r="X217" s="505" t="b">
        <v>0</v>
      </c>
      <c r="Y217" s="504" t="b">
        <v>0</v>
      </c>
      <c r="Z217" s="119"/>
      <c r="AA217" s="505" t="b">
        <v>0</v>
      </c>
      <c r="AB217" s="504" t="b">
        <v>0</v>
      </c>
      <c r="AC217" s="121"/>
      <c r="AD217" s="505" t="b">
        <v>0</v>
      </c>
      <c r="AE217" s="504" t="b">
        <v>0</v>
      </c>
      <c r="AF217" s="125"/>
      <c r="AG217" s="505" t="b">
        <v>0</v>
      </c>
      <c r="AH217" s="504" t="b">
        <v>0</v>
      </c>
      <c r="AI217" s="105"/>
      <c r="AJ217" s="505" t="b">
        <v>0</v>
      </c>
      <c r="AK217" s="504" t="b">
        <v>0</v>
      </c>
      <c r="AL217" s="126"/>
      <c r="AM217" s="505" t="b">
        <v>0</v>
      </c>
      <c r="AN217" s="504" t="b">
        <v>0</v>
      </c>
      <c r="AO217" s="105"/>
      <c r="AP217" s="105"/>
      <c r="AQ217" s="105"/>
      <c r="AR217" s="105"/>
      <c r="AS217" s="105"/>
      <c r="AT217" s="105"/>
      <c r="AU217" s="105"/>
      <c r="AV217" s="105"/>
      <c r="AW217" s="105"/>
      <c r="AX217" s="105"/>
      <c r="AY217" s="105"/>
      <c r="AZ217" s="105"/>
      <c r="BA217" s="105"/>
    </row>
    <row r="218">
      <c r="A218" s="506" t="str">
        <f>IFERROR(__xludf.DUMMYFUNCTION("""COMPUTED_VALUE"""),"SETTLED")</f>
        <v>SETTLED</v>
      </c>
      <c r="B218" s="506" t="str">
        <f>IFERROR(__xludf.DUMMYFUNCTION("""COMPUTED_VALUE"""),"Myers, Ivan")</f>
        <v>Myers, Ivan</v>
      </c>
      <c r="C218" s="506" t="str">
        <f>IFERROR(__xludf.DUMMYFUNCTION("""COMPUTED_VALUE"""),"Pierre &amp; Shirlaine Caty")</f>
        <v>Pierre &amp; Shirlaine Caty</v>
      </c>
      <c r="D218" s="506" t="str">
        <f>IFERROR(__xludf.DUMMYFUNCTION("""COMPUTED_VALUE"""),"954-716-1444")</f>
        <v>954-716-1444</v>
      </c>
      <c r="E218" s="506" t="str">
        <f>IFERROR(__xludf.DUMMYFUNCTION("""COMPUTED_VALUE"""),"Caty70pierre@gmail.com")</f>
        <v>Caty70pierre@gmail.com</v>
      </c>
      <c r="F218" s="506" t="str">
        <f>IFERROR(__xludf.DUMMYFUNCTION("""COMPUTED_VALUE"""),"1032 NW Bayshore BLVD. Port Saint Lucie, Fl 34983")</f>
        <v>1032 NW Bayshore BLVD. Port Saint Lucie, Fl 34983</v>
      </c>
      <c r="G218" s="506" t="str">
        <f>IFERROR(__xludf.DUMMYFUNCTION("""COMPUTED_VALUE"""),"Hurricane Milton")</f>
        <v>Hurricane Milton</v>
      </c>
      <c r="H218" s="506" t="str">
        <f>IFERROR(__xludf.DUMMYFUNCTION("""COMPUTED_VALUE"""),"New Claim")</f>
        <v>New Claim</v>
      </c>
      <c r="I218" s="505" t="b">
        <v>0</v>
      </c>
      <c r="J218" s="507" t="b">
        <v>0</v>
      </c>
      <c r="K218" s="112"/>
      <c r="L218" s="505" t="b">
        <v>0</v>
      </c>
      <c r="M218" s="504" t="b">
        <v>0</v>
      </c>
      <c r="N218" s="112"/>
      <c r="O218" s="505" t="b">
        <v>0</v>
      </c>
      <c r="P218" s="504" t="b">
        <v>0</v>
      </c>
      <c r="Q218" s="116"/>
      <c r="R218" s="505" t="b">
        <v>0</v>
      </c>
      <c r="S218" s="504" t="b">
        <v>0</v>
      </c>
      <c r="T218" s="117"/>
      <c r="U218" s="505" t="b">
        <v>0</v>
      </c>
      <c r="V218" s="504" t="b">
        <v>0</v>
      </c>
      <c r="W218" s="118"/>
      <c r="X218" s="505" t="b">
        <v>0</v>
      </c>
      <c r="Y218" s="504" t="b">
        <v>0</v>
      </c>
      <c r="Z218" s="119"/>
      <c r="AA218" s="505" t="b">
        <v>0</v>
      </c>
      <c r="AB218" s="504" t="b">
        <v>0</v>
      </c>
      <c r="AC218" s="121"/>
      <c r="AD218" s="505" t="b">
        <v>0</v>
      </c>
      <c r="AE218" s="504" t="b">
        <v>0</v>
      </c>
      <c r="AF218" s="125"/>
      <c r="AG218" s="505" t="b">
        <v>0</v>
      </c>
      <c r="AH218" s="504" t="b">
        <v>0</v>
      </c>
      <c r="AI218" s="105"/>
      <c r="AJ218" s="505" t="b">
        <v>0</v>
      </c>
      <c r="AK218" s="504" t="b">
        <v>0</v>
      </c>
      <c r="AL218" s="126"/>
      <c r="AM218" s="505" t="b">
        <v>0</v>
      </c>
      <c r="AN218" s="504" t="b">
        <v>0</v>
      </c>
      <c r="AO218" s="105"/>
      <c r="AP218" s="105"/>
      <c r="AQ218" s="105"/>
      <c r="AR218" s="105"/>
      <c r="AS218" s="105"/>
      <c r="AT218" s="105"/>
      <c r="AU218" s="105"/>
      <c r="AV218" s="105"/>
      <c r="AW218" s="105"/>
      <c r="AX218" s="105"/>
      <c r="AY218" s="105"/>
      <c r="AZ218" s="105"/>
      <c r="BA218" s="105"/>
    </row>
    <row r="219">
      <c r="A219" s="506" t="str">
        <f>IFERROR(__xludf.DUMMYFUNCTION("""COMPUTED_VALUE"""),"PEN O&amp;L/DEPRECIATION")</f>
        <v>PEN O&amp;L/DEPRECIATION</v>
      </c>
      <c r="B219" s="506" t="str">
        <f>IFERROR(__xludf.DUMMYFUNCTION("""COMPUTED_VALUE"""),"Myers, Ivan")</f>
        <v>Myers, Ivan</v>
      </c>
      <c r="C219" s="506" t="str">
        <f>IFERROR(__xludf.DUMMYFUNCTION("""COMPUTED_VALUE"""),"Prosper Bocaille &amp; Dazilia Pierre")</f>
        <v>Prosper Bocaille &amp; Dazilia Pierre</v>
      </c>
      <c r="D219" s="506" t="str">
        <f>IFERROR(__xludf.DUMMYFUNCTION("""COMPUTED_VALUE"""),"954-865-6297")</f>
        <v>954-865-6297</v>
      </c>
      <c r="E219" s="506" t="str">
        <f>IFERROR(__xludf.DUMMYFUNCTION("""COMPUTED_VALUE"""),"pbocaille@gmail.com")</f>
        <v>pbocaille@gmail.com</v>
      </c>
      <c r="F219" s="506" t="str">
        <f>IFERROR(__xludf.DUMMYFUNCTION("""COMPUTED_VALUE"""),"319 SE Fallon Dr. Port Saint Lucie, FL 34983")</f>
        <v>319 SE Fallon Dr. Port Saint Lucie, FL 34983</v>
      </c>
      <c r="G219" s="506" t="str">
        <f>IFERROR(__xludf.DUMMYFUNCTION("""COMPUTED_VALUE"""),"Hurricane Milton")</f>
        <v>Hurricane Milton</v>
      </c>
      <c r="H219" s="506" t="str">
        <f>IFERROR(__xludf.DUMMYFUNCTION("""COMPUTED_VALUE"""),"New Claim")</f>
        <v>New Claim</v>
      </c>
      <c r="I219" s="505" t="b">
        <v>0</v>
      </c>
      <c r="J219" s="507" t="b">
        <v>0</v>
      </c>
      <c r="K219" s="112"/>
      <c r="L219" s="505" t="b">
        <v>0</v>
      </c>
      <c r="M219" s="504" t="b">
        <v>0</v>
      </c>
      <c r="N219" s="112"/>
      <c r="O219" s="505" t="b">
        <v>0</v>
      </c>
      <c r="P219" s="504" t="b">
        <v>0</v>
      </c>
      <c r="Q219" s="116"/>
      <c r="R219" s="505" t="b">
        <v>0</v>
      </c>
      <c r="S219" s="504" t="b">
        <v>0</v>
      </c>
      <c r="T219" s="117"/>
      <c r="U219" s="505" t="b">
        <v>0</v>
      </c>
      <c r="V219" s="504" t="b">
        <v>0</v>
      </c>
      <c r="W219" s="118"/>
      <c r="X219" s="505" t="b">
        <v>0</v>
      </c>
      <c r="Y219" s="504" t="b">
        <v>0</v>
      </c>
      <c r="Z219" s="119"/>
      <c r="AA219" s="505" t="b">
        <v>0</v>
      </c>
      <c r="AB219" s="504" t="b">
        <v>0</v>
      </c>
      <c r="AC219" s="121"/>
      <c r="AD219" s="505" t="b">
        <v>0</v>
      </c>
      <c r="AE219" s="504" t="b">
        <v>0</v>
      </c>
      <c r="AF219" s="125"/>
      <c r="AG219" s="505" t="b">
        <v>0</v>
      </c>
      <c r="AH219" s="504" t="b">
        <v>0</v>
      </c>
      <c r="AI219" s="105"/>
      <c r="AJ219" s="505" t="b">
        <v>0</v>
      </c>
      <c r="AK219" s="504" t="b">
        <v>0</v>
      </c>
      <c r="AL219" s="126"/>
      <c r="AM219" s="505" t="b">
        <v>0</v>
      </c>
      <c r="AN219" s="504" t="b">
        <v>0</v>
      </c>
      <c r="AO219" s="105"/>
      <c r="AP219" s="105"/>
      <c r="AQ219" s="105"/>
      <c r="AR219" s="105"/>
      <c r="AS219" s="105"/>
      <c r="AT219" s="105"/>
      <c r="AU219" s="105"/>
      <c r="AV219" s="105"/>
      <c r="AW219" s="105"/>
      <c r="AX219" s="105"/>
      <c r="AY219" s="105"/>
      <c r="AZ219" s="105"/>
      <c r="BA219" s="105"/>
    </row>
    <row r="220">
      <c r="A220" s="506" t="str">
        <f>IFERROR(__xludf.DUMMYFUNCTION("""COMPUTED_VALUE"""),"SETTLED")</f>
        <v>SETTLED</v>
      </c>
      <c r="B220" s="506" t="str">
        <f>IFERROR(__xludf.DUMMYFUNCTION("""COMPUTED_VALUE"""),"David M., Joshua")</f>
        <v>David M., Joshua</v>
      </c>
      <c r="C220" s="506" t="str">
        <f>IFERROR(__xludf.DUMMYFUNCTION("""COMPUTED_VALUE"""),"Joan Brier ")</f>
        <v>Joan Brier </v>
      </c>
      <c r="D220" s="506" t="str">
        <f>IFERROR(__xludf.DUMMYFUNCTION("""COMPUTED_VALUE"""),"941-226-2475")</f>
        <v>941-226-2475</v>
      </c>
      <c r="E220" s="506" t="str">
        <f>IFERROR(__xludf.DUMMYFUNCTION("""COMPUTED_VALUE"""),"Ticktoken@aol.com")</f>
        <v>Ticktoken@aol.com</v>
      </c>
      <c r="F220" s="506" t="str">
        <f>IFERROR(__xludf.DUMMYFUNCTION("""COMPUTED_VALUE"""),"2111 20th Street CT W Bradenton, FL 34205")</f>
        <v>2111 20th Street CT W Bradenton, FL 34205</v>
      </c>
      <c r="G220" s="506" t="str">
        <f>IFERROR(__xludf.DUMMYFUNCTION("""COMPUTED_VALUE"""),"Hurricane Milton")</f>
        <v>Hurricane Milton</v>
      </c>
      <c r="H220" s="506" t="str">
        <f>IFERROR(__xludf.DUMMYFUNCTION("""COMPUTED_VALUE"""),"New Claim")</f>
        <v>New Claim</v>
      </c>
      <c r="I220" s="505" t="b">
        <v>0</v>
      </c>
      <c r="J220" s="507" t="b">
        <v>0</v>
      </c>
      <c r="K220" s="112"/>
      <c r="L220" s="505" t="b">
        <v>0</v>
      </c>
      <c r="M220" s="504" t="b">
        <v>0</v>
      </c>
      <c r="N220" s="112"/>
      <c r="O220" s="505" t="b">
        <v>0</v>
      </c>
      <c r="P220" s="504" t="b">
        <v>0</v>
      </c>
      <c r="Q220" s="116"/>
      <c r="R220" s="505" t="b">
        <v>0</v>
      </c>
      <c r="S220" s="504" t="b">
        <v>0</v>
      </c>
      <c r="T220" s="117"/>
      <c r="U220" s="505" t="b">
        <v>0</v>
      </c>
      <c r="V220" s="504" t="b">
        <v>0</v>
      </c>
      <c r="W220" s="118"/>
      <c r="X220" s="505" t="b">
        <v>0</v>
      </c>
      <c r="Y220" s="504" t="b">
        <v>0</v>
      </c>
      <c r="Z220" s="119"/>
      <c r="AA220" s="505" t="b">
        <v>0</v>
      </c>
      <c r="AB220" s="504" t="b">
        <v>0</v>
      </c>
      <c r="AC220" s="121"/>
      <c r="AD220" s="505" t="b">
        <v>0</v>
      </c>
      <c r="AE220" s="504" t="b">
        <v>0</v>
      </c>
      <c r="AF220" s="125"/>
      <c r="AG220" s="505" t="b">
        <v>0</v>
      </c>
      <c r="AH220" s="504" t="b">
        <v>0</v>
      </c>
      <c r="AI220" s="105"/>
      <c r="AJ220" s="505" t="b">
        <v>0</v>
      </c>
      <c r="AK220" s="504" t="b">
        <v>0</v>
      </c>
      <c r="AL220" s="126"/>
      <c r="AM220" s="505" t="b">
        <v>0</v>
      </c>
      <c r="AN220" s="504" t="b">
        <v>0</v>
      </c>
      <c r="AO220" s="105"/>
      <c r="AP220" s="105"/>
      <c r="AQ220" s="105"/>
      <c r="AR220" s="105"/>
      <c r="AS220" s="105"/>
      <c r="AT220" s="105"/>
      <c r="AU220" s="105"/>
      <c r="AV220" s="105"/>
      <c r="AW220" s="105"/>
      <c r="AX220" s="105"/>
      <c r="AY220" s="105"/>
      <c r="AZ220" s="105"/>
      <c r="BA220" s="105"/>
    </row>
    <row r="221">
      <c r="A221" s="506" t="str">
        <f>IFERROR(__xludf.DUMMYFUNCTION("""COMPUTED_VALUE"""),"SETTLED")</f>
        <v>SETTLED</v>
      </c>
      <c r="B221" s="506" t="str">
        <f>IFERROR(__xludf.DUMMYFUNCTION("""COMPUTED_VALUE"""),"David M., Joshua")</f>
        <v>David M., Joshua</v>
      </c>
      <c r="C221" s="506" t="str">
        <f>IFERROR(__xludf.DUMMYFUNCTION("""COMPUTED_VALUE"""),"Selma Garcia ")</f>
        <v>Selma Garcia </v>
      </c>
      <c r="D221" s="506" t="str">
        <f>IFERROR(__xludf.DUMMYFUNCTION("""COMPUTED_VALUE"""),"941-822-1222")</f>
        <v>941-822-1222</v>
      </c>
      <c r="E221" s="506" t="str">
        <f>IFERROR(__xludf.DUMMYFUNCTION("""COMPUTED_VALUE"""),"Djalgarcia@yahoo.com")</f>
        <v>Djalgarcia@yahoo.com</v>
      </c>
      <c r="F221" s="506" t="str">
        <f>IFERROR(__xludf.DUMMYFUNCTION("""COMPUTED_VALUE"""),"2211 26th St W Bradenton, FL 34205")</f>
        <v>2211 26th St W Bradenton, FL 34205</v>
      </c>
      <c r="G221" s="506" t="str">
        <f>IFERROR(__xludf.DUMMYFUNCTION("""COMPUTED_VALUE"""),"Hurricane Milton")</f>
        <v>Hurricane Milton</v>
      </c>
      <c r="H221" s="506" t="str">
        <f>IFERROR(__xludf.DUMMYFUNCTION("""COMPUTED_VALUE"""),"New Claim")</f>
        <v>New Claim</v>
      </c>
      <c r="I221" s="505" t="b">
        <v>0</v>
      </c>
      <c r="J221" s="507" t="b">
        <v>0</v>
      </c>
      <c r="K221" s="112"/>
      <c r="L221" s="505" t="b">
        <v>0</v>
      </c>
      <c r="M221" s="504" t="b">
        <v>0</v>
      </c>
      <c r="N221" s="112"/>
      <c r="O221" s="505" t="b">
        <v>0</v>
      </c>
      <c r="P221" s="504" t="b">
        <v>0</v>
      </c>
      <c r="Q221" s="116"/>
      <c r="R221" s="505" t="b">
        <v>0</v>
      </c>
      <c r="S221" s="504" t="b">
        <v>0</v>
      </c>
      <c r="T221" s="117"/>
      <c r="U221" s="505" t="b">
        <v>0</v>
      </c>
      <c r="V221" s="504" t="b">
        <v>0</v>
      </c>
      <c r="W221" s="118"/>
      <c r="X221" s="505" t="b">
        <v>0</v>
      </c>
      <c r="Y221" s="504" t="b">
        <v>0</v>
      </c>
      <c r="Z221" s="119"/>
      <c r="AA221" s="505" t="b">
        <v>0</v>
      </c>
      <c r="AB221" s="504" t="b">
        <v>0</v>
      </c>
      <c r="AC221" s="121"/>
      <c r="AD221" s="505" t="b">
        <v>0</v>
      </c>
      <c r="AE221" s="504" t="b">
        <v>0</v>
      </c>
      <c r="AF221" s="125"/>
      <c r="AG221" s="505" t="b">
        <v>0</v>
      </c>
      <c r="AH221" s="504" t="b">
        <v>0</v>
      </c>
      <c r="AI221" s="105"/>
      <c r="AJ221" s="505" t="b">
        <v>0</v>
      </c>
      <c r="AK221" s="504" t="b">
        <v>0</v>
      </c>
      <c r="AL221" s="126"/>
      <c r="AM221" s="505" t="b">
        <v>0</v>
      </c>
      <c r="AN221" s="504" t="b">
        <v>0</v>
      </c>
      <c r="AO221" s="105"/>
      <c r="AP221" s="105"/>
      <c r="AQ221" s="105"/>
      <c r="AR221" s="105"/>
      <c r="AS221" s="105"/>
      <c r="AT221" s="105"/>
      <c r="AU221" s="105"/>
      <c r="AV221" s="105"/>
      <c r="AW221" s="105"/>
      <c r="AX221" s="105"/>
      <c r="AY221" s="105"/>
      <c r="AZ221" s="105"/>
      <c r="BA221" s="105"/>
    </row>
    <row r="222">
      <c r="A222" s="506" t="str">
        <f>IFERROR(__xludf.DUMMYFUNCTION("""COMPUTED_VALUE"""),"LITIGATION")</f>
        <v>LITIGATION</v>
      </c>
      <c r="B222" s="506" t="str">
        <f>IFERROR(__xludf.DUMMYFUNCTION("""COMPUTED_VALUE"""),"Joshua, Hector")</f>
        <v>Joshua, Hector</v>
      </c>
      <c r="C222" s="506" t="str">
        <f>IFERROR(__xludf.DUMMYFUNCTION("""COMPUTED_VALUE"""),"Beth Ann Southerns ")</f>
        <v>Beth Ann Southerns </v>
      </c>
      <c r="D222" s="506" t="str">
        <f>IFERROR(__xludf.DUMMYFUNCTION("""COMPUTED_VALUE"""),"941-518-1106")</f>
        <v>941-518-1106</v>
      </c>
      <c r="E222" s="506" t="str">
        <f>IFERROR(__xludf.DUMMYFUNCTION("""COMPUTED_VALUE"""),"Bann1605@gmail.com")</f>
        <v>Bann1605@gmail.com</v>
      </c>
      <c r="F222" s="506" t="str">
        <f>IFERROR(__xludf.DUMMYFUNCTION("""COMPUTED_VALUE"""),"1605 29th St W Bradenton, FL 34205")</f>
        <v>1605 29th St W Bradenton, FL 34205</v>
      </c>
      <c r="G222" s="506" t="str">
        <f>IFERROR(__xludf.DUMMYFUNCTION("""COMPUTED_VALUE"""),"Hurricane Milton")</f>
        <v>Hurricane Milton</v>
      </c>
      <c r="H222" s="506" t="str">
        <f>IFERROR(__xludf.DUMMYFUNCTION("""COMPUTED_VALUE"""),"New Claim")</f>
        <v>New Claim</v>
      </c>
      <c r="I222" s="505" t="b">
        <v>0</v>
      </c>
      <c r="J222" s="507" t="b">
        <v>0</v>
      </c>
      <c r="K222" s="112"/>
      <c r="L222" s="505" t="b">
        <v>0</v>
      </c>
      <c r="M222" s="504" t="b">
        <v>0</v>
      </c>
      <c r="N222" s="112"/>
      <c r="O222" s="505" t="b">
        <v>0</v>
      </c>
      <c r="P222" s="504" t="b">
        <v>0</v>
      </c>
      <c r="Q222" s="116"/>
      <c r="R222" s="505" t="b">
        <v>0</v>
      </c>
      <c r="S222" s="504" t="b">
        <v>0</v>
      </c>
      <c r="T222" s="117"/>
      <c r="U222" s="505" t="b">
        <v>0</v>
      </c>
      <c r="V222" s="504" t="b">
        <v>0</v>
      </c>
      <c r="W222" s="118"/>
      <c r="X222" s="505" t="b">
        <v>0</v>
      </c>
      <c r="Y222" s="504" t="b">
        <v>0</v>
      </c>
      <c r="Z222" s="119"/>
      <c r="AA222" s="505" t="b">
        <v>0</v>
      </c>
      <c r="AB222" s="504" t="b">
        <v>0</v>
      </c>
      <c r="AC222" s="121"/>
      <c r="AD222" s="505" t="b">
        <v>0</v>
      </c>
      <c r="AE222" s="504" t="b">
        <v>0</v>
      </c>
      <c r="AF222" s="125"/>
      <c r="AG222" s="505" t="b">
        <v>0</v>
      </c>
      <c r="AH222" s="504" t="b">
        <v>0</v>
      </c>
      <c r="AI222" s="105"/>
      <c r="AJ222" s="505" t="b">
        <v>0</v>
      </c>
      <c r="AK222" s="504" t="b">
        <v>0</v>
      </c>
      <c r="AL222" s="126"/>
      <c r="AM222" s="505" t="b">
        <v>0</v>
      </c>
      <c r="AN222" s="504" t="b">
        <v>0</v>
      </c>
      <c r="AO222" s="105"/>
      <c r="AP222" s="105"/>
      <c r="AQ222" s="105"/>
      <c r="AR222" s="105"/>
      <c r="AS222" s="105"/>
      <c r="AT222" s="105"/>
      <c r="AU222" s="105"/>
      <c r="AV222" s="105"/>
      <c r="AW222" s="105"/>
      <c r="AX222" s="105"/>
      <c r="AY222" s="105"/>
      <c r="AZ222" s="105"/>
      <c r="BA222" s="105"/>
    </row>
    <row r="223">
      <c r="A223" s="506" t="str">
        <f>IFERROR(__xludf.DUMMYFUNCTION("""COMPUTED_VALUE"""),"SETTLED")</f>
        <v>SETTLED</v>
      </c>
      <c r="B223" s="506" t="str">
        <f>IFERROR(__xludf.DUMMYFUNCTION("""COMPUTED_VALUE"""),"Joshua")</f>
        <v>Joshua</v>
      </c>
      <c r="C223" s="506" t="str">
        <f>IFERROR(__xludf.DUMMYFUNCTION("""COMPUTED_VALUE"""),"Beata Beyer ")</f>
        <v>Beata Beyer </v>
      </c>
      <c r="D223" s="506" t="str">
        <f>IFERROR(__xludf.DUMMYFUNCTION("""COMPUTED_VALUE"""),"408-605-3867")</f>
        <v>408-605-3867</v>
      </c>
      <c r="E223" s="506" t="str">
        <f>IFERROR(__xludf.DUMMYFUNCTION("""COMPUTED_VALUE"""),"Acia64@yahoo.com")</f>
        <v>Acia64@yahoo.com</v>
      </c>
      <c r="F223" s="506" t="str">
        <f>IFERROR(__xludf.DUMMYFUNCTION("""COMPUTED_VALUE"""),"2160 Chenille Ct Venice Fl 34292")</f>
        <v>2160 Chenille Ct Venice Fl 34292</v>
      </c>
      <c r="G223" s="506" t="str">
        <f>IFERROR(__xludf.DUMMYFUNCTION("""COMPUTED_VALUE"""),"Hurricane Milton")</f>
        <v>Hurricane Milton</v>
      </c>
      <c r="H223" s="506" t="str">
        <f>IFERROR(__xludf.DUMMYFUNCTION("""COMPUTED_VALUE"""),"New Claim")</f>
        <v>New Claim</v>
      </c>
      <c r="I223" s="505" t="b">
        <v>0</v>
      </c>
      <c r="J223" s="507" t="b">
        <v>0</v>
      </c>
      <c r="K223" s="112"/>
      <c r="L223" s="505" t="b">
        <v>0</v>
      </c>
      <c r="M223" s="504" t="b">
        <v>0</v>
      </c>
      <c r="N223" s="112"/>
      <c r="O223" s="505" t="b">
        <v>0</v>
      </c>
      <c r="P223" s="504" t="b">
        <v>0</v>
      </c>
      <c r="Q223" s="116"/>
      <c r="R223" s="505" t="b">
        <v>0</v>
      </c>
      <c r="S223" s="504" t="b">
        <v>0</v>
      </c>
      <c r="T223" s="117"/>
      <c r="U223" s="505" t="b">
        <v>0</v>
      </c>
      <c r="V223" s="504" t="b">
        <v>0</v>
      </c>
      <c r="W223" s="118"/>
      <c r="X223" s="505" t="b">
        <v>0</v>
      </c>
      <c r="Y223" s="504" t="b">
        <v>0</v>
      </c>
      <c r="Z223" s="119"/>
      <c r="AA223" s="505" t="b">
        <v>0</v>
      </c>
      <c r="AB223" s="504" t="b">
        <v>0</v>
      </c>
      <c r="AC223" s="121"/>
      <c r="AD223" s="505" t="b">
        <v>0</v>
      </c>
      <c r="AE223" s="504" t="b">
        <v>0</v>
      </c>
      <c r="AF223" s="125"/>
      <c r="AG223" s="505" t="b">
        <v>0</v>
      </c>
      <c r="AH223" s="504" t="b">
        <v>0</v>
      </c>
      <c r="AI223" s="105"/>
      <c r="AJ223" s="505" t="b">
        <v>0</v>
      </c>
      <c r="AK223" s="504" t="b">
        <v>0</v>
      </c>
      <c r="AL223" s="126"/>
      <c r="AM223" s="505" t="b">
        <v>0</v>
      </c>
      <c r="AN223" s="504" t="b">
        <v>0</v>
      </c>
      <c r="AO223" s="105"/>
      <c r="AP223" s="105"/>
      <c r="AQ223" s="105"/>
      <c r="AR223" s="105"/>
      <c r="AS223" s="105"/>
      <c r="AT223" s="105"/>
      <c r="AU223" s="105"/>
      <c r="AV223" s="105"/>
      <c r="AW223" s="105"/>
      <c r="AX223" s="105"/>
      <c r="AY223" s="105"/>
      <c r="AZ223" s="105"/>
      <c r="BA223" s="105"/>
    </row>
    <row r="224">
      <c r="A224" s="506" t="str">
        <f>IFERROR(__xludf.DUMMYFUNCTION("""COMPUTED_VALUE"""),"PEN O&amp;L/DEPRECIATION")</f>
        <v>PEN O&amp;L/DEPRECIATION</v>
      </c>
      <c r="B224" s="506" t="str">
        <f>IFERROR(__xludf.DUMMYFUNCTION("""COMPUTED_VALUE"""),"David M., Joshua")</f>
        <v>David M., Joshua</v>
      </c>
      <c r="C224" s="506" t="str">
        <f>IFERROR(__xludf.DUMMYFUNCTION("""COMPUTED_VALUE"""),"Julio Guerrero")</f>
        <v>Julio Guerrero</v>
      </c>
      <c r="D224" s="506" t="str">
        <f>IFERROR(__xludf.DUMMYFUNCTION("""COMPUTED_VALUE"""),"857-919-7411")</f>
        <v>857-919-7411</v>
      </c>
      <c r="E224" s="506" t="str">
        <f>IFERROR(__xludf.DUMMYFUNCTION("""COMPUTED_VALUE"""),"Juliocesar0325@gmail.com")</f>
        <v>Juliocesar0325@gmail.com</v>
      </c>
      <c r="F224" s="506" t="str">
        <f>IFERROR(__xludf.DUMMYFUNCTION("""COMPUTED_VALUE"""),"3207 Eagle St Sarasota, FL 34235")</f>
        <v>3207 Eagle St Sarasota, FL 34235</v>
      </c>
      <c r="G224" s="506" t="str">
        <f>IFERROR(__xludf.DUMMYFUNCTION("""COMPUTED_VALUE"""),"Hurricane Milton")</f>
        <v>Hurricane Milton</v>
      </c>
      <c r="H224" s="506" t="str">
        <f>IFERROR(__xludf.DUMMYFUNCTION("""COMPUTED_VALUE"""),"New Claim")</f>
        <v>New Claim</v>
      </c>
      <c r="I224" s="505" t="b">
        <v>0</v>
      </c>
      <c r="J224" s="507" t="b">
        <v>0</v>
      </c>
      <c r="K224" s="112"/>
      <c r="L224" s="505" t="b">
        <v>0</v>
      </c>
      <c r="M224" s="504" t="b">
        <v>0</v>
      </c>
      <c r="N224" s="112"/>
      <c r="O224" s="505" t="b">
        <v>0</v>
      </c>
      <c r="P224" s="504" t="b">
        <v>0</v>
      </c>
      <c r="Q224" s="116"/>
      <c r="R224" s="505" t="b">
        <v>0</v>
      </c>
      <c r="S224" s="504" t="b">
        <v>0</v>
      </c>
      <c r="T224" s="117"/>
      <c r="U224" s="505" t="b">
        <v>0</v>
      </c>
      <c r="V224" s="504" t="b">
        <v>0</v>
      </c>
      <c r="W224" s="118"/>
      <c r="X224" s="505" t="b">
        <v>0</v>
      </c>
      <c r="Y224" s="504" t="b">
        <v>0</v>
      </c>
      <c r="Z224" s="119"/>
      <c r="AA224" s="505" t="b">
        <v>0</v>
      </c>
      <c r="AB224" s="504" t="b">
        <v>0</v>
      </c>
      <c r="AC224" s="121"/>
      <c r="AD224" s="505" t="b">
        <v>0</v>
      </c>
      <c r="AE224" s="504" t="b">
        <v>0</v>
      </c>
      <c r="AF224" s="125"/>
      <c r="AG224" s="505" t="b">
        <v>0</v>
      </c>
      <c r="AH224" s="504" t="b">
        <v>0</v>
      </c>
      <c r="AI224" s="105"/>
      <c r="AJ224" s="505" t="b">
        <v>0</v>
      </c>
      <c r="AK224" s="504" t="b">
        <v>0</v>
      </c>
      <c r="AL224" s="126"/>
      <c r="AM224" s="505" t="b">
        <v>0</v>
      </c>
      <c r="AN224" s="504" t="b">
        <v>0</v>
      </c>
      <c r="AO224" s="105"/>
      <c r="AP224" s="105"/>
      <c r="AQ224" s="105"/>
      <c r="AR224" s="105"/>
      <c r="AS224" s="105"/>
      <c r="AT224" s="105"/>
      <c r="AU224" s="105"/>
      <c r="AV224" s="105"/>
      <c r="AW224" s="105"/>
      <c r="AX224" s="105"/>
      <c r="AY224" s="105"/>
      <c r="AZ224" s="105"/>
      <c r="BA224" s="105"/>
    </row>
    <row r="225">
      <c r="A225" s="506" t="str">
        <f>IFERROR(__xludf.DUMMYFUNCTION("""COMPUTED_VALUE"""),"SETTLED")</f>
        <v>SETTLED</v>
      </c>
      <c r="B225" s="506" t="str">
        <f>IFERROR(__xludf.DUMMYFUNCTION("""COMPUTED_VALUE"""),"Joshua")</f>
        <v>Joshua</v>
      </c>
      <c r="C225" s="506" t="str">
        <f>IFERROR(__xludf.DUMMYFUNCTION("""COMPUTED_VALUE"""),"Brandon Schnitzler ")</f>
        <v>Brandon Schnitzler </v>
      </c>
      <c r="D225" s="506" t="str">
        <f>IFERROR(__xludf.DUMMYFUNCTION("""COMPUTED_VALUE"""),"813-285-8932")</f>
        <v>813-285-8932</v>
      </c>
      <c r="E225" s="506" t="str">
        <f>IFERROR(__xludf.DUMMYFUNCTION("""COMPUTED_VALUE"""),"Schnitzlerbro@gmail.com")</f>
        <v>Schnitzlerbro@gmail.com</v>
      </c>
      <c r="F225" s="506" t="str">
        <f>IFERROR(__xludf.DUMMYFUNCTION("""COMPUTED_VALUE"""),"1310 NE 1st St Mulberry FL 33860")</f>
        <v>1310 NE 1st St Mulberry FL 33860</v>
      </c>
      <c r="G225" s="506" t="str">
        <f>IFERROR(__xludf.DUMMYFUNCTION("""COMPUTED_VALUE"""),"Hurricane Milton")</f>
        <v>Hurricane Milton</v>
      </c>
      <c r="H225" s="506" t="str">
        <f>IFERROR(__xludf.DUMMYFUNCTION("""COMPUTED_VALUE"""),"New Claim")</f>
        <v>New Claim</v>
      </c>
      <c r="I225" s="505" t="b">
        <v>0</v>
      </c>
      <c r="J225" s="507" t="b">
        <v>0</v>
      </c>
      <c r="K225" s="112"/>
      <c r="L225" s="505" t="b">
        <v>0</v>
      </c>
      <c r="M225" s="504" t="b">
        <v>0</v>
      </c>
      <c r="N225" s="112"/>
      <c r="O225" s="505" t="b">
        <v>0</v>
      </c>
      <c r="P225" s="504" t="b">
        <v>0</v>
      </c>
      <c r="Q225" s="116"/>
      <c r="R225" s="505" t="b">
        <v>0</v>
      </c>
      <c r="S225" s="504" t="b">
        <v>0</v>
      </c>
      <c r="T225" s="117"/>
      <c r="U225" s="505" t="b">
        <v>0</v>
      </c>
      <c r="V225" s="504" t="b">
        <v>0</v>
      </c>
      <c r="W225" s="118"/>
      <c r="X225" s="505" t="b">
        <v>0</v>
      </c>
      <c r="Y225" s="504" t="b">
        <v>0</v>
      </c>
      <c r="Z225" s="119"/>
      <c r="AA225" s="505" t="b">
        <v>0</v>
      </c>
      <c r="AB225" s="504" t="b">
        <v>0</v>
      </c>
      <c r="AC225" s="121"/>
      <c r="AD225" s="505" t="b">
        <v>0</v>
      </c>
      <c r="AE225" s="504" t="b">
        <v>0</v>
      </c>
      <c r="AF225" s="125"/>
      <c r="AG225" s="505" t="b">
        <v>0</v>
      </c>
      <c r="AH225" s="504" t="b">
        <v>0</v>
      </c>
      <c r="AI225" s="105"/>
      <c r="AJ225" s="505" t="b">
        <v>0</v>
      </c>
      <c r="AK225" s="504" t="b">
        <v>0</v>
      </c>
      <c r="AL225" s="126"/>
      <c r="AM225" s="505" t="b">
        <v>0</v>
      </c>
      <c r="AN225" s="504" t="b">
        <v>0</v>
      </c>
      <c r="AO225" s="105"/>
      <c r="AP225" s="105"/>
      <c r="AQ225" s="105"/>
      <c r="AR225" s="105"/>
      <c r="AS225" s="105"/>
      <c r="AT225" s="105"/>
      <c r="AU225" s="105"/>
      <c r="AV225" s="105"/>
      <c r="AW225" s="105"/>
      <c r="AX225" s="105"/>
      <c r="AY225" s="105"/>
      <c r="AZ225" s="105"/>
      <c r="BA225" s="105"/>
    </row>
    <row r="226">
      <c r="A226" s="506" t="str">
        <f>IFERROR(__xludf.DUMMYFUNCTION("""COMPUTED_VALUE"""),"SETTLED")</f>
        <v>SETTLED</v>
      </c>
      <c r="B226" s="506" t="str">
        <f>IFERROR(__xludf.DUMMYFUNCTION("""COMPUTED_VALUE"""),"Jakey, Joshua")</f>
        <v>Jakey, Joshua</v>
      </c>
      <c r="C226" s="506" t="str">
        <f>IFERROR(__xludf.DUMMYFUNCTION("""COMPUTED_VALUE"""),"Chanit Tia Castle")</f>
        <v>Chanit Tia Castle</v>
      </c>
      <c r="D226" s="506" t="str">
        <f>IFERROR(__xludf.DUMMYFUNCTION("""COMPUTED_VALUE"""),"954-558-2922")</f>
        <v>954-558-2922</v>
      </c>
      <c r="E226" s="506" t="str">
        <f>IFERROR(__xludf.DUMMYFUNCTION("""COMPUTED_VALUE"""),"Tcact10@gmail.com")</f>
        <v>Tcact10@gmail.com</v>
      </c>
      <c r="F226" s="506" t="str">
        <f>IFERROR(__xludf.DUMMYFUNCTION("""COMPUTED_VALUE"""),"1812 N Conrad Ave Sarasota, FL 34234")</f>
        <v>1812 N Conrad Ave Sarasota, FL 34234</v>
      </c>
      <c r="G226" s="506" t="str">
        <f>IFERROR(__xludf.DUMMYFUNCTION("""COMPUTED_VALUE"""),"Hurricane Milton")</f>
        <v>Hurricane Milton</v>
      </c>
      <c r="H226" s="506" t="str">
        <f>IFERROR(__xludf.DUMMYFUNCTION("""COMPUTED_VALUE"""),"New Claim")</f>
        <v>New Claim</v>
      </c>
      <c r="I226" s="505" t="b">
        <v>0</v>
      </c>
      <c r="J226" s="507" t="b">
        <v>0</v>
      </c>
      <c r="K226" s="112"/>
      <c r="L226" s="505" t="b">
        <v>0</v>
      </c>
      <c r="M226" s="504" t="b">
        <v>0</v>
      </c>
      <c r="N226" s="112"/>
      <c r="O226" s="505" t="b">
        <v>0</v>
      </c>
      <c r="P226" s="504" t="b">
        <v>0</v>
      </c>
      <c r="Q226" s="116"/>
      <c r="R226" s="505" t="b">
        <v>0</v>
      </c>
      <c r="S226" s="504" t="b">
        <v>0</v>
      </c>
      <c r="T226" s="117"/>
      <c r="U226" s="505" t="b">
        <v>0</v>
      </c>
      <c r="V226" s="504" t="b">
        <v>0</v>
      </c>
      <c r="W226" s="118"/>
      <c r="X226" s="505" t="b">
        <v>0</v>
      </c>
      <c r="Y226" s="504" t="b">
        <v>0</v>
      </c>
      <c r="Z226" s="119"/>
      <c r="AA226" s="505" t="b">
        <v>0</v>
      </c>
      <c r="AB226" s="504" t="b">
        <v>0</v>
      </c>
      <c r="AC226" s="121"/>
      <c r="AD226" s="505" t="b">
        <v>0</v>
      </c>
      <c r="AE226" s="504" t="b">
        <v>0</v>
      </c>
      <c r="AF226" s="125"/>
      <c r="AG226" s="505" t="b">
        <v>0</v>
      </c>
      <c r="AH226" s="504" t="b">
        <v>0</v>
      </c>
      <c r="AI226" s="105"/>
      <c r="AJ226" s="505" t="b">
        <v>0</v>
      </c>
      <c r="AK226" s="504" t="b">
        <v>0</v>
      </c>
      <c r="AL226" s="126"/>
      <c r="AM226" s="505" t="b">
        <v>0</v>
      </c>
      <c r="AN226" s="504" t="b">
        <v>0</v>
      </c>
      <c r="AO226" s="105"/>
      <c r="AP226" s="105"/>
      <c r="AQ226" s="105"/>
      <c r="AR226" s="105"/>
      <c r="AS226" s="105"/>
      <c r="AT226" s="105"/>
      <c r="AU226" s="105"/>
      <c r="AV226" s="105"/>
      <c r="AW226" s="105"/>
      <c r="AX226" s="105"/>
      <c r="AY226" s="105"/>
      <c r="AZ226" s="105"/>
      <c r="BA226" s="105"/>
    </row>
    <row r="227">
      <c r="A227" s="105" t="str">
        <f>IFERROR(__xludf.DUMMYFUNCTION("""COMPUTED_VALUE"""),"SETTLED")</f>
        <v>SETTLED</v>
      </c>
      <c r="B227" s="506" t="str">
        <f>IFERROR(__xludf.DUMMYFUNCTION("""COMPUTED_VALUE"""),"Juan")</f>
        <v>Juan</v>
      </c>
      <c r="C227" s="506" t="str">
        <f>IFERROR(__xludf.DUMMYFUNCTION("""COMPUTED_VALUE"""),"Luz &amp; Jose Rincon")</f>
        <v>Luz &amp; Jose Rincon</v>
      </c>
      <c r="D227" s="506" t="str">
        <f>IFERROR(__xludf.DUMMYFUNCTION("""COMPUTED_VALUE"""),"954-479-4489")</f>
        <v>954-479-4489</v>
      </c>
      <c r="E227" s="506" t="str">
        <f>IFERROR(__xludf.DUMMYFUNCTION("""COMPUTED_VALUE"""),"Luzstellarincon@hotmail.com")</f>
        <v>Luzstellarincon@hotmail.com</v>
      </c>
      <c r="F227" s="506" t="str">
        <f>IFERROR(__xludf.DUMMYFUNCTION("""COMPUTED_VALUE"""),"1941 NW 85th Ter, Gainesville, FL 32606")</f>
        <v>1941 NW 85th Ter, Gainesville, FL 32606</v>
      </c>
      <c r="G227" s="506" t="str">
        <f>IFERROR(__xludf.DUMMYFUNCTION("""COMPUTED_VALUE"""),"Hurricane Helene")</f>
        <v>Hurricane Helene</v>
      </c>
      <c r="H227" s="506" t="str">
        <f>IFERROR(__xludf.DUMMYFUNCTION("""COMPUTED_VALUE"""),"New Claim")</f>
        <v>New Claim</v>
      </c>
      <c r="I227" s="505" t="b">
        <v>0</v>
      </c>
      <c r="J227" s="507" t="b">
        <v>0</v>
      </c>
      <c r="K227" s="112"/>
      <c r="L227" s="505" t="b">
        <v>0</v>
      </c>
      <c r="M227" s="504" t="b">
        <v>0</v>
      </c>
      <c r="N227" s="112"/>
      <c r="O227" s="505" t="b">
        <v>0</v>
      </c>
      <c r="P227" s="504" t="b">
        <v>0</v>
      </c>
      <c r="Q227" s="116"/>
      <c r="R227" s="505" t="b">
        <v>0</v>
      </c>
      <c r="S227" s="504" t="b">
        <v>0</v>
      </c>
      <c r="T227" s="117"/>
      <c r="U227" s="505" t="b">
        <v>0</v>
      </c>
      <c r="V227" s="504" t="b">
        <v>0</v>
      </c>
      <c r="W227" s="118"/>
      <c r="X227" s="505" t="b">
        <v>0</v>
      </c>
      <c r="Y227" s="504" t="b">
        <v>0</v>
      </c>
      <c r="Z227" s="119"/>
      <c r="AA227" s="505" t="b">
        <v>0</v>
      </c>
      <c r="AB227" s="504" t="b">
        <v>0</v>
      </c>
      <c r="AC227" s="121"/>
      <c r="AD227" s="505" t="b">
        <v>0</v>
      </c>
      <c r="AE227" s="504" t="b">
        <v>0</v>
      </c>
      <c r="AF227" s="125"/>
      <c r="AG227" s="505" t="b">
        <v>0</v>
      </c>
      <c r="AH227" s="504" t="b">
        <v>0</v>
      </c>
      <c r="AI227" s="105"/>
      <c r="AJ227" s="505" t="b">
        <v>0</v>
      </c>
      <c r="AK227" s="504" t="b">
        <v>0</v>
      </c>
      <c r="AL227" s="126"/>
      <c r="AM227" s="505" t="b">
        <v>0</v>
      </c>
      <c r="AN227" s="504" t="b">
        <v>0</v>
      </c>
      <c r="AO227" s="105"/>
      <c r="AP227" s="105"/>
      <c r="AQ227" s="105"/>
      <c r="AR227" s="105"/>
      <c r="AS227" s="105"/>
      <c r="AT227" s="105"/>
      <c r="AU227" s="105"/>
      <c r="AV227" s="105"/>
      <c r="AW227" s="105"/>
      <c r="AX227" s="105"/>
      <c r="AY227" s="105"/>
      <c r="AZ227" s="105"/>
      <c r="BA227" s="105"/>
    </row>
    <row r="228">
      <c r="A228" s="506" t="str">
        <f>IFERROR(__xludf.DUMMYFUNCTION("""COMPUTED_VALUE"""),"SETTLED")</f>
        <v>SETTLED</v>
      </c>
      <c r="B228" s="506" t="str">
        <f>IFERROR(__xludf.DUMMYFUNCTION("""COMPUTED_VALUE"""),"Juan")</f>
        <v>Juan</v>
      </c>
      <c r="C228" s="506" t="str">
        <f>IFERROR(__xludf.DUMMYFUNCTION("""COMPUTED_VALUE"""),"Kathleen Morrison")</f>
        <v>Kathleen Morrison</v>
      </c>
      <c r="D228" s="506" t="str">
        <f>IFERROR(__xludf.DUMMYFUNCTION("""COMPUTED_VALUE"""),"941-217-9194")</f>
        <v>941-217-9194</v>
      </c>
      <c r="E228" s="506" t="str">
        <f>IFERROR(__xludf.DUMMYFUNCTION("""COMPUTED_VALUE"""),"Amorrisonsrq@gmail.com")</f>
        <v>Amorrisonsrq@gmail.com</v>
      </c>
      <c r="F228" s="506" t="str">
        <f>IFERROR(__xludf.DUMMYFUNCTION("""COMPUTED_VALUE"""),"1006 Southern Pine Ln Sarasota, FL 34243")</f>
        <v>1006 Southern Pine Ln Sarasota, FL 34243</v>
      </c>
      <c r="G228" s="506" t="str">
        <f>IFERROR(__xludf.DUMMYFUNCTION("""COMPUTED_VALUE"""),"Hurricane Milton")</f>
        <v>Hurricane Milton</v>
      </c>
      <c r="H228" s="506" t="str">
        <f>IFERROR(__xludf.DUMMYFUNCTION("""COMPUTED_VALUE"""),"New Claim")</f>
        <v>New Claim</v>
      </c>
      <c r="I228" s="505" t="b">
        <v>0</v>
      </c>
      <c r="J228" s="507" t="b">
        <v>0</v>
      </c>
      <c r="K228" s="112"/>
      <c r="L228" s="505" t="b">
        <v>0</v>
      </c>
      <c r="M228" s="504" t="b">
        <v>0</v>
      </c>
      <c r="N228" s="112"/>
      <c r="O228" s="505" t="b">
        <v>0</v>
      </c>
      <c r="P228" s="504" t="b">
        <v>0</v>
      </c>
      <c r="Q228" s="116"/>
      <c r="R228" s="505" t="b">
        <v>0</v>
      </c>
      <c r="S228" s="504" t="b">
        <v>0</v>
      </c>
      <c r="T228" s="117"/>
      <c r="U228" s="505" t="b">
        <v>0</v>
      </c>
      <c r="V228" s="504" t="b">
        <v>0</v>
      </c>
      <c r="W228" s="118"/>
      <c r="X228" s="505" t="b">
        <v>0</v>
      </c>
      <c r="Y228" s="504" t="b">
        <v>0</v>
      </c>
      <c r="Z228" s="119"/>
      <c r="AA228" s="505" t="b">
        <v>0</v>
      </c>
      <c r="AB228" s="504" t="b">
        <v>0</v>
      </c>
      <c r="AC228" s="121"/>
      <c r="AD228" s="505" t="b">
        <v>0</v>
      </c>
      <c r="AE228" s="504" t="b">
        <v>0</v>
      </c>
      <c r="AF228" s="125"/>
      <c r="AG228" s="505" t="b">
        <v>0</v>
      </c>
      <c r="AH228" s="504" t="b">
        <v>0</v>
      </c>
      <c r="AI228" s="105"/>
      <c r="AJ228" s="505" t="b">
        <v>0</v>
      </c>
      <c r="AK228" s="504" t="b">
        <v>0</v>
      </c>
      <c r="AL228" s="126"/>
      <c r="AM228" s="505" t="b">
        <v>0</v>
      </c>
      <c r="AN228" s="504" t="b">
        <v>0</v>
      </c>
      <c r="AO228" s="105"/>
      <c r="AP228" s="105"/>
      <c r="AQ228" s="105"/>
      <c r="AR228" s="105"/>
      <c r="AS228" s="105"/>
      <c r="AT228" s="105"/>
      <c r="AU228" s="105"/>
      <c r="AV228" s="105"/>
      <c r="AW228" s="105"/>
      <c r="AX228" s="105"/>
      <c r="AY228" s="105"/>
      <c r="AZ228" s="105"/>
      <c r="BA228" s="105"/>
    </row>
    <row r="229">
      <c r="A229" s="506" t="str">
        <f>IFERROR(__xludf.DUMMYFUNCTION("""COMPUTED_VALUE"""),"SETTLED")</f>
        <v>SETTLED</v>
      </c>
      <c r="B229" s="506" t="str">
        <f>IFERROR(__xludf.DUMMYFUNCTION("""COMPUTED_VALUE"""),"Joshua, Hector")</f>
        <v>Joshua, Hector</v>
      </c>
      <c r="C229" s="506" t="str">
        <f>IFERROR(__xludf.DUMMYFUNCTION("""COMPUTED_VALUE"""),"Jason Pellett")</f>
        <v>Jason Pellett</v>
      </c>
      <c r="D229" s="506" t="str">
        <f>IFERROR(__xludf.DUMMYFUNCTION("""COMPUTED_VALUE"""),"239-248-6599")</f>
        <v>239-248-6599</v>
      </c>
      <c r="E229" s="506" t="str">
        <f>IFERROR(__xludf.DUMMYFUNCTION("""COMPUTED_VALUE"""),"Jason.pellett@yahoo.com")</f>
        <v>Jason.pellett@yahoo.com</v>
      </c>
      <c r="F229" s="506" t="str">
        <f>IFERROR(__xludf.DUMMYFUNCTION("""COMPUTED_VALUE"""),"15782 High Bell Place Bradenton, FL 34212")</f>
        <v>15782 High Bell Place Bradenton, FL 34212</v>
      </c>
      <c r="G229" s="506" t="str">
        <f>IFERROR(__xludf.DUMMYFUNCTION("""COMPUTED_VALUE"""),"Hurricane Milton")</f>
        <v>Hurricane Milton</v>
      </c>
      <c r="H229" s="506" t="str">
        <f>IFERROR(__xludf.DUMMYFUNCTION("""COMPUTED_VALUE"""),"New Claim")</f>
        <v>New Claim</v>
      </c>
      <c r="I229" s="505" t="b">
        <v>0</v>
      </c>
      <c r="J229" s="507" t="b">
        <v>0</v>
      </c>
      <c r="K229" s="112"/>
      <c r="L229" s="505" t="b">
        <v>0</v>
      </c>
      <c r="M229" s="504" t="b">
        <v>0</v>
      </c>
      <c r="N229" s="112"/>
      <c r="O229" s="505" t="b">
        <v>0</v>
      </c>
      <c r="P229" s="504" t="b">
        <v>0</v>
      </c>
      <c r="Q229" s="116"/>
      <c r="R229" s="505" t="b">
        <v>0</v>
      </c>
      <c r="S229" s="504" t="b">
        <v>0</v>
      </c>
      <c r="T229" s="117"/>
      <c r="U229" s="505" t="b">
        <v>0</v>
      </c>
      <c r="V229" s="504" t="b">
        <v>0</v>
      </c>
      <c r="W229" s="118"/>
      <c r="X229" s="505" t="b">
        <v>0</v>
      </c>
      <c r="Y229" s="504" t="b">
        <v>0</v>
      </c>
      <c r="Z229" s="119"/>
      <c r="AA229" s="505" t="b">
        <v>0</v>
      </c>
      <c r="AB229" s="504" t="b">
        <v>0</v>
      </c>
      <c r="AC229" s="121"/>
      <c r="AD229" s="505" t="b">
        <v>0</v>
      </c>
      <c r="AE229" s="504" t="b">
        <v>0</v>
      </c>
      <c r="AF229" s="125"/>
      <c r="AG229" s="505" t="b">
        <v>0</v>
      </c>
      <c r="AH229" s="504" t="b">
        <v>0</v>
      </c>
      <c r="AI229" s="105"/>
      <c r="AJ229" s="505" t="b">
        <v>0</v>
      </c>
      <c r="AK229" s="504" t="b">
        <v>0</v>
      </c>
      <c r="AL229" s="126"/>
      <c r="AM229" s="505" t="b">
        <v>0</v>
      </c>
      <c r="AN229" s="504" t="b">
        <v>0</v>
      </c>
      <c r="AO229" s="105"/>
      <c r="AP229" s="105"/>
      <c r="AQ229" s="105"/>
      <c r="AR229" s="105"/>
      <c r="AS229" s="105"/>
      <c r="AT229" s="105"/>
      <c r="AU229" s="105"/>
      <c r="AV229" s="105"/>
      <c r="AW229" s="105"/>
      <c r="AX229" s="105"/>
      <c r="AY229" s="105"/>
      <c r="AZ229" s="105"/>
      <c r="BA229" s="105"/>
    </row>
    <row r="230">
      <c r="A230" s="506" t="str">
        <f>IFERROR(__xludf.DUMMYFUNCTION("""COMPUTED_VALUE"""),"SETTLED")</f>
        <v>SETTLED</v>
      </c>
      <c r="B230" s="506" t="str">
        <f>IFERROR(__xludf.DUMMYFUNCTION("""COMPUTED_VALUE"""),"Joshua, Hector")</f>
        <v>Joshua, Hector</v>
      </c>
      <c r="C230" s="506" t="str">
        <f>IFERROR(__xludf.DUMMYFUNCTION("""COMPUTED_VALUE"""),"Maria Aguila")</f>
        <v>Maria Aguila</v>
      </c>
      <c r="D230" s="105" t="str">
        <f>IFERROR(__xludf.DUMMYFUNCTION("""COMPUTED_VALUE"""),"941-400-9534")</f>
        <v>941-400-9534</v>
      </c>
      <c r="E230" s="506" t="str">
        <f>IFERROR(__xludf.DUMMYFUNCTION("""COMPUTED_VALUE"""),"Maria.aguila.realtor@gmail.com")</f>
        <v>Maria.aguila.realtor@gmail.com</v>
      </c>
      <c r="F230" s="506" t="str">
        <f>IFERROR(__xludf.DUMMYFUNCTION("""COMPUTED_VALUE"""),"15753 High Bell Place Bradenton, FL 34212")</f>
        <v>15753 High Bell Place Bradenton, FL 34212</v>
      </c>
      <c r="G230" s="506" t="str">
        <f>IFERROR(__xludf.DUMMYFUNCTION("""COMPUTED_VALUE"""),"Hurricane Milton")</f>
        <v>Hurricane Milton</v>
      </c>
      <c r="H230" s="506" t="str">
        <f>IFERROR(__xludf.DUMMYFUNCTION("""COMPUTED_VALUE"""),"New Claim")</f>
        <v>New Claim</v>
      </c>
      <c r="I230" s="505" t="b">
        <v>0</v>
      </c>
      <c r="J230" s="507" t="b">
        <v>0</v>
      </c>
      <c r="K230" s="112"/>
      <c r="L230" s="505" t="b">
        <v>0</v>
      </c>
      <c r="M230" s="504" t="b">
        <v>0</v>
      </c>
      <c r="N230" s="112"/>
      <c r="O230" s="505" t="b">
        <v>0</v>
      </c>
      <c r="P230" s="504" t="b">
        <v>0</v>
      </c>
      <c r="Q230" s="116"/>
      <c r="R230" s="505" t="b">
        <v>0</v>
      </c>
      <c r="S230" s="504" t="b">
        <v>0</v>
      </c>
      <c r="T230" s="117"/>
      <c r="U230" s="505" t="b">
        <v>0</v>
      </c>
      <c r="V230" s="504" t="b">
        <v>0</v>
      </c>
      <c r="W230" s="118"/>
      <c r="X230" s="505" t="b">
        <v>0</v>
      </c>
      <c r="Y230" s="504" t="b">
        <v>0</v>
      </c>
      <c r="Z230" s="119"/>
      <c r="AA230" s="505" t="b">
        <v>0</v>
      </c>
      <c r="AB230" s="504" t="b">
        <v>0</v>
      </c>
      <c r="AC230" s="121"/>
      <c r="AD230" s="505" t="b">
        <v>0</v>
      </c>
      <c r="AE230" s="504" t="b">
        <v>0</v>
      </c>
      <c r="AF230" s="125"/>
      <c r="AG230" s="505" t="b">
        <v>0</v>
      </c>
      <c r="AH230" s="504" t="b">
        <v>0</v>
      </c>
      <c r="AI230" s="105"/>
      <c r="AJ230" s="505" t="b">
        <v>0</v>
      </c>
      <c r="AK230" s="504" t="b">
        <v>0</v>
      </c>
      <c r="AL230" s="126"/>
      <c r="AM230" s="505" t="b">
        <v>0</v>
      </c>
      <c r="AN230" s="504" t="b">
        <v>0</v>
      </c>
      <c r="AO230" s="105"/>
      <c r="AP230" s="105"/>
      <c r="AQ230" s="105"/>
      <c r="AR230" s="105"/>
      <c r="AS230" s="105"/>
      <c r="AT230" s="105"/>
      <c r="AU230" s="105"/>
      <c r="AV230" s="105"/>
      <c r="AW230" s="105"/>
      <c r="AX230" s="105"/>
      <c r="AY230" s="105"/>
      <c r="AZ230" s="105"/>
      <c r="BA230" s="105"/>
    </row>
    <row r="231">
      <c r="A231" s="105" t="str">
        <f>IFERROR(__xludf.DUMMYFUNCTION("""COMPUTED_VALUE"""),"LITIGATION")</f>
        <v>LITIGATION</v>
      </c>
      <c r="B231" s="506" t="str">
        <f>IFERROR(__xludf.DUMMYFUNCTION("""COMPUTED_VALUE"""),"David F., Ivan")</f>
        <v>David F., Ivan</v>
      </c>
      <c r="C231" s="506" t="str">
        <f>IFERROR(__xludf.DUMMYFUNCTION("""COMPUTED_VALUE"""),"Battallion Insurance LLC")</f>
        <v>Battallion Insurance LLC</v>
      </c>
      <c r="D231" s="105" t="str">
        <f>IFERROR(__xludf.DUMMYFUNCTION("""COMPUTED_VALUE"""),"352-354-7777")</f>
        <v>352-354-7777</v>
      </c>
      <c r="E231" s="506" t="str">
        <f>IFERROR(__xludf.DUMMYFUNCTION("""COMPUTED_VALUE"""),"Peacejoy4u@yahoo.com")</f>
        <v>Peacejoy4u@yahoo.com</v>
      </c>
      <c r="F231" s="506" t="str">
        <f>IFERROR(__xludf.DUMMYFUNCTION("""COMPUTED_VALUE"""),"7781 N Carl G Rose Hwy. Hernando, FL 34442")</f>
        <v>7781 N Carl G Rose Hwy. Hernando, FL 34442</v>
      </c>
      <c r="G231" s="506" t="str">
        <f>IFERROR(__xludf.DUMMYFUNCTION("""COMPUTED_VALUE"""),"Hurricane")</f>
        <v>Hurricane</v>
      </c>
      <c r="H231" s="506" t="str">
        <f>IFERROR(__xludf.DUMMYFUNCTION("""COMPUTED_VALUE"""),"New Claim")</f>
        <v>New Claim</v>
      </c>
      <c r="I231" s="505" t="b">
        <v>0</v>
      </c>
      <c r="J231" s="507" t="b">
        <v>0</v>
      </c>
      <c r="K231" s="112"/>
      <c r="L231" s="505" t="b">
        <v>0</v>
      </c>
      <c r="M231" s="504" t="b">
        <v>0</v>
      </c>
      <c r="N231" s="112"/>
      <c r="O231" s="505" t="b">
        <v>0</v>
      </c>
      <c r="P231" s="504" t="b">
        <v>0</v>
      </c>
      <c r="Q231" s="116"/>
      <c r="R231" s="505" t="b">
        <v>0</v>
      </c>
      <c r="S231" s="504" t="b">
        <v>0</v>
      </c>
      <c r="T231" s="117"/>
      <c r="U231" s="505" t="b">
        <v>0</v>
      </c>
      <c r="V231" s="504" t="b">
        <v>0</v>
      </c>
      <c r="W231" s="118"/>
      <c r="X231" s="505" t="b">
        <v>0</v>
      </c>
      <c r="Y231" s="504" t="b">
        <v>0</v>
      </c>
      <c r="Z231" s="119"/>
      <c r="AA231" s="505" t="b">
        <v>0</v>
      </c>
      <c r="AB231" s="504" t="b">
        <v>0</v>
      </c>
      <c r="AC231" s="121"/>
      <c r="AD231" s="505" t="b">
        <v>0</v>
      </c>
      <c r="AE231" s="504" t="b">
        <v>0</v>
      </c>
      <c r="AF231" s="125"/>
      <c r="AG231" s="505" t="b">
        <v>0</v>
      </c>
      <c r="AH231" s="504" t="b">
        <v>0</v>
      </c>
      <c r="AI231" s="105"/>
      <c r="AJ231" s="505" t="b">
        <v>0</v>
      </c>
      <c r="AK231" s="504" t="b">
        <v>0</v>
      </c>
      <c r="AL231" s="126"/>
      <c r="AM231" s="505" t="b">
        <v>0</v>
      </c>
      <c r="AN231" s="504" t="b">
        <v>0</v>
      </c>
      <c r="AO231" s="105"/>
      <c r="AP231" s="105"/>
      <c r="AQ231" s="105"/>
      <c r="AR231" s="105"/>
      <c r="AS231" s="105"/>
      <c r="AT231" s="105"/>
      <c r="AU231" s="105"/>
      <c r="AV231" s="105"/>
      <c r="AW231" s="105"/>
      <c r="AX231" s="105"/>
      <c r="AY231" s="105"/>
      <c r="AZ231" s="105"/>
      <c r="BA231" s="105"/>
    </row>
    <row r="232">
      <c r="A232" s="506" t="str">
        <f>IFERROR(__xludf.DUMMYFUNCTION("""COMPUTED_VALUE"""),"SETTLED")</f>
        <v>SETTLED</v>
      </c>
      <c r="B232" s="506" t="str">
        <f>IFERROR(__xludf.DUMMYFUNCTION("""COMPUTED_VALUE"""),"Joshua")</f>
        <v>Joshua</v>
      </c>
      <c r="C232" s="506" t="str">
        <f>IFERROR(__xludf.DUMMYFUNCTION("""COMPUTED_VALUE"""),"Beata Beyer")</f>
        <v>Beata Beyer</v>
      </c>
      <c r="D232" s="105" t="str">
        <f>IFERROR(__xludf.DUMMYFUNCTION("""COMPUTED_VALUE"""),"408-605-7055")</f>
        <v>408-605-7055</v>
      </c>
      <c r="E232" s="506" t="str">
        <f>IFERROR(__xludf.DUMMYFUNCTION("""COMPUTED_VALUE"""),"Monikabeyer88@gmail.com")</f>
        <v>Monikabeyer88@gmail.com</v>
      </c>
      <c r="F232" s="506" t="str">
        <f>IFERROR(__xludf.DUMMYFUNCTION("""COMPUTED_VALUE"""),"5751 Windy Bay Ter Mokomis Fl 34275")</f>
        <v>5751 Windy Bay Ter Mokomis Fl 34275</v>
      </c>
      <c r="G232" s="506" t="str">
        <f>IFERROR(__xludf.DUMMYFUNCTION("""COMPUTED_VALUE"""),"Hurricane Milton")</f>
        <v>Hurricane Milton</v>
      </c>
      <c r="H232" s="506" t="str">
        <f>IFERROR(__xludf.DUMMYFUNCTION("""COMPUTED_VALUE"""),"New Claim")</f>
        <v>New Claim</v>
      </c>
      <c r="I232" s="505" t="b">
        <v>0</v>
      </c>
      <c r="J232" s="507" t="b">
        <v>0</v>
      </c>
      <c r="K232" s="112"/>
      <c r="L232" s="505" t="b">
        <v>0</v>
      </c>
      <c r="M232" s="504" t="b">
        <v>0</v>
      </c>
      <c r="N232" s="112"/>
      <c r="O232" s="505" t="b">
        <v>0</v>
      </c>
      <c r="P232" s="504" t="b">
        <v>0</v>
      </c>
      <c r="Q232" s="116"/>
      <c r="R232" s="505" t="b">
        <v>0</v>
      </c>
      <c r="S232" s="504" t="b">
        <v>0</v>
      </c>
      <c r="T232" s="117"/>
      <c r="U232" s="505" t="b">
        <v>0</v>
      </c>
      <c r="V232" s="504" t="b">
        <v>0</v>
      </c>
      <c r="W232" s="118"/>
      <c r="X232" s="505" t="b">
        <v>0</v>
      </c>
      <c r="Y232" s="504" t="b">
        <v>0</v>
      </c>
      <c r="Z232" s="119"/>
      <c r="AA232" s="505" t="b">
        <v>0</v>
      </c>
      <c r="AB232" s="504" t="b">
        <v>0</v>
      </c>
      <c r="AC232" s="121"/>
      <c r="AD232" s="505" t="b">
        <v>0</v>
      </c>
      <c r="AE232" s="504" t="b">
        <v>0</v>
      </c>
      <c r="AF232" s="125"/>
      <c r="AG232" s="505" t="b">
        <v>0</v>
      </c>
      <c r="AH232" s="504" t="b">
        <v>0</v>
      </c>
      <c r="AI232" s="105"/>
      <c r="AJ232" s="505" t="b">
        <v>0</v>
      </c>
      <c r="AK232" s="504" t="b">
        <v>0</v>
      </c>
      <c r="AL232" s="126"/>
      <c r="AM232" s="505" t="b">
        <v>0</v>
      </c>
      <c r="AN232" s="504" t="b">
        <v>0</v>
      </c>
      <c r="AO232" s="105"/>
      <c r="AP232" s="105"/>
      <c r="AQ232" s="105"/>
      <c r="AR232" s="105"/>
      <c r="AS232" s="105"/>
      <c r="AT232" s="105"/>
      <c r="AU232" s="105"/>
      <c r="AV232" s="105"/>
      <c r="AW232" s="105"/>
      <c r="AX232" s="105"/>
      <c r="AY232" s="105"/>
      <c r="AZ232" s="105"/>
      <c r="BA232" s="105"/>
    </row>
    <row r="233">
      <c r="A233" s="506" t="str">
        <f>IFERROR(__xludf.DUMMYFUNCTION("""COMPUTED_VALUE"""),"SETTLED")</f>
        <v>SETTLED</v>
      </c>
      <c r="B233" s="506" t="str">
        <f>IFERROR(__xludf.DUMMYFUNCTION("""COMPUTED_VALUE"""),"Jakey")</f>
        <v>Jakey</v>
      </c>
      <c r="C233" s="506" t="str">
        <f>IFERROR(__xludf.DUMMYFUNCTION("""COMPUTED_VALUE"""),"Carol Doran")</f>
        <v>Carol Doran</v>
      </c>
      <c r="D233" s="105" t="str">
        <f>IFERROR(__xludf.DUMMYFUNCTION("""COMPUTED_VALUE"""),"941-296-5545")</f>
        <v>941-296-5545</v>
      </c>
      <c r="E233" s="506" t="str">
        <f>IFERROR(__xludf.DUMMYFUNCTION("""COMPUTED_VALUE"""),"Caroldoran1957@gmail.com")</f>
        <v>Caroldoran1957@gmail.com</v>
      </c>
      <c r="F233" s="506" t="str">
        <f>IFERROR(__xludf.DUMMYFUNCTION("""COMPUTED_VALUE"""),"413 N Dodge Ave Sarasota, FL 34237")</f>
        <v>413 N Dodge Ave Sarasota, FL 34237</v>
      </c>
      <c r="G233" s="506" t="str">
        <f>IFERROR(__xludf.DUMMYFUNCTION("""COMPUTED_VALUE"""),"Hurricane Milton")</f>
        <v>Hurricane Milton</v>
      </c>
      <c r="H233" s="506" t="str">
        <f>IFERROR(__xludf.DUMMYFUNCTION("""COMPUTED_VALUE"""),"New Claim")</f>
        <v>New Claim</v>
      </c>
      <c r="I233" s="505" t="b">
        <v>0</v>
      </c>
      <c r="J233" s="507" t="b">
        <v>0</v>
      </c>
      <c r="K233" s="112"/>
      <c r="L233" s="505" t="b">
        <v>0</v>
      </c>
      <c r="M233" s="504" t="b">
        <v>0</v>
      </c>
      <c r="N233" s="112"/>
      <c r="O233" s="505" t="b">
        <v>0</v>
      </c>
      <c r="P233" s="504" t="b">
        <v>0</v>
      </c>
      <c r="Q233" s="116"/>
      <c r="R233" s="505" t="b">
        <v>0</v>
      </c>
      <c r="S233" s="504" t="b">
        <v>0</v>
      </c>
      <c r="T233" s="117"/>
      <c r="U233" s="505" t="b">
        <v>0</v>
      </c>
      <c r="V233" s="504" t="b">
        <v>0</v>
      </c>
      <c r="W233" s="118"/>
      <c r="X233" s="505" t="b">
        <v>0</v>
      </c>
      <c r="Y233" s="504" t="b">
        <v>0</v>
      </c>
      <c r="Z233" s="119"/>
      <c r="AA233" s="505" t="b">
        <v>0</v>
      </c>
      <c r="AB233" s="504" t="b">
        <v>0</v>
      </c>
      <c r="AC233" s="121"/>
      <c r="AD233" s="505" t="b">
        <v>0</v>
      </c>
      <c r="AE233" s="504" t="b">
        <v>0</v>
      </c>
      <c r="AF233" s="125"/>
      <c r="AG233" s="505" t="b">
        <v>0</v>
      </c>
      <c r="AH233" s="504" t="b">
        <v>0</v>
      </c>
      <c r="AI233" s="105"/>
      <c r="AJ233" s="505" t="b">
        <v>0</v>
      </c>
      <c r="AK233" s="504" t="b">
        <v>0</v>
      </c>
      <c r="AL233" s="126"/>
      <c r="AM233" s="505" t="b">
        <v>0</v>
      </c>
      <c r="AN233" s="504" t="b">
        <v>0</v>
      </c>
      <c r="AO233" s="105"/>
      <c r="AP233" s="105"/>
      <c r="AQ233" s="105"/>
      <c r="AR233" s="105"/>
      <c r="AS233" s="105"/>
      <c r="AT233" s="105"/>
      <c r="AU233" s="105"/>
      <c r="AV233" s="105"/>
      <c r="AW233" s="105"/>
      <c r="AX233" s="105"/>
      <c r="AY233" s="105"/>
      <c r="AZ233" s="105"/>
      <c r="BA233" s="105"/>
    </row>
    <row r="234">
      <c r="A234" s="506" t="str">
        <f>IFERROR(__xludf.DUMMYFUNCTION("""COMPUTED_VALUE"""),"PEND. FILE NOI")</f>
        <v>PEND. FILE NOI</v>
      </c>
      <c r="B234" s="506" t="str">
        <f>IFERROR(__xludf.DUMMYFUNCTION("""COMPUTED_VALUE"""),"Joshua")</f>
        <v>Joshua</v>
      </c>
      <c r="C234" s="506" t="str">
        <f>IFERROR(__xludf.DUMMYFUNCTION("""COMPUTED_VALUE"""),"Beverly Felton ")</f>
        <v>Beverly Felton </v>
      </c>
      <c r="D234" s="105" t="str">
        <f>IFERROR(__xludf.DUMMYFUNCTION("""COMPUTED_VALUE"""),"239-895-5073")</f>
        <v>239-895-5073</v>
      </c>
      <c r="E234" s="506" t="str">
        <f>IFERROR(__xludf.DUMMYFUNCTION("""COMPUTED_VALUE"""),"Beverlyfelton5@gmail.com")</f>
        <v>Beverlyfelton5@gmail.com</v>
      </c>
      <c r="F234" s="506" t="str">
        <f>IFERROR(__xludf.DUMMYFUNCTION("""COMPUTED_VALUE"""),"3244 Willin St Fort Myers, FL 33916")</f>
        <v>3244 Willin St Fort Myers, FL 33916</v>
      </c>
      <c r="G234" s="506" t="str">
        <f>IFERROR(__xludf.DUMMYFUNCTION("""COMPUTED_VALUE"""),"AWD")</f>
        <v>AWD</v>
      </c>
      <c r="H234" s="506" t="str">
        <f>IFERROR(__xludf.DUMMYFUNCTION("""COMPUTED_VALUE"""),"New Claim")</f>
        <v>New Claim</v>
      </c>
      <c r="I234" s="505" t="b">
        <v>0</v>
      </c>
      <c r="J234" s="507" t="b">
        <v>0</v>
      </c>
      <c r="K234" s="112"/>
      <c r="L234" s="505" t="b">
        <v>0</v>
      </c>
      <c r="M234" s="504" t="b">
        <v>0</v>
      </c>
      <c r="N234" s="112"/>
      <c r="O234" s="505" t="b">
        <v>0</v>
      </c>
      <c r="P234" s="504" t="b">
        <v>0</v>
      </c>
      <c r="Q234" s="116"/>
      <c r="R234" s="505" t="b">
        <v>0</v>
      </c>
      <c r="S234" s="504" t="b">
        <v>0</v>
      </c>
      <c r="T234" s="117"/>
      <c r="U234" s="505" t="b">
        <v>0</v>
      </c>
      <c r="V234" s="504" t="b">
        <v>0</v>
      </c>
      <c r="W234" s="118"/>
      <c r="X234" s="505" t="b">
        <v>0</v>
      </c>
      <c r="Y234" s="504" t="b">
        <v>0</v>
      </c>
      <c r="Z234" s="119"/>
      <c r="AA234" s="505" t="b">
        <v>0</v>
      </c>
      <c r="AB234" s="504" t="b">
        <v>0</v>
      </c>
      <c r="AC234" s="121"/>
      <c r="AD234" s="505" t="b">
        <v>0</v>
      </c>
      <c r="AE234" s="504" t="b">
        <v>0</v>
      </c>
      <c r="AF234" s="125"/>
      <c r="AG234" s="505" t="b">
        <v>0</v>
      </c>
      <c r="AH234" s="504" t="b">
        <v>0</v>
      </c>
      <c r="AI234" s="105"/>
      <c r="AJ234" s="505" t="b">
        <v>0</v>
      </c>
      <c r="AK234" s="504" t="b">
        <v>0</v>
      </c>
      <c r="AL234" s="126"/>
      <c r="AM234" s="505" t="b">
        <v>0</v>
      </c>
      <c r="AN234" s="504" t="b">
        <v>0</v>
      </c>
      <c r="AO234" s="105"/>
      <c r="AP234" s="105"/>
      <c r="AQ234" s="105"/>
      <c r="AR234" s="105"/>
      <c r="AS234" s="105"/>
      <c r="AT234" s="105"/>
      <c r="AU234" s="105"/>
      <c r="AV234" s="105"/>
      <c r="AW234" s="105"/>
      <c r="AX234" s="105"/>
      <c r="AY234" s="105"/>
      <c r="AZ234" s="105"/>
      <c r="BA234" s="105"/>
    </row>
    <row r="235">
      <c r="A235" s="506" t="str">
        <f>IFERROR(__xludf.DUMMYFUNCTION("""COMPUTED_VALUE"""),"SETTLED")</f>
        <v>SETTLED</v>
      </c>
      <c r="B235" s="506" t="str">
        <f>IFERROR(__xludf.DUMMYFUNCTION("""COMPUTED_VALUE"""),"Joshua")</f>
        <v>Joshua</v>
      </c>
      <c r="C235" s="506" t="str">
        <f>IFERROR(__xludf.DUMMYFUNCTION("""COMPUTED_VALUE"""),"Addlish Harmon ")</f>
        <v>Addlish Harmon </v>
      </c>
      <c r="D235" s="105" t="str">
        <f>IFERROR(__xludf.DUMMYFUNCTION("""COMPUTED_VALUE"""),"239-839-5665")</f>
        <v>239-839-5665</v>
      </c>
      <c r="E235" s="506" t="str">
        <f>IFERROR(__xludf.DUMMYFUNCTION("""COMPUTED_VALUE"""),"mslish239@gmail.com")</f>
        <v>mslish239@gmail.com</v>
      </c>
      <c r="F235" s="506" t="str">
        <f>IFERROR(__xludf.DUMMYFUNCTION("""COMPUTED_VALUE"""),"1670 Heiman Ave Fort Myers, FL 33905")</f>
        <v>1670 Heiman Ave Fort Myers, FL 33905</v>
      </c>
      <c r="G235" s="506" t="str">
        <f>IFERROR(__xludf.DUMMYFUNCTION("""COMPUTED_VALUE"""),"AWD")</f>
        <v>AWD</v>
      </c>
      <c r="H235" s="506" t="str">
        <f>IFERROR(__xludf.DUMMYFUNCTION("""COMPUTED_VALUE"""),"New Claim")</f>
        <v>New Claim</v>
      </c>
      <c r="I235" s="505" t="b">
        <v>0</v>
      </c>
      <c r="J235" s="507" t="b">
        <v>0</v>
      </c>
      <c r="K235" s="112"/>
      <c r="L235" s="505" t="b">
        <v>0</v>
      </c>
      <c r="M235" s="504" t="b">
        <v>0</v>
      </c>
      <c r="N235" s="112"/>
      <c r="O235" s="505" t="b">
        <v>0</v>
      </c>
      <c r="P235" s="504" t="b">
        <v>0</v>
      </c>
      <c r="Q235" s="116"/>
      <c r="R235" s="505" t="b">
        <v>0</v>
      </c>
      <c r="S235" s="504" t="b">
        <v>0</v>
      </c>
      <c r="T235" s="117"/>
      <c r="U235" s="505" t="b">
        <v>0</v>
      </c>
      <c r="V235" s="504" t="b">
        <v>0</v>
      </c>
      <c r="W235" s="118"/>
      <c r="X235" s="505" t="b">
        <v>0</v>
      </c>
      <c r="Y235" s="504" t="b">
        <v>0</v>
      </c>
      <c r="Z235" s="119"/>
      <c r="AA235" s="505" t="b">
        <v>0</v>
      </c>
      <c r="AB235" s="504" t="b">
        <v>0</v>
      </c>
      <c r="AC235" s="121"/>
      <c r="AD235" s="505" t="b">
        <v>0</v>
      </c>
      <c r="AE235" s="504" t="b">
        <v>0</v>
      </c>
      <c r="AF235" s="125"/>
      <c r="AG235" s="505" t="b">
        <v>0</v>
      </c>
      <c r="AH235" s="504" t="b">
        <v>0</v>
      </c>
      <c r="AI235" s="105"/>
      <c r="AJ235" s="505" t="b">
        <v>0</v>
      </c>
      <c r="AK235" s="504" t="b">
        <v>0</v>
      </c>
      <c r="AL235" s="126"/>
      <c r="AM235" s="505" t="b">
        <v>0</v>
      </c>
      <c r="AN235" s="504" t="b">
        <v>0</v>
      </c>
      <c r="AO235" s="105"/>
      <c r="AP235" s="105"/>
      <c r="AQ235" s="105"/>
      <c r="AR235" s="105"/>
      <c r="AS235" s="105"/>
      <c r="AT235" s="105"/>
      <c r="AU235" s="105"/>
      <c r="AV235" s="105"/>
      <c r="AW235" s="105"/>
      <c r="AX235" s="105"/>
      <c r="AY235" s="105"/>
      <c r="AZ235" s="105"/>
      <c r="BA235" s="105"/>
    </row>
    <row r="236">
      <c r="A236" s="506" t="str">
        <f>IFERROR(__xludf.DUMMYFUNCTION("""COMPUTED_VALUE"""),"SETTLED")</f>
        <v>SETTLED</v>
      </c>
      <c r="B236" s="506" t="str">
        <f>IFERROR(__xludf.DUMMYFUNCTION("""COMPUTED_VALUE"""),"David M., Joshua")</f>
        <v>David M., Joshua</v>
      </c>
      <c r="C236" s="506" t="str">
        <f>IFERROR(__xludf.DUMMYFUNCTION("""COMPUTED_VALUE"""),"Victoria Pompey ")</f>
        <v>Victoria Pompey </v>
      </c>
      <c r="D236" s="105" t="str">
        <f>IFERROR(__xludf.DUMMYFUNCTION("""COMPUTED_VALUE"""),"941-896-2931")</f>
        <v>941-896-2931</v>
      </c>
      <c r="E236" s="506" t="str">
        <f>IFERROR(__xludf.DUMMYFUNCTION("""COMPUTED_VALUE"""),"Victoriapompey@gmail.com")</f>
        <v>Victoriapompey@gmail.com</v>
      </c>
      <c r="F236" s="506" t="str">
        <f>IFERROR(__xludf.DUMMYFUNCTION("""COMPUTED_VALUE"""),"2741 21st St Sarasota, FL 34234")</f>
        <v>2741 21st St Sarasota, FL 34234</v>
      </c>
      <c r="G236" s="506" t="str">
        <f>IFERROR(__xludf.DUMMYFUNCTION("""COMPUTED_VALUE"""),"Hurricane Milton")</f>
        <v>Hurricane Milton</v>
      </c>
      <c r="H236" s="506" t="str">
        <f>IFERROR(__xludf.DUMMYFUNCTION("""COMPUTED_VALUE"""),"New Claim")</f>
        <v>New Claim</v>
      </c>
      <c r="I236" s="505" t="b">
        <v>0</v>
      </c>
      <c r="J236" s="507" t="b">
        <v>0</v>
      </c>
      <c r="K236" s="112"/>
      <c r="L236" s="505" t="b">
        <v>0</v>
      </c>
      <c r="M236" s="504" t="b">
        <v>0</v>
      </c>
      <c r="N236" s="112"/>
      <c r="O236" s="505" t="b">
        <v>0</v>
      </c>
      <c r="P236" s="504" t="b">
        <v>0</v>
      </c>
      <c r="Q236" s="116"/>
      <c r="R236" s="505" t="b">
        <v>0</v>
      </c>
      <c r="S236" s="504" t="b">
        <v>0</v>
      </c>
      <c r="T236" s="117"/>
      <c r="U236" s="505" t="b">
        <v>0</v>
      </c>
      <c r="V236" s="504" t="b">
        <v>0</v>
      </c>
      <c r="W236" s="118"/>
      <c r="X236" s="505" t="b">
        <v>0</v>
      </c>
      <c r="Y236" s="504" t="b">
        <v>0</v>
      </c>
      <c r="Z236" s="119"/>
      <c r="AA236" s="505" t="b">
        <v>0</v>
      </c>
      <c r="AB236" s="504" t="b">
        <v>0</v>
      </c>
      <c r="AC236" s="121"/>
      <c r="AD236" s="505" t="b">
        <v>0</v>
      </c>
      <c r="AE236" s="504" t="b">
        <v>0</v>
      </c>
      <c r="AF236" s="125"/>
      <c r="AG236" s="505" t="b">
        <v>0</v>
      </c>
      <c r="AH236" s="504" t="b">
        <v>0</v>
      </c>
      <c r="AI236" s="105"/>
      <c r="AJ236" s="505" t="b">
        <v>0</v>
      </c>
      <c r="AK236" s="504" t="b">
        <v>0</v>
      </c>
      <c r="AL236" s="126"/>
      <c r="AM236" s="505" t="b">
        <v>0</v>
      </c>
      <c r="AN236" s="504" t="b">
        <v>0</v>
      </c>
      <c r="AO236" s="105"/>
      <c r="AP236" s="105"/>
      <c r="AQ236" s="105"/>
      <c r="AR236" s="105"/>
      <c r="AS236" s="105"/>
      <c r="AT236" s="105"/>
      <c r="AU236" s="105"/>
      <c r="AV236" s="105"/>
      <c r="AW236" s="105"/>
      <c r="AX236" s="105"/>
      <c r="AY236" s="105"/>
      <c r="AZ236" s="105"/>
      <c r="BA236" s="105"/>
    </row>
    <row r="237">
      <c r="A237" s="506" t="str">
        <f>IFERROR(__xludf.DUMMYFUNCTION("""COMPUTED_VALUE"""),"SETTLED")</f>
        <v>SETTLED</v>
      </c>
      <c r="B237" s="506" t="str">
        <f>IFERROR(__xludf.DUMMYFUNCTION("""COMPUTED_VALUE"""),"Joshua")</f>
        <v>Joshua</v>
      </c>
      <c r="C237" s="506" t="str">
        <f>IFERROR(__xludf.DUMMYFUNCTION("""COMPUTED_VALUE"""),"Reginald &amp; Cheraina Williams")</f>
        <v>Reginald &amp; Cheraina Williams</v>
      </c>
      <c r="D237" s="506" t="str">
        <f>IFERROR(__xludf.DUMMYFUNCTION("""COMPUTED_VALUE"""),"941-755-5986 / 931-214-4349")</f>
        <v>941-755-5986 / 931-214-4349</v>
      </c>
      <c r="E237" s="506" t="str">
        <f>IFERROR(__xludf.DUMMYFUNCTION("""COMPUTED_VALUE"""),"sharles733@gmail.com")</f>
        <v>sharles733@gmail.com</v>
      </c>
      <c r="F237" s="506" t="str">
        <f>IFERROR(__xludf.DUMMYFUNCTION("""COMPUTED_VALUE"""),"6619 38th LN E Sarasota, FL 34243")</f>
        <v>6619 38th LN E Sarasota, FL 34243</v>
      </c>
      <c r="G237" s="506" t="str">
        <f>IFERROR(__xludf.DUMMYFUNCTION("""COMPUTED_VALUE"""),"Hurricane Milton")</f>
        <v>Hurricane Milton</v>
      </c>
      <c r="H237" s="506" t="str">
        <f>IFERROR(__xludf.DUMMYFUNCTION("""COMPUTED_VALUE"""),"New Claim")</f>
        <v>New Claim</v>
      </c>
      <c r="I237" s="505" t="b">
        <v>0</v>
      </c>
      <c r="J237" s="507" t="b">
        <v>0</v>
      </c>
      <c r="K237" s="112"/>
      <c r="L237" s="505" t="b">
        <v>0</v>
      </c>
      <c r="M237" s="504" t="b">
        <v>0</v>
      </c>
      <c r="N237" s="112"/>
      <c r="O237" s="505" t="b">
        <v>0</v>
      </c>
      <c r="P237" s="504" t="b">
        <v>0</v>
      </c>
      <c r="Q237" s="116"/>
      <c r="R237" s="505" t="b">
        <v>0</v>
      </c>
      <c r="S237" s="504" t="b">
        <v>0</v>
      </c>
      <c r="T237" s="117"/>
      <c r="U237" s="505" t="b">
        <v>0</v>
      </c>
      <c r="V237" s="504" t="b">
        <v>0</v>
      </c>
      <c r="W237" s="118"/>
      <c r="X237" s="505" t="b">
        <v>0</v>
      </c>
      <c r="Y237" s="504" t="b">
        <v>0</v>
      </c>
      <c r="Z237" s="119"/>
      <c r="AA237" s="505" t="b">
        <v>0</v>
      </c>
      <c r="AB237" s="504" t="b">
        <v>0</v>
      </c>
      <c r="AC237" s="121"/>
      <c r="AD237" s="505" t="b">
        <v>0</v>
      </c>
      <c r="AE237" s="504" t="b">
        <v>0</v>
      </c>
      <c r="AF237" s="125"/>
      <c r="AG237" s="505" t="b">
        <v>0</v>
      </c>
      <c r="AH237" s="504" t="b">
        <v>0</v>
      </c>
      <c r="AI237" s="105"/>
      <c r="AJ237" s="505" t="b">
        <v>0</v>
      </c>
      <c r="AK237" s="504" t="b">
        <v>0</v>
      </c>
      <c r="AL237" s="126"/>
      <c r="AM237" s="505" t="b">
        <v>0</v>
      </c>
      <c r="AN237" s="504" t="b">
        <v>0</v>
      </c>
      <c r="AO237" s="105"/>
      <c r="AP237" s="105"/>
      <c r="AQ237" s="105"/>
      <c r="AR237" s="105"/>
      <c r="AS237" s="105"/>
      <c r="AT237" s="105"/>
      <c r="AU237" s="105"/>
      <c r="AV237" s="105"/>
      <c r="AW237" s="105"/>
      <c r="AX237" s="105"/>
      <c r="AY237" s="105"/>
      <c r="AZ237" s="105"/>
      <c r="BA237" s="105"/>
    </row>
    <row r="238">
      <c r="A238" s="506" t="str">
        <f>IFERROR(__xludf.DUMMYFUNCTION("""COMPUTED_VALUE"""),"SETTLED")</f>
        <v>SETTLED</v>
      </c>
      <c r="B238" s="506" t="str">
        <f>IFERROR(__xludf.DUMMYFUNCTION("""COMPUTED_VALUE"""),"Gregory, Peter")</f>
        <v>Gregory, Peter</v>
      </c>
      <c r="C238" s="506" t="str">
        <f>IFERROR(__xludf.DUMMYFUNCTION("""COMPUTED_VALUE"""),"Julita Warwood")</f>
        <v>Julita Warwood</v>
      </c>
      <c r="D238" s="506" t="str">
        <f>IFERROR(__xludf.DUMMYFUNCTION("""COMPUTED_VALUE"""),"772-595-2124")</f>
        <v>772-595-2124</v>
      </c>
      <c r="E238" s="506" t="str">
        <f>IFERROR(__xludf.DUMMYFUNCTION("""COMPUTED_VALUE"""),"Hasranahg@gmail.com")</f>
        <v>Hasranahg@gmail.com</v>
      </c>
      <c r="F238" s="506" t="str">
        <f>IFERROR(__xludf.DUMMYFUNCTION("""COMPUTED_VALUE"""),"5509 Killarney Ave Fort Pierce, FL 34951")</f>
        <v>5509 Killarney Ave Fort Pierce, FL 34951</v>
      </c>
      <c r="G238" s="506" t="str">
        <f>IFERROR(__xludf.DUMMYFUNCTION("""COMPUTED_VALUE"""),"Hurricane Milton")</f>
        <v>Hurricane Milton</v>
      </c>
      <c r="H238" s="506" t="str">
        <f>IFERROR(__xludf.DUMMYFUNCTION("""COMPUTED_VALUE"""),"New Claim")</f>
        <v>New Claim</v>
      </c>
      <c r="I238" s="505" t="b">
        <v>0</v>
      </c>
      <c r="J238" s="507" t="b">
        <v>0</v>
      </c>
      <c r="K238" s="112"/>
      <c r="L238" s="505" t="b">
        <v>0</v>
      </c>
      <c r="M238" s="504" t="b">
        <v>0</v>
      </c>
      <c r="N238" s="112"/>
      <c r="O238" s="505" t="b">
        <v>0</v>
      </c>
      <c r="P238" s="504" t="b">
        <v>0</v>
      </c>
      <c r="Q238" s="116"/>
      <c r="R238" s="505" t="b">
        <v>0</v>
      </c>
      <c r="S238" s="504" t="b">
        <v>0</v>
      </c>
      <c r="T238" s="117"/>
      <c r="U238" s="505" t="b">
        <v>0</v>
      </c>
      <c r="V238" s="504" t="b">
        <v>0</v>
      </c>
      <c r="W238" s="118"/>
      <c r="X238" s="505" t="b">
        <v>0</v>
      </c>
      <c r="Y238" s="504" t="b">
        <v>0</v>
      </c>
      <c r="Z238" s="119"/>
      <c r="AA238" s="505" t="b">
        <v>0</v>
      </c>
      <c r="AB238" s="504" t="b">
        <v>0</v>
      </c>
      <c r="AC238" s="121"/>
      <c r="AD238" s="505" t="b">
        <v>0</v>
      </c>
      <c r="AE238" s="504" t="b">
        <v>0</v>
      </c>
      <c r="AF238" s="125"/>
      <c r="AG238" s="505" t="b">
        <v>0</v>
      </c>
      <c r="AH238" s="504" t="b">
        <v>0</v>
      </c>
      <c r="AI238" s="105"/>
      <c r="AJ238" s="505" t="b">
        <v>0</v>
      </c>
      <c r="AK238" s="504" t="b">
        <v>0</v>
      </c>
      <c r="AL238" s="126"/>
      <c r="AM238" s="505" t="b">
        <v>0</v>
      </c>
      <c r="AN238" s="504" t="b">
        <v>0</v>
      </c>
      <c r="AO238" s="105"/>
      <c r="AP238" s="105"/>
      <c r="AQ238" s="105"/>
      <c r="AR238" s="105"/>
      <c r="AS238" s="105"/>
      <c r="AT238" s="105"/>
      <c r="AU238" s="105"/>
      <c r="AV238" s="105"/>
      <c r="AW238" s="105"/>
      <c r="AX238" s="105"/>
      <c r="AY238" s="105"/>
      <c r="AZ238" s="105"/>
      <c r="BA238" s="105"/>
    </row>
    <row r="239">
      <c r="A239" s="506" t="str">
        <f>IFERROR(__xludf.DUMMYFUNCTION("""COMPUTED_VALUE"""),"SETTLED")</f>
        <v>SETTLED</v>
      </c>
      <c r="B239" s="506" t="str">
        <f>IFERROR(__xludf.DUMMYFUNCTION("""COMPUTED_VALUE"""),"Gregory, Peter")</f>
        <v>Gregory, Peter</v>
      </c>
      <c r="C239" s="506" t="str">
        <f>IFERROR(__xludf.DUMMYFUNCTION("""COMPUTED_VALUE"""),"Lanio Louis")</f>
        <v>Lanio Louis</v>
      </c>
      <c r="D239" s="506" t="str">
        <f>IFERROR(__xludf.DUMMYFUNCTION("""COMPUTED_VALUE"""),"954-638-8155")</f>
        <v>954-638-8155</v>
      </c>
      <c r="E239" s="506" t="str">
        <f>IFERROR(__xludf.DUMMYFUNCTION("""COMPUTED_VALUE"""),"Lewis35501@outlook.com")</f>
        <v>Lewis35501@outlook.com</v>
      </c>
      <c r="F239" s="506" t="str">
        <f>IFERROR(__xludf.DUMMYFUNCTION("""COMPUTED_VALUE"""),"301 NW Hogan St Port Saint Lucie, FL 34983")</f>
        <v>301 NW Hogan St Port Saint Lucie, FL 34983</v>
      </c>
      <c r="G239" s="506" t="str">
        <f>IFERROR(__xludf.DUMMYFUNCTION("""COMPUTED_VALUE"""),"Hurricane Milton")</f>
        <v>Hurricane Milton</v>
      </c>
      <c r="H239" s="506" t="str">
        <f>IFERROR(__xludf.DUMMYFUNCTION("""COMPUTED_VALUE"""),"New Claim")</f>
        <v>New Claim</v>
      </c>
      <c r="I239" s="505" t="b">
        <v>0</v>
      </c>
      <c r="J239" s="507" t="b">
        <v>0</v>
      </c>
      <c r="K239" s="112"/>
      <c r="L239" s="505" t="b">
        <v>0</v>
      </c>
      <c r="M239" s="504" t="b">
        <v>0</v>
      </c>
      <c r="N239" s="112"/>
      <c r="O239" s="505" t="b">
        <v>0</v>
      </c>
      <c r="P239" s="504" t="b">
        <v>0</v>
      </c>
      <c r="Q239" s="116"/>
      <c r="R239" s="505" t="b">
        <v>0</v>
      </c>
      <c r="S239" s="504" t="b">
        <v>0</v>
      </c>
      <c r="T239" s="117"/>
      <c r="U239" s="505" t="b">
        <v>0</v>
      </c>
      <c r="V239" s="504" t="b">
        <v>0</v>
      </c>
      <c r="W239" s="118"/>
      <c r="X239" s="505" t="b">
        <v>0</v>
      </c>
      <c r="Y239" s="504" t="b">
        <v>0</v>
      </c>
      <c r="Z239" s="119"/>
      <c r="AA239" s="505" t="b">
        <v>0</v>
      </c>
      <c r="AB239" s="504" t="b">
        <v>0</v>
      </c>
      <c r="AC239" s="121"/>
      <c r="AD239" s="505" t="b">
        <v>0</v>
      </c>
      <c r="AE239" s="504" t="b">
        <v>0</v>
      </c>
      <c r="AF239" s="125"/>
      <c r="AG239" s="505" t="b">
        <v>0</v>
      </c>
      <c r="AH239" s="504" t="b">
        <v>0</v>
      </c>
      <c r="AI239" s="105"/>
      <c r="AJ239" s="505" t="b">
        <v>0</v>
      </c>
      <c r="AK239" s="504" t="b">
        <v>0</v>
      </c>
      <c r="AL239" s="126"/>
      <c r="AM239" s="505" t="b">
        <v>0</v>
      </c>
      <c r="AN239" s="504" t="b">
        <v>0</v>
      </c>
      <c r="AO239" s="105"/>
      <c r="AP239" s="105"/>
      <c r="AQ239" s="105"/>
      <c r="AR239" s="105"/>
      <c r="AS239" s="105"/>
      <c r="AT239" s="105"/>
      <c r="AU239" s="105"/>
      <c r="AV239" s="105"/>
      <c r="AW239" s="105"/>
      <c r="AX239" s="105"/>
      <c r="AY239" s="105"/>
      <c r="AZ239" s="105"/>
      <c r="BA239" s="105"/>
    </row>
    <row r="240">
      <c r="A240" s="506" t="str">
        <f>IFERROR(__xludf.DUMMYFUNCTION("""COMPUTED_VALUE"""),"PEN O&amp;L/DEPRECIATION")</f>
        <v>PEN O&amp;L/DEPRECIATION</v>
      </c>
      <c r="B240" s="506" t="str">
        <f>IFERROR(__xludf.DUMMYFUNCTION("""COMPUTED_VALUE"""),"Juan")</f>
        <v>Juan</v>
      </c>
      <c r="C240" s="506" t="str">
        <f>IFERROR(__xludf.DUMMYFUNCTION("""COMPUTED_VALUE"""),"Courtney Marie McNeal")</f>
        <v>Courtney Marie McNeal</v>
      </c>
      <c r="D240" s="506" t="str">
        <f>IFERROR(__xludf.DUMMYFUNCTION("""COMPUTED_VALUE"""),"727-742-0103")</f>
        <v>727-742-0103</v>
      </c>
      <c r="E240" s="506" t="str">
        <f>IFERROR(__xludf.DUMMYFUNCTION("""COMPUTED_VALUE"""),"Courtneybcca@yahoo.ca")</f>
        <v>Courtneybcca@yahoo.ca</v>
      </c>
      <c r="F240" s="506" t="str">
        <f>IFERROR(__xludf.DUMMYFUNCTION("""COMPUTED_VALUE"""),"410 Normandy Rd Madeira Beach, FL 33708")</f>
        <v>410 Normandy Rd Madeira Beach, FL 33708</v>
      </c>
      <c r="G240" s="506" t="str">
        <f>IFERROR(__xludf.DUMMYFUNCTION("""COMPUTED_VALUE"""),"Hurricane Milton")</f>
        <v>Hurricane Milton</v>
      </c>
      <c r="H240" s="506" t="str">
        <f>IFERROR(__xludf.DUMMYFUNCTION("""COMPUTED_VALUE"""),"New Claim")</f>
        <v>New Claim</v>
      </c>
      <c r="I240" s="505" t="b">
        <v>0</v>
      </c>
      <c r="J240" s="507" t="b">
        <v>0</v>
      </c>
      <c r="K240" s="112"/>
      <c r="L240" s="505" t="b">
        <v>0</v>
      </c>
      <c r="M240" s="504" t="b">
        <v>0</v>
      </c>
      <c r="N240" s="112"/>
      <c r="O240" s="505" t="b">
        <v>0</v>
      </c>
      <c r="P240" s="504" t="b">
        <v>0</v>
      </c>
      <c r="Q240" s="116"/>
      <c r="R240" s="505" t="b">
        <v>0</v>
      </c>
      <c r="S240" s="504" t="b">
        <v>0</v>
      </c>
      <c r="T240" s="117"/>
      <c r="U240" s="505" t="b">
        <v>0</v>
      </c>
      <c r="V240" s="504" t="b">
        <v>0</v>
      </c>
      <c r="W240" s="118"/>
      <c r="X240" s="505" t="b">
        <v>0</v>
      </c>
      <c r="Y240" s="504" t="b">
        <v>0</v>
      </c>
      <c r="Z240" s="119"/>
      <c r="AA240" s="505" t="b">
        <v>0</v>
      </c>
      <c r="AB240" s="504" t="b">
        <v>0</v>
      </c>
      <c r="AC240" s="121"/>
      <c r="AD240" s="505" t="b">
        <v>0</v>
      </c>
      <c r="AE240" s="504" t="b">
        <v>0</v>
      </c>
      <c r="AF240" s="125"/>
      <c r="AG240" s="505" t="b">
        <v>0</v>
      </c>
      <c r="AH240" s="504" t="b">
        <v>0</v>
      </c>
      <c r="AI240" s="105"/>
      <c r="AJ240" s="505" t="b">
        <v>0</v>
      </c>
      <c r="AK240" s="504" t="b">
        <v>0</v>
      </c>
      <c r="AL240" s="126"/>
      <c r="AM240" s="505" t="b">
        <v>0</v>
      </c>
      <c r="AN240" s="504" t="b">
        <v>0</v>
      </c>
      <c r="AO240" s="105"/>
      <c r="AP240" s="105"/>
      <c r="AQ240" s="105"/>
      <c r="AR240" s="105"/>
      <c r="AS240" s="105"/>
      <c r="AT240" s="105"/>
      <c r="AU240" s="105"/>
      <c r="AV240" s="105"/>
      <c r="AW240" s="105"/>
      <c r="AX240" s="105"/>
      <c r="AY240" s="105"/>
      <c r="AZ240" s="105"/>
      <c r="BA240" s="105"/>
    </row>
    <row r="241">
      <c r="A241" s="506" t="str">
        <f>IFERROR(__xludf.DUMMYFUNCTION("""COMPUTED_VALUE"""),"CLSD CLAIMS")</f>
        <v>CLSD CLAIMS</v>
      </c>
      <c r="B241" s="506" t="str">
        <f>IFERROR(__xludf.DUMMYFUNCTION("""COMPUTED_VALUE"""),"Myers, Ivan")</f>
        <v>Myers, Ivan</v>
      </c>
      <c r="C241" s="506" t="str">
        <f>IFERROR(__xludf.DUMMYFUNCTION("""COMPUTED_VALUE"""),"Liovanni Hilaire")</f>
        <v>Liovanni Hilaire</v>
      </c>
      <c r="D241" s="506" t="str">
        <f>IFERROR(__xludf.DUMMYFUNCTION("""COMPUTED_VALUE"""),"561-644-6405")</f>
        <v>561-644-6405</v>
      </c>
      <c r="E241" s="506" t="str">
        <f>IFERROR(__xludf.DUMMYFUNCTION("""COMPUTED_VALUE"""),"LBHILAIRE@yahoo.com")</f>
        <v>LBHILAIRE@yahoo.com</v>
      </c>
      <c r="F241" s="506" t="str">
        <f>IFERROR(__xludf.DUMMYFUNCTION("""COMPUTED_VALUE"""),"6505 Bayard Rd, Fort Pierce, FL 34951")</f>
        <v>6505 Bayard Rd, Fort Pierce, FL 34951</v>
      </c>
      <c r="G241" s="506" t="str">
        <f>IFERROR(__xludf.DUMMYFUNCTION("""COMPUTED_VALUE"""),"Hurricane Milton")</f>
        <v>Hurricane Milton</v>
      </c>
      <c r="H241" s="506" t="str">
        <f>IFERROR(__xludf.DUMMYFUNCTION("""COMPUTED_VALUE"""),"New Claim")</f>
        <v>New Claim</v>
      </c>
      <c r="I241" s="505" t="b">
        <v>0</v>
      </c>
      <c r="J241" s="507" t="b">
        <v>0</v>
      </c>
      <c r="K241" s="112"/>
      <c r="L241" s="505" t="b">
        <v>0</v>
      </c>
      <c r="M241" s="504" t="b">
        <v>0</v>
      </c>
      <c r="N241" s="112"/>
      <c r="O241" s="505" t="b">
        <v>0</v>
      </c>
      <c r="P241" s="504" t="b">
        <v>0</v>
      </c>
      <c r="Q241" s="116"/>
      <c r="R241" s="505" t="b">
        <v>0</v>
      </c>
      <c r="S241" s="504" t="b">
        <v>0</v>
      </c>
      <c r="T241" s="117"/>
      <c r="U241" s="505" t="b">
        <v>0</v>
      </c>
      <c r="V241" s="504" t="b">
        <v>0</v>
      </c>
      <c r="W241" s="118"/>
      <c r="X241" s="505" t="b">
        <v>0</v>
      </c>
      <c r="Y241" s="504" t="b">
        <v>0</v>
      </c>
      <c r="Z241" s="119"/>
      <c r="AA241" s="505" t="b">
        <v>0</v>
      </c>
      <c r="AB241" s="504" t="b">
        <v>0</v>
      </c>
      <c r="AC241" s="121"/>
      <c r="AD241" s="505" t="b">
        <v>0</v>
      </c>
      <c r="AE241" s="504" t="b">
        <v>0</v>
      </c>
      <c r="AF241" s="125"/>
      <c r="AG241" s="505" t="b">
        <v>0</v>
      </c>
      <c r="AH241" s="504" t="b">
        <v>0</v>
      </c>
      <c r="AI241" s="105"/>
      <c r="AJ241" s="505" t="b">
        <v>0</v>
      </c>
      <c r="AK241" s="504" t="b">
        <v>0</v>
      </c>
      <c r="AL241" s="126"/>
      <c r="AM241" s="505" t="b">
        <v>0</v>
      </c>
      <c r="AN241" s="504" t="b">
        <v>0</v>
      </c>
      <c r="AO241" s="105"/>
      <c r="AP241" s="105"/>
      <c r="AQ241" s="105"/>
      <c r="AR241" s="105"/>
      <c r="AS241" s="105"/>
      <c r="AT241" s="105"/>
      <c r="AU241" s="105"/>
      <c r="AV241" s="105"/>
      <c r="AW241" s="105"/>
      <c r="AX241" s="105"/>
      <c r="AY241" s="105"/>
      <c r="AZ241" s="105"/>
      <c r="BA241" s="105"/>
    </row>
    <row r="242">
      <c r="A242" s="506" t="str">
        <f>IFERROR(__xludf.DUMMYFUNCTION("""COMPUTED_VALUE"""),"SETTLED")</f>
        <v>SETTLED</v>
      </c>
      <c r="B242" s="506" t="str">
        <f>IFERROR(__xludf.DUMMYFUNCTION("""COMPUTED_VALUE"""),"David F., Ivan")</f>
        <v>David F., Ivan</v>
      </c>
      <c r="C242" s="506" t="str">
        <f>IFERROR(__xludf.DUMMYFUNCTION("""COMPUTED_VALUE"""),"Dayron Enamorado")</f>
        <v>Dayron Enamorado</v>
      </c>
      <c r="D242" s="506" t="str">
        <f>IFERROR(__xludf.DUMMYFUNCTION("""COMPUTED_VALUE"""),"352-464-0759 ")</f>
        <v>352-464-0759 </v>
      </c>
      <c r="E242" s="506" t="str">
        <f>IFERROR(__xludf.DUMMYFUNCTION("""COMPUTED_VALUE"""),"dayronenamorado906@gmail.com")</f>
        <v>dayronenamorado906@gmail.com</v>
      </c>
      <c r="F242" s="506" t="str">
        <f>IFERROR(__xludf.DUMMYFUNCTION("""COMPUTED_VALUE"""),"1158 Summer Star Dr. Riverview, FL 33579")</f>
        <v>1158 Summer Star Dr. Riverview, FL 33579</v>
      </c>
      <c r="G242" s="506" t="str">
        <f>IFERROR(__xludf.DUMMYFUNCTION("""COMPUTED_VALUE"""),"Hurricane Milton")</f>
        <v>Hurricane Milton</v>
      </c>
      <c r="H242" s="506" t="str">
        <f>IFERROR(__xludf.DUMMYFUNCTION("""COMPUTED_VALUE"""),"New Claim")</f>
        <v>New Claim</v>
      </c>
      <c r="I242" s="505" t="b">
        <v>0</v>
      </c>
      <c r="J242" s="507" t="b">
        <v>0</v>
      </c>
      <c r="K242" s="112"/>
      <c r="L242" s="505" t="b">
        <v>0</v>
      </c>
      <c r="M242" s="504" t="b">
        <v>0</v>
      </c>
      <c r="N242" s="112"/>
      <c r="O242" s="505" t="b">
        <v>0</v>
      </c>
      <c r="P242" s="504" t="b">
        <v>0</v>
      </c>
      <c r="Q242" s="116"/>
      <c r="R242" s="505" t="b">
        <v>0</v>
      </c>
      <c r="S242" s="504" t="b">
        <v>0</v>
      </c>
      <c r="T242" s="117"/>
      <c r="U242" s="505" t="b">
        <v>0</v>
      </c>
      <c r="V242" s="504" t="b">
        <v>0</v>
      </c>
      <c r="W242" s="118"/>
      <c r="X242" s="505" t="b">
        <v>0</v>
      </c>
      <c r="Y242" s="504" t="b">
        <v>0</v>
      </c>
      <c r="Z242" s="119"/>
      <c r="AA242" s="505" t="b">
        <v>0</v>
      </c>
      <c r="AB242" s="504" t="b">
        <v>0</v>
      </c>
      <c r="AC242" s="121"/>
      <c r="AD242" s="505" t="b">
        <v>0</v>
      </c>
      <c r="AE242" s="504" t="b">
        <v>0</v>
      </c>
      <c r="AF242" s="125"/>
      <c r="AG242" s="505" t="b">
        <v>0</v>
      </c>
      <c r="AH242" s="504" t="b">
        <v>0</v>
      </c>
      <c r="AI242" s="105"/>
      <c r="AJ242" s="505" t="b">
        <v>0</v>
      </c>
      <c r="AK242" s="504" t="b">
        <v>0</v>
      </c>
      <c r="AL242" s="126"/>
      <c r="AM242" s="505" t="b">
        <v>0</v>
      </c>
      <c r="AN242" s="504" t="b">
        <v>0</v>
      </c>
      <c r="AO242" s="105"/>
      <c r="AP242" s="105"/>
      <c r="AQ242" s="105"/>
      <c r="AR242" s="105"/>
      <c r="AS242" s="105"/>
      <c r="AT242" s="105"/>
      <c r="AU242" s="105"/>
      <c r="AV242" s="105"/>
      <c r="AW242" s="105"/>
      <c r="AX242" s="105"/>
      <c r="AY242" s="105"/>
      <c r="AZ242" s="105"/>
      <c r="BA242" s="105"/>
    </row>
    <row r="243">
      <c r="A243" s="105" t="str">
        <f>IFERROR(__xludf.DUMMYFUNCTION("""COMPUTED_VALUE"""),"SETTLED")</f>
        <v>SETTLED</v>
      </c>
      <c r="B243" s="506" t="str">
        <f>IFERROR(__xludf.DUMMYFUNCTION("""COMPUTED_VALUE"""),"Ivan")</f>
        <v>Ivan</v>
      </c>
      <c r="C243" s="506" t="str">
        <f>IFERROR(__xludf.DUMMYFUNCTION("""COMPUTED_VALUE"""),"Louis S Gomez &amp; Lourdes Parra")</f>
        <v>Louis S Gomez &amp; Lourdes Parra</v>
      </c>
      <c r="D243" s="506" t="str">
        <f>IFERROR(__xludf.DUMMYFUNCTION("""COMPUTED_VALUE"""),"561-215-3370")</f>
        <v>561-215-3370</v>
      </c>
      <c r="E243" s="506" t="str">
        <f>IFERROR(__xludf.DUMMYFUNCTION("""COMPUTED_VALUE"""),"louisg3509@gmail.com")</f>
        <v>louisg3509@gmail.com</v>
      </c>
      <c r="F243" s="506" t="str">
        <f>IFERROR(__xludf.DUMMYFUNCTION("""COMPUTED_VALUE"""),"2200 Angel Rd SE Palm Bay, FL 32909-6454")</f>
        <v>2200 Angel Rd SE Palm Bay, FL 32909-6454</v>
      </c>
      <c r="G243" s="506" t="str">
        <f>IFERROR(__xludf.DUMMYFUNCTION("""COMPUTED_VALUE"""),"Hurricane Milton")</f>
        <v>Hurricane Milton</v>
      </c>
      <c r="H243" s="506" t="str">
        <f>IFERROR(__xludf.DUMMYFUNCTION("""COMPUTED_VALUE"""),"New Claim")</f>
        <v>New Claim</v>
      </c>
      <c r="I243" s="505" t="b">
        <v>0</v>
      </c>
      <c r="J243" s="507" t="b">
        <v>0</v>
      </c>
      <c r="K243" s="112"/>
      <c r="L243" s="505" t="b">
        <v>0</v>
      </c>
      <c r="M243" s="504" t="b">
        <v>0</v>
      </c>
      <c r="N243" s="112"/>
      <c r="O243" s="505" t="b">
        <v>0</v>
      </c>
      <c r="P243" s="504" t="b">
        <v>0</v>
      </c>
      <c r="Q243" s="116"/>
      <c r="R243" s="505" t="b">
        <v>0</v>
      </c>
      <c r="S243" s="504" t="b">
        <v>0</v>
      </c>
      <c r="T243" s="117"/>
      <c r="U243" s="505" t="b">
        <v>0</v>
      </c>
      <c r="V243" s="504" t="b">
        <v>0</v>
      </c>
      <c r="W243" s="118"/>
      <c r="X243" s="505" t="b">
        <v>0</v>
      </c>
      <c r="Y243" s="504" t="b">
        <v>0</v>
      </c>
      <c r="Z243" s="119"/>
      <c r="AA243" s="505" t="b">
        <v>0</v>
      </c>
      <c r="AB243" s="504" t="b">
        <v>0</v>
      </c>
      <c r="AC243" s="121"/>
      <c r="AD243" s="505" t="b">
        <v>0</v>
      </c>
      <c r="AE243" s="504" t="b">
        <v>0</v>
      </c>
      <c r="AF243" s="125"/>
      <c r="AG243" s="505" t="b">
        <v>0</v>
      </c>
      <c r="AH243" s="504" t="b">
        <v>0</v>
      </c>
      <c r="AI243" s="105"/>
      <c r="AJ243" s="505" t="b">
        <v>0</v>
      </c>
      <c r="AK243" s="504" t="b">
        <v>0</v>
      </c>
      <c r="AL243" s="126"/>
      <c r="AM243" s="505" t="b">
        <v>0</v>
      </c>
      <c r="AN243" s="504" t="b">
        <v>0</v>
      </c>
      <c r="AO243" s="105"/>
      <c r="AP243" s="105"/>
      <c r="AQ243" s="105"/>
      <c r="AR243" s="105"/>
      <c r="AS243" s="105"/>
      <c r="AT243" s="105"/>
      <c r="AU243" s="105"/>
      <c r="AV243" s="105"/>
      <c r="AW243" s="105"/>
      <c r="AX243" s="105"/>
      <c r="AY243" s="105"/>
      <c r="AZ243" s="105"/>
      <c r="BA243" s="105"/>
    </row>
    <row r="244">
      <c r="A244" s="506" t="str">
        <f>IFERROR(__xludf.DUMMYFUNCTION("""COMPUTED_VALUE"""),"SETTLED")</f>
        <v>SETTLED</v>
      </c>
      <c r="B244" s="506" t="str">
        <f>IFERROR(__xludf.DUMMYFUNCTION("""COMPUTED_VALUE"""),"Jakey, Joshua")</f>
        <v>Jakey, Joshua</v>
      </c>
      <c r="C244" s="506" t="str">
        <f>IFERROR(__xludf.DUMMYFUNCTION("""COMPUTED_VALUE"""),"Juan de Castro")</f>
        <v>Juan de Castro</v>
      </c>
      <c r="D244" s="506" t="str">
        <f>IFERROR(__xludf.DUMMYFUNCTION("""COMPUTED_VALUE"""),"305-810-9529")</f>
        <v>305-810-9529</v>
      </c>
      <c r="E244" s="506" t="str">
        <f>IFERROR(__xludf.DUMMYFUNCTION("""COMPUTED_VALUE"""),"Chojuan30@hotmail.com")</f>
        <v>Chojuan30@hotmail.com</v>
      </c>
      <c r="F244" s="506" t="str">
        <f>IFERROR(__xludf.DUMMYFUNCTION("""COMPUTED_VALUE"""),"11461 Sw 104th St Miami, FL 33176")</f>
        <v>11461 Sw 104th St Miami, FL 33176</v>
      </c>
      <c r="G244" s="506" t="str">
        <f>IFERROR(__xludf.DUMMYFUNCTION("""COMPUTED_VALUE"""),"Hurricane")</f>
        <v>Hurricane</v>
      </c>
      <c r="H244" s="506" t="str">
        <f>IFERROR(__xludf.DUMMYFUNCTION("""COMPUTED_VALUE"""),"New Claim")</f>
        <v>New Claim</v>
      </c>
      <c r="I244" s="505" t="b">
        <v>0</v>
      </c>
      <c r="J244" s="507" t="b">
        <v>0</v>
      </c>
      <c r="K244" s="112"/>
      <c r="L244" s="505" t="b">
        <v>0</v>
      </c>
      <c r="M244" s="504" t="b">
        <v>0</v>
      </c>
      <c r="N244" s="112"/>
      <c r="O244" s="505" t="b">
        <v>0</v>
      </c>
      <c r="P244" s="504" t="b">
        <v>0</v>
      </c>
      <c r="Q244" s="116"/>
      <c r="R244" s="505" t="b">
        <v>0</v>
      </c>
      <c r="S244" s="504" t="b">
        <v>0</v>
      </c>
      <c r="T244" s="117"/>
      <c r="U244" s="505" t="b">
        <v>0</v>
      </c>
      <c r="V244" s="504" t="b">
        <v>0</v>
      </c>
      <c r="W244" s="118"/>
      <c r="X244" s="505" t="b">
        <v>0</v>
      </c>
      <c r="Y244" s="504" t="b">
        <v>0</v>
      </c>
      <c r="Z244" s="119"/>
      <c r="AA244" s="505" t="b">
        <v>0</v>
      </c>
      <c r="AB244" s="504" t="b">
        <v>0</v>
      </c>
      <c r="AC244" s="121"/>
      <c r="AD244" s="505" t="b">
        <v>0</v>
      </c>
      <c r="AE244" s="504" t="b">
        <v>0</v>
      </c>
      <c r="AF244" s="125"/>
      <c r="AG244" s="505" t="b">
        <v>0</v>
      </c>
      <c r="AH244" s="504" t="b">
        <v>0</v>
      </c>
      <c r="AI244" s="105"/>
      <c r="AJ244" s="505" t="b">
        <v>0</v>
      </c>
      <c r="AK244" s="504" t="b">
        <v>0</v>
      </c>
      <c r="AL244" s="126"/>
      <c r="AM244" s="505" t="b">
        <v>0</v>
      </c>
      <c r="AN244" s="504" t="b">
        <v>0</v>
      </c>
      <c r="AO244" s="105"/>
      <c r="AP244" s="105"/>
      <c r="AQ244" s="105"/>
      <c r="AR244" s="105"/>
      <c r="AS244" s="105"/>
      <c r="AT244" s="105"/>
      <c r="AU244" s="105"/>
      <c r="AV244" s="105"/>
      <c r="AW244" s="105"/>
      <c r="AX244" s="105"/>
      <c r="AY244" s="105"/>
      <c r="AZ244" s="105"/>
      <c r="BA244" s="105"/>
    </row>
    <row r="245">
      <c r="A245" s="506" t="str">
        <f>IFERROR(__xludf.DUMMYFUNCTION("""COMPUTED_VALUE"""),"SETTLED")</f>
        <v>SETTLED</v>
      </c>
      <c r="B245" s="506" t="str">
        <f>IFERROR(__xludf.DUMMYFUNCTION("""COMPUTED_VALUE"""),"Joshua")</f>
        <v>Joshua</v>
      </c>
      <c r="C245" s="506" t="str">
        <f>IFERROR(__xludf.DUMMYFUNCTION("""COMPUTED_VALUE"""),"Jose Julian Colon")</f>
        <v>Jose Julian Colon</v>
      </c>
      <c r="D245" s="506" t="str">
        <f>IFERROR(__xludf.DUMMYFUNCTION("""COMPUTED_VALUE"""),"727-645-2661")</f>
        <v>727-645-2661</v>
      </c>
      <c r="E245" s="506" t="str">
        <f>IFERROR(__xludf.DUMMYFUNCTION("""COMPUTED_VALUE"""),"Colonjulian30@yahoo.com")</f>
        <v>Colonjulian30@yahoo.com</v>
      </c>
      <c r="F245" s="506" t="str">
        <f>IFERROR(__xludf.DUMMYFUNCTION("""COMPUTED_VALUE"""),"603 14th St E Palmetto, FL 34221")</f>
        <v>603 14th St E Palmetto, FL 34221</v>
      </c>
      <c r="G245" s="506" t="str">
        <f>IFERROR(__xludf.DUMMYFUNCTION("""COMPUTED_VALUE"""),"Hurricane Milton")</f>
        <v>Hurricane Milton</v>
      </c>
      <c r="H245" s="506" t="str">
        <f>IFERROR(__xludf.DUMMYFUNCTION("""COMPUTED_VALUE"""),"New Claim")</f>
        <v>New Claim</v>
      </c>
      <c r="I245" s="505" t="b">
        <v>0</v>
      </c>
      <c r="J245" s="507" t="b">
        <v>0</v>
      </c>
      <c r="K245" s="112"/>
      <c r="L245" s="505" t="b">
        <v>0</v>
      </c>
      <c r="M245" s="504" t="b">
        <v>0</v>
      </c>
      <c r="N245" s="112"/>
      <c r="O245" s="505" t="b">
        <v>0</v>
      </c>
      <c r="P245" s="504" t="b">
        <v>0</v>
      </c>
      <c r="Q245" s="116"/>
      <c r="R245" s="505" t="b">
        <v>0</v>
      </c>
      <c r="S245" s="504" t="b">
        <v>0</v>
      </c>
      <c r="T245" s="117"/>
      <c r="U245" s="505" t="b">
        <v>0</v>
      </c>
      <c r="V245" s="504" t="b">
        <v>0</v>
      </c>
      <c r="W245" s="118"/>
      <c r="X245" s="505" t="b">
        <v>0</v>
      </c>
      <c r="Y245" s="504" t="b">
        <v>0</v>
      </c>
      <c r="Z245" s="119"/>
      <c r="AA245" s="505" t="b">
        <v>0</v>
      </c>
      <c r="AB245" s="504" t="b">
        <v>0</v>
      </c>
      <c r="AC245" s="121"/>
      <c r="AD245" s="505" t="b">
        <v>0</v>
      </c>
      <c r="AE245" s="504" t="b">
        <v>0</v>
      </c>
      <c r="AF245" s="125"/>
      <c r="AG245" s="505" t="b">
        <v>0</v>
      </c>
      <c r="AH245" s="504" t="b">
        <v>0</v>
      </c>
      <c r="AI245" s="105"/>
      <c r="AJ245" s="505" t="b">
        <v>0</v>
      </c>
      <c r="AK245" s="504" t="b">
        <v>0</v>
      </c>
      <c r="AL245" s="126"/>
      <c r="AM245" s="505" t="b">
        <v>0</v>
      </c>
      <c r="AN245" s="504" t="b">
        <v>0</v>
      </c>
      <c r="AO245" s="105"/>
      <c r="AP245" s="105"/>
      <c r="AQ245" s="105"/>
      <c r="AR245" s="105"/>
      <c r="AS245" s="105"/>
      <c r="AT245" s="105"/>
      <c r="AU245" s="105"/>
      <c r="AV245" s="105"/>
      <c r="AW245" s="105"/>
      <c r="AX245" s="105"/>
      <c r="AY245" s="105"/>
      <c r="AZ245" s="105"/>
      <c r="BA245" s="105"/>
    </row>
    <row r="246">
      <c r="A246" s="506" t="str">
        <f>IFERROR(__xludf.DUMMYFUNCTION("""COMPUTED_VALUE"""),"SETTLED")</f>
        <v>SETTLED</v>
      </c>
      <c r="B246" s="506" t="str">
        <f>IFERROR(__xludf.DUMMYFUNCTION("""COMPUTED_VALUE"""),"Joshua, Hector")</f>
        <v>Joshua, Hector</v>
      </c>
      <c r="C246" s="506" t="str">
        <f>IFERROR(__xludf.DUMMYFUNCTION("""COMPUTED_VALUE"""),"John Charles Hoelzer")</f>
        <v>John Charles Hoelzer</v>
      </c>
      <c r="D246" s="506" t="str">
        <f>IFERROR(__xludf.DUMMYFUNCTION("""COMPUTED_VALUE"""),"516-574-9821")</f>
        <v>516-574-9821</v>
      </c>
      <c r="E246" s="506" t="str">
        <f>IFERROR(__xludf.DUMMYFUNCTION("""COMPUTED_VALUE"""),"Thehoelzerhaus36@gmail.com")</f>
        <v>Thehoelzerhaus36@gmail.com</v>
      </c>
      <c r="F246" s="506" t="str">
        <f>IFERROR(__xludf.DUMMYFUNCTION("""COMPUTED_VALUE"""),"525 Centre St Palmetto, FL 34221")</f>
        <v>525 Centre St Palmetto, FL 34221</v>
      </c>
      <c r="G246" s="506" t="str">
        <f>IFERROR(__xludf.DUMMYFUNCTION("""COMPUTED_VALUE"""),"Hurricane Milton")</f>
        <v>Hurricane Milton</v>
      </c>
      <c r="H246" s="506" t="str">
        <f>IFERROR(__xludf.DUMMYFUNCTION("""COMPUTED_VALUE"""),"New Claim")</f>
        <v>New Claim</v>
      </c>
      <c r="I246" s="505" t="b">
        <v>0</v>
      </c>
      <c r="J246" s="507" t="b">
        <v>0</v>
      </c>
      <c r="K246" s="112"/>
      <c r="L246" s="505" t="b">
        <v>0</v>
      </c>
      <c r="M246" s="504" t="b">
        <v>0</v>
      </c>
      <c r="N246" s="112"/>
      <c r="O246" s="505" t="b">
        <v>0</v>
      </c>
      <c r="P246" s="504" t="b">
        <v>0</v>
      </c>
      <c r="Q246" s="116"/>
      <c r="R246" s="505" t="b">
        <v>0</v>
      </c>
      <c r="S246" s="504" t="b">
        <v>0</v>
      </c>
      <c r="T246" s="117"/>
      <c r="U246" s="505" t="b">
        <v>0</v>
      </c>
      <c r="V246" s="504" t="b">
        <v>0</v>
      </c>
      <c r="W246" s="118"/>
      <c r="X246" s="505" t="b">
        <v>0</v>
      </c>
      <c r="Y246" s="504" t="b">
        <v>0</v>
      </c>
      <c r="Z246" s="119"/>
      <c r="AA246" s="505" t="b">
        <v>0</v>
      </c>
      <c r="AB246" s="504" t="b">
        <v>0</v>
      </c>
      <c r="AC246" s="121"/>
      <c r="AD246" s="505" t="b">
        <v>0</v>
      </c>
      <c r="AE246" s="504" t="b">
        <v>0</v>
      </c>
      <c r="AF246" s="125"/>
      <c r="AG246" s="505" t="b">
        <v>0</v>
      </c>
      <c r="AH246" s="504" t="b">
        <v>0</v>
      </c>
      <c r="AI246" s="105"/>
      <c r="AJ246" s="505" t="b">
        <v>0</v>
      </c>
      <c r="AK246" s="504" t="b">
        <v>0</v>
      </c>
      <c r="AL246" s="126"/>
      <c r="AM246" s="505" t="b">
        <v>0</v>
      </c>
      <c r="AN246" s="504" t="b">
        <v>0</v>
      </c>
      <c r="AO246" s="105"/>
      <c r="AP246" s="105"/>
      <c r="AQ246" s="105"/>
      <c r="AR246" s="105"/>
      <c r="AS246" s="105"/>
      <c r="AT246" s="105"/>
      <c r="AU246" s="105"/>
      <c r="AV246" s="105"/>
      <c r="AW246" s="105"/>
      <c r="AX246" s="105"/>
      <c r="AY246" s="105"/>
      <c r="AZ246" s="105"/>
      <c r="BA246" s="105"/>
    </row>
    <row r="247">
      <c r="A247" s="506" t="str">
        <f>IFERROR(__xludf.DUMMYFUNCTION("""COMPUTED_VALUE"""),"STAND BY")</f>
        <v>STAND BY</v>
      </c>
      <c r="B247" s="506" t="str">
        <f>IFERROR(__xludf.DUMMYFUNCTION("""COMPUTED_VALUE"""),"Jakey")</f>
        <v>Jakey</v>
      </c>
      <c r="C247" s="506" t="str">
        <f>IFERROR(__xludf.DUMMYFUNCTION("""COMPUTED_VALUE"""),"Carl Watson")</f>
        <v>Carl Watson</v>
      </c>
      <c r="D247" s="506" t="str">
        <f>IFERROR(__xludf.DUMMYFUNCTION("""COMPUTED_VALUE"""),"(863) 244-4550")</f>
        <v>(863) 244-4550</v>
      </c>
      <c r="E247" s="506" t="str">
        <f>IFERROR(__xludf.DUMMYFUNCTION("""COMPUTED_VALUE"""),"Cronaldowatson@yahoo.com")</f>
        <v>Cronaldowatson@yahoo.com</v>
      </c>
      <c r="F247" s="506" t="str">
        <f>IFERROR(__xludf.DUMMYFUNCTION("""COMPUTED_VALUE"""),"308 N Mills Ave Arcadia FL 34266")</f>
        <v>308 N Mills Ave Arcadia FL 34266</v>
      </c>
      <c r="G247" s="506" t="str">
        <f>IFERROR(__xludf.DUMMYFUNCTION("""COMPUTED_VALUE"""),"AWD")</f>
        <v>AWD</v>
      </c>
      <c r="H247" s="506" t="str">
        <f>IFERROR(__xludf.DUMMYFUNCTION("""COMPUTED_VALUE"""),"New Claim")</f>
        <v>New Claim</v>
      </c>
      <c r="I247" s="505" t="b">
        <v>0</v>
      </c>
      <c r="J247" s="507" t="b">
        <v>0</v>
      </c>
      <c r="K247" s="112"/>
      <c r="L247" s="505" t="b">
        <v>0</v>
      </c>
      <c r="M247" s="504" t="b">
        <v>0</v>
      </c>
      <c r="N247" s="112"/>
      <c r="O247" s="505" t="b">
        <v>0</v>
      </c>
      <c r="P247" s="504" t="b">
        <v>0</v>
      </c>
      <c r="Q247" s="116"/>
      <c r="R247" s="505" t="b">
        <v>0</v>
      </c>
      <c r="S247" s="504" t="b">
        <v>0</v>
      </c>
      <c r="T247" s="117"/>
      <c r="U247" s="505" t="b">
        <v>0</v>
      </c>
      <c r="V247" s="504" t="b">
        <v>0</v>
      </c>
      <c r="W247" s="118"/>
      <c r="X247" s="505" t="b">
        <v>0</v>
      </c>
      <c r="Y247" s="504" t="b">
        <v>0</v>
      </c>
      <c r="Z247" s="119"/>
      <c r="AA247" s="505" t="b">
        <v>0</v>
      </c>
      <c r="AB247" s="504" t="b">
        <v>0</v>
      </c>
      <c r="AC247" s="121"/>
      <c r="AD247" s="505" t="b">
        <v>0</v>
      </c>
      <c r="AE247" s="504" t="b">
        <v>0</v>
      </c>
      <c r="AF247" s="125"/>
      <c r="AG247" s="505" t="b">
        <v>0</v>
      </c>
      <c r="AH247" s="504" t="b">
        <v>0</v>
      </c>
      <c r="AI247" s="105"/>
      <c r="AJ247" s="505" t="b">
        <v>0</v>
      </c>
      <c r="AK247" s="504" t="b">
        <v>0</v>
      </c>
      <c r="AL247" s="126"/>
      <c r="AM247" s="505" t="b">
        <v>0</v>
      </c>
      <c r="AN247" s="504" t="b">
        <v>0</v>
      </c>
      <c r="AO247" s="105"/>
      <c r="AP247" s="105"/>
      <c r="AQ247" s="105"/>
      <c r="AR247" s="105"/>
      <c r="AS247" s="105"/>
      <c r="AT247" s="105"/>
      <c r="AU247" s="105"/>
      <c r="AV247" s="105"/>
      <c r="AW247" s="105"/>
      <c r="AX247" s="105"/>
      <c r="AY247" s="105"/>
      <c r="AZ247" s="105"/>
      <c r="BA247" s="105"/>
    </row>
    <row r="248">
      <c r="A248" s="105" t="str">
        <f>IFERROR(__xludf.DUMMYFUNCTION("""COMPUTED_VALUE"""),"SETTLED")</f>
        <v>SETTLED</v>
      </c>
      <c r="B248" s="506" t="str">
        <f>IFERROR(__xludf.DUMMYFUNCTION("""COMPUTED_VALUE"""),"David M.")</f>
        <v>David M.</v>
      </c>
      <c r="C248" s="506" t="str">
        <f>IFERROR(__xludf.DUMMYFUNCTION("""COMPUTED_VALUE"""),"Sara Edixon ")</f>
        <v>Sara Edixon </v>
      </c>
      <c r="D248" s="506" t="str">
        <f>IFERROR(__xludf.DUMMYFUNCTION("""COMPUTED_VALUE"""),"941-773-0646")</f>
        <v>941-773-0646</v>
      </c>
      <c r="E248" s="506" t="str">
        <f>IFERROR(__xludf.DUMMYFUNCTION("""COMPUTED_VALUE"""),"Saratipton611@gmail.com")</f>
        <v>Saratipton611@gmail.com</v>
      </c>
      <c r="F248" s="506" t="str">
        <f>IFERROR(__xludf.DUMMYFUNCTION("""COMPUTED_VALUE"""),"432 49th ST W Palmetto FL 34221")</f>
        <v>432 49th ST W Palmetto FL 34221</v>
      </c>
      <c r="G248" s="506" t="str">
        <f>IFERROR(__xludf.DUMMYFUNCTION("""COMPUTED_VALUE"""),"Hurricane Milton")</f>
        <v>Hurricane Milton</v>
      </c>
      <c r="H248" s="506" t="str">
        <f>IFERROR(__xludf.DUMMYFUNCTION("""COMPUTED_VALUE"""),"New Claim")</f>
        <v>New Claim</v>
      </c>
      <c r="I248" s="505" t="b">
        <v>0</v>
      </c>
      <c r="J248" s="507" t="b">
        <v>0</v>
      </c>
      <c r="K248" s="112"/>
      <c r="L248" s="505" t="b">
        <v>0</v>
      </c>
      <c r="M248" s="504" t="b">
        <v>0</v>
      </c>
      <c r="N248" s="112"/>
      <c r="O248" s="505" t="b">
        <v>0</v>
      </c>
      <c r="P248" s="504" t="b">
        <v>0</v>
      </c>
      <c r="Q248" s="116"/>
      <c r="R248" s="505" t="b">
        <v>0</v>
      </c>
      <c r="S248" s="504" t="b">
        <v>0</v>
      </c>
      <c r="T248" s="117"/>
      <c r="U248" s="505" t="b">
        <v>0</v>
      </c>
      <c r="V248" s="504" t="b">
        <v>0</v>
      </c>
      <c r="W248" s="118"/>
      <c r="X248" s="505" t="b">
        <v>0</v>
      </c>
      <c r="Y248" s="504" t="b">
        <v>0</v>
      </c>
      <c r="Z248" s="119"/>
      <c r="AA248" s="505" t="b">
        <v>0</v>
      </c>
      <c r="AB248" s="504" t="b">
        <v>0</v>
      </c>
      <c r="AC248" s="121"/>
      <c r="AD248" s="505" t="b">
        <v>0</v>
      </c>
      <c r="AE248" s="504" t="b">
        <v>0</v>
      </c>
      <c r="AF248" s="125"/>
      <c r="AG248" s="505" t="b">
        <v>0</v>
      </c>
      <c r="AH248" s="504" t="b">
        <v>0</v>
      </c>
      <c r="AI248" s="105"/>
      <c r="AJ248" s="505" t="b">
        <v>0</v>
      </c>
      <c r="AK248" s="504" t="b">
        <v>0</v>
      </c>
      <c r="AL248" s="126"/>
      <c r="AM248" s="505" t="b">
        <v>0</v>
      </c>
      <c r="AN248" s="504" t="b">
        <v>0</v>
      </c>
      <c r="AO248" s="105"/>
      <c r="AP248" s="105"/>
      <c r="AQ248" s="105"/>
      <c r="AR248" s="105"/>
      <c r="AS248" s="105"/>
      <c r="AT248" s="105"/>
      <c r="AU248" s="105"/>
      <c r="AV248" s="105"/>
      <c r="AW248" s="105"/>
      <c r="AX248" s="105"/>
      <c r="AY248" s="105"/>
      <c r="AZ248" s="105"/>
      <c r="BA248" s="105"/>
    </row>
    <row r="249">
      <c r="A249" s="506" t="str">
        <f>IFERROR(__xludf.DUMMYFUNCTION("""COMPUTED_VALUE"""),"SETTLED")</f>
        <v>SETTLED</v>
      </c>
      <c r="B249" s="506" t="str">
        <f>IFERROR(__xludf.DUMMYFUNCTION("""COMPUTED_VALUE"""),"Jose P., Ivan")</f>
        <v>Jose P., Ivan</v>
      </c>
      <c r="C249" s="506" t="str">
        <f>IFERROR(__xludf.DUMMYFUNCTION("""COMPUTED_VALUE"""),"Lawrence Miller")</f>
        <v>Lawrence Miller</v>
      </c>
      <c r="D249" s="506" t="str">
        <f>IFERROR(__xludf.DUMMYFUNCTION("""COMPUTED_VALUE"""),"772-332-7244")</f>
        <v>772-332-7244</v>
      </c>
      <c r="E249" s="506" t="str">
        <f>IFERROR(__xludf.DUMMYFUNCTION("""COMPUTED_VALUE"""),"LarryMiller641@gmail.com")</f>
        <v>LarryMiller641@gmail.com</v>
      </c>
      <c r="F249" s="506" t="str">
        <f>IFERROR(__xludf.DUMMYFUNCTION("""COMPUTED_VALUE"""),"6601 Hulda Dr. Fort Pierce, FL 34951")</f>
        <v>6601 Hulda Dr. Fort Pierce, FL 34951</v>
      </c>
      <c r="G249" s="506" t="str">
        <f>IFERROR(__xludf.DUMMYFUNCTION("""COMPUTED_VALUE"""),"Hurricane Milton")</f>
        <v>Hurricane Milton</v>
      </c>
      <c r="H249" s="506" t="str">
        <f>IFERROR(__xludf.DUMMYFUNCTION("""COMPUTED_VALUE"""),"New Claim")</f>
        <v>New Claim</v>
      </c>
      <c r="I249" s="505" t="b">
        <v>0</v>
      </c>
      <c r="J249" s="507" t="b">
        <v>0</v>
      </c>
      <c r="K249" s="112"/>
      <c r="L249" s="505" t="b">
        <v>0</v>
      </c>
      <c r="M249" s="504" t="b">
        <v>0</v>
      </c>
      <c r="N249" s="112"/>
      <c r="O249" s="505" t="b">
        <v>0</v>
      </c>
      <c r="P249" s="504" t="b">
        <v>0</v>
      </c>
      <c r="Q249" s="116"/>
      <c r="R249" s="505" t="b">
        <v>0</v>
      </c>
      <c r="S249" s="504" t="b">
        <v>0</v>
      </c>
      <c r="T249" s="117"/>
      <c r="U249" s="505" t="b">
        <v>0</v>
      </c>
      <c r="V249" s="504" t="b">
        <v>0</v>
      </c>
      <c r="W249" s="118"/>
      <c r="X249" s="505" t="b">
        <v>0</v>
      </c>
      <c r="Y249" s="504" t="b">
        <v>0</v>
      </c>
      <c r="Z249" s="119"/>
      <c r="AA249" s="505" t="b">
        <v>0</v>
      </c>
      <c r="AB249" s="504" t="b">
        <v>0</v>
      </c>
      <c r="AC249" s="121"/>
      <c r="AD249" s="505" t="b">
        <v>0</v>
      </c>
      <c r="AE249" s="504" t="b">
        <v>0</v>
      </c>
      <c r="AF249" s="125"/>
      <c r="AG249" s="505" t="b">
        <v>0</v>
      </c>
      <c r="AH249" s="504" t="b">
        <v>0</v>
      </c>
      <c r="AI249" s="105"/>
      <c r="AJ249" s="505" t="b">
        <v>0</v>
      </c>
      <c r="AK249" s="504" t="b">
        <v>0</v>
      </c>
      <c r="AL249" s="126"/>
      <c r="AM249" s="505" t="b">
        <v>0</v>
      </c>
      <c r="AN249" s="504" t="b">
        <v>0</v>
      </c>
      <c r="AO249" s="105"/>
      <c r="AP249" s="105"/>
      <c r="AQ249" s="105"/>
      <c r="AR249" s="105"/>
      <c r="AS249" s="105"/>
      <c r="AT249" s="105"/>
      <c r="AU249" s="105"/>
      <c r="AV249" s="105"/>
      <c r="AW249" s="105"/>
      <c r="AX249" s="105"/>
      <c r="AY249" s="105"/>
      <c r="AZ249" s="105"/>
      <c r="BA249" s="105"/>
    </row>
    <row r="250">
      <c r="A250" s="506" t="str">
        <f>IFERROR(__xludf.DUMMYFUNCTION("""COMPUTED_VALUE"""),"PEN O&amp;L/DEPRECIATION")</f>
        <v>PEN O&amp;L/DEPRECIATION</v>
      </c>
      <c r="B250" s="506" t="str">
        <f>IFERROR(__xludf.DUMMYFUNCTION("""COMPUTED_VALUE"""),"Peter, Gregory")</f>
        <v>Peter, Gregory</v>
      </c>
      <c r="C250" s="506" t="str">
        <f>IFERROR(__xludf.DUMMYFUNCTION("""COMPUTED_VALUE"""),"Kenneth M Lagassey")</f>
        <v>Kenneth M Lagassey</v>
      </c>
      <c r="D250" s="506" t="str">
        <f>IFERROR(__xludf.DUMMYFUNCTION("""COMPUTED_VALUE"""),"772-828-6467")</f>
        <v>772-828-6467</v>
      </c>
      <c r="E250" s="506" t="str">
        <f>IFERROR(__xludf.DUMMYFUNCTION("""COMPUTED_VALUE"""),"Kennylagassey88@gmail.com")</f>
        <v>Kennylagassey88@gmail.com</v>
      </c>
      <c r="F250" s="506" t="str">
        <f>IFERROR(__xludf.DUMMYFUNCTION("""COMPUTED_VALUE"""),"7102 Kenwood Rd. Fort Pierce, FL 34951")</f>
        <v>7102 Kenwood Rd. Fort Pierce, FL 34951</v>
      </c>
      <c r="G250" s="506" t="str">
        <f>IFERROR(__xludf.DUMMYFUNCTION("""COMPUTED_VALUE"""),"Hurricane Milton")</f>
        <v>Hurricane Milton</v>
      </c>
      <c r="H250" s="506" t="str">
        <f>IFERROR(__xludf.DUMMYFUNCTION("""COMPUTED_VALUE"""),"New Claim")</f>
        <v>New Claim</v>
      </c>
      <c r="I250" s="505" t="b">
        <v>0</v>
      </c>
      <c r="J250" s="507" t="b">
        <v>0</v>
      </c>
      <c r="K250" s="112"/>
      <c r="L250" s="505" t="b">
        <v>0</v>
      </c>
      <c r="M250" s="504" t="b">
        <v>0</v>
      </c>
      <c r="N250" s="112"/>
      <c r="O250" s="505" t="b">
        <v>0</v>
      </c>
      <c r="P250" s="504" t="b">
        <v>0</v>
      </c>
      <c r="Q250" s="116"/>
      <c r="R250" s="505" t="b">
        <v>0</v>
      </c>
      <c r="S250" s="504" t="b">
        <v>0</v>
      </c>
      <c r="T250" s="117"/>
      <c r="U250" s="505" t="b">
        <v>0</v>
      </c>
      <c r="V250" s="504" t="b">
        <v>0</v>
      </c>
      <c r="W250" s="118"/>
      <c r="X250" s="505" t="b">
        <v>0</v>
      </c>
      <c r="Y250" s="504" t="b">
        <v>0</v>
      </c>
      <c r="Z250" s="119"/>
      <c r="AA250" s="505" t="b">
        <v>0</v>
      </c>
      <c r="AB250" s="504" t="b">
        <v>0</v>
      </c>
      <c r="AC250" s="121"/>
      <c r="AD250" s="505" t="b">
        <v>0</v>
      </c>
      <c r="AE250" s="504" t="b">
        <v>0</v>
      </c>
      <c r="AF250" s="125"/>
      <c r="AG250" s="505" t="b">
        <v>0</v>
      </c>
      <c r="AH250" s="504" t="b">
        <v>0</v>
      </c>
      <c r="AI250" s="105"/>
      <c r="AJ250" s="505" t="b">
        <v>0</v>
      </c>
      <c r="AK250" s="504" t="b">
        <v>0</v>
      </c>
      <c r="AL250" s="126"/>
      <c r="AM250" s="505" t="b">
        <v>0</v>
      </c>
      <c r="AN250" s="504" t="b">
        <v>0</v>
      </c>
      <c r="AO250" s="105"/>
      <c r="AP250" s="105"/>
      <c r="AQ250" s="105"/>
      <c r="AR250" s="105"/>
      <c r="AS250" s="105"/>
      <c r="AT250" s="105"/>
      <c r="AU250" s="105"/>
      <c r="AV250" s="105"/>
      <c r="AW250" s="105"/>
      <c r="AX250" s="105"/>
      <c r="AY250" s="105"/>
      <c r="AZ250" s="105"/>
      <c r="BA250" s="105"/>
    </row>
    <row r="251">
      <c r="A251" s="506" t="str">
        <f>IFERROR(__xludf.DUMMYFUNCTION("""COMPUTED_VALUE"""),"SETTLED")</f>
        <v>SETTLED</v>
      </c>
      <c r="B251" s="506" t="str">
        <f>IFERROR(__xludf.DUMMYFUNCTION("""COMPUTED_VALUE"""),"Ivan, Angie")</f>
        <v>Ivan, Angie</v>
      </c>
      <c r="C251" s="506" t="str">
        <f>IFERROR(__xludf.DUMMYFUNCTION("""COMPUTED_VALUE"""),"Fredy Garcia &amp; Jesus Castro Luna")</f>
        <v>Fredy Garcia &amp; Jesus Castro Luna</v>
      </c>
      <c r="D251" s="506" t="str">
        <f>IFERROR(__xludf.DUMMYFUNCTION("""COMPUTED_VALUE"""),"863-801-2314")</f>
        <v>863-801-2314</v>
      </c>
      <c r="E251" s="506" t="str">
        <f>IFERROR(__xludf.DUMMYFUNCTION("""COMPUTED_VALUE"""),"Garciaf9363@gmail.com")</f>
        <v>Garciaf9363@gmail.com</v>
      </c>
      <c r="F251" s="506" t="str">
        <f>IFERROR(__xludf.DUMMYFUNCTION("""COMPUTED_VALUE"""),"7101 Kenwood Rd. Fort Pierce, FL 34951.")</f>
        <v>7101 Kenwood Rd. Fort Pierce, FL 34951.</v>
      </c>
      <c r="G251" s="506" t="str">
        <f>IFERROR(__xludf.DUMMYFUNCTION("""COMPUTED_VALUE"""),"Hurricane MIlton")</f>
        <v>Hurricane MIlton</v>
      </c>
      <c r="H251" s="506" t="str">
        <f>IFERROR(__xludf.DUMMYFUNCTION("""COMPUTED_VALUE"""),"New Claim")</f>
        <v>New Claim</v>
      </c>
      <c r="I251" s="505" t="b">
        <v>0</v>
      </c>
      <c r="J251" s="507" t="b">
        <v>0</v>
      </c>
      <c r="K251" s="112"/>
      <c r="L251" s="505" t="b">
        <v>0</v>
      </c>
      <c r="M251" s="504" t="b">
        <v>0</v>
      </c>
      <c r="N251" s="112"/>
      <c r="O251" s="505" t="b">
        <v>0</v>
      </c>
      <c r="P251" s="504" t="b">
        <v>0</v>
      </c>
      <c r="Q251" s="116"/>
      <c r="R251" s="505" t="b">
        <v>0</v>
      </c>
      <c r="S251" s="504" t="b">
        <v>0</v>
      </c>
      <c r="T251" s="117"/>
      <c r="U251" s="505" t="b">
        <v>0</v>
      </c>
      <c r="V251" s="504" t="b">
        <v>0</v>
      </c>
      <c r="W251" s="118"/>
      <c r="X251" s="505" t="b">
        <v>0</v>
      </c>
      <c r="Y251" s="504" t="b">
        <v>0</v>
      </c>
      <c r="Z251" s="119"/>
      <c r="AA251" s="505" t="b">
        <v>0</v>
      </c>
      <c r="AB251" s="504" t="b">
        <v>0</v>
      </c>
      <c r="AC251" s="121"/>
      <c r="AD251" s="505" t="b">
        <v>0</v>
      </c>
      <c r="AE251" s="504" t="b">
        <v>0</v>
      </c>
      <c r="AF251" s="125"/>
      <c r="AG251" s="505" t="b">
        <v>0</v>
      </c>
      <c r="AH251" s="504" t="b">
        <v>0</v>
      </c>
      <c r="AI251" s="105"/>
      <c r="AJ251" s="505" t="b">
        <v>0</v>
      </c>
      <c r="AK251" s="504" t="b">
        <v>0</v>
      </c>
      <c r="AL251" s="126"/>
      <c r="AM251" s="505" t="b">
        <v>0</v>
      </c>
      <c r="AN251" s="504" t="b">
        <v>0</v>
      </c>
      <c r="AO251" s="105"/>
      <c r="AP251" s="105"/>
      <c r="AQ251" s="105"/>
      <c r="AR251" s="105"/>
      <c r="AS251" s="105"/>
      <c r="AT251" s="105"/>
      <c r="AU251" s="105"/>
      <c r="AV251" s="105"/>
      <c r="AW251" s="105"/>
      <c r="AX251" s="105"/>
      <c r="AY251" s="105"/>
      <c r="AZ251" s="105"/>
      <c r="BA251" s="105"/>
    </row>
    <row r="252">
      <c r="A252" s="506" t="str">
        <f>IFERROR(__xludf.DUMMYFUNCTION("""COMPUTED_VALUE"""),"SETTLED")</f>
        <v>SETTLED</v>
      </c>
      <c r="B252" s="506" t="str">
        <f>IFERROR(__xludf.DUMMYFUNCTION("""COMPUTED_VALUE"""),"Ivan, Angie")</f>
        <v>Ivan, Angie</v>
      </c>
      <c r="C252" s="506" t="str">
        <f>IFERROR(__xludf.DUMMYFUNCTION("""COMPUTED_VALUE"""),"Guerra Properties LLC")</f>
        <v>Guerra Properties LLC</v>
      </c>
      <c r="D252" s="506" t="str">
        <f>IFERROR(__xludf.DUMMYFUNCTION("""COMPUTED_VALUE"""),"305-884-0000")</f>
        <v>305-884-0000</v>
      </c>
      <c r="E252" s="506" t="str">
        <f>IFERROR(__xludf.DUMMYFUNCTION("""COMPUTED_VALUE"""),"Michael@guerrausa.com")</f>
        <v>Michael@guerrausa.com</v>
      </c>
      <c r="F252" s="506" t="str">
        <f>IFERROR(__xludf.DUMMYFUNCTION("""COMPUTED_VALUE"""),"3956 S Floral Ter Inverness, FL 34452")</f>
        <v>3956 S Floral Ter Inverness, FL 34452</v>
      </c>
      <c r="G252" s="506" t="str">
        <f>IFERROR(__xludf.DUMMYFUNCTION("""COMPUTED_VALUE"""),"Hurricane Milton")</f>
        <v>Hurricane Milton</v>
      </c>
      <c r="H252" s="506" t="str">
        <f>IFERROR(__xludf.DUMMYFUNCTION("""COMPUTED_VALUE"""),"New Claim")</f>
        <v>New Claim</v>
      </c>
      <c r="I252" s="505" t="b">
        <v>0</v>
      </c>
      <c r="J252" s="507" t="b">
        <v>0</v>
      </c>
      <c r="K252" s="112"/>
      <c r="L252" s="505" t="b">
        <v>0</v>
      </c>
      <c r="M252" s="504" t="b">
        <v>0</v>
      </c>
      <c r="N252" s="112"/>
      <c r="O252" s="505" t="b">
        <v>0</v>
      </c>
      <c r="P252" s="504" t="b">
        <v>0</v>
      </c>
      <c r="Q252" s="116"/>
      <c r="R252" s="505" t="b">
        <v>0</v>
      </c>
      <c r="S252" s="504" t="b">
        <v>0</v>
      </c>
      <c r="T252" s="117"/>
      <c r="U252" s="505" t="b">
        <v>0</v>
      </c>
      <c r="V252" s="504" t="b">
        <v>0</v>
      </c>
      <c r="W252" s="118"/>
      <c r="X252" s="505" t="b">
        <v>0</v>
      </c>
      <c r="Y252" s="504" t="b">
        <v>0</v>
      </c>
      <c r="Z252" s="119"/>
      <c r="AA252" s="505" t="b">
        <v>0</v>
      </c>
      <c r="AB252" s="504" t="b">
        <v>0</v>
      </c>
      <c r="AC252" s="121"/>
      <c r="AD252" s="505" t="b">
        <v>0</v>
      </c>
      <c r="AE252" s="504" t="b">
        <v>0</v>
      </c>
      <c r="AF252" s="125"/>
      <c r="AG252" s="505" t="b">
        <v>0</v>
      </c>
      <c r="AH252" s="504" t="b">
        <v>0</v>
      </c>
      <c r="AI252" s="105"/>
      <c r="AJ252" s="505" t="b">
        <v>0</v>
      </c>
      <c r="AK252" s="504" t="b">
        <v>0</v>
      </c>
      <c r="AL252" s="126"/>
      <c r="AM252" s="505" t="b">
        <v>0</v>
      </c>
      <c r="AN252" s="504" t="b">
        <v>0</v>
      </c>
      <c r="AO252" s="105"/>
      <c r="AP252" s="105"/>
      <c r="AQ252" s="105"/>
      <c r="AR252" s="105"/>
      <c r="AS252" s="105"/>
      <c r="AT252" s="105"/>
      <c r="AU252" s="105"/>
      <c r="AV252" s="105"/>
      <c r="AW252" s="105"/>
      <c r="AX252" s="105"/>
      <c r="AY252" s="105"/>
      <c r="AZ252" s="105"/>
      <c r="BA252" s="105"/>
    </row>
    <row r="253">
      <c r="A253" s="506" t="str">
        <f>IFERROR(__xludf.DUMMYFUNCTION("""COMPUTED_VALUE"""),"SETTLED")</f>
        <v>SETTLED</v>
      </c>
      <c r="B253" s="506" t="str">
        <f>IFERROR(__xludf.DUMMYFUNCTION("""COMPUTED_VALUE"""),"Joshua")</f>
        <v>Joshua</v>
      </c>
      <c r="C253" s="506" t="str">
        <f>IFERROR(__xludf.DUMMYFUNCTION("""COMPUTED_VALUE"""),"Idiolexys Alvarez Torres")</f>
        <v>Idiolexys Alvarez Torres</v>
      </c>
      <c r="D253" s="506" t="str">
        <f>IFERROR(__xludf.DUMMYFUNCTION("""COMPUTED_VALUE"""),"941-822-6573")</f>
        <v>941-822-6573</v>
      </c>
      <c r="E253" s="506" t="str">
        <f>IFERROR(__xludf.DUMMYFUNCTION("""COMPUTED_VALUE"""),"Idioalvarez@gmail.com")</f>
        <v>Idioalvarez@gmail.com</v>
      </c>
      <c r="F253" s="506" t="str">
        <f>IFERROR(__xludf.DUMMYFUNCTION("""COMPUTED_VALUE"""),"3309 6th Ave W Palmetto, FL 34221")</f>
        <v>3309 6th Ave W Palmetto, FL 34221</v>
      </c>
      <c r="G253" s="506" t="str">
        <f>IFERROR(__xludf.DUMMYFUNCTION("""COMPUTED_VALUE"""),"Hurricane Milton")</f>
        <v>Hurricane Milton</v>
      </c>
      <c r="H253" s="506" t="str">
        <f>IFERROR(__xludf.DUMMYFUNCTION("""COMPUTED_VALUE"""),"New Claim")</f>
        <v>New Claim</v>
      </c>
      <c r="I253" s="505" t="b">
        <v>0</v>
      </c>
      <c r="J253" s="507" t="b">
        <v>0</v>
      </c>
      <c r="K253" s="112"/>
      <c r="L253" s="505" t="b">
        <v>0</v>
      </c>
      <c r="M253" s="504" t="b">
        <v>0</v>
      </c>
      <c r="N253" s="112"/>
      <c r="O253" s="505" t="b">
        <v>0</v>
      </c>
      <c r="P253" s="504" t="b">
        <v>0</v>
      </c>
      <c r="Q253" s="116"/>
      <c r="R253" s="505" t="b">
        <v>0</v>
      </c>
      <c r="S253" s="504" t="b">
        <v>0</v>
      </c>
      <c r="T253" s="117"/>
      <c r="U253" s="505" t="b">
        <v>0</v>
      </c>
      <c r="V253" s="504" t="b">
        <v>0</v>
      </c>
      <c r="W253" s="118"/>
      <c r="X253" s="505" t="b">
        <v>0</v>
      </c>
      <c r="Y253" s="504" t="b">
        <v>0</v>
      </c>
      <c r="Z253" s="119"/>
      <c r="AA253" s="505" t="b">
        <v>0</v>
      </c>
      <c r="AB253" s="504" t="b">
        <v>0</v>
      </c>
      <c r="AC253" s="121"/>
      <c r="AD253" s="505" t="b">
        <v>0</v>
      </c>
      <c r="AE253" s="504" t="b">
        <v>0</v>
      </c>
      <c r="AF253" s="125"/>
      <c r="AG253" s="505" t="b">
        <v>0</v>
      </c>
      <c r="AH253" s="504" t="b">
        <v>0</v>
      </c>
      <c r="AI253" s="105"/>
      <c r="AJ253" s="505" t="b">
        <v>0</v>
      </c>
      <c r="AK253" s="504" t="b">
        <v>0</v>
      </c>
      <c r="AL253" s="126"/>
      <c r="AM253" s="505" t="b">
        <v>0</v>
      </c>
      <c r="AN253" s="504" t="b">
        <v>0</v>
      </c>
      <c r="AO253" s="105"/>
      <c r="AP253" s="105"/>
      <c r="AQ253" s="105"/>
      <c r="AR253" s="105"/>
      <c r="AS253" s="105"/>
      <c r="AT253" s="105"/>
      <c r="AU253" s="105"/>
      <c r="AV253" s="105"/>
      <c r="AW253" s="105"/>
      <c r="AX253" s="105"/>
      <c r="AY253" s="105"/>
      <c r="AZ253" s="105"/>
      <c r="BA253" s="105"/>
    </row>
    <row r="254">
      <c r="A254" s="506" t="str">
        <f>IFERROR(__xludf.DUMMYFUNCTION("""COMPUTED_VALUE"""),"LITIGATION")</f>
        <v>LITIGATION</v>
      </c>
      <c r="B254" s="506" t="str">
        <f>IFERROR(__xludf.DUMMYFUNCTION("""COMPUTED_VALUE"""),"David F.")</f>
        <v>David F.</v>
      </c>
      <c r="C254" s="506" t="str">
        <f>IFERROR(__xludf.DUMMYFUNCTION("""COMPUTED_VALUE"""),"Dacelin &amp; Antonette St Martin")</f>
        <v>Dacelin &amp; Antonette St Martin</v>
      </c>
      <c r="D254" s="506" t="str">
        <f>IFERROR(__xludf.DUMMYFUNCTION("""COMPUTED_VALUE"""),"561-201-1100")</f>
        <v>561-201-1100</v>
      </c>
      <c r="E254" s="506" t="str">
        <f>IFERROR(__xludf.DUMMYFUNCTION("""COMPUTED_VALUE"""),"dstmartin@pedimhealthcare.com")</f>
        <v>dstmartin@pedimhealthcare.com</v>
      </c>
      <c r="F254" s="506" t="str">
        <f>IFERROR(__xludf.DUMMYFUNCTION("""COMPUTED_VALUE"""),"419 NW 8th Ave. Crystal River, FL 34428")</f>
        <v>419 NW 8th Ave. Crystal River, FL 34428</v>
      </c>
      <c r="G254" s="506" t="str">
        <f>IFERROR(__xludf.DUMMYFUNCTION("""COMPUTED_VALUE"""),"Hurricane Milton")</f>
        <v>Hurricane Milton</v>
      </c>
      <c r="H254" s="506" t="str">
        <f>IFERROR(__xludf.DUMMYFUNCTION("""COMPUTED_VALUE"""),"New Claim")</f>
        <v>New Claim</v>
      </c>
      <c r="I254" s="505" t="b">
        <v>0</v>
      </c>
      <c r="J254" s="507" t="b">
        <v>0</v>
      </c>
      <c r="K254" s="112"/>
      <c r="L254" s="505" t="b">
        <v>0</v>
      </c>
      <c r="M254" s="504" t="b">
        <v>0</v>
      </c>
      <c r="N254" s="112"/>
      <c r="O254" s="505" t="b">
        <v>0</v>
      </c>
      <c r="P254" s="504" t="b">
        <v>0</v>
      </c>
      <c r="Q254" s="116"/>
      <c r="R254" s="505" t="b">
        <v>0</v>
      </c>
      <c r="S254" s="504" t="b">
        <v>0</v>
      </c>
      <c r="T254" s="117"/>
      <c r="U254" s="505" t="b">
        <v>0</v>
      </c>
      <c r="V254" s="504" t="b">
        <v>0</v>
      </c>
      <c r="W254" s="118"/>
      <c r="X254" s="505" t="b">
        <v>0</v>
      </c>
      <c r="Y254" s="504" t="b">
        <v>0</v>
      </c>
      <c r="Z254" s="119"/>
      <c r="AA254" s="505" t="b">
        <v>0</v>
      </c>
      <c r="AB254" s="504" t="b">
        <v>0</v>
      </c>
      <c r="AC254" s="121"/>
      <c r="AD254" s="505" t="b">
        <v>0</v>
      </c>
      <c r="AE254" s="504" t="b">
        <v>0</v>
      </c>
      <c r="AF254" s="125"/>
      <c r="AG254" s="505" t="b">
        <v>0</v>
      </c>
      <c r="AH254" s="504" t="b">
        <v>0</v>
      </c>
      <c r="AI254" s="105"/>
      <c r="AJ254" s="505" t="b">
        <v>0</v>
      </c>
      <c r="AK254" s="504" t="b">
        <v>0</v>
      </c>
      <c r="AL254" s="126"/>
      <c r="AM254" s="505" t="b">
        <v>0</v>
      </c>
      <c r="AN254" s="504" t="b">
        <v>0</v>
      </c>
      <c r="AO254" s="105"/>
      <c r="AP254" s="105"/>
      <c r="AQ254" s="105"/>
      <c r="AR254" s="105"/>
      <c r="AS254" s="105"/>
      <c r="AT254" s="105"/>
      <c r="AU254" s="105"/>
      <c r="AV254" s="105"/>
      <c r="AW254" s="105"/>
      <c r="AX254" s="105"/>
      <c r="AY254" s="105"/>
      <c r="AZ254" s="105"/>
      <c r="BA254" s="105"/>
    </row>
    <row r="255">
      <c r="A255" s="506" t="str">
        <f>IFERROR(__xludf.DUMMYFUNCTION("""COMPUTED_VALUE"""),"SETTLED")</f>
        <v>SETTLED</v>
      </c>
      <c r="B255" s="506" t="str">
        <f>IFERROR(__xludf.DUMMYFUNCTION("""COMPUTED_VALUE"""),"Jose P., Ivan")</f>
        <v>Jose P., Ivan</v>
      </c>
      <c r="C255" s="506" t="str">
        <f>IFERROR(__xludf.DUMMYFUNCTION("""COMPUTED_VALUE"""),"Jamila Mcgee")</f>
        <v>Jamila Mcgee</v>
      </c>
      <c r="D255" s="506" t="str">
        <f>IFERROR(__xludf.DUMMYFUNCTION("""COMPUTED_VALUE"""),"786-288-6142")</f>
        <v>786-288-6142</v>
      </c>
      <c r="E255" s="506" t="str">
        <f>IFERROR(__xludf.DUMMYFUNCTION("""COMPUTED_VALUE"""),"McGee.j25377@gmail.com")</f>
        <v>McGee.j25377@gmail.com</v>
      </c>
      <c r="F255" s="506" t="str">
        <f>IFERROR(__xludf.DUMMYFUNCTION("""COMPUTED_VALUE"""),"6608 Deleon Ave Fort Pierce, FL 34951")</f>
        <v>6608 Deleon Ave Fort Pierce, FL 34951</v>
      </c>
      <c r="G255" s="506" t="str">
        <f>IFERROR(__xludf.DUMMYFUNCTION("""COMPUTED_VALUE"""),"Hurricane Milton")</f>
        <v>Hurricane Milton</v>
      </c>
      <c r="H255" s="506" t="str">
        <f>IFERROR(__xludf.DUMMYFUNCTION("""COMPUTED_VALUE"""),"New Claim")</f>
        <v>New Claim</v>
      </c>
      <c r="I255" s="505" t="b">
        <v>0</v>
      </c>
      <c r="J255" s="507" t="b">
        <v>0</v>
      </c>
      <c r="K255" s="112"/>
      <c r="L255" s="505" t="b">
        <v>0</v>
      </c>
      <c r="M255" s="504" t="b">
        <v>0</v>
      </c>
      <c r="N255" s="112"/>
      <c r="O255" s="505" t="b">
        <v>0</v>
      </c>
      <c r="P255" s="504" t="b">
        <v>0</v>
      </c>
      <c r="Q255" s="116"/>
      <c r="R255" s="505" t="b">
        <v>0</v>
      </c>
      <c r="S255" s="504" t="b">
        <v>0</v>
      </c>
      <c r="T255" s="117"/>
      <c r="U255" s="505" t="b">
        <v>0</v>
      </c>
      <c r="V255" s="504" t="b">
        <v>0</v>
      </c>
      <c r="W255" s="118"/>
      <c r="X255" s="505" t="b">
        <v>0</v>
      </c>
      <c r="Y255" s="504" t="b">
        <v>0</v>
      </c>
      <c r="Z255" s="119"/>
      <c r="AA255" s="505" t="b">
        <v>0</v>
      </c>
      <c r="AB255" s="504" t="b">
        <v>0</v>
      </c>
      <c r="AC255" s="121"/>
      <c r="AD255" s="505" t="b">
        <v>0</v>
      </c>
      <c r="AE255" s="504" t="b">
        <v>0</v>
      </c>
      <c r="AF255" s="125"/>
      <c r="AG255" s="505" t="b">
        <v>0</v>
      </c>
      <c r="AH255" s="504" t="b">
        <v>0</v>
      </c>
      <c r="AI255" s="105"/>
      <c r="AJ255" s="505" t="b">
        <v>0</v>
      </c>
      <c r="AK255" s="504" t="b">
        <v>0</v>
      </c>
      <c r="AL255" s="126"/>
      <c r="AM255" s="505" t="b">
        <v>0</v>
      </c>
      <c r="AN255" s="504" t="b">
        <v>0</v>
      </c>
      <c r="AO255" s="105"/>
      <c r="AP255" s="105"/>
      <c r="AQ255" s="105"/>
      <c r="AR255" s="105"/>
      <c r="AS255" s="105"/>
      <c r="AT255" s="105"/>
      <c r="AU255" s="105"/>
      <c r="AV255" s="105"/>
      <c r="AW255" s="105"/>
      <c r="AX255" s="105"/>
      <c r="AY255" s="105"/>
      <c r="AZ255" s="105"/>
      <c r="BA255" s="105"/>
    </row>
    <row r="256">
      <c r="A256" s="506" t="str">
        <f>IFERROR(__xludf.DUMMYFUNCTION("""COMPUTED_VALUE"""),"SETTLED")</f>
        <v>SETTLED</v>
      </c>
      <c r="B256" s="506" t="str">
        <f>IFERROR(__xludf.DUMMYFUNCTION("""COMPUTED_VALUE"""),"Ivan")</f>
        <v>Ivan</v>
      </c>
      <c r="C256" s="506" t="str">
        <f>IFERROR(__xludf.DUMMYFUNCTION("""COMPUTED_VALUE"""),"Mailis Gonzalez")</f>
        <v>Mailis Gonzalez</v>
      </c>
      <c r="D256" s="506" t="str">
        <f>IFERROR(__xludf.DUMMYFUNCTION("""COMPUTED_VALUE"""),"352-586-2712")</f>
        <v>352-586-2712</v>
      </c>
      <c r="E256" s="506" t="str">
        <f>IFERROR(__xludf.DUMMYFUNCTION("""COMPUTED_VALUE"""),"mailis_gonzalez@yahoo.com")</f>
        <v>mailis_gonzalez@yahoo.com</v>
      </c>
      <c r="F256" s="506" t="str">
        <f>IFERROR(__xludf.DUMMYFUNCTION("""COMPUTED_VALUE"""),"9625 North Ojus Dr Tampa, FL 33617")</f>
        <v>9625 North Ojus Dr Tampa, FL 33617</v>
      </c>
      <c r="G256" s="506" t="str">
        <f>IFERROR(__xludf.DUMMYFUNCTION("""COMPUTED_VALUE"""),"Hurricane Milton")</f>
        <v>Hurricane Milton</v>
      </c>
      <c r="H256" s="506" t="str">
        <f>IFERROR(__xludf.DUMMYFUNCTION("""COMPUTED_VALUE"""),"New Claim")</f>
        <v>New Claim</v>
      </c>
      <c r="I256" s="505" t="b">
        <v>0</v>
      </c>
      <c r="J256" s="507" t="b">
        <v>0</v>
      </c>
      <c r="K256" s="112"/>
      <c r="L256" s="505" t="b">
        <v>0</v>
      </c>
      <c r="M256" s="504" t="b">
        <v>0</v>
      </c>
      <c r="N256" s="112"/>
      <c r="O256" s="505" t="b">
        <v>0</v>
      </c>
      <c r="P256" s="504" t="b">
        <v>0</v>
      </c>
      <c r="Q256" s="116"/>
      <c r="R256" s="505" t="b">
        <v>0</v>
      </c>
      <c r="S256" s="504" t="b">
        <v>0</v>
      </c>
      <c r="T256" s="117"/>
      <c r="U256" s="505" t="b">
        <v>0</v>
      </c>
      <c r="V256" s="504" t="b">
        <v>0</v>
      </c>
      <c r="W256" s="118"/>
      <c r="X256" s="505" t="b">
        <v>0</v>
      </c>
      <c r="Y256" s="504" t="b">
        <v>0</v>
      </c>
      <c r="Z256" s="119"/>
      <c r="AA256" s="505" t="b">
        <v>0</v>
      </c>
      <c r="AB256" s="504" t="b">
        <v>0</v>
      </c>
      <c r="AC256" s="121"/>
      <c r="AD256" s="505" t="b">
        <v>0</v>
      </c>
      <c r="AE256" s="504" t="b">
        <v>0</v>
      </c>
      <c r="AF256" s="125"/>
      <c r="AG256" s="505" t="b">
        <v>0</v>
      </c>
      <c r="AH256" s="504" t="b">
        <v>0</v>
      </c>
      <c r="AI256" s="105"/>
      <c r="AJ256" s="505" t="b">
        <v>0</v>
      </c>
      <c r="AK256" s="504" t="b">
        <v>0</v>
      </c>
      <c r="AL256" s="126"/>
      <c r="AM256" s="505" t="b">
        <v>0</v>
      </c>
      <c r="AN256" s="504" t="b">
        <v>0</v>
      </c>
      <c r="AO256" s="105"/>
      <c r="AP256" s="105"/>
      <c r="AQ256" s="105"/>
      <c r="AR256" s="105"/>
      <c r="AS256" s="105"/>
      <c r="AT256" s="105"/>
      <c r="AU256" s="105"/>
      <c r="AV256" s="105"/>
      <c r="AW256" s="105"/>
      <c r="AX256" s="105"/>
      <c r="AY256" s="105"/>
      <c r="AZ256" s="105"/>
      <c r="BA256" s="105"/>
    </row>
    <row r="257">
      <c r="A257" s="105" t="str">
        <f>IFERROR(__xludf.DUMMYFUNCTION("""COMPUTED_VALUE"""),"SETTLED")</f>
        <v>SETTLED</v>
      </c>
      <c r="B257" s="506" t="str">
        <f>IFERROR(__xludf.DUMMYFUNCTION("""COMPUTED_VALUE"""),"Ivan")</f>
        <v>Ivan</v>
      </c>
      <c r="C257" s="506" t="str">
        <f>IFERROR(__xludf.DUMMYFUNCTION("""COMPUTED_VALUE"""),"Francisco Castro")</f>
        <v>Francisco Castro</v>
      </c>
      <c r="D257" s="506" t="str">
        <f>IFERROR(__xludf.DUMMYFUNCTION("""COMPUTED_VALUE"""),"772-267-7573")</f>
        <v>772-267-7573</v>
      </c>
      <c r="E257" s="506" t="str">
        <f>IFERROR(__xludf.DUMMYFUNCTION("""COMPUTED_VALUE"""),"mayjavjan04@gmail.com")</f>
        <v>mayjavjan04@gmail.com</v>
      </c>
      <c r="F257" s="506" t="str">
        <f>IFERROR(__xludf.DUMMYFUNCTION("""COMPUTED_VALUE"""),"2861 SE Ironton Ave Port Saint Lucie, FL 34953")</f>
        <v>2861 SE Ironton Ave Port Saint Lucie, FL 34953</v>
      </c>
      <c r="G257" s="506" t="str">
        <f>IFERROR(__xludf.DUMMYFUNCTION("""COMPUTED_VALUE"""),"Hurricane Milton")</f>
        <v>Hurricane Milton</v>
      </c>
      <c r="H257" s="506" t="str">
        <f>IFERROR(__xludf.DUMMYFUNCTION("""COMPUTED_VALUE"""),"New Claim")</f>
        <v>New Claim</v>
      </c>
      <c r="I257" s="505" t="b">
        <v>0</v>
      </c>
      <c r="J257" s="507" t="b">
        <v>0</v>
      </c>
      <c r="K257" s="112"/>
      <c r="L257" s="505" t="b">
        <v>0</v>
      </c>
      <c r="M257" s="504" t="b">
        <v>0</v>
      </c>
      <c r="N257" s="112"/>
      <c r="O257" s="505" t="b">
        <v>0</v>
      </c>
      <c r="P257" s="504" t="b">
        <v>0</v>
      </c>
      <c r="Q257" s="116"/>
      <c r="R257" s="505" t="b">
        <v>0</v>
      </c>
      <c r="S257" s="504" t="b">
        <v>0</v>
      </c>
      <c r="T257" s="117"/>
      <c r="U257" s="505" t="b">
        <v>0</v>
      </c>
      <c r="V257" s="504" t="b">
        <v>0</v>
      </c>
      <c r="W257" s="118"/>
      <c r="X257" s="505" t="b">
        <v>0</v>
      </c>
      <c r="Y257" s="504" t="b">
        <v>0</v>
      </c>
      <c r="Z257" s="119"/>
      <c r="AA257" s="505" t="b">
        <v>0</v>
      </c>
      <c r="AB257" s="504" t="b">
        <v>0</v>
      </c>
      <c r="AC257" s="121"/>
      <c r="AD257" s="505" t="b">
        <v>0</v>
      </c>
      <c r="AE257" s="504" t="b">
        <v>0</v>
      </c>
      <c r="AF257" s="125"/>
      <c r="AG257" s="505" t="b">
        <v>0</v>
      </c>
      <c r="AH257" s="504" t="b">
        <v>0</v>
      </c>
      <c r="AI257" s="105"/>
      <c r="AJ257" s="505" t="b">
        <v>0</v>
      </c>
      <c r="AK257" s="504" t="b">
        <v>0</v>
      </c>
      <c r="AL257" s="126"/>
      <c r="AM257" s="505" t="b">
        <v>0</v>
      </c>
      <c r="AN257" s="504" t="b">
        <v>0</v>
      </c>
      <c r="AO257" s="105"/>
      <c r="AP257" s="105"/>
      <c r="AQ257" s="105"/>
      <c r="AR257" s="105"/>
      <c r="AS257" s="105"/>
      <c r="AT257" s="105"/>
      <c r="AU257" s="105"/>
      <c r="AV257" s="105"/>
      <c r="AW257" s="105"/>
      <c r="AX257" s="105"/>
      <c r="AY257" s="105"/>
      <c r="AZ257" s="105"/>
      <c r="BA257" s="105"/>
    </row>
    <row r="258">
      <c r="A258" s="506" t="str">
        <f>IFERROR(__xludf.DUMMYFUNCTION("""COMPUTED_VALUE"""),"SETTLED")</f>
        <v>SETTLED</v>
      </c>
      <c r="B258" s="506" t="str">
        <f>IFERROR(__xludf.DUMMYFUNCTION("""COMPUTED_VALUE"""),"Ivan")</f>
        <v>Ivan</v>
      </c>
      <c r="C258" s="506" t="str">
        <f>IFERROR(__xludf.DUMMYFUNCTION("""COMPUTED_VALUE"""),"Diana Josue")</f>
        <v>Diana Josue</v>
      </c>
      <c r="D258" s="506" t="str">
        <f>IFERROR(__xludf.DUMMYFUNCTION("""COMPUTED_VALUE"""),"772-332-2343")</f>
        <v>772-332-2343</v>
      </c>
      <c r="E258" s="506" t="str">
        <f>IFERROR(__xludf.DUMMYFUNCTION("""COMPUTED_VALUE"""),"dianadjosue@hotmail.com")</f>
        <v>dianadjosue@hotmail.com</v>
      </c>
      <c r="F258" s="506" t="str">
        <f>IFERROR(__xludf.DUMMYFUNCTION("""COMPUTED_VALUE"""),"2601 Arnold Ct. Fort Pierce, FL 34946")</f>
        <v>2601 Arnold Ct. Fort Pierce, FL 34946</v>
      </c>
      <c r="G258" s="506" t="str">
        <f>IFERROR(__xludf.DUMMYFUNCTION("""COMPUTED_VALUE"""),"Hurricane Milton")</f>
        <v>Hurricane Milton</v>
      </c>
      <c r="H258" s="506" t="str">
        <f>IFERROR(__xludf.DUMMYFUNCTION("""COMPUTED_VALUE"""),"New Claim")</f>
        <v>New Claim</v>
      </c>
      <c r="I258" s="505" t="b">
        <v>0</v>
      </c>
      <c r="J258" s="507" t="b">
        <v>0</v>
      </c>
      <c r="K258" s="112"/>
      <c r="L258" s="505" t="b">
        <v>0</v>
      </c>
      <c r="M258" s="504" t="b">
        <v>0</v>
      </c>
      <c r="N258" s="112"/>
      <c r="O258" s="505" t="b">
        <v>0</v>
      </c>
      <c r="P258" s="504" t="b">
        <v>0</v>
      </c>
      <c r="Q258" s="116"/>
      <c r="R258" s="505" t="b">
        <v>0</v>
      </c>
      <c r="S258" s="504" t="b">
        <v>0</v>
      </c>
      <c r="T258" s="117"/>
      <c r="U258" s="505" t="b">
        <v>0</v>
      </c>
      <c r="V258" s="504" t="b">
        <v>0</v>
      </c>
      <c r="W258" s="118"/>
      <c r="X258" s="505" t="b">
        <v>0</v>
      </c>
      <c r="Y258" s="504" t="b">
        <v>0</v>
      </c>
      <c r="Z258" s="119"/>
      <c r="AA258" s="505" t="b">
        <v>0</v>
      </c>
      <c r="AB258" s="504" t="b">
        <v>0</v>
      </c>
      <c r="AC258" s="121"/>
      <c r="AD258" s="505" t="b">
        <v>0</v>
      </c>
      <c r="AE258" s="504" t="b">
        <v>0</v>
      </c>
      <c r="AF258" s="125"/>
      <c r="AG258" s="505" t="b">
        <v>0</v>
      </c>
      <c r="AH258" s="504" t="b">
        <v>0</v>
      </c>
      <c r="AI258" s="105"/>
      <c r="AJ258" s="505" t="b">
        <v>0</v>
      </c>
      <c r="AK258" s="504" t="b">
        <v>0</v>
      </c>
      <c r="AL258" s="126"/>
      <c r="AM258" s="505" t="b">
        <v>0</v>
      </c>
      <c r="AN258" s="504" t="b">
        <v>0</v>
      </c>
      <c r="AO258" s="105"/>
      <c r="AP258" s="105"/>
      <c r="AQ258" s="105"/>
      <c r="AR258" s="105"/>
      <c r="AS258" s="105"/>
      <c r="AT258" s="105"/>
      <c r="AU258" s="105"/>
      <c r="AV258" s="105"/>
      <c r="AW258" s="105"/>
      <c r="AX258" s="105"/>
      <c r="AY258" s="105"/>
      <c r="AZ258" s="105"/>
      <c r="BA258" s="105"/>
    </row>
    <row r="259">
      <c r="A259" s="506" t="str">
        <f>IFERROR(__xludf.DUMMYFUNCTION("""COMPUTED_VALUE"""),"SETTLED")</f>
        <v>SETTLED</v>
      </c>
      <c r="B259" s="506" t="str">
        <f>IFERROR(__xludf.DUMMYFUNCTION("""COMPUTED_VALUE"""),"Jose P., Ivan")</f>
        <v>Jose P., Ivan</v>
      </c>
      <c r="C259" s="506" t="str">
        <f>IFERROR(__xludf.DUMMYFUNCTION("""COMPUTED_VALUE"""),"Seddrick &amp; Donna Dixon")</f>
        <v>Seddrick &amp; Donna Dixon</v>
      </c>
      <c r="D259" s="506" t="str">
        <f>IFERROR(__xludf.DUMMYFUNCTION("""COMPUTED_VALUE"""),"772-924-5010")</f>
        <v>772-924-5010</v>
      </c>
      <c r="E259" s="506" t="str">
        <f>IFERROR(__xludf.DUMMYFUNCTION("""COMPUTED_VALUE"""),"sldixon531@aol.com")</f>
        <v>sldixon531@aol.com</v>
      </c>
      <c r="F259" s="506" t="str">
        <f>IFERROR(__xludf.DUMMYFUNCTION("""COMPUTED_VALUE"""),"6704 Deleon Ave. Fort Pierce, FL 34951")</f>
        <v>6704 Deleon Ave. Fort Pierce, FL 34951</v>
      </c>
      <c r="G259" s="506" t="str">
        <f>IFERROR(__xludf.DUMMYFUNCTION("""COMPUTED_VALUE"""),"Hurricane Milton")</f>
        <v>Hurricane Milton</v>
      </c>
      <c r="H259" s="506" t="str">
        <f>IFERROR(__xludf.DUMMYFUNCTION("""COMPUTED_VALUE"""),"New Claim")</f>
        <v>New Claim</v>
      </c>
      <c r="I259" s="505" t="b">
        <v>0</v>
      </c>
      <c r="J259" s="507" t="b">
        <v>0</v>
      </c>
      <c r="K259" s="112"/>
      <c r="L259" s="505" t="b">
        <v>0</v>
      </c>
      <c r="M259" s="504" t="b">
        <v>0</v>
      </c>
      <c r="N259" s="112"/>
      <c r="O259" s="505" t="b">
        <v>0</v>
      </c>
      <c r="P259" s="504" t="b">
        <v>0</v>
      </c>
      <c r="Q259" s="116"/>
      <c r="R259" s="505" t="b">
        <v>0</v>
      </c>
      <c r="S259" s="504" t="b">
        <v>0</v>
      </c>
      <c r="T259" s="117"/>
      <c r="U259" s="505" t="b">
        <v>0</v>
      </c>
      <c r="V259" s="504" t="b">
        <v>0</v>
      </c>
      <c r="W259" s="118"/>
      <c r="X259" s="505" t="b">
        <v>0</v>
      </c>
      <c r="Y259" s="504" t="b">
        <v>0</v>
      </c>
      <c r="Z259" s="119"/>
      <c r="AA259" s="505" t="b">
        <v>0</v>
      </c>
      <c r="AB259" s="504" t="b">
        <v>0</v>
      </c>
      <c r="AC259" s="121"/>
      <c r="AD259" s="505" t="b">
        <v>0</v>
      </c>
      <c r="AE259" s="504" t="b">
        <v>0</v>
      </c>
      <c r="AF259" s="125"/>
      <c r="AG259" s="505" t="b">
        <v>0</v>
      </c>
      <c r="AH259" s="504" t="b">
        <v>0</v>
      </c>
      <c r="AI259" s="105"/>
      <c r="AJ259" s="505" t="b">
        <v>0</v>
      </c>
      <c r="AK259" s="504" t="b">
        <v>0</v>
      </c>
      <c r="AL259" s="126"/>
      <c r="AM259" s="505" t="b">
        <v>0</v>
      </c>
      <c r="AN259" s="504" t="b">
        <v>0</v>
      </c>
      <c r="AO259" s="105"/>
      <c r="AP259" s="105"/>
      <c r="AQ259" s="105"/>
      <c r="AR259" s="105"/>
      <c r="AS259" s="105"/>
      <c r="AT259" s="105"/>
      <c r="AU259" s="105"/>
      <c r="AV259" s="105"/>
      <c r="AW259" s="105"/>
      <c r="AX259" s="105"/>
      <c r="AY259" s="105"/>
      <c r="AZ259" s="105"/>
      <c r="BA259" s="105"/>
    </row>
    <row r="260">
      <c r="A260" s="105" t="str">
        <f>IFERROR(__xludf.DUMMYFUNCTION("""COMPUTED_VALUE"""),"SETTLED")</f>
        <v>SETTLED</v>
      </c>
      <c r="B260" s="506" t="str">
        <f>IFERROR(__xludf.DUMMYFUNCTION("""COMPUTED_VALUE"""),"David F.")</f>
        <v>David F.</v>
      </c>
      <c r="C260" s="506" t="str">
        <f>IFERROR(__xludf.DUMMYFUNCTION("""COMPUTED_VALUE"""),"Dadda Holdings LLC ")</f>
        <v>Dadda Holdings LLC </v>
      </c>
      <c r="D260" s="506" t="str">
        <f>IFERROR(__xludf.DUMMYFUNCTION("""COMPUTED_VALUE"""),"561-201-1100")</f>
        <v>561-201-1100</v>
      </c>
      <c r="E260" s="506" t="str">
        <f>IFERROR(__xludf.DUMMYFUNCTION("""COMPUTED_VALUE"""),"dstmartin@pedimhealthcare.com")</f>
        <v>dstmartin@pedimhealthcare.com</v>
      </c>
      <c r="F260" s="506" t="str">
        <f>IFERROR(__xludf.DUMMYFUNCTION("""COMPUTED_VALUE"""),"229 NE 5th ST. Crystal River, FL 34429")</f>
        <v>229 NE 5th ST. Crystal River, FL 34429</v>
      </c>
      <c r="G260" s="506" t="str">
        <f>IFERROR(__xludf.DUMMYFUNCTION("""COMPUTED_VALUE"""),"Hurricane Milton")</f>
        <v>Hurricane Milton</v>
      </c>
      <c r="H260" s="506" t="str">
        <f>IFERROR(__xludf.DUMMYFUNCTION("""COMPUTED_VALUE"""),"New Claim")</f>
        <v>New Claim</v>
      </c>
      <c r="I260" s="505" t="b">
        <v>0</v>
      </c>
      <c r="J260" s="507" t="b">
        <v>0</v>
      </c>
      <c r="K260" s="112"/>
      <c r="L260" s="505" t="b">
        <v>0</v>
      </c>
      <c r="M260" s="504" t="b">
        <v>0</v>
      </c>
      <c r="N260" s="112"/>
      <c r="O260" s="505" t="b">
        <v>0</v>
      </c>
      <c r="P260" s="504" t="b">
        <v>0</v>
      </c>
      <c r="Q260" s="116"/>
      <c r="R260" s="505" t="b">
        <v>0</v>
      </c>
      <c r="S260" s="504" t="b">
        <v>0</v>
      </c>
      <c r="T260" s="117"/>
      <c r="U260" s="505" t="b">
        <v>0</v>
      </c>
      <c r="V260" s="504" t="b">
        <v>0</v>
      </c>
      <c r="W260" s="118"/>
      <c r="X260" s="505" t="b">
        <v>0</v>
      </c>
      <c r="Y260" s="504" t="b">
        <v>0</v>
      </c>
      <c r="Z260" s="119"/>
      <c r="AA260" s="505" t="b">
        <v>0</v>
      </c>
      <c r="AB260" s="504" t="b">
        <v>0</v>
      </c>
      <c r="AC260" s="121"/>
      <c r="AD260" s="505" t="b">
        <v>0</v>
      </c>
      <c r="AE260" s="504" t="b">
        <v>0</v>
      </c>
      <c r="AF260" s="125"/>
      <c r="AG260" s="505" t="b">
        <v>0</v>
      </c>
      <c r="AH260" s="504" t="b">
        <v>0</v>
      </c>
      <c r="AI260" s="105"/>
      <c r="AJ260" s="505" t="b">
        <v>0</v>
      </c>
      <c r="AK260" s="504" t="b">
        <v>0</v>
      </c>
      <c r="AL260" s="126"/>
      <c r="AM260" s="505" t="b">
        <v>0</v>
      </c>
      <c r="AN260" s="504" t="b">
        <v>0</v>
      </c>
      <c r="AO260" s="105"/>
      <c r="AP260" s="105"/>
      <c r="AQ260" s="105"/>
      <c r="AR260" s="105"/>
      <c r="AS260" s="105"/>
      <c r="AT260" s="105"/>
      <c r="AU260" s="105"/>
      <c r="AV260" s="105"/>
      <c r="AW260" s="105"/>
      <c r="AX260" s="105"/>
      <c r="AY260" s="105"/>
      <c r="AZ260" s="105"/>
      <c r="BA260" s="105"/>
    </row>
    <row r="261">
      <c r="A261" s="105" t="str">
        <f>IFERROR(__xludf.DUMMYFUNCTION("""COMPUTED_VALUE"""),"SETTLED")</f>
        <v>SETTLED</v>
      </c>
      <c r="B261" s="506" t="str">
        <f>IFERROR(__xludf.DUMMYFUNCTION("""COMPUTED_VALUE"""),"David F.")</f>
        <v>David F.</v>
      </c>
      <c r="C261" s="506" t="str">
        <f>IFERROR(__xludf.DUMMYFUNCTION("""COMPUTED_VALUE"""),"Dadda Holdings LLC ")</f>
        <v>Dadda Holdings LLC </v>
      </c>
      <c r="D261" s="506" t="str">
        <f>IFERROR(__xludf.DUMMYFUNCTION("""COMPUTED_VALUE"""),"561-201-1100")</f>
        <v>561-201-1100</v>
      </c>
      <c r="E261" s="506" t="str">
        <f>IFERROR(__xludf.DUMMYFUNCTION("""COMPUTED_VALUE"""),"dstmartin@pedimhealthcare.com")</f>
        <v>dstmartin@pedimhealthcare.com</v>
      </c>
      <c r="F261" s="506" t="str">
        <f>IFERROR(__xludf.DUMMYFUNCTION("""COMPUTED_VALUE"""),"3399 E Gulf To Lake HWY. Inverness, FL 34453 ")</f>
        <v>3399 E Gulf To Lake HWY. Inverness, FL 34453 </v>
      </c>
      <c r="G261" s="506" t="str">
        <f>IFERROR(__xludf.DUMMYFUNCTION("""COMPUTED_VALUE"""),"Hurricane Milton")</f>
        <v>Hurricane Milton</v>
      </c>
      <c r="H261" s="506" t="str">
        <f>IFERROR(__xludf.DUMMYFUNCTION("""COMPUTED_VALUE"""),"New Claim")</f>
        <v>New Claim</v>
      </c>
      <c r="I261" s="505" t="b">
        <v>0</v>
      </c>
      <c r="J261" s="507" t="b">
        <v>0</v>
      </c>
      <c r="K261" s="112"/>
      <c r="L261" s="505" t="b">
        <v>0</v>
      </c>
      <c r="M261" s="504" t="b">
        <v>0</v>
      </c>
      <c r="N261" s="112"/>
      <c r="O261" s="505" t="b">
        <v>0</v>
      </c>
      <c r="P261" s="504" t="b">
        <v>0</v>
      </c>
      <c r="Q261" s="116"/>
      <c r="R261" s="505" t="b">
        <v>0</v>
      </c>
      <c r="S261" s="504" t="b">
        <v>0</v>
      </c>
      <c r="T261" s="117"/>
      <c r="U261" s="505" t="b">
        <v>0</v>
      </c>
      <c r="V261" s="504" t="b">
        <v>0</v>
      </c>
      <c r="W261" s="118"/>
      <c r="X261" s="505" t="b">
        <v>0</v>
      </c>
      <c r="Y261" s="504" t="b">
        <v>0</v>
      </c>
      <c r="Z261" s="119"/>
      <c r="AA261" s="505" t="b">
        <v>0</v>
      </c>
      <c r="AB261" s="504" t="b">
        <v>0</v>
      </c>
      <c r="AC261" s="121"/>
      <c r="AD261" s="505" t="b">
        <v>0</v>
      </c>
      <c r="AE261" s="504" t="b">
        <v>0</v>
      </c>
      <c r="AF261" s="125"/>
      <c r="AG261" s="505" t="b">
        <v>0</v>
      </c>
      <c r="AH261" s="504" t="b">
        <v>0</v>
      </c>
      <c r="AI261" s="105"/>
      <c r="AJ261" s="505" t="b">
        <v>0</v>
      </c>
      <c r="AK261" s="504" t="b">
        <v>0</v>
      </c>
      <c r="AL261" s="126"/>
      <c r="AM261" s="505" t="b">
        <v>0</v>
      </c>
      <c r="AN261" s="504" t="b">
        <v>0</v>
      </c>
      <c r="AO261" s="105"/>
      <c r="AP261" s="105"/>
      <c r="AQ261" s="105"/>
      <c r="AR261" s="105"/>
      <c r="AS261" s="105"/>
      <c r="AT261" s="105"/>
      <c r="AU261" s="105"/>
      <c r="AV261" s="105"/>
      <c r="AW261" s="105"/>
      <c r="AX261" s="105"/>
      <c r="AY261" s="105"/>
      <c r="AZ261" s="105"/>
      <c r="BA261" s="105"/>
    </row>
    <row r="262">
      <c r="A262" s="105" t="str">
        <f>IFERROR(__xludf.DUMMYFUNCTION("""COMPUTED_VALUE"""),"SETTLED")</f>
        <v>SETTLED</v>
      </c>
      <c r="B262" s="506" t="str">
        <f>IFERROR(__xludf.DUMMYFUNCTION("""COMPUTED_VALUE"""),"David F.")</f>
        <v>David F.</v>
      </c>
      <c r="C262" s="506" t="str">
        <f>IFERROR(__xludf.DUMMYFUNCTION("""COMPUTED_VALUE"""),"Dadda Holdings LLC ")</f>
        <v>Dadda Holdings LLC </v>
      </c>
      <c r="D262" s="506" t="str">
        <f>IFERROR(__xludf.DUMMYFUNCTION("""COMPUTED_VALUE"""),"561-201-1100")</f>
        <v>561-201-1100</v>
      </c>
      <c r="E262" s="506" t="str">
        <f>IFERROR(__xludf.DUMMYFUNCTION("""COMPUTED_VALUE"""),"dstmartin@pedimhealthcare.com")</f>
        <v>dstmartin@pedimhealthcare.com</v>
      </c>
      <c r="F262" s="506" t="str">
        <f>IFERROR(__xludf.DUMMYFUNCTION("""COMPUTED_VALUE"""),"3553 E Suzie LN. Inverness, FL 34452")</f>
        <v>3553 E Suzie LN. Inverness, FL 34452</v>
      </c>
      <c r="G262" s="506" t="str">
        <f>IFERROR(__xludf.DUMMYFUNCTION("""COMPUTED_VALUE"""),"Hurricane Milton")</f>
        <v>Hurricane Milton</v>
      </c>
      <c r="H262" s="506" t="str">
        <f>IFERROR(__xludf.DUMMYFUNCTION("""COMPUTED_VALUE"""),"New Claim")</f>
        <v>New Claim</v>
      </c>
      <c r="I262" s="505" t="b">
        <v>0</v>
      </c>
      <c r="J262" s="507" t="b">
        <v>0</v>
      </c>
      <c r="K262" s="112"/>
      <c r="L262" s="505" t="b">
        <v>0</v>
      </c>
      <c r="M262" s="504" t="b">
        <v>0</v>
      </c>
      <c r="N262" s="112"/>
      <c r="O262" s="505" t="b">
        <v>0</v>
      </c>
      <c r="P262" s="504" t="b">
        <v>0</v>
      </c>
      <c r="Q262" s="116"/>
      <c r="R262" s="505" t="b">
        <v>0</v>
      </c>
      <c r="S262" s="504" t="b">
        <v>0</v>
      </c>
      <c r="T262" s="117"/>
      <c r="U262" s="505" t="b">
        <v>0</v>
      </c>
      <c r="V262" s="504" t="b">
        <v>0</v>
      </c>
      <c r="W262" s="118"/>
      <c r="X262" s="505" t="b">
        <v>0</v>
      </c>
      <c r="Y262" s="504" t="b">
        <v>0</v>
      </c>
      <c r="Z262" s="119"/>
      <c r="AA262" s="505" t="b">
        <v>0</v>
      </c>
      <c r="AB262" s="504" t="b">
        <v>0</v>
      </c>
      <c r="AC262" s="121"/>
      <c r="AD262" s="505" t="b">
        <v>0</v>
      </c>
      <c r="AE262" s="504" t="b">
        <v>0</v>
      </c>
      <c r="AF262" s="125"/>
      <c r="AG262" s="505" t="b">
        <v>0</v>
      </c>
      <c r="AH262" s="504" t="b">
        <v>0</v>
      </c>
      <c r="AI262" s="105"/>
      <c r="AJ262" s="505" t="b">
        <v>0</v>
      </c>
      <c r="AK262" s="504" t="b">
        <v>0</v>
      </c>
      <c r="AL262" s="126"/>
      <c r="AM262" s="505" t="b">
        <v>0</v>
      </c>
      <c r="AN262" s="504" t="b">
        <v>0</v>
      </c>
      <c r="AO262" s="105"/>
      <c r="AP262" s="105"/>
      <c r="AQ262" s="105"/>
      <c r="AR262" s="105"/>
      <c r="AS262" s="105"/>
      <c r="AT262" s="105"/>
      <c r="AU262" s="105"/>
      <c r="AV262" s="105"/>
      <c r="AW262" s="105"/>
      <c r="AX262" s="105"/>
      <c r="AY262" s="105"/>
      <c r="AZ262" s="105"/>
      <c r="BA262" s="105"/>
    </row>
    <row r="263">
      <c r="A263" s="506" t="str">
        <f>IFERROR(__xludf.DUMMYFUNCTION("""COMPUTED_VALUE"""),"SETTLED")</f>
        <v>SETTLED</v>
      </c>
      <c r="B263" s="506" t="str">
        <f>IFERROR(__xludf.DUMMYFUNCTION("""COMPUTED_VALUE"""),"Joshua")</f>
        <v>Joshua</v>
      </c>
      <c r="C263" s="506" t="str">
        <f>IFERROR(__xludf.DUMMYFUNCTION("""COMPUTED_VALUE"""),"Alfredo Fley ")</f>
        <v>Alfredo Fley </v>
      </c>
      <c r="D263" s="506" t="str">
        <f>IFERROR(__xludf.DUMMYFUNCTION("""COMPUTED_VALUE"""),"646-453-9854")</f>
        <v>646-453-9854</v>
      </c>
      <c r="E263" s="506" t="str">
        <f>IFERROR(__xludf.DUMMYFUNCTION("""COMPUTED_VALUE"""),"Alfredofley@yahoo.com")</f>
        <v>Alfredofley@yahoo.com</v>
      </c>
      <c r="F263" s="506" t="str">
        <f>IFERROR(__xludf.DUMMYFUNCTION("""COMPUTED_VALUE"""),"836 Golf Dr Venice Fl 34285")</f>
        <v>836 Golf Dr Venice Fl 34285</v>
      </c>
      <c r="G263" s="506" t="str">
        <f>IFERROR(__xludf.DUMMYFUNCTION("""COMPUTED_VALUE"""),"Hurricane Helene")</f>
        <v>Hurricane Helene</v>
      </c>
      <c r="H263" s="506" t="str">
        <f>IFERROR(__xludf.DUMMYFUNCTION("""COMPUTED_VALUE"""),"New Claim")</f>
        <v>New Claim</v>
      </c>
      <c r="I263" s="505" t="b">
        <v>0</v>
      </c>
      <c r="J263" s="507" t="b">
        <v>0</v>
      </c>
      <c r="K263" s="112"/>
      <c r="L263" s="505" t="b">
        <v>0</v>
      </c>
      <c r="M263" s="504" t="b">
        <v>0</v>
      </c>
      <c r="N263" s="112"/>
      <c r="O263" s="505" t="b">
        <v>0</v>
      </c>
      <c r="P263" s="504" t="b">
        <v>0</v>
      </c>
      <c r="Q263" s="116"/>
      <c r="R263" s="505" t="b">
        <v>0</v>
      </c>
      <c r="S263" s="504" t="b">
        <v>0</v>
      </c>
      <c r="T263" s="117"/>
      <c r="U263" s="505" t="b">
        <v>0</v>
      </c>
      <c r="V263" s="504" t="b">
        <v>0</v>
      </c>
      <c r="W263" s="118"/>
      <c r="X263" s="505" t="b">
        <v>0</v>
      </c>
      <c r="Y263" s="504" t="b">
        <v>0</v>
      </c>
      <c r="Z263" s="119"/>
      <c r="AA263" s="505" t="b">
        <v>0</v>
      </c>
      <c r="AB263" s="504" t="b">
        <v>0</v>
      </c>
      <c r="AC263" s="121"/>
      <c r="AD263" s="505" t="b">
        <v>0</v>
      </c>
      <c r="AE263" s="504" t="b">
        <v>0</v>
      </c>
      <c r="AF263" s="125"/>
      <c r="AG263" s="505" t="b">
        <v>0</v>
      </c>
      <c r="AH263" s="504" t="b">
        <v>0</v>
      </c>
      <c r="AI263" s="105"/>
      <c r="AJ263" s="505" t="b">
        <v>0</v>
      </c>
      <c r="AK263" s="504" t="b">
        <v>0</v>
      </c>
      <c r="AL263" s="126"/>
      <c r="AM263" s="505" t="b">
        <v>0</v>
      </c>
      <c r="AN263" s="504" t="b">
        <v>0</v>
      </c>
      <c r="AO263" s="105"/>
      <c r="AP263" s="105"/>
      <c r="AQ263" s="105"/>
      <c r="AR263" s="105"/>
      <c r="AS263" s="105"/>
      <c r="AT263" s="105"/>
      <c r="AU263" s="105"/>
      <c r="AV263" s="105"/>
      <c r="AW263" s="105"/>
      <c r="AX263" s="105"/>
      <c r="AY263" s="105"/>
      <c r="AZ263" s="105"/>
      <c r="BA263" s="105"/>
    </row>
    <row r="264">
      <c r="A264" s="506" t="str">
        <f>IFERROR(__xludf.DUMMYFUNCTION("""COMPUTED_VALUE"""),"STAND BY")</f>
        <v>STAND BY</v>
      </c>
      <c r="B264" s="506" t="str">
        <f>IFERROR(__xludf.DUMMYFUNCTION("""COMPUTED_VALUE"""),"Joshua")</f>
        <v>Joshua</v>
      </c>
      <c r="C264" s="506" t="str">
        <f>IFERROR(__xludf.DUMMYFUNCTION("""COMPUTED_VALUE"""),"Lyle Dorr")</f>
        <v>Lyle Dorr</v>
      </c>
      <c r="D264" s="506" t="str">
        <f>IFERROR(__xludf.DUMMYFUNCTION("""COMPUTED_VALUE"""),"941-405-8661")</f>
        <v>941-405-8661</v>
      </c>
      <c r="E264" s="506" t="str">
        <f>IFERROR(__xludf.DUMMYFUNCTION("""COMPUTED_VALUE"""),"ldorr3131@gmail.com")</f>
        <v>ldorr3131@gmail.com</v>
      </c>
      <c r="F264" s="506" t="str">
        <f>IFERROR(__xludf.DUMMYFUNCTION("""COMPUTED_VALUE"""),"1401 28th St W Bradenton FL 34205")</f>
        <v>1401 28th St W Bradenton FL 34205</v>
      </c>
      <c r="G264" s="506" t="str">
        <f>IFERROR(__xludf.DUMMYFUNCTION("""COMPUTED_VALUE"""),"Hurricane Milton")</f>
        <v>Hurricane Milton</v>
      </c>
      <c r="H264" s="506" t="str">
        <f>IFERROR(__xludf.DUMMYFUNCTION("""COMPUTED_VALUE"""),"New Claim")</f>
        <v>New Claim</v>
      </c>
      <c r="I264" s="505" t="b">
        <v>0</v>
      </c>
      <c r="J264" s="507" t="b">
        <v>0</v>
      </c>
      <c r="K264" s="112"/>
      <c r="L264" s="505" t="b">
        <v>0</v>
      </c>
      <c r="M264" s="504" t="b">
        <v>0</v>
      </c>
      <c r="N264" s="112"/>
      <c r="O264" s="505" t="b">
        <v>0</v>
      </c>
      <c r="P264" s="504" t="b">
        <v>0</v>
      </c>
      <c r="Q264" s="116"/>
      <c r="R264" s="505" t="b">
        <v>0</v>
      </c>
      <c r="S264" s="504" t="b">
        <v>0</v>
      </c>
      <c r="T264" s="117"/>
      <c r="U264" s="505" t="b">
        <v>0</v>
      </c>
      <c r="V264" s="504" t="b">
        <v>0</v>
      </c>
      <c r="W264" s="118"/>
      <c r="X264" s="505" t="b">
        <v>0</v>
      </c>
      <c r="Y264" s="504" t="b">
        <v>0</v>
      </c>
      <c r="Z264" s="119"/>
      <c r="AA264" s="505" t="b">
        <v>0</v>
      </c>
      <c r="AB264" s="504" t="b">
        <v>0</v>
      </c>
      <c r="AC264" s="121"/>
      <c r="AD264" s="505" t="b">
        <v>0</v>
      </c>
      <c r="AE264" s="504" t="b">
        <v>0</v>
      </c>
      <c r="AF264" s="125"/>
      <c r="AG264" s="505" t="b">
        <v>0</v>
      </c>
      <c r="AH264" s="504" t="b">
        <v>0</v>
      </c>
      <c r="AI264" s="105"/>
      <c r="AJ264" s="505" t="b">
        <v>0</v>
      </c>
      <c r="AK264" s="504" t="b">
        <v>0</v>
      </c>
      <c r="AL264" s="126"/>
      <c r="AM264" s="505" t="b">
        <v>0</v>
      </c>
      <c r="AN264" s="504" t="b">
        <v>0</v>
      </c>
      <c r="AO264" s="105"/>
      <c r="AP264" s="105"/>
      <c r="AQ264" s="105"/>
      <c r="AR264" s="105"/>
      <c r="AS264" s="105"/>
      <c r="AT264" s="105"/>
      <c r="AU264" s="105"/>
      <c r="AV264" s="105"/>
      <c r="AW264" s="105"/>
      <c r="AX264" s="105"/>
      <c r="AY264" s="105"/>
      <c r="AZ264" s="105"/>
      <c r="BA264" s="105"/>
    </row>
    <row r="265">
      <c r="A265" s="506" t="str">
        <f>IFERROR(__xludf.DUMMYFUNCTION("""COMPUTED_VALUE"""),"SETTLED")</f>
        <v>SETTLED</v>
      </c>
      <c r="B265" s="506" t="str">
        <f>IFERROR(__xludf.DUMMYFUNCTION("""COMPUTED_VALUE"""),"Joshua")</f>
        <v>Joshua</v>
      </c>
      <c r="C265" s="506" t="str">
        <f>IFERROR(__xludf.DUMMYFUNCTION("""COMPUTED_VALUE"""),"Sandra Markman ")</f>
        <v>Sandra Markman </v>
      </c>
      <c r="D265" s="506" t="str">
        <f>IFERROR(__xludf.DUMMYFUNCTION("""COMPUTED_VALUE"""),"941-504-6000/941-932-7729")</f>
        <v>941-504-6000/941-932-7729</v>
      </c>
      <c r="E265" s="506" t="str">
        <f>IFERROR(__xludf.DUMMYFUNCTION("""COMPUTED_VALUE"""),"Coyad@ankoproducts.com")</f>
        <v>Coyad@ankoproducts.com</v>
      </c>
      <c r="F265" s="506" t="str">
        <f>IFERROR(__xludf.DUMMYFUNCTION("""COMPUTED_VALUE"""),"13632 4th Ave NE Bradenton Fl 34212")</f>
        <v>13632 4th Ave NE Bradenton Fl 34212</v>
      </c>
      <c r="G265" s="506" t="str">
        <f>IFERROR(__xludf.DUMMYFUNCTION("""COMPUTED_VALUE"""),"Hurricane Milton")</f>
        <v>Hurricane Milton</v>
      </c>
      <c r="H265" s="506" t="str">
        <f>IFERROR(__xludf.DUMMYFUNCTION("""COMPUTED_VALUE"""),"New Claim")</f>
        <v>New Claim</v>
      </c>
      <c r="I265" s="505" t="b">
        <v>0</v>
      </c>
      <c r="J265" s="507" t="b">
        <v>0</v>
      </c>
      <c r="K265" s="112"/>
      <c r="L265" s="505" t="b">
        <v>0</v>
      </c>
      <c r="M265" s="504" t="b">
        <v>0</v>
      </c>
      <c r="N265" s="112"/>
      <c r="O265" s="505" t="b">
        <v>0</v>
      </c>
      <c r="P265" s="504" t="b">
        <v>0</v>
      </c>
      <c r="Q265" s="116"/>
      <c r="R265" s="505" t="b">
        <v>0</v>
      </c>
      <c r="S265" s="504" t="b">
        <v>0</v>
      </c>
      <c r="T265" s="117"/>
      <c r="U265" s="505" t="b">
        <v>0</v>
      </c>
      <c r="V265" s="504" t="b">
        <v>0</v>
      </c>
      <c r="W265" s="118"/>
      <c r="X265" s="505" t="b">
        <v>0</v>
      </c>
      <c r="Y265" s="504" t="b">
        <v>0</v>
      </c>
      <c r="Z265" s="119"/>
      <c r="AA265" s="505" t="b">
        <v>0</v>
      </c>
      <c r="AB265" s="504" t="b">
        <v>0</v>
      </c>
      <c r="AC265" s="121"/>
      <c r="AD265" s="505" t="b">
        <v>0</v>
      </c>
      <c r="AE265" s="504" t="b">
        <v>0</v>
      </c>
      <c r="AF265" s="125"/>
      <c r="AG265" s="505" t="b">
        <v>0</v>
      </c>
      <c r="AH265" s="504" t="b">
        <v>0</v>
      </c>
      <c r="AI265" s="105"/>
      <c r="AJ265" s="505" t="b">
        <v>0</v>
      </c>
      <c r="AK265" s="504" t="b">
        <v>0</v>
      </c>
      <c r="AL265" s="126"/>
      <c r="AM265" s="505" t="b">
        <v>0</v>
      </c>
      <c r="AN265" s="504" t="b">
        <v>0</v>
      </c>
      <c r="AO265" s="105"/>
      <c r="AP265" s="105"/>
      <c r="AQ265" s="105"/>
      <c r="AR265" s="105"/>
      <c r="AS265" s="105"/>
      <c r="AT265" s="105"/>
      <c r="AU265" s="105"/>
      <c r="AV265" s="105"/>
      <c r="AW265" s="105"/>
      <c r="AX265" s="105"/>
      <c r="AY265" s="105"/>
      <c r="AZ265" s="105"/>
      <c r="BA265" s="105"/>
    </row>
    <row r="266">
      <c r="A266" s="506" t="str">
        <f>IFERROR(__xludf.DUMMYFUNCTION("""COMPUTED_VALUE"""),"SETTLED")</f>
        <v>SETTLED</v>
      </c>
      <c r="B266" s="506" t="str">
        <f>IFERROR(__xludf.DUMMYFUNCTION("""COMPUTED_VALUE"""),"Ivan, Joshua")</f>
        <v>Ivan, Joshua</v>
      </c>
      <c r="C266" s="506" t="str">
        <f>IFERROR(__xludf.DUMMYFUNCTION("""COMPUTED_VALUE"""),"Ivan Belyy")</f>
        <v>Ivan Belyy</v>
      </c>
      <c r="D266" s="506" t="str">
        <f>IFERROR(__xludf.DUMMYFUNCTION("""COMPUTED_VALUE"""),"941-412-6106")</f>
        <v>941-412-6106</v>
      </c>
      <c r="E266" s="506" t="str">
        <f>IFERROR(__xludf.DUMMYFUNCTION("""COMPUTED_VALUE"""),"ivanbelyyjr@gmail.com")</f>
        <v>ivanbelyyjr@gmail.com</v>
      </c>
      <c r="F266" s="506" t="str">
        <f>IFERROR(__xludf.DUMMYFUNCTION("""COMPUTED_VALUE"""),"265 E Seminole Dr. Venice, FL 34293")</f>
        <v>265 E Seminole Dr. Venice, FL 34293</v>
      </c>
      <c r="G266" s="506" t="str">
        <f>IFERROR(__xludf.DUMMYFUNCTION("""COMPUTED_VALUE"""),"Hurricane Milton")</f>
        <v>Hurricane Milton</v>
      </c>
      <c r="H266" s="506" t="str">
        <f>IFERROR(__xludf.DUMMYFUNCTION("""COMPUTED_VALUE"""),"New Claim")</f>
        <v>New Claim</v>
      </c>
      <c r="I266" s="505" t="b">
        <v>0</v>
      </c>
      <c r="J266" s="507" t="b">
        <v>0</v>
      </c>
      <c r="K266" s="112"/>
      <c r="L266" s="505" t="b">
        <v>0</v>
      </c>
      <c r="M266" s="504" t="b">
        <v>0</v>
      </c>
      <c r="N266" s="112"/>
      <c r="O266" s="505" t="b">
        <v>0</v>
      </c>
      <c r="P266" s="504" t="b">
        <v>0</v>
      </c>
      <c r="Q266" s="116"/>
      <c r="R266" s="505" t="b">
        <v>0</v>
      </c>
      <c r="S266" s="504" t="b">
        <v>0</v>
      </c>
      <c r="T266" s="117"/>
      <c r="U266" s="505" t="b">
        <v>0</v>
      </c>
      <c r="V266" s="504" t="b">
        <v>0</v>
      </c>
      <c r="W266" s="118"/>
      <c r="X266" s="505" t="b">
        <v>0</v>
      </c>
      <c r="Y266" s="504" t="b">
        <v>0</v>
      </c>
      <c r="Z266" s="119"/>
      <c r="AA266" s="505" t="b">
        <v>0</v>
      </c>
      <c r="AB266" s="504" t="b">
        <v>0</v>
      </c>
      <c r="AC266" s="121"/>
      <c r="AD266" s="505" t="b">
        <v>0</v>
      </c>
      <c r="AE266" s="504" t="b">
        <v>0</v>
      </c>
      <c r="AF266" s="125"/>
      <c r="AG266" s="505" t="b">
        <v>0</v>
      </c>
      <c r="AH266" s="504" t="b">
        <v>0</v>
      </c>
      <c r="AI266" s="105"/>
      <c r="AJ266" s="505" t="b">
        <v>0</v>
      </c>
      <c r="AK266" s="504" t="b">
        <v>0</v>
      </c>
      <c r="AL266" s="126"/>
      <c r="AM266" s="505" t="b">
        <v>0</v>
      </c>
      <c r="AN266" s="504" t="b">
        <v>0</v>
      </c>
      <c r="AO266" s="105"/>
      <c r="AP266" s="105"/>
      <c r="AQ266" s="105"/>
      <c r="AR266" s="105"/>
      <c r="AS266" s="105"/>
      <c r="AT266" s="105"/>
      <c r="AU266" s="105"/>
      <c r="AV266" s="105"/>
      <c r="AW266" s="105"/>
      <c r="AX266" s="105"/>
      <c r="AY266" s="105"/>
      <c r="AZ266" s="105"/>
      <c r="BA266" s="105"/>
    </row>
    <row r="267">
      <c r="A267" s="506" t="str">
        <f>IFERROR(__xludf.DUMMYFUNCTION("""COMPUTED_VALUE"""),"LITIGATION")</f>
        <v>LITIGATION</v>
      </c>
      <c r="B267" s="506" t="str">
        <f>IFERROR(__xludf.DUMMYFUNCTION("""COMPUTED_VALUE"""),"Peter, Gregory")</f>
        <v>Peter, Gregory</v>
      </c>
      <c r="C267" s="506" t="str">
        <f>IFERROR(__xludf.DUMMYFUNCTION("""COMPUTED_VALUE"""),"Kennard Ramdowe")</f>
        <v>Kennard Ramdowe</v>
      </c>
      <c r="D267" s="506" t="str">
        <f>IFERROR(__xludf.DUMMYFUNCTION("""COMPUTED_VALUE"""),"772-203-1894")</f>
        <v>772-203-1894</v>
      </c>
      <c r="E267" s="506" t="str">
        <f>IFERROR(__xludf.DUMMYFUNCTION("""COMPUTED_VALUE"""),"Kma782112@live.com")</f>
        <v>Kma782112@live.com</v>
      </c>
      <c r="F267" s="506" t="str">
        <f>IFERROR(__xludf.DUMMYFUNCTION("""COMPUTED_VALUE"""),"401 NW Hibiscus St, Port St. Lucie, FL 34983")</f>
        <v>401 NW Hibiscus St, Port St. Lucie, FL 34983</v>
      </c>
      <c r="G267" s="506" t="str">
        <f>IFERROR(__xludf.DUMMYFUNCTION("""COMPUTED_VALUE"""),"Hurricane Milton")</f>
        <v>Hurricane Milton</v>
      </c>
      <c r="H267" s="506" t="str">
        <f>IFERROR(__xludf.DUMMYFUNCTION("""COMPUTED_VALUE"""),"New Claim")</f>
        <v>New Claim</v>
      </c>
      <c r="I267" s="505" t="b">
        <v>0</v>
      </c>
      <c r="J267" s="507" t="b">
        <v>0</v>
      </c>
      <c r="K267" s="112"/>
      <c r="L267" s="505" t="b">
        <v>0</v>
      </c>
      <c r="M267" s="504" t="b">
        <v>0</v>
      </c>
      <c r="N267" s="112"/>
      <c r="O267" s="505" t="b">
        <v>0</v>
      </c>
      <c r="P267" s="504" t="b">
        <v>0</v>
      </c>
      <c r="Q267" s="116"/>
      <c r="R267" s="505" t="b">
        <v>0</v>
      </c>
      <c r="S267" s="504" t="b">
        <v>0</v>
      </c>
      <c r="T267" s="117"/>
      <c r="U267" s="505" t="b">
        <v>0</v>
      </c>
      <c r="V267" s="504" t="b">
        <v>0</v>
      </c>
      <c r="W267" s="118"/>
      <c r="X267" s="505" t="b">
        <v>0</v>
      </c>
      <c r="Y267" s="504" t="b">
        <v>0</v>
      </c>
      <c r="Z267" s="119"/>
      <c r="AA267" s="505" t="b">
        <v>0</v>
      </c>
      <c r="AB267" s="504" t="b">
        <v>0</v>
      </c>
      <c r="AC267" s="121"/>
      <c r="AD267" s="505" t="b">
        <v>0</v>
      </c>
      <c r="AE267" s="504" t="b">
        <v>0</v>
      </c>
      <c r="AF267" s="125"/>
      <c r="AG267" s="505" t="b">
        <v>0</v>
      </c>
      <c r="AH267" s="504" t="b">
        <v>0</v>
      </c>
      <c r="AI267" s="105"/>
      <c r="AJ267" s="505" t="b">
        <v>0</v>
      </c>
      <c r="AK267" s="504" t="b">
        <v>0</v>
      </c>
      <c r="AL267" s="126"/>
      <c r="AM267" s="505" t="b">
        <v>0</v>
      </c>
      <c r="AN267" s="504" t="b">
        <v>0</v>
      </c>
      <c r="AO267" s="105"/>
      <c r="AP267" s="105"/>
      <c r="AQ267" s="105"/>
      <c r="AR267" s="105"/>
      <c r="AS267" s="105"/>
      <c r="AT267" s="105"/>
      <c r="AU267" s="105"/>
      <c r="AV267" s="105"/>
      <c r="AW267" s="105"/>
      <c r="AX267" s="105"/>
      <c r="AY267" s="105"/>
      <c r="AZ267" s="105"/>
      <c r="BA267" s="105"/>
    </row>
    <row r="268">
      <c r="A268" s="506" t="str">
        <f>IFERROR(__xludf.DUMMYFUNCTION("""COMPUTED_VALUE"""),"NOI")</f>
        <v>NOI</v>
      </c>
      <c r="B268" s="506" t="str">
        <f>IFERROR(__xludf.DUMMYFUNCTION("""COMPUTED_VALUE"""),"David F., Ivan")</f>
        <v>David F., Ivan</v>
      </c>
      <c r="C268" s="506" t="str">
        <f>IFERROR(__xludf.DUMMYFUNCTION("""COMPUTED_VALUE"""),"Dadda Holdings LLC")</f>
        <v>Dadda Holdings LLC</v>
      </c>
      <c r="D268" s="506"/>
      <c r="E268" s="506" t="str">
        <f>IFERROR(__xludf.DUMMYFUNCTION("""COMPUTED_VALUE"""),"dasmartin@pedimhealthcare.com")</f>
        <v>dasmartin@pedimhealthcare.com</v>
      </c>
      <c r="F268" s="506" t="str">
        <f>IFERROR(__xludf.DUMMYFUNCTION("""COMPUTED_VALUE"""),"1907 HWY 44 West Inverness, FL 34453")</f>
        <v>1907 HWY 44 West Inverness, FL 34453</v>
      </c>
      <c r="G268" s="506" t="str">
        <f>IFERROR(__xludf.DUMMYFUNCTION("""COMPUTED_VALUE"""),"Hurricane Milton")</f>
        <v>Hurricane Milton</v>
      </c>
      <c r="H268" s="506" t="str">
        <f>IFERROR(__xludf.DUMMYFUNCTION("""COMPUTED_VALUE"""),"New Claim")</f>
        <v>New Claim</v>
      </c>
      <c r="I268" s="505" t="b">
        <v>0</v>
      </c>
      <c r="J268" s="507" t="b">
        <v>0</v>
      </c>
      <c r="K268" s="112"/>
      <c r="L268" s="505" t="b">
        <v>0</v>
      </c>
      <c r="M268" s="504" t="b">
        <v>0</v>
      </c>
      <c r="N268" s="112"/>
      <c r="O268" s="505" t="b">
        <v>0</v>
      </c>
      <c r="P268" s="504" t="b">
        <v>0</v>
      </c>
      <c r="Q268" s="116"/>
      <c r="R268" s="505" t="b">
        <v>0</v>
      </c>
      <c r="S268" s="504" t="b">
        <v>0</v>
      </c>
      <c r="T268" s="117"/>
      <c r="U268" s="505" t="b">
        <v>0</v>
      </c>
      <c r="V268" s="504" t="b">
        <v>0</v>
      </c>
      <c r="W268" s="118"/>
      <c r="X268" s="505" t="b">
        <v>0</v>
      </c>
      <c r="Y268" s="504" t="b">
        <v>0</v>
      </c>
      <c r="Z268" s="119"/>
      <c r="AA268" s="505" t="b">
        <v>0</v>
      </c>
      <c r="AB268" s="504" t="b">
        <v>0</v>
      </c>
      <c r="AC268" s="121"/>
      <c r="AD268" s="505" t="b">
        <v>0</v>
      </c>
      <c r="AE268" s="504" t="b">
        <v>0</v>
      </c>
      <c r="AF268" s="125"/>
      <c r="AG268" s="505" t="b">
        <v>0</v>
      </c>
      <c r="AH268" s="504" t="b">
        <v>0</v>
      </c>
      <c r="AI268" s="105"/>
      <c r="AJ268" s="505" t="b">
        <v>0</v>
      </c>
      <c r="AK268" s="504" t="b">
        <v>0</v>
      </c>
      <c r="AL268" s="126"/>
      <c r="AM268" s="505" t="b">
        <v>0</v>
      </c>
      <c r="AN268" s="504" t="b">
        <v>0</v>
      </c>
      <c r="AO268" s="105"/>
      <c r="AP268" s="105"/>
      <c r="AQ268" s="105"/>
      <c r="AR268" s="105"/>
      <c r="AS268" s="105"/>
      <c r="AT268" s="105"/>
      <c r="AU268" s="105"/>
      <c r="AV268" s="105"/>
      <c r="AW268" s="105"/>
      <c r="AX268" s="105"/>
      <c r="AY268" s="105"/>
      <c r="AZ268" s="105"/>
      <c r="BA268" s="105"/>
    </row>
    <row r="269">
      <c r="A269" s="506" t="str">
        <f>IFERROR(__xludf.DUMMYFUNCTION("""COMPUTED_VALUE"""),"NOI")</f>
        <v>NOI</v>
      </c>
      <c r="B269" s="506" t="str">
        <f>IFERROR(__xludf.DUMMYFUNCTION("""COMPUTED_VALUE"""),"Ivan, David F.")</f>
        <v>Ivan, David F.</v>
      </c>
      <c r="C269" s="506" t="str">
        <f>IFERROR(__xludf.DUMMYFUNCTION("""COMPUTED_VALUE"""),"Dadda Holdings LLC")</f>
        <v>Dadda Holdings LLC</v>
      </c>
      <c r="D269" s="506"/>
      <c r="E269" s="506" t="str">
        <f>IFERROR(__xludf.DUMMYFUNCTION("""COMPUTED_VALUE"""),"dasmartin@pedimhealthcare.com")</f>
        <v>dasmartin@pedimhealthcare.com</v>
      </c>
      <c r="F269" s="506" t="str">
        <f>IFERROR(__xludf.DUMMYFUNCTION("""COMPUTED_VALUE"""),"3927 N Lecanto HWY. Beverly Hills, FL 34465")</f>
        <v>3927 N Lecanto HWY. Beverly Hills, FL 34465</v>
      </c>
      <c r="G269" s="506" t="str">
        <f>IFERROR(__xludf.DUMMYFUNCTION("""COMPUTED_VALUE"""),"Hurricane Milton")</f>
        <v>Hurricane Milton</v>
      </c>
      <c r="H269" s="506" t="str">
        <f>IFERROR(__xludf.DUMMYFUNCTION("""COMPUTED_VALUE"""),"New Claim")</f>
        <v>New Claim</v>
      </c>
      <c r="I269" s="505" t="b">
        <v>0</v>
      </c>
      <c r="J269" s="507" t="b">
        <v>0</v>
      </c>
      <c r="K269" s="112"/>
      <c r="L269" s="505" t="b">
        <v>0</v>
      </c>
      <c r="M269" s="504" t="b">
        <v>0</v>
      </c>
      <c r="N269" s="112"/>
      <c r="O269" s="505" t="b">
        <v>0</v>
      </c>
      <c r="P269" s="504" t="b">
        <v>0</v>
      </c>
      <c r="Q269" s="116"/>
      <c r="R269" s="505" t="b">
        <v>0</v>
      </c>
      <c r="S269" s="504" t="b">
        <v>0</v>
      </c>
      <c r="T269" s="117"/>
      <c r="U269" s="505" t="b">
        <v>0</v>
      </c>
      <c r="V269" s="504" t="b">
        <v>0</v>
      </c>
      <c r="W269" s="118"/>
      <c r="X269" s="505" t="b">
        <v>0</v>
      </c>
      <c r="Y269" s="504" t="b">
        <v>0</v>
      </c>
      <c r="Z269" s="119"/>
      <c r="AA269" s="505" t="b">
        <v>0</v>
      </c>
      <c r="AB269" s="504" t="b">
        <v>0</v>
      </c>
      <c r="AC269" s="121"/>
      <c r="AD269" s="505" t="b">
        <v>0</v>
      </c>
      <c r="AE269" s="504" t="b">
        <v>0</v>
      </c>
      <c r="AF269" s="125"/>
      <c r="AG269" s="505" t="b">
        <v>0</v>
      </c>
      <c r="AH269" s="504" t="b">
        <v>0</v>
      </c>
      <c r="AI269" s="105"/>
      <c r="AJ269" s="505" t="b">
        <v>0</v>
      </c>
      <c r="AK269" s="504" t="b">
        <v>0</v>
      </c>
      <c r="AL269" s="126"/>
      <c r="AM269" s="505" t="b">
        <v>0</v>
      </c>
      <c r="AN269" s="504" t="b">
        <v>0</v>
      </c>
      <c r="AO269" s="105"/>
      <c r="AP269" s="105"/>
      <c r="AQ269" s="105"/>
      <c r="AR269" s="105"/>
      <c r="AS269" s="105"/>
      <c r="AT269" s="105"/>
      <c r="AU269" s="105"/>
      <c r="AV269" s="105"/>
      <c r="AW269" s="105"/>
      <c r="AX269" s="105"/>
      <c r="AY269" s="105"/>
      <c r="AZ269" s="105"/>
      <c r="BA269" s="105"/>
    </row>
    <row r="270">
      <c r="A270" s="506" t="str">
        <f>IFERROR(__xludf.DUMMYFUNCTION("""COMPUTED_VALUE"""),"NOI")</f>
        <v>NOI</v>
      </c>
      <c r="B270" s="506" t="str">
        <f>IFERROR(__xludf.DUMMYFUNCTION("""COMPUTED_VALUE"""),"Ivan, David F.")</f>
        <v>Ivan, David F.</v>
      </c>
      <c r="C270" s="506" t="str">
        <f>IFERROR(__xludf.DUMMYFUNCTION("""COMPUTED_VALUE"""),"Dadda Holdings LLC")</f>
        <v>Dadda Holdings LLC</v>
      </c>
      <c r="D270" s="506"/>
      <c r="E270" s="506" t="str">
        <f>IFERROR(__xludf.DUMMYFUNCTION("""COMPUTED_VALUE"""),"dasmartin@pedimhealthcare.com")</f>
        <v>dasmartin@pedimhealthcare.com</v>
      </c>
      <c r="F270" s="506" t="str">
        <f>IFERROR(__xludf.DUMMYFUNCTION("""COMPUTED_VALUE"""),"514 W Noble Ave. Williston, FL 32696")</f>
        <v>514 W Noble Ave. Williston, FL 32696</v>
      </c>
      <c r="G270" s="506" t="str">
        <f>IFERROR(__xludf.DUMMYFUNCTION("""COMPUTED_VALUE"""),"Hurricane Milton")</f>
        <v>Hurricane Milton</v>
      </c>
      <c r="H270" s="506" t="str">
        <f>IFERROR(__xludf.DUMMYFUNCTION("""COMPUTED_VALUE"""),"New Claim")</f>
        <v>New Claim</v>
      </c>
      <c r="I270" s="505" t="b">
        <v>0</v>
      </c>
      <c r="J270" s="507" t="b">
        <v>0</v>
      </c>
      <c r="K270" s="112"/>
      <c r="L270" s="505" t="b">
        <v>0</v>
      </c>
      <c r="M270" s="504" t="b">
        <v>0</v>
      </c>
      <c r="N270" s="112"/>
      <c r="O270" s="505" t="b">
        <v>0</v>
      </c>
      <c r="P270" s="504" t="b">
        <v>0</v>
      </c>
      <c r="Q270" s="116"/>
      <c r="R270" s="505" t="b">
        <v>0</v>
      </c>
      <c r="S270" s="504" t="b">
        <v>0</v>
      </c>
      <c r="T270" s="117"/>
      <c r="U270" s="505" t="b">
        <v>0</v>
      </c>
      <c r="V270" s="504" t="b">
        <v>0</v>
      </c>
      <c r="W270" s="118"/>
      <c r="X270" s="505" t="b">
        <v>0</v>
      </c>
      <c r="Y270" s="504" t="b">
        <v>0</v>
      </c>
      <c r="Z270" s="119"/>
      <c r="AA270" s="505" t="b">
        <v>0</v>
      </c>
      <c r="AB270" s="504" t="b">
        <v>0</v>
      </c>
      <c r="AC270" s="121"/>
      <c r="AD270" s="505" t="b">
        <v>0</v>
      </c>
      <c r="AE270" s="504" t="b">
        <v>0</v>
      </c>
      <c r="AF270" s="125"/>
      <c r="AG270" s="505" t="b">
        <v>0</v>
      </c>
      <c r="AH270" s="504" t="b">
        <v>0</v>
      </c>
      <c r="AI270" s="105"/>
      <c r="AJ270" s="505" t="b">
        <v>0</v>
      </c>
      <c r="AK270" s="504" t="b">
        <v>0</v>
      </c>
      <c r="AL270" s="126"/>
      <c r="AM270" s="505" t="b">
        <v>0</v>
      </c>
      <c r="AN270" s="504" t="b">
        <v>0</v>
      </c>
      <c r="AO270" s="105"/>
      <c r="AP270" s="105"/>
      <c r="AQ270" s="105"/>
      <c r="AR270" s="105"/>
      <c r="AS270" s="105"/>
      <c r="AT270" s="105"/>
      <c r="AU270" s="105"/>
      <c r="AV270" s="105"/>
      <c r="AW270" s="105"/>
      <c r="AX270" s="105"/>
      <c r="AY270" s="105"/>
      <c r="AZ270" s="105"/>
      <c r="BA270" s="105"/>
    </row>
    <row r="271">
      <c r="A271" s="506" t="str">
        <f>IFERROR(__xludf.DUMMYFUNCTION("""COMPUTED_VALUE"""),"SETTLED")</f>
        <v>SETTLED</v>
      </c>
      <c r="B271" s="506" t="str">
        <f>IFERROR(__xludf.DUMMYFUNCTION("""COMPUTED_VALUE"""),"Juan")</f>
        <v>Juan</v>
      </c>
      <c r="C271" s="506" t="str">
        <f>IFERROR(__xludf.DUMMYFUNCTION("""COMPUTED_VALUE"""),"Courtney M McNeal ")</f>
        <v>Courtney M McNeal </v>
      </c>
      <c r="D271" s="506" t="str">
        <f>IFERROR(__xludf.DUMMYFUNCTION("""COMPUTED_VALUE"""),"727-742-0103")</f>
        <v>727-742-0103</v>
      </c>
      <c r="E271" s="506" t="str">
        <f>IFERROR(__xludf.DUMMYFUNCTION("""COMPUTED_VALUE"""),"courtneybcca@yahoo.ca")</f>
        <v>courtneybcca@yahoo.ca</v>
      </c>
      <c r="F271" s="506" t="str">
        <f>IFERROR(__xludf.DUMMYFUNCTION("""COMPUTED_VALUE"""),"1905 47th ST S. Saint Petersburg, FL 33711")</f>
        <v>1905 47th ST S. Saint Petersburg, FL 33711</v>
      </c>
      <c r="G271" s="506" t="str">
        <f>IFERROR(__xludf.DUMMYFUNCTION("""COMPUTED_VALUE"""),"Hurricane Milton")</f>
        <v>Hurricane Milton</v>
      </c>
      <c r="H271" s="506" t="str">
        <f>IFERROR(__xludf.DUMMYFUNCTION("""COMPUTED_VALUE"""),"New Claim")</f>
        <v>New Claim</v>
      </c>
      <c r="I271" s="505" t="b">
        <v>0</v>
      </c>
      <c r="J271" s="507" t="b">
        <v>0</v>
      </c>
      <c r="K271" s="112"/>
      <c r="L271" s="505" t="b">
        <v>0</v>
      </c>
      <c r="M271" s="504" t="b">
        <v>0</v>
      </c>
      <c r="N271" s="112"/>
      <c r="O271" s="505" t="b">
        <v>0</v>
      </c>
      <c r="P271" s="504" t="b">
        <v>0</v>
      </c>
      <c r="Q271" s="116"/>
      <c r="R271" s="505" t="b">
        <v>0</v>
      </c>
      <c r="S271" s="504" t="b">
        <v>0</v>
      </c>
      <c r="T271" s="117"/>
      <c r="U271" s="505" t="b">
        <v>0</v>
      </c>
      <c r="V271" s="504" t="b">
        <v>0</v>
      </c>
      <c r="W271" s="118"/>
      <c r="X271" s="505" t="b">
        <v>0</v>
      </c>
      <c r="Y271" s="504" t="b">
        <v>0</v>
      </c>
      <c r="Z271" s="119"/>
      <c r="AA271" s="505" t="b">
        <v>0</v>
      </c>
      <c r="AB271" s="504" t="b">
        <v>0</v>
      </c>
      <c r="AC271" s="121"/>
      <c r="AD271" s="505" t="b">
        <v>0</v>
      </c>
      <c r="AE271" s="504" t="b">
        <v>0</v>
      </c>
      <c r="AF271" s="125"/>
      <c r="AG271" s="505" t="b">
        <v>0</v>
      </c>
      <c r="AH271" s="504" t="b">
        <v>0</v>
      </c>
      <c r="AI271" s="105"/>
      <c r="AJ271" s="505" t="b">
        <v>0</v>
      </c>
      <c r="AK271" s="504" t="b">
        <v>0</v>
      </c>
      <c r="AL271" s="126"/>
      <c r="AM271" s="505" t="b">
        <v>0</v>
      </c>
      <c r="AN271" s="504" t="b">
        <v>0</v>
      </c>
      <c r="AO271" s="105"/>
      <c r="AP271" s="105"/>
      <c r="AQ271" s="105"/>
      <c r="AR271" s="105"/>
      <c r="AS271" s="105"/>
      <c r="AT271" s="105"/>
      <c r="AU271" s="105"/>
      <c r="AV271" s="105"/>
      <c r="AW271" s="105"/>
      <c r="AX271" s="105"/>
      <c r="AY271" s="105"/>
      <c r="AZ271" s="105"/>
      <c r="BA271" s="105"/>
    </row>
    <row r="272">
      <c r="A272" s="506" t="str">
        <f>IFERROR(__xludf.DUMMYFUNCTION("""COMPUTED_VALUE"""),"SETTLED")</f>
        <v>SETTLED</v>
      </c>
      <c r="B272" s="506" t="str">
        <f>IFERROR(__xludf.DUMMYFUNCTION("""COMPUTED_VALUE"""),"Juan")</f>
        <v>Juan</v>
      </c>
      <c r="C272" s="506" t="str">
        <f>IFERROR(__xludf.DUMMYFUNCTION("""COMPUTED_VALUE"""),"Courtney M McNeal")</f>
        <v>Courtney M McNeal</v>
      </c>
      <c r="D272" s="506" t="str">
        <f>IFERROR(__xludf.DUMMYFUNCTION("""COMPUTED_VALUE"""),"727-742-0103")</f>
        <v>727-742-0103</v>
      </c>
      <c r="E272" s="506" t="str">
        <f>IFERROR(__xludf.DUMMYFUNCTION("""COMPUTED_VALUE"""),"courtneybcca@yahoo.ca")</f>
        <v>courtneybcca@yahoo.ca</v>
      </c>
      <c r="F272" s="506" t="str">
        <f>IFERROR(__xludf.DUMMYFUNCTION("""COMPUTED_VALUE"""),"4644 14th Ave S. Saint Petersburg, FL 33711")</f>
        <v>4644 14th Ave S. Saint Petersburg, FL 33711</v>
      </c>
      <c r="G272" s="506" t="str">
        <f>IFERROR(__xludf.DUMMYFUNCTION("""COMPUTED_VALUE"""),"Hurricane Milton")</f>
        <v>Hurricane Milton</v>
      </c>
      <c r="H272" s="506" t="str">
        <f>IFERROR(__xludf.DUMMYFUNCTION("""COMPUTED_VALUE"""),"New Claim")</f>
        <v>New Claim</v>
      </c>
      <c r="I272" s="505" t="b">
        <v>0</v>
      </c>
      <c r="J272" s="507" t="b">
        <v>0</v>
      </c>
      <c r="K272" s="112"/>
      <c r="L272" s="505" t="b">
        <v>0</v>
      </c>
      <c r="M272" s="504" t="b">
        <v>0</v>
      </c>
      <c r="N272" s="112"/>
      <c r="O272" s="505" t="b">
        <v>0</v>
      </c>
      <c r="P272" s="504" t="b">
        <v>0</v>
      </c>
      <c r="Q272" s="116"/>
      <c r="R272" s="505" t="b">
        <v>0</v>
      </c>
      <c r="S272" s="504" t="b">
        <v>0</v>
      </c>
      <c r="T272" s="117"/>
      <c r="U272" s="505" t="b">
        <v>0</v>
      </c>
      <c r="V272" s="504" t="b">
        <v>0</v>
      </c>
      <c r="W272" s="118"/>
      <c r="X272" s="505" t="b">
        <v>0</v>
      </c>
      <c r="Y272" s="504" t="b">
        <v>0</v>
      </c>
      <c r="Z272" s="119"/>
      <c r="AA272" s="505" t="b">
        <v>0</v>
      </c>
      <c r="AB272" s="504" t="b">
        <v>0</v>
      </c>
      <c r="AC272" s="121"/>
      <c r="AD272" s="505" t="b">
        <v>0</v>
      </c>
      <c r="AE272" s="504" t="b">
        <v>0</v>
      </c>
      <c r="AF272" s="125"/>
      <c r="AG272" s="505" t="b">
        <v>0</v>
      </c>
      <c r="AH272" s="504" t="b">
        <v>0</v>
      </c>
      <c r="AI272" s="105"/>
      <c r="AJ272" s="505" t="b">
        <v>0</v>
      </c>
      <c r="AK272" s="504" t="b">
        <v>0</v>
      </c>
      <c r="AL272" s="126"/>
      <c r="AM272" s="505" t="b">
        <v>0</v>
      </c>
      <c r="AN272" s="504" t="b">
        <v>0</v>
      </c>
      <c r="AO272" s="105"/>
      <c r="AP272" s="105"/>
      <c r="AQ272" s="105"/>
      <c r="AR272" s="105"/>
      <c r="AS272" s="105"/>
      <c r="AT272" s="105"/>
      <c r="AU272" s="105"/>
      <c r="AV272" s="105"/>
      <c r="AW272" s="105"/>
      <c r="AX272" s="105"/>
      <c r="AY272" s="105"/>
      <c r="AZ272" s="105"/>
      <c r="BA272" s="105"/>
    </row>
    <row r="273">
      <c r="A273" s="506" t="str">
        <f>IFERROR(__xludf.DUMMYFUNCTION("""COMPUTED_VALUE"""),"SETTLED")</f>
        <v>SETTLED</v>
      </c>
      <c r="B273" s="506" t="str">
        <f>IFERROR(__xludf.DUMMYFUNCTION("""COMPUTED_VALUE"""),"Juan")</f>
        <v>Juan</v>
      </c>
      <c r="C273" s="506" t="str">
        <f>IFERROR(__xludf.DUMMYFUNCTION("""COMPUTED_VALUE"""),"Juanita Salinas")</f>
        <v>Juanita Salinas</v>
      </c>
      <c r="D273" s="506" t="str">
        <f>IFERROR(__xludf.DUMMYFUNCTION("""COMPUTED_VALUE"""),"941-592-0543")</f>
        <v>941-592-0543</v>
      </c>
      <c r="E273" s="506" t="str">
        <f>IFERROR(__xludf.DUMMYFUNCTION("""COMPUTED_VALUE"""),"Juanitasalinasjj@gmail.com")</f>
        <v>Juanitasalinasjj@gmail.com</v>
      </c>
      <c r="F273" s="506" t="str">
        <f>IFERROR(__xludf.DUMMYFUNCTION("""COMPUTED_VALUE"""),"712 18th Avenue Dr W Palmetto, FL 34221")</f>
        <v>712 18th Avenue Dr W Palmetto, FL 34221</v>
      </c>
      <c r="G273" s="506" t="str">
        <f>IFERROR(__xludf.DUMMYFUNCTION("""COMPUTED_VALUE"""),"Hurricane Milton")</f>
        <v>Hurricane Milton</v>
      </c>
      <c r="H273" s="506" t="str">
        <f>IFERROR(__xludf.DUMMYFUNCTION("""COMPUTED_VALUE"""),"New Claim")</f>
        <v>New Claim</v>
      </c>
      <c r="I273" s="505" t="b">
        <v>0</v>
      </c>
      <c r="J273" s="507" t="b">
        <v>0</v>
      </c>
      <c r="K273" s="112"/>
      <c r="L273" s="505" t="b">
        <v>0</v>
      </c>
      <c r="M273" s="504" t="b">
        <v>0</v>
      </c>
      <c r="N273" s="112"/>
      <c r="O273" s="505" t="b">
        <v>0</v>
      </c>
      <c r="P273" s="504" t="b">
        <v>0</v>
      </c>
      <c r="Q273" s="116"/>
      <c r="R273" s="505" t="b">
        <v>0</v>
      </c>
      <c r="S273" s="504" t="b">
        <v>0</v>
      </c>
      <c r="T273" s="117"/>
      <c r="U273" s="505" t="b">
        <v>0</v>
      </c>
      <c r="V273" s="504" t="b">
        <v>0</v>
      </c>
      <c r="W273" s="118"/>
      <c r="X273" s="505" t="b">
        <v>0</v>
      </c>
      <c r="Y273" s="504" t="b">
        <v>0</v>
      </c>
      <c r="Z273" s="119"/>
      <c r="AA273" s="505" t="b">
        <v>0</v>
      </c>
      <c r="AB273" s="504" t="b">
        <v>0</v>
      </c>
      <c r="AC273" s="121"/>
      <c r="AD273" s="505" t="b">
        <v>0</v>
      </c>
      <c r="AE273" s="504" t="b">
        <v>0</v>
      </c>
      <c r="AF273" s="125"/>
      <c r="AG273" s="505" t="b">
        <v>0</v>
      </c>
      <c r="AH273" s="504" t="b">
        <v>0</v>
      </c>
      <c r="AI273" s="105"/>
      <c r="AJ273" s="505" t="b">
        <v>0</v>
      </c>
      <c r="AK273" s="504" t="b">
        <v>0</v>
      </c>
      <c r="AL273" s="126"/>
      <c r="AM273" s="505" t="b">
        <v>0</v>
      </c>
      <c r="AN273" s="504" t="b">
        <v>0</v>
      </c>
      <c r="AO273" s="105"/>
      <c r="AP273" s="105"/>
      <c r="AQ273" s="105"/>
      <c r="AR273" s="105"/>
      <c r="AS273" s="105"/>
      <c r="AT273" s="105"/>
      <c r="AU273" s="105"/>
      <c r="AV273" s="105"/>
      <c r="AW273" s="105"/>
      <c r="AX273" s="105"/>
      <c r="AY273" s="105"/>
      <c r="AZ273" s="105"/>
      <c r="BA273" s="105"/>
    </row>
    <row r="274">
      <c r="A274" s="506" t="str">
        <f>IFERROR(__xludf.DUMMYFUNCTION("""COMPUTED_VALUE"""),"FEES PENDING")</f>
        <v>FEES PENDING</v>
      </c>
      <c r="B274" s="506" t="str">
        <f>IFERROR(__xludf.DUMMYFUNCTION("""COMPUTED_VALUE"""),"Juan")</f>
        <v>Juan</v>
      </c>
      <c r="C274" s="506" t="str">
        <f>IFERROR(__xludf.DUMMYFUNCTION("""COMPUTED_VALUE"""),"Joshua Burroughs")</f>
        <v>Joshua Burroughs</v>
      </c>
      <c r="D274" s="506" t="str">
        <f>IFERROR(__xludf.DUMMYFUNCTION("""COMPUTED_VALUE"""),"941-400-7096")</f>
        <v>941-400-7096</v>
      </c>
      <c r="E274" s="506" t="str">
        <f>IFERROR(__xludf.DUMMYFUNCTION("""COMPUTED_VALUE"""),"pa@qhool.com")</f>
        <v>pa@qhool.com</v>
      </c>
      <c r="F274" s="506" t="str">
        <f>IFERROR(__xludf.DUMMYFUNCTION("""COMPUTED_VALUE"""),"514 Saint Andrews Dr Sarasota, FL 34243")</f>
        <v>514 Saint Andrews Dr Sarasota, FL 34243</v>
      </c>
      <c r="G274" s="506" t="str">
        <f>IFERROR(__xludf.DUMMYFUNCTION("""COMPUTED_VALUE"""),"Hurricane Milton")</f>
        <v>Hurricane Milton</v>
      </c>
      <c r="H274" s="506" t="str">
        <f>IFERROR(__xludf.DUMMYFUNCTION("""COMPUTED_VALUE"""),"New Claim")</f>
        <v>New Claim</v>
      </c>
      <c r="I274" s="505" t="b">
        <v>0</v>
      </c>
      <c r="J274" s="507" t="b">
        <v>0</v>
      </c>
      <c r="K274" s="112"/>
      <c r="L274" s="505" t="b">
        <v>0</v>
      </c>
      <c r="M274" s="504" t="b">
        <v>0</v>
      </c>
      <c r="N274" s="112"/>
      <c r="O274" s="505" t="b">
        <v>0</v>
      </c>
      <c r="P274" s="504" t="b">
        <v>0</v>
      </c>
      <c r="Q274" s="116"/>
      <c r="R274" s="505" t="b">
        <v>0</v>
      </c>
      <c r="S274" s="504" t="b">
        <v>0</v>
      </c>
      <c r="T274" s="117"/>
      <c r="U274" s="505" t="b">
        <v>0</v>
      </c>
      <c r="V274" s="504" t="b">
        <v>0</v>
      </c>
      <c r="W274" s="118"/>
      <c r="X274" s="505" t="b">
        <v>0</v>
      </c>
      <c r="Y274" s="504" t="b">
        <v>0</v>
      </c>
      <c r="Z274" s="119"/>
      <c r="AA274" s="505" t="b">
        <v>0</v>
      </c>
      <c r="AB274" s="504" t="b">
        <v>0</v>
      </c>
      <c r="AC274" s="121"/>
      <c r="AD274" s="505" t="b">
        <v>0</v>
      </c>
      <c r="AE274" s="504" t="b">
        <v>0</v>
      </c>
      <c r="AF274" s="125"/>
      <c r="AG274" s="505" t="b">
        <v>0</v>
      </c>
      <c r="AH274" s="504" t="b">
        <v>0</v>
      </c>
      <c r="AI274" s="105"/>
      <c r="AJ274" s="505" t="b">
        <v>0</v>
      </c>
      <c r="AK274" s="504" t="b">
        <v>0</v>
      </c>
      <c r="AL274" s="126"/>
      <c r="AM274" s="505" t="b">
        <v>0</v>
      </c>
      <c r="AN274" s="504" t="b">
        <v>0</v>
      </c>
      <c r="AO274" s="105"/>
      <c r="AP274" s="105"/>
      <c r="AQ274" s="105"/>
      <c r="AR274" s="105"/>
      <c r="AS274" s="105"/>
      <c r="AT274" s="105"/>
      <c r="AU274" s="105"/>
      <c r="AV274" s="105"/>
      <c r="AW274" s="105"/>
      <c r="AX274" s="105"/>
      <c r="AY274" s="105"/>
      <c r="AZ274" s="105"/>
      <c r="BA274" s="105"/>
    </row>
    <row r="275">
      <c r="A275" s="506" t="str">
        <f>IFERROR(__xludf.DUMMYFUNCTION("""COMPUTED_VALUE"""),"SETTLED")</f>
        <v>SETTLED</v>
      </c>
      <c r="B275" s="506" t="str">
        <f>IFERROR(__xludf.DUMMYFUNCTION("""COMPUTED_VALUE"""),"Angie, Ivan")</f>
        <v>Angie, Ivan</v>
      </c>
      <c r="C275" s="506" t="str">
        <f>IFERROR(__xludf.DUMMYFUNCTION("""COMPUTED_VALUE"""),"April D. Hunt")</f>
        <v>April D. Hunt</v>
      </c>
      <c r="D275" s="506" t="str">
        <f>IFERROR(__xludf.DUMMYFUNCTION("""COMPUTED_VALUE"""),"585-353-5928")</f>
        <v>585-353-5928</v>
      </c>
      <c r="E275" s="506" t="str">
        <f>IFERROR(__xludf.DUMMYFUNCTION("""COMPUTED_VALUE"""),"Aprilhunt132@outlook.com")</f>
        <v>Aprilhunt132@outlook.com</v>
      </c>
      <c r="F275" s="506" t="str">
        <f>IFERROR(__xludf.DUMMYFUNCTION("""COMPUTED_VALUE"""),"6505 Santa Clara Blvd. Fort Pierce, FL 34951")</f>
        <v>6505 Santa Clara Blvd. Fort Pierce, FL 34951</v>
      </c>
      <c r="G275" s="506" t="str">
        <f>IFERROR(__xludf.DUMMYFUNCTION("""COMPUTED_VALUE"""),"Hurricane Milton")</f>
        <v>Hurricane Milton</v>
      </c>
      <c r="H275" s="506" t="str">
        <f>IFERROR(__xludf.DUMMYFUNCTION("""COMPUTED_VALUE"""),"Reopen")</f>
        <v>Reopen</v>
      </c>
      <c r="I275" s="505" t="b">
        <v>0</v>
      </c>
      <c r="J275" s="507" t="b">
        <v>0</v>
      </c>
      <c r="K275" s="112"/>
      <c r="L275" s="505" t="b">
        <v>0</v>
      </c>
      <c r="M275" s="504" t="b">
        <v>0</v>
      </c>
      <c r="N275" s="112"/>
      <c r="O275" s="505" t="b">
        <v>0</v>
      </c>
      <c r="P275" s="504" t="b">
        <v>0</v>
      </c>
      <c r="Q275" s="116"/>
      <c r="R275" s="505" t="b">
        <v>0</v>
      </c>
      <c r="S275" s="504" t="b">
        <v>0</v>
      </c>
      <c r="T275" s="117"/>
      <c r="U275" s="505" t="b">
        <v>0</v>
      </c>
      <c r="V275" s="504" t="b">
        <v>0</v>
      </c>
      <c r="W275" s="118"/>
      <c r="X275" s="505" t="b">
        <v>0</v>
      </c>
      <c r="Y275" s="504" t="b">
        <v>0</v>
      </c>
      <c r="Z275" s="119"/>
      <c r="AA275" s="505" t="b">
        <v>0</v>
      </c>
      <c r="AB275" s="504" t="b">
        <v>0</v>
      </c>
      <c r="AC275" s="121"/>
      <c r="AD275" s="505" t="b">
        <v>0</v>
      </c>
      <c r="AE275" s="504" t="b">
        <v>0</v>
      </c>
      <c r="AF275" s="125"/>
      <c r="AG275" s="505" t="b">
        <v>0</v>
      </c>
      <c r="AH275" s="504" t="b">
        <v>0</v>
      </c>
      <c r="AI275" s="105"/>
      <c r="AJ275" s="505" t="b">
        <v>0</v>
      </c>
      <c r="AK275" s="504" t="b">
        <v>0</v>
      </c>
      <c r="AL275" s="126"/>
      <c r="AM275" s="505" t="b">
        <v>0</v>
      </c>
      <c r="AN275" s="504" t="b">
        <v>0</v>
      </c>
      <c r="AO275" s="105"/>
      <c r="AP275" s="105"/>
      <c r="AQ275" s="105"/>
      <c r="AR275" s="105"/>
      <c r="AS275" s="105"/>
      <c r="AT275" s="105"/>
      <c r="AU275" s="105"/>
      <c r="AV275" s="105"/>
      <c r="AW275" s="105"/>
      <c r="AX275" s="105"/>
      <c r="AY275" s="105"/>
      <c r="AZ275" s="105"/>
      <c r="BA275" s="105"/>
    </row>
    <row r="276">
      <c r="A276" s="506" t="str">
        <f>IFERROR(__xludf.DUMMYFUNCTION("""COMPUTED_VALUE"""),"SETTLED")</f>
        <v>SETTLED</v>
      </c>
      <c r="B276" s="506" t="str">
        <f>IFERROR(__xludf.DUMMYFUNCTION("""COMPUTED_VALUE"""),"Angie, Ivan")</f>
        <v>Angie, Ivan</v>
      </c>
      <c r="C276" s="506" t="str">
        <f>IFERROR(__xludf.DUMMYFUNCTION("""COMPUTED_VALUE"""),"Gerardo Salas Dugarte")</f>
        <v>Gerardo Salas Dugarte</v>
      </c>
      <c r="D276" s="506" t="str">
        <f>IFERROR(__xludf.DUMMYFUNCTION("""COMPUTED_VALUE"""),"301-820-2394")</f>
        <v>301-820-2394</v>
      </c>
      <c r="E276" s="506" t="str">
        <f>IFERROR(__xludf.DUMMYFUNCTION("""COMPUTED_VALUE"""),"Salas.gerardo4@gmail.com")</f>
        <v>Salas.gerardo4@gmail.com</v>
      </c>
      <c r="F276" s="506" t="str">
        <f>IFERROR(__xludf.DUMMYFUNCTION("""COMPUTED_VALUE"""),"1410 SE Manth Ln. Port Saint Lucie, FL 34983")</f>
        <v>1410 SE Manth Ln. Port Saint Lucie, FL 34983</v>
      </c>
      <c r="G276" s="506" t="str">
        <f>IFERROR(__xludf.DUMMYFUNCTION("""COMPUTED_VALUE"""),"Hurricane Milton")</f>
        <v>Hurricane Milton</v>
      </c>
      <c r="H276" s="506" t="str">
        <f>IFERROR(__xludf.DUMMYFUNCTION("""COMPUTED_VALUE"""),"Reopen")</f>
        <v>Reopen</v>
      </c>
      <c r="I276" s="505" t="b">
        <v>0</v>
      </c>
      <c r="J276" s="507" t="b">
        <v>0</v>
      </c>
      <c r="K276" s="112"/>
      <c r="L276" s="505" t="b">
        <v>0</v>
      </c>
      <c r="M276" s="504" t="b">
        <v>0</v>
      </c>
      <c r="N276" s="112"/>
      <c r="O276" s="505" t="b">
        <v>0</v>
      </c>
      <c r="P276" s="504" t="b">
        <v>0</v>
      </c>
      <c r="Q276" s="116"/>
      <c r="R276" s="505" t="b">
        <v>0</v>
      </c>
      <c r="S276" s="504" t="b">
        <v>0</v>
      </c>
      <c r="T276" s="117"/>
      <c r="U276" s="505" t="b">
        <v>0</v>
      </c>
      <c r="V276" s="504" t="b">
        <v>0</v>
      </c>
      <c r="W276" s="118"/>
      <c r="X276" s="505" t="b">
        <v>0</v>
      </c>
      <c r="Y276" s="504" t="b">
        <v>0</v>
      </c>
      <c r="Z276" s="119"/>
      <c r="AA276" s="505" t="b">
        <v>0</v>
      </c>
      <c r="AB276" s="504" t="b">
        <v>0</v>
      </c>
      <c r="AC276" s="121"/>
      <c r="AD276" s="505" t="b">
        <v>0</v>
      </c>
      <c r="AE276" s="504" t="b">
        <v>0</v>
      </c>
      <c r="AF276" s="125"/>
      <c r="AG276" s="505" t="b">
        <v>0</v>
      </c>
      <c r="AH276" s="504" t="b">
        <v>0</v>
      </c>
      <c r="AI276" s="105"/>
      <c r="AJ276" s="505" t="b">
        <v>0</v>
      </c>
      <c r="AK276" s="504" t="b">
        <v>0</v>
      </c>
      <c r="AL276" s="126"/>
      <c r="AM276" s="505" t="b">
        <v>0</v>
      </c>
      <c r="AN276" s="504" t="b">
        <v>0</v>
      </c>
      <c r="AO276" s="105"/>
      <c r="AP276" s="105"/>
      <c r="AQ276" s="105"/>
      <c r="AR276" s="105"/>
      <c r="AS276" s="105"/>
      <c r="AT276" s="105"/>
      <c r="AU276" s="105"/>
      <c r="AV276" s="105"/>
      <c r="AW276" s="105"/>
      <c r="AX276" s="105"/>
      <c r="AY276" s="105"/>
      <c r="AZ276" s="105"/>
      <c r="BA276" s="105"/>
    </row>
    <row r="277">
      <c r="A277" s="506" t="str">
        <f>IFERROR(__xludf.DUMMYFUNCTION("""COMPUTED_VALUE"""),"SETTLED")</f>
        <v>SETTLED</v>
      </c>
      <c r="B277" s="506" t="str">
        <f>IFERROR(__xludf.DUMMYFUNCTION("""COMPUTED_VALUE"""),"Juan")</f>
        <v>Juan</v>
      </c>
      <c r="C277" s="506" t="str">
        <f>IFERROR(__xludf.DUMMYFUNCTION("""COMPUTED_VALUE"""),"Sunlight Ventures Properties LLC")</f>
        <v>Sunlight Ventures Properties LLC</v>
      </c>
      <c r="D277" s="506" t="str">
        <f>IFERROR(__xludf.DUMMYFUNCTION("""COMPUTED_VALUE"""),"727-742-0103")</f>
        <v>727-742-0103</v>
      </c>
      <c r="E277" s="506" t="str">
        <f>IFERROR(__xludf.DUMMYFUNCTION("""COMPUTED_VALUE"""),"Courtneybcca@yahoo.ca")</f>
        <v>Courtneybcca@yahoo.ca</v>
      </c>
      <c r="F277" s="506" t="str">
        <f>IFERROR(__xludf.DUMMYFUNCTION("""COMPUTED_VALUE"""),"5726 11TH Ave S Unit A, Gulfport FL, 33707")</f>
        <v>5726 11TH Ave S Unit A, Gulfport FL, 33707</v>
      </c>
      <c r="G277" s="506" t="str">
        <f>IFERROR(__xludf.DUMMYFUNCTION("""COMPUTED_VALUE"""),"Hurricane Milton")</f>
        <v>Hurricane Milton</v>
      </c>
      <c r="H277" s="506" t="str">
        <f>IFERROR(__xludf.DUMMYFUNCTION("""COMPUTED_VALUE"""),"New Claim")</f>
        <v>New Claim</v>
      </c>
      <c r="I277" s="505" t="b">
        <v>0</v>
      </c>
      <c r="J277" s="507" t="b">
        <v>0</v>
      </c>
      <c r="K277" s="112"/>
      <c r="L277" s="505" t="b">
        <v>0</v>
      </c>
      <c r="M277" s="504" t="b">
        <v>0</v>
      </c>
      <c r="N277" s="112"/>
      <c r="O277" s="505" t="b">
        <v>0</v>
      </c>
      <c r="P277" s="504" t="b">
        <v>0</v>
      </c>
      <c r="Q277" s="116"/>
      <c r="R277" s="505" t="b">
        <v>0</v>
      </c>
      <c r="S277" s="504" t="b">
        <v>0</v>
      </c>
      <c r="T277" s="117"/>
      <c r="U277" s="505" t="b">
        <v>0</v>
      </c>
      <c r="V277" s="504" t="b">
        <v>0</v>
      </c>
      <c r="W277" s="118"/>
      <c r="X277" s="505" t="b">
        <v>0</v>
      </c>
      <c r="Y277" s="504" t="b">
        <v>0</v>
      </c>
      <c r="Z277" s="119"/>
      <c r="AA277" s="505" t="b">
        <v>0</v>
      </c>
      <c r="AB277" s="504" t="b">
        <v>0</v>
      </c>
      <c r="AC277" s="121"/>
      <c r="AD277" s="505" t="b">
        <v>0</v>
      </c>
      <c r="AE277" s="504" t="b">
        <v>0</v>
      </c>
      <c r="AF277" s="125"/>
      <c r="AG277" s="505" t="b">
        <v>0</v>
      </c>
      <c r="AH277" s="504" t="b">
        <v>0</v>
      </c>
      <c r="AI277" s="105"/>
      <c r="AJ277" s="505" t="b">
        <v>0</v>
      </c>
      <c r="AK277" s="504" t="b">
        <v>0</v>
      </c>
      <c r="AL277" s="126"/>
      <c r="AM277" s="505" t="b">
        <v>0</v>
      </c>
      <c r="AN277" s="504" t="b">
        <v>0</v>
      </c>
      <c r="AO277" s="105"/>
      <c r="AP277" s="105"/>
      <c r="AQ277" s="105"/>
      <c r="AR277" s="105"/>
      <c r="AS277" s="105"/>
      <c r="AT277" s="105"/>
      <c r="AU277" s="105"/>
      <c r="AV277" s="105"/>
      <c r="AW277" s="105"/>
      <c r="AX277" s="105"/>
      <c r="AY277" s="105"/>
      <c r="AZ277" s="105"/>
      <c r="BA277" s="105"/>
    </row>
    <row r="278">
      <c r="A278" s="506" t="str">
        <f>IFERROR(__xludf.DUMMYFUNCTION("""COMPUTED_VALUE"""),"SETTLED")</f>
        <v>SETTLED</v>
      </c>
      <c r="B278" s="506" t="str">
        <f>IFERROR(__xludf.DUMMYFUNCTION("""COMPUTED_VALUE"""),"Juan")</f>
        <v>Juan</v>
      </c>
      <c r="C278" s="506" t="str">
        <f>IFERROR(__xludf.DUMMYFUNCTION("""COMPUTED_VALUE"""),"Sunlight Ventures Properties LLC")</f>
        <v>Sunlight Ventures Properties LLC</v>
      </c>
      <c r="D278" s="506" t="str">
        <f>IFERROR(__xludf.DUMMYFUNCTION("""COMPUTED_VALUE"""),"727-742-0103")</f>
        <v>727-742-0103</v>
      </c>
      <c r="E278" s="506" t="str">
        <f>IFERROR(__xludf.DUMMYFUNCTION("""COMPUTED_VALUE"""),"Courtneybcca@yahoo.ca")</f>
        <v>Courtneybcca@yahoo.ca</v>
      </c>
      <c r="F278" s="506" t="str">
        <f>IFERROR(__xludf.DUMMYFUNCTION("""COMPUTED_VALUE"""),"919 16th Ave N St Petersburg, FL 33704")</f>
        <v>919 16th Ave N St Petersburg, FL 33704</v>
      </c>
      <c r="G278" s="506" t="str">
        <f>IFERROR(__xludf.DUMMYFUNCTION("""COMPUTED_VALUE"""),"Hurricane Milton")</f>
        <v>Hurricane Milton</v>
      </c>
      <c r="H278" s="506" t="str">
        <f>IFERROR(__xludf.DUMMYFUNCTION("""COMPUTED_VALUE"""),"New Claim")</f>
        <v>New Claim</v>
      </c>
      <c r="I278" s="505" t="b">
        <v>0</v>
      </c>
      <c r="J278" s="507" t="b">
        <v>0</v>
      </c>
      <c r="K278" s="112"/>
      <c r="L278" s="505" t="b">
        <v>0</v>
      </c>
      <c r="M278" s="504" t="b">
        <v>0</v>
      </c>
      <c r="N278" s="112"/>
      <c r="O278" s="505" t="b">
        <v>0</v>
      </c>
      <c r="P278" s="504" t="b">
        <v>0</v>
      </c>
      <c r="Q278" s="116"/>
      <c r="R278" s="505" t="b">
        <v>0</v>
      </c>
      <c r="S278" s="504" t="b">
        <v>0</v>
      </c>
      <c r="T278" s="117"/>
      <c r="U278" s="505" t="b">
        <v>0</v>
      </c>
      <c r="V278" s="504" t="b">
        <v>0</v>
      </c>
      <c r="W278" s="118"/>
      <c r="X278" s="505" t="b">
        <v>0</v>
      </c>
      <c r="Y278" s="504" t="b">
        <v>0</v>
      </c>
      <c r="Z278" s="119"/>
      <c r="AA278" s="505" t="b">
        <v>0</v>
      </c>
      <c r="AB278" s="504" t="b">
        <v>0</v>
      </c>
      <c r="AC278" s="121"/>
      <c r="AD278" s="505" t="b">
        <v>0</v>
      </c>
      <c r="AE278" s="504" t="b">
        <v>0</v>
      </c>
      <c r="AF278" s="125"/>
      <c r="AG278" s="505" t="b">
        <v>0</v>
      </c>
      <c r="AH278" s="504" t="b">
        <v>0</v>
      </c>
      <c r="AI278" s="105"/>
      <c r="AJ278" s="505" t="b">
        <v>0</v>
      </c>
      <c r="AK278" s="504" t="b">
        <v>0</v>
      </c>
      <c r="AL278" s="126"/>
      <c r="AM278" s="505" t="b">
        <v>0</v>
      </c>
      <c r="AN278" s="504" t="b">
        <v>0</v>
      </c>
      <c r="AO278" s="105"/>
      <c r="AP278" s="105"/>
      <c r="AQ278" s="105"/>
      <c r="AR278" s="105"/>
      <c r="AS278" s="105"/>
      <c r="AT278" s="105"/>
      <c r="AU278" s="105"/>
      <c r="AV278" s="105"/>
      <c r="AW278" s="105"/>
      <c r="AX278" s="105"/>
      <c r="AY278" s="105"/>
      <c r="AZ278" s="105"/>
      <c r="BA278" s="105"/>
    </row>
    <row r="279">
      <c r="A279" s="105" t="str">
        <f>IFERROR(__xludf.DUMMYFUNCTION("""COMPUTED_VALUE"""),"SETTLED")</f>
        <v>SETTLED</v>
      </c>
      <c r="B279" s="506" t="str">
        <f>IFERROR(__xludf.DUMMYFUNCTION("""COMPUTED_VALUE"""),"Ivan, David F.")</f>
        <v>Ivan, David F.</v>
      </c>
      <c r="C279" s="506" t="str">
        <f>IFERROR(__xludf.DUMMYFUNCTION("""COMPUTED_VALUE"""),"Dadda Holdings LLC")</f>
        <v>Dadda Holdings LLC</v>
      </c>
      <c r="D279" s="506"/>
      <c r="E279" s="506" t="str">
        <f>IFERROR(__xludf.DUMMYFUNCTION("""COMPUTED_VALUE"""),"dasmartin@pedimhealthcare.com")</f>
        <v>dasmartin@pedimhealthcare.com</v>
      </c>
      <c r="F279" s="506" t="str">
        <f>IFERROR(__xludf.DUMMYFUNCTION("""COMPUTED_VALUE"""),"25050 W Newberry Road Newberry, FL 32669")</f>
        <v>25050 W Newberry Road Newberry, FL 32669</v>
      </c>
      <c r="G279" s="506" t="str">
        <f>IFERROR(__xludf.DUMMYFUNCTION("""COMPUTED_VALUE"""),"Hurricane Milton")</f>
        <v>Hurricane Milton</v>
      </c>
      <c r="H279" s="506" t="str">
        <f>IFERROR(__xludf.DUMMYFUNCTION("""COMPUTED_VALUE"""),"New Claim")</f>
        <v>New Claim</v>
      </c>
      <c r="I279" s="505" t="b">
        <v>0</v>
      </c>
      <c r="J279" s="507" t="b">
        <v>0</v>
      </c>
      <c r="K279" s="112"/>
      <c r="L279" s="505" t="b">
        <v>0</v>
      </c>
      <c r="M279" s="504" t="b">
        <v>0</v>
      </c>
      <c r="N279" s="112"/>
      <c r="O279" s="505" t="b">
        <v>0</v>
      </c>
      <c r="P279" s="504" t="b">
        <v>0</v>
      </c>
      <c r="Q279" s="116"/>
      <c r="R279" s="505" t="b">
        <v>0</v>
      </c>
      <c r="S279" s="504" t="b">
        <v>0</v>
      </c>
      <c r="T279" s="117"/>
      <c r="U279" s="505" t="b">
        <v>0</v>
      </c>
      <c r="V279" s="504" t="b">
        <v>0</v>
      </c>
      <c r="W279" s="118"/>
      <c r="X279" s="505" t="b">
        <v>0</v>
      </c>
      <c r="Y279" s="504" t="b">
        <v>0</v>
      </c>
      <c r="Z279" s="119"/>
      <c r="AA279" s="505" t="b">
        <v>0</v>
      </c>
      <c r="AB279" s="504" t="b">
        <v>0</v>
      </c>
      <c r="AC279" s="121"/>
      <c r="AD279" s="505" t="b">
        <v>0</v>
      </c>
      <c r="AE279" s="504" t="b">
        <v>0</v>
      </c>
      <c r="AF279" s="125"/>
      <c r="AG279" s="505" t="b">
        <v>0</v>
      </c>
      <c r="AH279" s="504" t="b">
        <v>0</v>
      </c>
      <c r="AI279" s="105"/>
      <c r="AJ279" s="505" t="b">
        <v>0</v>
      </c>
      <c r="AK279" s="504" t="b">
        <v>0</v>
      </c>
      <c r="AL279" s="126"/>
      <c r="AM279" s="505" t="b">
        <v>0</v>
      </c>
      <c r="AN279" s="504" t="b">
        <v>0</v>
      </c>
      <c r="AO279" s="105"/>
      <c r="AP279" s="105"/>
      <c r="AQ279" s="105"/>
      <c r="AR279" s="105"/>
      <c r="AS279" s="105"/>
      <c r="AT279" s="105"/>
      <c r="AU279" s="105"/>
      <c r="AV279" s="105"/>
      <c r="AW279" s="105"/>
      <c r="AX279" s="105"/>
      <c r="AY279" s="105"/>
      <c r="AZ279" s="105"/>
      <c r="BA279" s="105"/>
    </row>
    <row r="280">
      <c r="A280" s="506" t="str">
        <f>IFERROR(__xludf.DUMMYFUNCTION("""COMPUTED_VALUE"""),"CLSD CLAIMS")</f>
        <v>CLSD CLAIMS</v>
      </c>
      <c r="B280" s="506" t="str">
        <f>IFERROR(__xludf.DUMMYFUNCTION("""COMPUTED_VALUE"""),"Peter")</f>
        <v>Peter</v>
      </c>
      <c r="C280" s="506" t="str">
        <f>IFERROR(__xludf.DUMMYFUNCTION("""COMPUTED_VALUE"""),"Monica Marticorena")</f>
        <v>Monica Marticorena</v>
      </c>
      <c r="D280" s="506" t="str">
        <f>IFERROR(__xludf.DUMMYFUNCTION("""COMPUTED_VALUE"""),"786-414-4788")</f>
        <v>786-414-4788</v>
      </c>
      <c r="E280" s="506" t="str">
        <f>IFERROR(__xludf.DUMMYFUNCTION("""COMPUTED_VALUE"""),"leanineleven@gmail.com")</f>
        <v>leanineleven@gmail.com</v>
      </c>
      <c r="F280" s="506" t="str">
        <f>IFERROR(__xludf.DUMMYFUNCTION("""COMPUTED_VALUE"""),"7002 Georges Rd Fort Pierce, FL 34951")</f>
        <v>7002 Georges Rd Fort Pierce, FL 34951</v>
      </c>
      <c r="G280" s="506" t="str">
        <f>IFERROR(__xludf.DUMMYFUNCTION("""COMPUTED_VALUE"""),"Hurricane Milton")</f>
        <v>Hurricane Milton</v>
      </c>
      <c r="H280" s="506" t="str">
        <f>IFERROR(__xludf.DUMMYFUNCTION("""COMPUTED_VALUE"""),"New Claim")</f>
        <v>New Claim</v>
      </c>
      <c r="I280" s="505" t="b">
        <v>0</v>
      </c>
      <c r="J280" s="507" t="b">
        <v>0</v>
      </c>
      <c r="K280" s="112"/>
      <c r="L280" s="505" t="b">
        <v>0</v>
      </c>
      <c r="M280" s="504" t="b">
        <v>0</v>
      </c>
      <c r="N280" s="112"/>
      <c r="O280" s="505" t="b">
        <v>0</v>
      </c>
      <c r="P280" s="504" t="b">
        <v>0</v>
      </c>
      <c r="Q280" s="116"/>
      <c r="R280" s="505" t="b">
        <v>0</v>
      </c>
      <c r="S280" s="504" t="b">
        <v>0</v>
      </c>
      <c r="T280" s="117"/>
      <c r="U280" s="505" t="b">
        <v>0</v>
      </c>
      <c r="V280" s="504" t="b">
        <v>0</v>
      </c>
      <c r="W280" s="118"/>
      <c r="X280" s="505" t="b">
        <v>0</v>
      </c>
      <c r="Y280" s="504" t="b">
        <v>0</v>
      </c>
      <c r="Z280" s="119"/>
      <c r="AA280" s="505" t="b">
        <v>0</v>
      </c>
      <c r="AB280" s="504" t="b">
        <v>0</v>
      </c>
      <c r="AC280" s="121"/>
      <c r="AD280" s="505" t="b">
        <v>0</v>
      </c>
      <c r="AE280" s="504" t="b">
        <v>0</v>
      </c>
      <c r="AF280" s="125"/>
      <c r="AG280" s="505" t="b">
        <v>0</v>
      </c>
      <c r="AH280" s="504" t="b">
        <v>0</v>
      </c>
      <c r="AI280" s="105"/>
      <c r="AJ280" s="505" t="b">
        <v>0</v>
      </c>
      <c r="AK280" s="504" t="b">
        <v>0</v>
      </c>
      <c r="AL280" s="126"/>
      <c r="AM280" s="505" t="b">
        <v>0</v>
      </c>
      <c r="AN280" s="504" t="b">
        <v>0</v>
      </c>
      <c r="AO280" s="105"/>
      <c r="AP280" s="105"/>
      <c r="AQ280" s="105"/>
      <c r="AR280" s="105"/>
      <c r="AS280" s="105"/>
      <c r="AT280" s="105"/>
      <c r="AU280" s="105"/>
      <c r="AV280" s="105"/>
      <c r="AW280" s="105"/>
      <c r="AX280" s="105"/>
      <c r="AY280" s="105"/>
      <c r="AZ280" s="105"/>
      <c r="BA280" s="105"/>
    </row>
    <row r="281">
      <c r="A281" s="506" t="str">
        <f>IFERROR(__xludf.DUMMYFUNCTION("""COMPUTED_VALUE"""),"SETTLED")</f>
        <v>SETTLED</v>
      </c>
      <c r="B281" s="506" t="str">
        <f>IFERROR(__xludf.DUMMYFUNCTION("""COMPUTED_VALUE"""),"Joshua")</f>
        <v>Joshua</v>
      </c>
      <c r="C281" s="506" t="str">
        <f>IFERROR(__xludf.DUMMYFUNCTION("""COMPUTED_VALUE"""),"Aaron &amp; Danielle Goldberg")</f>
        <v>Aaron &amp; Danielle Goldberg</v>
      </c>
      <c r="D281" s="506" t="str">
        <f>IFERROR(__xludf.DUMMYFUNCTION("""COMPUTED_VALUE"""),"941-402-5477")</f>
        <v>941-402-5477</v>
      </c>
      <c r="E281" s="506" t="str">
        <f>IFERROR(__xludf.DUMMYFUNCTION("""COMPUTED_VALUE"""),"Aarongoldberg1989@verizon.net")</f>
        <v>Aarongoldberg1989@verizon.net</v>
      </c>
      <c r="F281" s="506" t="str">
        <f>IFERROR(__xludf.DUMMYFUNCTION("""COMPUTED_VALUE"""),"15131 Las Olas Pl Bradenton, FL 34212")</f>
        <v>15131 Las Olas Pl Bradenton, FL 34212</v>
      </c>
      <c r="G281" s="506" t="str">
        <f>IFERROR(__xludf.DUMMYFUNCTION("""COMPUTED_VALUE"""),"Hurricane Milton")</f>
        <v>Hurricane Milton</v>
      </c>
      <c r="H281" s="506" t="str">
        <f>IFERROR(__xludf.DUMMYFUNCTION("""COMPUTED_VALUE"""),"New Claim")</f>
        <v>New Claim</v>
      </c>
      <c r="I281" s="505" t="b">
        <v>0</v>
      </c>
      <c r="J281" s="507" t="b">
        <v>0</v>
      </c>
      <c r="K281" s="112"/>
      <c r="L281" s="505" t="b">
        <v>0</v>
      </c>
      <c r="M281" s="504" t="b">
        <v>0</v>
      </c>
      <c r="N281" s="112"/>
      <c r="O281" s="505" t="b">
        <v>0</v>
      </c>
      <c r="P281" s="504" t="b">
        <v>0</v>
      </c>
      <c r="Q281" s="116"/>
      <c r="R281" s="505" t="b">
        <v>0</v>
      </c>
      <c r="S281" s="504" t="b">
        <v>0</v>
      </c>
      <c r="T281" s="117"/>
      <c r="U281" s="505" t="b">
        <v>0</v>
      </c>
      <c r="V281" s="504" t="b">
        <v>0</v>
      </c>
      <c r="W281" s="118"/>
      <c r="X281" s="505" t="b">
        <v>0</v>
      </c>
      <c r="Y281" s="504" t="b">
        <v>0</v>
      </c>
      <c r="Z281" s="119"/>
      <c r="AA281" s="505" t="b">
        <v>0</v>
      </c>
      <c r="AB281" s="504" t="b">
        <v>0</v>
      </c>
      <c r="AC281" s="121"/>
      <c r="AD281" s="505" t="b">
        <v>0</v>
      </c>
      <c r="AE281" s="504" t="b">
        <v>0</v>
      </c>
      <c r="AF281" s="125"/>
      <c r="AG281" s="505" t="b">
        <v>0</v>
      </c>
      <c r="AH281" s="504" t="b">
        <v>0</v>
      </c>
      <c r="AI281" s="105"/>
      <c r="AJ281" s="505" t="b">
        <v>0</v>
      </c>
      <c r="AK281" s="504" t="b">
        <v>0</v>
      </c>
      <c r="AL281" s="126"/>
      <c r="AM281" s="505" t="b">
        <v>0</v>
      </c>
      <c r="AN281" s="504" t="b">
        <v>0</v>
      </c>
      <c r="AO281" s="105"/>
      <c r="AP281" s="105"/>
      <c r="AQ281" s="105"/>
      <c r="AR281" s="105"/>
      <c r="AS281" s="105"/>
      <c r="AT281" s="105"/>
      <c r="AU281" s="105"/>
      <c r="AV281" s="105"/>
      <c r="AW281" s="105"/>
      <c r="AX281" s="105"/>
      <c r="AY281" s="105"/>
      <c r="AZ281" s="105"/>
      <c r="BA281" s="105"/>
    </row>
    <row r="282">
      <c r="A282" s="506" t="str">
        <f>IFERROR(__xludf.DUMMYFUNCTION("""COMPUTED_VALUE"""),"SETTLED")</f>
        <v>SETTLED</v>
      </c>
      <c r="B282" s="506" t="str">
        <f>IFERROR(__xludf.DUMMYFUNCTION("""COMPUTED_VALUE"""),"Joshua")</f>
        <v>Joshua</v>
      </c>
      <c r="C282" s="506" t="str">
        <f>IFERROR(__xludf.DUMMYFUNCTION("""COMPUTED_VALUE"""),"Constance Cloutier ")</f>
        <v>Constance Cloutier </v>
      </c>
      <c r="D282" s="506" t="str">
        <f>IFERROR(__xludf.DUMMYFUNCTION("""COMPUTED_VALUE"""),"401-323-3373")</f>
        <v>401-323-3373</v>
      </c>
      <c r="E282" s="506" t="str">
        <f>IFERROR(__xludf.DUMMYFUNCTION("""COMPUTED_VALUE"""),"cloutierd@seekonkschools.org")</f>
        <v>cloutierd@seekonkschools.org</v>
      </c>
      <c r="F282" s="506" t="str">
        <f>IFERROR(__xludf.DUMMYFUNCTION("""COMPUTED_VALUE"""),"200 Marlin Dr Punta Gorda FL 33950")</f>
        <v>200 Marlin Dr Punta Gorda FL 33950</v>
      </c>
      <c r="G282" s="506" t="str">
        <f>IFERROR(__xludf.DUMMYFUNCTION("""COMPUTED_VALUE"""),"Hurricane Milton")</f>
        <v>Hurricane Milton</v>
      </c>
      <c r="H282" s="506" t="str">
        <f>IFERROR(__xludf.DUMMYFUNCTION("""COMPUTED_VALUE"""),"New Claim")</f>
        <v>New Claim</v>
      </c>
      <c r="I282" s="505" t="b">
        <v>0</v>
      </c>
      <c r="J282" s="507" t="b">
        <v>0</v>
      </c>
      <c r="K282" s="112"/>
      <c r="L282" s="505" t="b">
        <v>0</v>
      </c>
      <c r="M282" s="504" t="b">
        <v>0</v>
      </c>
      <c r="N282" s="112"/>
      <c r="O282" s="505" t="b">
        <v>0</v>
      </c>
      <c r="P282" s="504" t="b">
        <v>0</v>
      </c>
      <c r="Q282" s="116"/>
      <c r="R282" s="505" t="b">
        <v>0</v>
      </c>
      <c r="S282" s="504" t="b">
        <v>0</v>
      </c>
      <c r="T282" s="117"/>
      <c r="U282" s="505" t="b">
        <v>0</v>
      </c>
      <c r="V282" s="504" t="b">
        <v>0</v>
      </c>
      <c r="W282" s="118"/>
      <c r="X282" s="505" t="b">
        <v>0</v>
      </c>
      <c r="Y282" s="504" t="b">
        <v>0</v>
      </c>
      <c r="Z282" s="119"/>
      <c r="AA282" s="505" t="b">
        <v>0</v>
      </c>
      <c r="AB282" s="504" t="b">
        <v>0</v>
      </c>
      <c r="AC282" s="121"/>
      <c r="AD282" s="505" t="b">
        <v>0</v>
      </c>
      <c r="AE282" s="504" t="b">
        <v>0</v>
      </c>
      <c r="AF282" s="125"/>
      <c r="AG282" s="505" t="b">
        <v>0</v>
      </c>
      <c r="AH282" s="504" t="b">
        <v>0</v>
      </c>
      <c r="AI282" s="105"/>
      <c r="AJ282" s="505" t="b">
        <v>0</v>
      </c>
      <c r="AK282" s="504" t="b">
        <v>0</v>
      </c>
      <c r="AL282" s="126"/>
      <c r="AM282" s="505" t="b">
        <v>0</v>
      </c>
      <c r="AN282" s="504" t="b">
        <v>0</v>
      </c>
      <c r="AO282" s="105"/>
      <c r="AP282" s="105"/>
      <c r="AQ282" s="105"/>
      <c r="AR282" s="105"/>
      <c r="AS282" s="105"/>
      <c r="AT282" s="105"/>
      <c r="AU282" s="105"/>
      <c r="AV282" s="105"/>
      <c r="AW282" s="105"/>
      <c r="AX282" s="105"/>
      <c r="AY282" s="105"/>
      <c r="AZ282" s="105"/>
      <c r="BA282" s="105"/>
    </row>
    <row r="283">
      <c r="A283" s="506" t="str">
        <f>IFERROR(__xludf.DUMMYFUNCTION("""COMPUTED_VALUE"""),"SETTLED")</f>
        <v>SETTLED</v>
      </c>
      <c r="B283" s="506" t="str">
        <f>IFERROR(__xludf.DUMMYFUNCTION("""COMPUTED_VALUE"""),"Ivan")</f>
        <v>Ivan</v>
      </c>
      <c r="C283" s="506" t="str">
        <f>IFERROR(__xludf.DUMMYFUNCTION("""COMPUTED_VALUE"""),"Michelle Sierra")</f>
        <v>Michelle Sierra</v>
      </c>
      <c r="D283" s="506" t="str">
        <f>IFERROR(__xludf.DUMMYFUNCTION("""COMPUTED_VALUE"""),"772-782-4279")</f>
        <v>772-782-4279</v>
      </c>
      <c r="E283" s="506" t="str">
        <f>IFERROR(__xludf.DUMMYFUNCTION("""COMPUTED_VALUE"""),"michydamian@gmail.com")</f>
        <v>michydamian@gmail.com</v>
      </c>
      <c r="F283" s="506" t="str">
        <f>IFERROR(__xludf.DUMMYFUNCTION("""COMPUTED_VALUE"""),"1855 SW Fears Ave. Port Saint Lucie, FL 34953")</f>
        <v>1855 SW Fears Ave. Port Saint Lucie, FL 34953</v>
      </c>
      <c r="G283" s="506" t="str">
        <f>IFERROR(__xludf.DUMMYFUNCTION("""COMPUTED_VALUE"""),"AWD")</f>
        <v>AWD</v>
      </c>
      <c r="H283" s="506" t="str">
        <f>IFERROR(__xludf.DUMMYFUNCTION("""COMPUTED_VALUE"""),"Reopen")</f>
        <v>Reopen</v>
      </c>
      <c r="I283" s="505" t="b">
        <v>0</v>
      </c>
      <c r="J283" s="507" t="b">
        <v>0</v>
      </c>
      <c r="K283" s="112"/>
      <c r="L283" s="505" t="b">
        <v>0</v>
      </c>
      <c r="M283" s="504" t="b">
        <v>0</v>
      </c>
      <c r="N283" s="112"/>
      <c r="O283" s="505" t="b">
        <v>0</v>
      </c>
      <c r="P283" s="504" t="b">
        <v>0</v>
      </c>
      <c r="Q283" s="116"/>
      <c r="R283" s="505" t="b">
        <v>0</v>
      </c>
      <c r="S283" s="504" t="b">
        <v>0</v>
      </c>
      <c r="T283" s="117"/>
      <c r="U283" s="505" t="b">
        <v>0</v>
      </c>
      <c r="V283" s="504" t="b">
        <v>0</v>
      </c>
      <c r="W283" s="118"/>
      <c r="X283" s="505" t="b">
        <v>0</v>
      </c>
      <c r="Y283" s="504" t="b">
        <v>0</v>
      </c>
      <c r="Z283" s="119"/>
      <c r="AA283" s="505" t="b">
        <v>0</v>
      </c>
      <c r="AB283" s="504" t="b">
        <v>0</v>
      </c>
      <c r="AC283" s="121"/>
      <c r="AD283" s="505" t="b">
        <v>0</v>
      </c>
      <c r="AE283" s="504" t="b">
        <v>0</v>
      </c>
      <c r="AF283" s="125"/>
      <c r="AG283" s="505" t="b">
        <v>0</v>
      </c>
      <c r="AH283" s="504" t="b">
        <v>0</v>
      </c>
      <c r="AI283" s="105"/>
      <c r="AJ283" s="505" t="b">
        <v>0</v>
      </c>
      <c r="AK283" s="504" t="b">
        <v>0</v>
      </c>
      <c r="AL283" s="126"/>
      <c r="AM283" s="505" t="b">
        <v>0</v>
      </c>
      <c r="AN283" s="504" t="b">
        <v>0</v>
      </c>
      <c r="AO283" s="105"/>
      <c r="AP283" s="105"/>
      <c r="AQ283" s="105"/>
      <c r="AR283" s="105"/>
      <c r="AS283" s="105"/>
      <c r="AT283" s="105"/>
      <c r="AU283" s="105"/>
      <c r="AV283" s="105"/>
      <c r="AW283" s="105"/>
      <c r="AX283" s="105"/>
      <c r="AY283" s="105"/>
      <c r="AZ283" s="105"/>
      <c r="BA283" s="105"/>
    </row>
    <row r="284">
      <c r="A284" s="105" t="str">
        <f>IFERROR(__xludf.DUMMYFUNCTION("""COMPUTED_VALUE"""),"SETTLED")</f>
        <v>SETTLED</v>
      </c>
      <c r="B284" s="506" t="str">
        <f>IFERROR(__xludf.DUMMYFUNCTION("""COMPUTED_VALUE"""),"Ivan")</f>
        <v>Ivan</v>
      </c>
      <c r="C284" s="506" t="str">
        <f>IFERROR(__xludf.DUMMYFUNCTION("""COMPUTED_VALUE"""),"Jonathan Miller")</f>
        <v>Jonathan Miller</v>
      </c>
      <c r="D284" s="506" t="str">
        <f>IFERROR(__xludf.DUMMYFUNCTION("""COMPUTED_VALUE"""),"954-854-0575")</f>
        <v>954-854-0575</v>
      </c>
      <c r="E284" s="506" t="str">
        <f>IFERROR(__xludf.DUMMYFUNCTION("""COMPUTED_VALUE"""),"Jonamiller01@gmail.com")</f>
        <v>Jonamiller01@gmail.com</v>
      </c>
      <c r="F284" s="506" t="str">
        <f>IFERROR(__xludf.DUMMYFUNCTION("""COMPUTED_VALUE"""),"1749 Cedar Mont Loop Poinciana, FL 34759")</f>
        <v>1749 Cedar Mont Loop Poinciana, FL 34759</v>
      </c>
      <c r="G284" s="506" t="str">
        <f>IFERROR(__xludf.DUMMYFUNCTION("""COMPUTED_VALUE"""),"Hurricane Milton")</f>
        <v>Hurricane Milton</v>
      </c>
      <c r="H284" s="506" t="str">
        <f>IFERROR(__xludf.DUMMYFUNCTION("""COMPUTED_VALUE"""),"Reopen")</f>
        <v>Reopen</v>
      </c>
      <c r="I284" s="505" t="b">
        <v>0</v>
      </c>
      <c r="J284" s="507" t="b">
        <v>0</v>
      </c>
      <c r="K284" s="112"/>
      <c r="L284" s="505" t="b">
        <v>0</v>
      </c>
      <c r="M284" s="504" t="b">
        <v>0</v>
      </c>
      <c r="N284" s="112"/>
      <c r="O284" s="505" t="b">
        <v>0</v>
      </c>
      <c r="P284" s="504" t="b">
        <v>0</v>
      </c>
      <c r="Q284" s="116"/>
      <c r="R284" s="505" t="b">
        <v>0</v>
      </c>
      <c r="S284" s="504" t="b">
        <v>0</v>
      </c>
      <c r="T284" s="117"/>
      <c r="U284" s="505" t="b">
        <v>0</v>
      </c>
      <c r="V284" s="504" t="b">
        <v>0</v>
      </c>
      <c r="W284" s="118"/>
      <c r="X284" s="505" t="b">
        <v>0</v>
      </c>
      <c r="Y284" s="504" t="b">
        <v>0</v>
      </c>
      <c r="Z284" s="119"/>
      <c r="AA284" s="505" t="b">
        <v>0</v>
      </c>
      <c r="AB284" s="504" t="b">
        <v>0</v>
      </c>
      <c r="AC284" s="121"/>
      <c r="AD284" s="505" t="b">
        <v>0</v>
      </c>
      <c r="AE284" s="504" t="b">
        <v>0</v>
      </c>
      <c r="AF284" s="125"/>
      <c r="AG284" s="505" t="b">
        <v>0</v>
      </c>
      <c r="AH284" s="504" t="b">
        <v>0</v>
      </c>
      <c r="AI284" s="105"/>
      <c r="AJ284" s="505" t="b">
        <v>0</v>
      </c>
      <c r="AK284" s="504" t="b">
        <v>0</v>
      </c>
      <c r="AL284" s="126"/>
      <c r="AM284" s="505" t="b">
        <v>0</v>
      </c>
      <c r="AN284" s="504" t="b">
        <v>0</v>
      </c>
      <c r="AO284" s="105"/>
      <c r="AP284" s="105"/>
      <c r="AQ284" s="105"/>
      <c r="AR284" s="105"/>
      <c r="AS284" s="105"/>
      <c r="AT284" s="105"/>
      <c r="AU284" s="105"/>
      <c r="AV284" s="105"/>
      <c r="AW284" s="105"/>
      <c r="AX284" s="105"/>
      <c r="AY284" s="105"/>
      <c r="AZ284" s="105"/>
      <c r="BA284" s="105"/>
    </row>
    <row r="285">
      <c r="A285" s="506" t="str">
        <f>IFERROR(__xludf.DUMMYFUNCTION("""COMPUTED_VALUE"""),"SETTLED")</f>
        <v>SETTLED</v>
      </c>
      <c r="B285" s="506" t="str">
        <f>IFERROR(__xludf.DUMMYFUNCTION("""COMPUTED_VALUE"""),"Juan")</f>
        <v>Juan</v>
      </c>
      <c r="C285" s="506" t="str">
        <f>IFERROR(__xludf.DUMMYFUNCTION("""COMPUTED_VALUE"""),"Shannon &amp; Jerica Rogers")</f>
        <v>Shannon &amp; Jerica Rogers</v>
      </c>
      <c r="D285" s="506" t="str">
        <f>IFERROR(__xludf.DUMMYFUNCTION("""COMPUTED_VALUE"""),"941-920-5454")</f>
        <v>941-920-5454</v>
      </c>
      <c r="E285" s="506" t="str">
        <f>IFERROR(__xludf.DUMMYFUNCTION("""COMPUTED_VALUE"""),"Rogerssh@gmail.com")</f>
        <v>Rogerssh@gmail.com</v>
      </c>
      <c r="F285" s="506" t="str">
        <f>IFERROR(__xludf.DUMMYFUNCTION("""COMPUTED_VALUE"""),"2604 Floyd St Sarasota, FL 34239")</f>
        <v>2604 Floyd St Sarasota, FL 34239</v>
      </c>
      <c r="G285" s="506" t="str">
        <f>IFERROR(__xludf.DUMMYFUNCTION("""COMPUTED_VALUE"""),"Hurricane Milton")</f>
        <v>Hurricane Milton</v>
      </c>
      <c r="H285" s="506" t="str">
        <f>IFERROR(__xludf.DUMMYFUNCTION("""COMPUTED_VALUE"""),"Reopen")</f>
        <v>Reopen</v>
      </c>
      <c r="I285" s="505" t="b">
        <v>0</v>
      </c>
      <c r="J285" s="507" t="b">
        <v>0</v>
      </c>
      <c r="K285" s="112"/>
      <c r="L285" s="505" t="b">
        <v>0</v>
      </c>
      <c r="M285" s="504" t="b">
        <v>0</v>
      </c>
      <c r="N285" s="112"/>
      <c r="O285" s="505" t="b">
        <v>0</v>
      </c>
      <c r="P285" s="504" t="b">
        <v>0</v>
      </c>
      <c r="Q285" s="116"/>
      <c r="R285" s="505" t="b">
        <v>0</v>
      </c>
      <c r="S285" s="504" t="b">
        <v>0</v>
      </c>
      <c r="T285" s="117"/>
      <c r="U285" s="505" t="b">
        <v>0</v>
      </c>
      <c r="V285" s="504" t="b">
        <v>0</v>
      </c>
      <c r="W285" s="118"/>
      <c r="X285" s="505" t="b">
        <v>0</v>
      </c>
      <c r="Y285" s="504" t="b">
        <v>0</v>
      </c>
      <c r="Z285" s="119"/>
      <c r="AA285" s="505" t="b">
        <v>0</v>
      </c>
      <c r="AB285" s="504" t="b">
        <v>0</v>
      </c>
      <c r="AC285" s="121"/>
      <c r="AD285" s="505" t="b">
        <v>0</v>
      </c>
      <c r="AE285" s="504" t="b">
        <v>0</v>
      </c>
      <c r="AF285" s="125"/>
      <c r="AG285" s="505" t="b">
        <v>0</v>
      </c>
      <c r="AH285" s="504" t="b">
        <v>0</v>
      </c>
      <c r="AI285" s="105"/>
      <c r="AJ285" s="505" t="b">
        <v>0</v>
      </c>
      <c r="AK285" s="504" t="b">
        <v>0</v>
      </c>
      <c r="AL285" s="126"/>
      <c r="AM285" s="505" t="b">
        <v>0</v>
      </c>
      <c r="AN285" s="504" t="b">
        <v>0</v>
      </c>
      <c r="AO285" s="105"/>
      <c r="AP285" s="105"/>
      <c r="AQ285" s="105"/>
      <c r="AR285" s="105"/>
      <c r="AS285" s="105"/>
      <c r="AT285" s="105"/>
      <c r="AU285" s="105"/>
      <c r="AV285" s="105"/>
      <c r="AW285" s="105"/>
      <c r="AX285" s="105"/>
      <c r="AY285" s="105"/>
      <c r="AZ285" s="105"/>
      <c r="BA285" s="105"/>
    </row>
    <row r="286">
      <c r="A286" s="506" t="str">
        <f>IFERROR(__xludf.DUMMYFUNCTION("""COMPUTED_VALUE"""),"SETTLED")</f>
        <v>SETTLED</v>
      </c>
      <c r="B286" s="506" t="str">
        <f>IFERROR(__xludf.DUMMYFUNCTION("""COMPUTED_VALUE"""),"Ivan")</f>
        <v>Ivan</v>
      </c>
      <c r="C286" s="506" t="str">
        <f>IFERROR(__xludf.DUMMYFUNCTION("""COMPUTED_VALUE"""),"Michelle Sierra")</f>
        <v>Michelle Sierra</v>
      </c>
      <c r="D286" s="506" t="str">
        <f>IFERROR(__xludf.DUMMYFUNCTION("""COMPUTED_VALUE"""),"772-782-4279")</f>
        <v>772-782-4279</v>
      </c>
      <c r="E286" s="506" t="str">
        <f>IFERROR(__xludf.DUMMYFUNCTION("""COMPUTED_VALUE"""),"michydamian@gmail.com")</f>
        <v>michydamian@gmail.com</v>
      </c>
      <c r="F286" s="506" t="str">
        <f>IFERROR(__xludf.DUMMYFUNCTION("""COMPUTED_VALUE"""),"1855 SW Fears Ave. Port Saint Lucie, FL 34953")</f>
        <v>1855 SW Fears Ave. Port Saint Lucie, FL 34953</v>
      </c>
      <c r="G286" s="506" t="str">
        <f>IFERROR(__xludf.DUMMYFUNCTION("""COMPUTED_VALUE"""),"Hurricane Milton")</f>
        <v>Hurricane Milton</v>
      </c>
      <c r="H286" s="506" t="str">
        <f>IFERROR(__xludf.DUMMYFUNCTION("""COMPUTED_VALUE"""),"Reopen")</f>
        <v>Reopen</v>
      </c>
      <c r="I286" s="505" t="b">
        <v>0</v>
      </c>
      <c r="J286" s="507" t="b">
        <v>0</v>
      </c>
      <c r="K286" s="112"/>
      <c r="L286" s="505" t="b">
        <v>0</v>
      </c>
      <c r="M286" s="504" t="b">
        <v>0</v>
      </c>
      <c r="N286" s="112"/>
      <c r="O286" s="505" t="b">
        <v>0</v>
      </c>
      <c r="P286" s="504" t="b">
        <v>0</v>
      </c>
      <c r="Q286" s="116"/>
      <c r="R286" s="505" t="b">
        <v>0</v>
      </c>
      <c r="S286" s="504" t="b">
        <v>0</v>
      </c>
      <c r="T286" s="117"/>
      <c r="U286" s="505" t="b">
        <v>0</v>
      </c>
      <c r="V286" s="504" t="b">
        <v>0</v>
      </c>
      <c r="W286" s="118"/>
      <c r="X286" s="505" t="b">
        <v>0</v>
      </c>
      <c r="Y286" s="504" t="b">
        <v>0</v>
      </c>
      <c r="Z286" s="119"/>
      <c r="AA286" s="505" t="b">
        <v>0</v>
      </c>
      <c r="AB286" s="504" t="b">
        <v>0</v>
      </c>
      <c r="AC286" s="121"/>
      <c r="AD286" s="505" t="b">
        <v>0</v>
      </c>
      <c r="AE286" s="504" t="b">
        <v>0</v>
      </c>
      <c r="AF286" s="125"/>
      <c r="AG286" s="505" t="b">
        <v>0</v>
      </c>
      <c r="AH286" s="504" t="b">
        <v>0</v>
      </c>
      <c r="AI286" s="105"/>
      <c r="AJ286" s="505" t="b">
        <v>0</v>
      </c>
      <c r="AK286" s="504" t="b">
        <v>0</v>
      </c>
      <c r="AL286" s="126"/>
      <c r="AM286" s="505" t="b">
        <v>0</v>
      </c>
      <c r="AN286" s="504" t="b">
        <v>0</v>
      </c>
      <c r="AO286" s="105"/>
      <c r="AP286" s="105"/>
      <c r="AQ286" s="105"/>
      <c r="AR286" s="105"/>
      <c r="AS286" s="105"/>
      <c r="AT286" s="105"/>
      <c r="AU286" s="105"/>
      <c r="AV286" s="105"/>
      <c r="AW286" s="105"/>
      <c r="AX286" s="105"/>
      <c r="AY286" s="105"/>
      <c r="AZ286" s="105"/>
      <c r="BA286" s="105"/>
    </row>
    <row r="287">
      <c r="A287" s="506" t="str">
        <f>IFERROR(__xludf.DUMMYFUNCTION("""COMPUTED_VALUE"""),"SETTLED")</f>
        <v>SETTLED</v>
      </c>
      <c r="B287" s="506" t="str">
        <f>IFERROR(__xludf.DUMMYFUNCTION("""COMPUTED_VALUE"""),"Myers, Ivan")</f>
        <v>Myers, Ivan</v>
      </c>
      <c r="C287" s="506" t="str">
        <f>IFERROR(__xludf.DUMMYFUNCTION("""COMPUTED_VALUE"""),"Melitta Thornton")</f>
        <v>Melitta Thornton</v>
      </c>
      <c r="D287" s="506" t="str">
        <f>IFERROR(__xludf.DUMMYFUNCTION("""COMPUTED_VALUE"""),"772-801-8676")</f>
        <v>772-801-8676</v>
      </c>
      <c r="E287" s="506" t="str">
        <f>IFERROR(__xludf.DUMMYFUNCTION("""COMPUTED_VALUE"""),"melittathornton82@gmail.com")</f>
        <v>melittathornton82@gmail.com</v>
      </c>
      <c r="F287" s="506" t="str">
        <f>IFERROR(__xludf.DUMMYFUNCTION("""COMPUTED_VALUE"""),"4027 41st SQ Vero Beach, FL 32967")</f>
        <v>4027 41st SQ Vero Beach, FL 32967</v>
      </c>
      <c r="G287" s="506" t="str">
        <f>IFERROR(__xludf.DUMMYFUNCTION("""COMPUTED_VALUE"""),"Hurricane Milton")</f>
        <v>Hurricane Milton</v>
      </c>
      <c r="H287" s="506" t="str">
        <f>IFERROR(__xludf.DUMMYFUNCTION("""COMPUTED_VALUE"""),"New Claim")</f>
        <v>New Claim</v>
      </c>
      <c r="I287" s="505" t="b">
        <v>0</v>
      </c>
      <c r="J287" s="507" t="b">
        <v>0</v>
      </c>
      <c r="K287" s="112"/>
      <c r="L287" s="505" t="b">
        <v>0</v>
      </c>
      <c r="M287" s="504" t="b">
        <v>0</v>
      </c>
      <c r="N287" s="112"/>
      <c r="O287" s="505" t="b">
        <v>0</v>
      </c>
      <c r="P287" s="504" t="b">
        <v>0</v>
      </c>
      <c r="Q287" s="116"/>
      <c r="R287" s="505" t="b">
        <v>0</v>
      </c>
      <c r="S287" s="504" t="b">
        <v>0</v>
      </c>
      <c r="T287" s="117"/>
      <c r="U287" s="505" t="b">
        <v>0</v>
      </c>
      <c r="V287" s="504" t="b">
        <v>0</v>
      </c>
      <c r="W287" s="118"/>
      <c r="X287" s="505" t="b">
        <v>0</v>
      </c>
      <c r="Y287" s="504" t="b">
        <v>0</v>
      </c>
      <c r="Z287" s="119"/>
      <c r="AA287" s="505" t="b">
        <v>0</v>
      </c>
      <c r="AB287" s="504" t="b">
        <v>0</v>
      </c>
      <c r="AC287" s="121"/>
      <c r="AD287" s="505" t="b">
        <v>0</v>
      </c>
      <c r="AE287" s="504" t="b">
        <v>0</v>
      </c>
      <c r="AF287" s="125"/>
      <c r="AG287" s="505" t="b">
        <v>0</v>
      </c>
      <c r="AH287" s="504" t="b">
        <v>0</v>
      </c>
      <c r="AI287" s="105"/>
      <c r="AJ287" s="505" t="b">
        <v>0</v>
      </c>
      <c r="AK287" s="504" t="b">
        <v>0</v>
      </c>
      <c r="AL287" s="126"/>
      <c r="AM287" s="505" t="b">
        <v>0</v>
      </c>
      <c r="AN287" s="504" t="b">
        <v>0</v>
      </c>
      <c r="AO287" s="105"/>
      <c r="AP287" s="105"/>
      <c r="AQ287" s="105"/>
      <c r="AR287" s="105"/>
      <c r="AS287" s="105"/>
      <c r="AT287" s="105"/>
      <c r="AU287" s="105"/>
      <c r="AV287" s="105"/>
      <c r="AW287" s="105"/>
      <c r="AX287" s="105"/>
      <c r="AY287" s="105"/>
      <c r="AZ287" s="105"/>
      <c r="BA287" s="105"/>
    </row>
    <row r="288">
      <c r="A288" s="506" t="str">
        <f>IFERROR(__xludf.DUMMYFUNCTION("""COMPUTED_VALUE"""),"SETTLED")</f>
        <v>SETTLED</v>
      </c>
      <c r="B288" s="506" t="str">
        <f>IFERROR(__xludf.DUMMYFUNCTION("""COMPUTED_VALUE"""),"Ivan")</f>
        <v>Ivan</v>
      </c>
      <c r="C288" s="506" t="str">
        <f>IFERROR(__xludf.DUMMYFUNCTION("""COMPUTED_VALUE"""),"James Stuberfield")</f>
        <v>James Stuberfield</v>
      </c>
      <c r="D288" s="506" t="str">
        <f>IFERROR(__xludf.DUMMYFUNCTION("""COMPUTED_VALUE"""),"772-925-2436")</f>
        <v>772-925-2436</v>
      </c>
      <c r="E288" s="506" t="str">
        <f>IFERROR(__xludf.DUMMYFUNCTION("""COMPUTED_VALUE"""),"stuberfield45321@gmail.com")</f>
        <v>stuberfield45321@gmail.com</v>
      </c>
      <c r="F288" s="506" t="str">
        <f>IFERROR(__xludf.DUMMYFUNCTION("""COMPUTED_VALUE"""),"4037 41st Sq Vero Beach, FL 32967")</f>
        <v>4037 41st Sq Vero Beach, FL 32967</v>
      </c>
      <c r="G288" s="506" t="str">
        <f>IFERROR(__xludf.DUMMYFUNCTION("""COMPUTED_VALUE"""),"Hurricane Milton")</f>
        <v>Hurricane Milton</v>
      </c>
      <c r="H288" s="506" t="str">
        <f>IFERROR(__xludf.DUMMYFUNCTION("""COMPUTED_VALUE"""),"Reopen")</f>
        <v>Reopen</v>
      </c>
      <c r="I288" s="505" t="b">
        <v>0</v>
      </c>
      <c r="J288" s="507" t="b">
        <v>0</v>
      </c>
      <c r="K288" s="112"/>
      <c r="L288" s="505" t="b">
        <v>0</v>
      </c>
      <c r="M288" s="504" t="b">
        <v>0</v>
      </c>
      <c r="N288" s="112"/>
      <c r="O288" s="505" t="b">
        <v>0</v>
      </c>
      <c r="P288" s="504" t="b">
        <v>0</v>
      </c>
      <c r="Q288" s="116"/>
      <c r="R288" s="505" t="b">
        <v>0</v>
      </c>
      <c r="S288" s="504" t="b">
        <v>0</v>
      </c>
      <c r="T288" s="117"/>
      <c r="U288" s="505" t="b">
        <v>0</v>
      </c>
      <c r="V288" s="504" t="b">
        <v>0</v>
      </c>
      <c r="W288" s="118"/>
      <c r="X288" s="505" t="b">
        <v>0</v>
      </c>
      <c r="Y288" s="504" t="b">
        <v>0</v>
      </c>
      <c r="Z288" s="119"/>
      <c r="AA288" s="505" t="b">
        <v>0</v>
      </c>
      <c r="AB288" s="504" t="b">
        <v>0</v>
      </c>
      <c r="AC288" s="121"/>
      <c r="AD288" s="505" t="b">
        <v>0</v>
      </c>
      <c r="AE288" s="504" t="b">
        <v>0</v>
      </c>
      <c r="AF288" s="125"/>
      <c r="AG288" s="505" t="b">
        <v>0</v>
      </c>
      <c r="AH288" s="504" t="b">
        <v>0</v>
      </c>
      <c r="AI288" s="105"/>
      <c r="AJ288" s="505" t="b">
        <v>0</v>
      </c>
      <c r="AK288" s="504" t="b">
        <v>0</v>
      </c>
      <c r="AL288" s="126"/>
      <c r="AM288" s="505" t="b">
        <v>0</v>
      </c>
      <c r="AN288" s="504" t="b">
        <v>0</v>
      </c>
      <c r="AO288" s="105"/>
      <c r="AP288" s="105"/>
      <c r="AQ288" s="105"/>
      <c r="AR288" s="105"/>
      <c r="AS288" s="105"/>
      <c r="AT288" s="105"/>
      <c r="AU288" s="105"/>
      <c r="AV288" s="105"/>
      <c r="AW288" s="105"/>
      <c r="AX288" s="105"/>
      <c r="AY288" s="105"/>
      <c r="AZ288" s="105"/>
      <c r="BA288" s="105"/>
    </row>
    <row r="289">
      <c r="A289" s="506" t="str">
        <f>IFERROR(__xludf.DUMMYFUNCTION("""COMPUTED_VALUE"""),"SETTLED")</f>
        <v>SETTLED</v>
      </c>
      <c r="B289" s="506" t="str">
        <f>IFERROR(__xludf.DUMMYFUNCTION("""COMPUTED_VALUE"""),"Juan")</f>
        <v>Juan</v>
      </c>
      <c r="C289" s="506" t="str">
        <f>IFERROR(__xludf.DUMMYFUNCTION("""COMPUTED_VALUE"""),"Shannon Rogers")</f>
        <v>Shannon Rogers</v>
      </c>
      <c r="D289" s="506" t="str">
        <f>IFERROR(__xludf.DUMMYFUNCTION("""COMPUTED_VALUE"""),"941-920-5454")</f>
        <v>941-920-5454</v>
      </c>
      <c r="E289" s="506" t="str">
        <f>IFERROR(__xludf.DUMMYFUNCTION("""COMPUTED_VALUE"""),"rogerssh@gmail.com")</f>
        <v>rogerssh@gmail.com</v>
      </c>
      <c r="F289" s="506" t="str">
        <f>IFERROR(__xludf.DUMMYFUNCTION("""COMPUTED_VALUE"""),"1866 Marcia St Sarasota, FL 34231")</f>
        <v>1866 Marcia St Sarasota, FL 34231</v>
      </c>
      <c r="G289" s="506" t="str">
        <f>IFERROR(__xludf.DUMMYFUNCTION("""COMPUTED_VALUE"""),"Hurricane Milton")</f>
        <v>Hurricane Milton</v>
      </c>
      <c r="H289" s="506" t="str">
        <f>IFERROR(__xludf.DUMMYFUNCTION("""COMPUTED_VALUE"""),"New Claim")</f>
        <v>New Claim</v>
      </c>
      <c r="I289" s="505" t="b">
        <v>0</v>
      </c>
      <c r="J289" s="507" t="b">
        <v>0</v>
      </c>
      <c r="K289" s="112"/>
      <c r="L289" s="505" t="b">
        <v>0</v>
      </c>
      <c r="M289" s="504" t="b">
        <v>0</v>
      </c>
      <c r="N289" s="112"/>
      <c r="O289" s="505" t="b">
        <v>0</v>
      </c>
      <c r="P289" s="504" t="b">
        <v>0</v>
      </c>
      <c r="Q289" s="116"/>
      <c r="R289" s="505" t="b">
        <v>0</v>
      </c>
      <c r="S289" s="504" t="b">
        <v>0</v>
      </c>
      <c r="T289" s="117"/>
      <c r="U289" s="505" t="b">
        <v>0</v>
      </c>
      <c r="V289" s="504" t="b">
        <v>0</v>
      </c>
      <c r="W289" s="118"/>
      <c r="X289" s="505" t="b">
        <v>0</v>
      </c>
      <c r="Y289" s="504" t="b">
        <v>0</v>
      </c>
      <c r="Z289" s="119"/>
      <c r="AA289" s="505" t="b">
        <v>0</v>
      </c>
      <c r="AB289" s="504" t="b">
        <v>0</v>
      </c>
      <c r="AC289" s="121"/>
      <c r="AD289" s="505" t="b">
        <v>0</v>
      </c>
      <c r="AE289" s="504" t="b">
        <v>0</v>
      </c>
      <c r="AF289" s="125"/>
      <c r="AG289" s="505" t="b">
        <v>0</v>
      </c>
      <c r="AH289" s="504" t="b">
        <v>0</v>
      </c>
      <c r="AI289" s="105"/>
      <c r="AJ289" s="505" t="b">
        <v>0</v>
      </c>
      <c r="AK289" s="504" t="b">
        <v>0</v>
      </c>
      <c r="AL289" s="126"/>
      <c r="AM289" s="505" t="b">
        <v>0</v>
      </c>
      <c r="AN289" s="504" t="b">
        <v>0</v>
      </c>
      <c r="AO289" s="105"/>
      <c r="AP289" s="105"/>
      <c r="AQ289" s="105"/>
      <c r="AR289" s="105"/>
      <c r="AS289" s="105"/>
      <c r="AT289" s="105"/>
      <c r="AU289" s="105"/>
      <c r="AV289" s="105"/>
      <c r="AW289" s="105"/>
      <c r="AX289" s="105"/>
      <c r="AY289" s="105"/>
      <c r="AZ289" s="105"/>
      <c r="BA289" s="105"/>
    </row>
    <row r="290">
      <c r="A290" s="506" t="str">
        <f>IFERROR(__xludf.DUMMYFUNCTION("""COMPUTED_VALUE"""),"SETTLED")</f>
        <v>SETTLED</v>
      </c>
      <c r="B290" s="506" t="str">
        <f>IFERROR(__xludf.DUMMYFUNCTION("""COMPUTED_VALUE"""),"Juan")</f>
        <v>Juan</v>
      </c>
      <c r="C290" s="506" t="str">
        <f>IFERROR(__xludf.DUMMYFUNCTION("""COMPUTED_VALUE"""),"Luke Fisher")</f>
        <v>Luke Fisher</v>
      </c>
      <c r="D290" s="506" t="str">
        <f>IFERROR(__xludf.DUMMYFUNCTION("""COMPUTED_VALUE"""),"941-345-6474")</f>
        <v>941-345-6474</v>
      </c>
      <c r="E290" s="506" t="str">
        <f>IFERROR(__xludf.DUMMYFUNCTION("""COMPUTED_VALUE"""),"lfbns1@aol.com")</f>
        <v>lfbns1@aol.com</v>
      </c>
      <c r="F290" s="506" t="str">
        <f>IFERROR(__xludf.DUMMYFUNCTION("""COMPUTED_VALUE"""),"2610 Loma Linda St Sarasota, FL 34239")</f>
        <v>2610 Loma Linda St Sarasota, FL 34239</v>
      </c>
      <c r="G290" s="506" t="str">
        <f>IFERROR(__xludf.DUMMYFUNCTION("""COMPUTED_VALUE"""),"Hurricane Milton")</f>
        <v>Hurricane Milton</v>
      </c>
      <c r="H290" s="506" t="str">
        <f>IFERROR(__xludf.DUMMYFUNCTION("""COMPUTED_VALUE"""),"Reopen")</f>
        <v>Reopen</v>
      </c>
      <c r="I290" s="505" t="b">
        <v>0</v>
      </c>
      <c r="J290" s="507" t="b">
        <v>0</v>
      </c>
      <c r="K290" s="112"/>
      <c r="L290" s="505" t="b">
        <v>0</v>
      </c>
      <c r="M290" s="504" t="b">
        <v>0</v>
      </c>
      <c r="N290" s="112"/>
      <c r="O290" s="505" t="b">
        <v>0</v>
      </c>
      <c r="P290" s="504" t="b">
        <v>0</v>
      </c>
      <c r="Q290" s="116"/>
      <c r="R290" s="505" t="b">
        <v>0</v>
      </c>
      <c r="S290" s="504" t="b">
        <v>0</v>
      </c>
      <c r="T290" s="117"/>
      <c r="U290" s="505" t="b">
        <v>0</v>
      </c>
      <c r="V290" s="504" t="b">
        <v>0</v>
      </c>
      <c r="W290" s="118"/>
      <c r="X290" s="505" t="b">
        <v>0</v>
      </c>
      <c r="Y290" s="504" t="b">
        <v>0</v>
      </c>
      <c r="Z290" s="119"/>
      <c r="AA290" s="505" t="b">
        <v>0</v>
      </c>
      <c r="AB290" s="504" t="b">
        <v>0</v>
      </c>
      <c r="AC290" s="121"/>
      <c r="AD290" s="505" t="b">
        <v>0</v>
      </c>
      <c r="AE290" s="504" t="b">
        <v>0</v>
      </c>
      <c r="AF290" s="125"/>
      <c r="AG290" s="505" t="b">
        <v>0</v>
      </c>
      <c r="AH290" s="504" t="b">
        <v>0</v>
      </c>
      <c r="AI290" s="105"/>
      <c r="AJ290" s="505" t="b">
        <v>0</v>
      </c>
      <c r="AK290" s="504" t="b">
        <v>0</v>
      </c>
      <c r="AL290" s="126"/>
      <c r="AM290" s="505" t="b">
        <v>0</v>
      </c>
      <c r="AN290" s="504" t="b">
        <v>0</v>
      </c>
      <c r="AO290" s="105"/>
      <c r="AP290" s="105"/>
      <c r="AQ290" s="105"/>
      <c r="AR290" s="105"/>
      <c r="AS290" s="105"/>
      <c r="AT290" s="105"/>
      <c r="AU290" s="105"/>
      <c r="AV290" s="105"/>
      <c r="AW290" s="105"/>
      <c r="AX290" s="105"/>
      <c r="AY290" s="105"/>
      <c r="AZ290" s="105"/>
      <c r="BA290" s="105"/>
    </row>
    <row r="291">
      <c r="A291" s="506" t="str">
        <f>IFERROR(__xludf.DUMMYFUNCTION("""COMPUTED_VALUE"""),"SETTLED")</f>
        <v>SETTLED</v>
      </c>
      <c r="B291" s="506" t="str">
        <f>IFERROR(__xludf.DUMMYFUNCTION("""COMPUTED_VALUE"""),"Joshua")</f>
        <v>Joshua</v>
      </c>
      <c r="C291" s="506" t="str">
        <f>IFERROR(__xludf.DUMMYFUNCTION("""COMPUTED_VALUE"""),"Dharmesh &amp; Minal Patel ")</f>
        <v>Dharmesh &amp; Minal Patel </v>
      </c>
      <c r="D291" s="506" t="str">
        <f>IFERROR(__xludf.DUMMYFUNCTION("""COMPUTED_VALUE"""),"216-926-8965")</f>
        <v>216-926-8965</v>
      </c>
      <c r="E291" s="506" t="str">
        <f>IFERROR(__xludf.DUMMYFUNCTION("""COMPUTED_VALUE"""),"Pateldk71@yahoo.com")</f>
        <v>Pateldk71@yahoo.com</v>
      </c>
      <c r="F291" s="506" t="str">
        <f>IFERROR(__xludf.DUMMYFUNCTION("""COMPUTED_VALUE"""),"454 Grand Vista Blvd Bradenton FL 34212")</f>
        <v>454 Grand Vista Blvd Bradenton FL 34212</v>
      </c>
      <c r="G291" s="506" t="str">
        <f>IFERROR(__xludf.DUMMYFUNCTION("""COMPUTED_VALUE"""),"Hurricane Milton")</f>
        <v>Hurricane Milton</v>
      </c>
      <c r="H291" s="506" t="str">
        <f>IFERROR(__xludf.DUMMYFUNCTION("""COMPUTED_VALUE"""),"Reopen")</f>
        <v>Reopen</v>
      </c>
      <c r="I291" s="505" t="b">
        <v>0</v>
      </c>
      <c r="J291" s="507" t="b">
        <v>0</v>
      </c>
      <c r="K291" s="112"/>
      <c r="L291" s="505" t="b">
        <v>0</v>
      </c>
      <c r="M291" s="504" t="b">
        <v>0</v>
      </c>
      <c r="N291" s="112"/>
      <c r="O291" s="505" t="b">
        <v>0</v>
      </c>
      <c r="P291" s="504" t="b">
        <v>0</v>
      </c>
      <c r="Q291" s="116"/>
      <c r="R291" s="505" t="b">
        <v>0</v>
      </c>
      <c r="S291" s="504" t="b">
        <v>0</v>
      </c>
      <c r="T291" s="117"/>
      <c r="U291" s="505" t="b">
        <v>0</v>
      </c>
      <c r="V291" s="504" t="b">
        <v>0</v>
      </c>
      <c r="W291" s="118"/>
      <c r="X291" s="505" t="b">
        <v>0</v>
      </c>
      <c r="Y291" s="504" t="b">
        <v>0</v>
      </c>
      <c r="Z291" s="119"/>
      <c r="AA291" s="505" t="b">
        <v>0</v>
      </c>
      <c r="AB291" s="504" t="b">
        <v>0</v>
      </c>
      <c r="AC291" s="121"/>
      <c r="AD291" s="505" t="b">
        <v>0</v>
      </c>
      <c r="AE291" s="504" t="b">
        <v>0</v>
      </c>
      <c r="AF291" s="125"/>
      <c r="AG291" s="505" t="b">
        <v>0</v>
      </c>
      <c r="AH291" s="504" t="b">
        <v>0</v>
      </c>
      <c r="AI291" s="105"/>
      <c r="AJ291" s="505" t="b">
        <v>0</v>
      </c>
      <c r="AK291" s="504" t="b">
        <v>0</v>
      </c>
      <c r="AL291" s="126"/>
      <c r="AM291" s="505" t="b">
        <v>0</v>
      </c>
      <c r="AN291" s="504" t="b">
        <v>0</v>
      </c>
      <c r="AO291" s="105"/>
      <c r="AP291" s="105"/>
      <c r="AQ291" s="105"/>
      <c r="AR291" s="105"/>
      <c r="AS291" s="105"/>
      <c r="AT291" s="105"/>
      <c r="AU291" s="105"/>
      <c r="AV291" s="105"/>
      <c r="AW291" s="105"/>
      <c r="AX291" s="105"/>
      <c r="AY291" s="105"/>
      <c r="AZ291" s="105"/>
      <c r="BA291" s="105"/>
    </row>
    <row r="292">
      <c r="A292" s="506" t="str">
        <f>IFERROR(__xludf.DUMMYFUNCTION("""COMPUTED_VALUE"""),"SETTLED")</f>
        <v>SETTLED</v>
      </c>
      <c r="B292" s="506" t="str">
        <f>IFERROR(__xludf.DUMMYFUNCTION("""COMPUTED_VALUE"""),"Angie")</f>
        <v>Angie</v>
      </c>
      <c r="C292" s="506" t="str">
        <f>IFERROR(__xludf.DUMMYFUNCTION("""COMPUTED_VALUE"""),"Vijay Dass")</f>
        <v>Vijay Dass</v>
      </c>
      <c r="D292" s="506" t="str">
        <f>IFERROR(__xludf.DUMMYFUNCTION("""COMPUTED_VALUE"""),"407-692-8432")</f>
        <v>407-692-8432</v>
      </c>
      <c r="E292" s="506" t="str">
        <f>IFERROR(__xludf.DUMMYFUNCTION("""COMPUTED_VALUE"""),"variashton@yahoo.com")</f>
        <v>variashton@yahoo.com</v>
      </c>
      <c r="F292" s="506" t="str">
        <f>IFERROR(__xludf.DUMMYFUNCTION("""COMPUTED_VALUE"""),"5100 Paleo Pines Cir. Fort Pierce, FL 34951")</f>
        <v>5100 Paleo Pines Cir. Fort Pierce, FL 34951</v>
      </c>
      <c r="G292" s="506" t="str">
        <f>IFERROR(__xludf.DUMMYFUNCTION("""COMPUTED_VALUE"""),"Hurricane Milton")</f>
        <v>Hurricane Milton</v>
      </c>
      <c r="H292" s="506" t="str">
        <f>IFERROR(__xludf.DUMMYFUNCTION("""COMPUTED_VALUE"""),"Reopen")</f>
        <v>Reopen</v>
      </c>
      <c r="I292" s="505" t="b">
        <v>0</v>
      </c>
      <c r="J292" s="507" t="b">
        <v>0</v>
      </c>
      <c r="K292" s="112"/>
      <c r="L292" s="505" t="b">
        <v>0</v>
      </c>
      <c r="M292" s="504" t="b">
        <v>0</v>
      </c>
      <c r="N292" s="112"/>
      <c r="O292" s="505" t="b">
        <v>0</v>
      </c>
      <c r="P292" s="504" t="b">
        <v>0</v>
      </c>
      <c r="Q292" s="116"/>
      <c r="R292" s="505" t="b">
        <v>0</v>
      </c>
      <c r="S292" s="504" t="b">
        <v>0</v>
      </c>
      <c r="T292" s="117"/>
      <c r="U292" s="505" t="b">
        <v>0</v>
      </c>
      <c r="V292" s="504" t="b">
        <v>0</v>
      </c>
      <c r="W292" s="118"/>
      <c r="X292" s="505" t="b">
        <v>0</v>
      </c>
      <c r="Y292" s="504" t="b">
        <v>0</v>
      </c>
      <c r="Z292" s="119"/>
      <c r="AA292" s="505" t="b">
        <v>0</v>
      </c>
      <c r="AB292" s="504" t="b">
        <v>0</v>
      </c>
      <c r="AC292" s="121"/>
      <c r="AD292" s="505" t="b">
        <v>0</v>
      </c>
      <c r="AE292" s="504" t="b">
        <v>0</v>
      </c>
      <c r="AF292" s="125"/>
      <c r="AG292" s="505" t="b">
        <v>0</v>
      </c>
      <c r="AH292" s="504" t="b">
        <v>0</v>
      </c>
      <c r="AI292" s="105"/>
      <c r="AJ292" s="505" t="b">
        <v>0</v>
      </c>
      <c r="AK292" s="504" t="b">
        <v>0</v>
      </c>
      <c r="AL292" s="126"/>
      <c r="AM292" s="505" t="b">
        <v>0</v>
      </c>
      <c r="AN292" s="504" t="b">
        <v>0</v>
      </c>
      <c r="AO292" s="105"/>
      <c r="AP292" s="105"/>
      <c r="AQ292" s="105"/>
      <c r="AR292" s="105"/>
      <c r="AS292" s="105"/>
      <c r="AT292" s="105"/>
      <c r="AU292" s="105"/>
      <c r="AV292" s="105"/>
      <c r="AW292" s="105"/>
      <c r="AX292" s="105"/>
      <c r="AY292" s="105"/>
      <c r="AZ292" s="105"/>
      <c r="BA292" s="105"/>
    </row>
    <row r="293">
      <c r="A293" s="506" t="str">
        <f>IFERROR(__xludf.DUMMYFUNCTION("""COMPUTED_VALUE"""),"CLSD CLAIMS")</f>
        <v>CLSD CLAIMS</v>
      </c>
      <c r="B293" s="506" t="str">
        <f>IFERROR(__xludf.DUMMYFUNCTION("""COMPUTED_VALUE"""),"Joshua")</f>
        <v>Joshua</v>
      </c>
      <c r="C293" s="506" t="str">
        <f>IFERROR(__xludf.DUMMYFUNCTION("""COMPUTED_VALUE"""),"Germaine Burgett")</f>
        <v>Germaine Burgett</v>
      </c>
      <c r="D293" s="506" t="str">
        <f>IFERROR(__xludf.DUMMYFUNCTION("""COMPUTED_VALUE"""),"941-812-4735")</f>
        <v>941-812-4735</v>
      </c>
      <c r="E293" s="506" t="str">
        <f>IFERROR(__xludf.DUMMYFUNCTION("""COMPUTED_VALUE"""),"Gembo123@aol.com")</f>
        <v>Gembo123@aol.com</v>
      </c>
      <c r="F293" s="506" t="str">
        <f>IFERROR(__xludf.DUMMYFUNCTION("""COMPUTED_VALUE"""),"15618 Rose Grove Dr Bradenton FL 34212")</f>
        <v>15618 Rose Grove Dr Bradenton FL 34212</v>
      </c>
      <c r="G293" s="506" t="str">
        <f>IFERROR(__xludf.DUMMYFUNCTION("""COMPUTED_VALUE"""),"Hurricane Milton")</f>
        <v>Hurricane Milton</v>
      </c>
      <c r="H293" s="506" t="str">
        <f>IFERROR(__xludf.DUMMYFUNCTION("""COMPUTED_VALUE"""),"New Claim")</f>
        <v>New Claim</v>
      </c>
      <c r="I293" s="505" t="b">
        <v>0</v>
      </c>
      <c r="J293" s="507" t="b">
        <v>0</v>
      </c>
      <c r="K293" s="112"/>
      <c r="L293" s="505" t="b">
        <v>0</v>
      </c>
      <c r="M293" s="504" t="b">
        <v>0</v>
      </c>
      <c r="N293" s="112"/>
      <c r="O293" s="505" t="b">
        <v>0</v>
      </c>
      <c r="P293" s="504" t="b">
        <v>0</v>
      </c>
      <c r="Q293" s="116"/>
      <c r="R293" s="505" t="b">
        <v>0</v>
      </c>
      <c r="S293" s="504" t="b">
        <v>0</v>
      </c>
      <c r="T293" s="117"/>
      <c r="U293" s="505" t="b">
        <v>0</v>
      </c>
      <c r="V293" s="504" t="b">
        <v>0</v>
      </c>
      <c r="W293" s="118"/>
      <c r="X293" s="505" t="b">
        <v>0</v>
      </c>
      <c r="Y293" s="504" t="b">
        <v>0</v>
      </c>
      <c r="Z293" s="119"/>
      <c r="AA293" s="505" t="b">
        <v>0</v>
      </c>
      <c r="AB293" s="504" t="b">
        <v>0</v>
      </c>
      <c r="AC293" s="121"/>
      <c r="AD293" s="505" t="b">
        <v>0</v>
      </c>
      <c r="AE293" s="504" t="b">
        <v>0</v>
      </c>
      <c r="AF293" s="125"/>
      <c r="AG293" s="505" t="b">
        <v>0</v>
      </c>
      <c r="AH293" s="504" t="b">
        <v>0</v>
      </c>
      <c r="AI293" s="105"/>
      <c r="AJ293" s="505" t="b">
        <v>0</v>
      </c>
      <c r="AK293" s="504" t="b">
        <v>0</v>
      </c>
      <c r="AL293" s="126"/>
      <c r="AM293" s="505" t="b">
        <v>0</v>
      </c>
      <c r="AN293" s="504" t="b">
        <v>0</v>
      </c>
      <c r="AO293" s="105"/>
      <c r="AP293" s="105"/>
      <c r="AQ293" s="105"/>
      <c r="AR293" s="105"/>
      <c r="AS293" s="105"/>
      <c r="AT293" s="105"/>
      <c r="AU293" s="105"/>
      <c r="AV293" s="105"/>
      <c r="AW293" s="105"/>
      <c r="AX293" s="105"/>
      <c r="AY293" s="105"/>
      <c r="AZ293" s="105"/>
      <c r="BA293" s="105"/>
    </row>
    <row r="294">
      <c r="A294" s="506" t="str">
        <f>IFERROR(__xludf.DUMMYFUNCTION("""COMPUTED_VALUE"""),"SETTLED")</f>
        <v>SETTLED</v>
      </c>
      <c r="B294" s="506" t="str">
        <f>IFERROR(__xludf.DUMMYFUNCTION("""COMPUTED_VALUE"""),"Jose P.")</f>
        <v>Jose P.</v>
      </c>
      <c r="C294" s="506" t="str">
        <f>IFERROR(__xludf.DUMMYFUNCTION("""COMPUTED_VALUE"""),"Arnetha Robinson-Miles")</f>
        <v>Arnetha Robinson-Miles</v>
      </c>
      <c r="D294" s="506" t="str">
        <f>IFERROR(__xludf.DUMMYFUNCTION("""COMPUTED_VALUE"""),"772-501-1067")</f>
        <v>772-501-1067</v>
      </c>
      <c r="E294" s="506"/>
      <c r="F294" s="506" t="str">
        <f>IFERROR(__xludf.DUMMYFUNCTION("""COMPUTED_VALUE"""),"4118 39th Drive Vero Beach, FL 32967")</f>
        <v>4118 39th Drive Vero Beach, FL 32967</v>
      </c>
      <c r="G294" s="506" t="str">
        <f>IFERROR(__xludf.DUMMYFUNCTION("""COMPUTED_VALUE"""),"Hurricane Milton")</f>
        <v>Hurricane Milton</v>
      </c>
      <c r="H294" s="506" t="str">
        <f>IFERROR(__xludf.DUMMYFUNCTION("""COMPUTED_VALUE"""),"New Claim")</f>
        <v>New Claim</v>
      </c>
      <c r="I294" s="505" t="b">
        <v>0</v>
      </c>
      <c r="J294" s="507" t="b">
        <v>0</v>
      </c>
      <c r="K294" s="112"/>
      <c r="L294" s="505" t="b">
        <v>0</v>
      </c>
      <c r="M294" s="504" t="b">
        <v>0</v>
      </c>
      <c r="N294" s="112"/>
      <c r="O294" s="505" t="b">
        <v>0</v>
      </c>
      <c r="P294" s="504" t="b">
        <v>0</v>
      </c>
      <c r="Q294" s="116"/>
      <c r="R294" s="505" t="b">
        <v>0</v>
      </c>
      <c r="S294" s="504" t="b">
        <v>0</v>
      </c>
      <c r="T294" s="117"/>
      <c r="U294" s="505" t="b">
        <v>0</v>
      </c>
      <c r="V294" s="504" t="b">
        <v>0</v>
      </c>
      <c r="W294" s="118"/>
      <c r="X294" s="505" t="b">
        <v>0</v>
      </c>
      <c r="Y294" s="504" t="b">
        <v>0</v>
      </c>
      <c r="Z294" s="119"/>
      <c r="AA294" s="505" t="b">
        <v>0</v>
      </c>
      <c r="AB294" s="504" t="b">
        <v>0</v>
      </c>
      <c r="AC294" s="121"/>
      <c r="AD294" s="505" t="b">
        <v>0</v>
      </c>
      <c r="AE294" s="504" t="b">
        <v>0</v>
      </c>
      <c r="AF294" s="125"/>
      <c r="AG294" s="505" t="b">
        <v>0</v>
      </c>
      <c r="AH294" s="504" t="b">
        <v>0</v>
      </c>
      <c r="AI294" s="105"/>
      <c r="AJ294" s="505" t="b">
        <v>0</v>
      </c>
      <c r="AK294" s="504" t="b">
        <v>0</v>
      </c>
      <c r="AL294" s="126"/>
      <c r="AM294" s="505" t="b">
        <v>0</v>
      </c>
      <c r="AN294" s="504" t="b">
        <v>0</v>
      </c>
      <c r="AO294" s="105"/>
      <c r="AP294" s="105"/>
      <c r="AQ294" s="105"/>
      <c r="AR294" s="105"/>
      <c r="AS294" s="105"/>
      <c r="AT294" s="105"/>
      <c r="AU294" s="105"/>
      <c r="AV294" s="105"/>
      <c r="AW294" s="105"/>
      <c r="AX294" s="105"/>
      <c r="AY294" s="105"/>
      <c r="AZ294" s="105"/>
      <c r="BA294" s="105"/>
    </row>
    <row r="295">
      <c r="A295" s="506" t="str">
        <f>IFERROR(__xludf.DUMMYFUNCTION("""COMPUTED_VALUE"""),"SETTLED")</f>
        <v>SETTLED</v>
      </c>
      <c r="B295" s="506" t="str">
        <f>IFERROR(__xludf.DUMMYFUNCTION("""COMPUTED_VALUE"""),"Ivan")</f>
        <v>Ivan</v>
      </c>
      <c r="C295" s="506" t="str">
        <f>IFERROR(__xludf.DUMMYFUNCTION("""COMPUTED_VALUE"""),"Ky &amp; Tin Nguyen")</f>
        <v>Ky &amp; Tin Nguyen</v>
      </c>
      <c r="D295" s="506" t="str">
        <f>IFERROR(__xludf.DUMMYFUNCTION("""COMPUTED_VALUE"""),"863-326-8888")</f>
        <v>863-326-8888</v>
      </c>
      <c r="E295" s="506" t="str">
        <f>IFERROR(__xludf.DUMMYFUNCTION("""COMPUTED_VALUE"""),"Kynguyen1016@gmail.com")</f>
        <v>Kynguyen1016@gmail.com</v>
      </c>
      <c r="F295" s="506" t="str">
        <f>IFERROR(__xludf.DUMMYFUNCTION("""COMPUTED_VALUE"""),"152 Lake Roy DR. Winter Haven, FL 33884")</f>
        <v>152 Lake Roy DR. Winter Haven, FL 33884</v>
      </c>
      <c r="G295" s="506" t="str">
        <f>IFERROR(__xludf.DUMMYFUNCTION("""COMPUTED_VALUE"""),"Hurricane Milton")</f>
        <v>Hurricane Milton</v>
      </c>
      <c r="H295" s="506" t="str">
        <f>IFERROR(__xludf.DUMMYFUNCTION("""COMPUTED_VALUE"""),"Reopen")</f>
        <v>Reopen</v>
      </c>
      <c r="I295" s="505" t="b">
        <v>0</v>
      </c>
      <c r="J295" s="507" t="b">
        <v>0</v>
      </c>
      <c r="K295" s="112"/>
      <c r="L295" s="505" t="b">
        <v>0</v>
      </c>
      <c r="M295" s="504" t="b">
        <v>0</v>
      </c>
      <c r="N295" s="112"/>
      <c r="O295" s="505" t="b">
        <v>0</v>
      </c>
      <c r="P295" s="504" t="b">
        <v>0</v>
      </c>
      <c r="Q295" s="116"/>
      <c r="R295" s="505" t="b">
        <v>0</v>
      </c>
      <c r="S295" s="504" t="b">
        <v>0</v>
      </c>
      <c r="T295" s="117"/>
      <c r="U295" s="505" t="b">
        <v>0</v>
      </c>
      <c r="V295" s="504" t="b">
        <v>0</v>
      </c>
      <c r="W295" s="118"/>
      <c r="X295" s="505" t="b">
        <v>0</v>
      </c>
      <c r="Y295" s="504" t="b">
        <v>0</v>
      </c>
      <c r="Z295" s="119"/>
      <c r="AA295" s="505" t="b">
        <v>0</v>
      </c>
      <c r="AB295" s="504" t="b">
        <v>0</v>
      </c>
      <c r="AC295" s="121"/>
      <c r="AD295" s="505" t="b">
        <v>0</v>
      </c>
      <c r="AE295" s="504" t="b">
        <v>0</v>
      </c>
      <c r="AF295" s="125"/>
      <c r="AG295" s="505" t="b">
        <v>0</v>
      </c>
      <c r="AH295" s="504" t="b">
        <v>0</v>
      </c>
      <c r="AI295" s="105"/>
      <c r="AJ295" s="505" t="b">
        <v>0</v>
      </c>
      <c r="AK295" s="504" t="b">
        <v>0</v>
      </c>
      <c r="AL295" s="126"/>
      <c r="AM295" s="505" t="b">
        <v>0</v>
      </c>
      <c r="AN295" s="504" t="b">
        <v>0</v>
      </c>
      <c r="AO295" s="105"/>
      <c r="AP295" s="105"/>
      <c r="AQ295" s="105"/>
      <c r="AR295" s="105"/>
      <c r="AS295" s="105"/>
      <c r="AT295" s="105"/>
      <c r="AU295" s="105"/>
      <c r="AV295" s="105"/>
      <c r="AW295" s="105"/>
      <c r="AX295" s="105"/>
      <c r="AY295" s="105"/>
      <c r="AZ295" s="105"/>
      <c r="BA295" s="105"/>
    </row>
    <row r="296">
      <c r="A296" s="506" t="str">
        <f>IFERROR(__xludf.DUMMYFUNCTION("""COMPUTED_VALUE"""),"LITIGATION")</f>
        <v>LITIGATION</v>
      </c>
      <c r="B296" s="506" t="str">
        <f>IFERROR(__xludf.DUMMYFUNCTION("""COMPUTED_VALUE"""),"Ivan")</f>
        <v>Ivan</v>
      </c>
      <c r="C296" s="506" t="str">
        <f>IFERROR(__xludf.DUMMYFUNCTION("""COMPUTED_VALUE"""),"Shatavia Clark")</f>
        <v>Shatavia Clark</v>
      </c>
      <c r="D296" s="506" t="str">
        <f>IFERROR(__xludf.DUMMYFUNCTION("""COMPUTED_VALUE"""),"321-557-7187")</f>
        <v>321-557-7187</v>
      </c>
      <c r="E296" s="506" t="str">
        <f>IFERROR(__xludf.DUMMYFUNCTION("""COMPUTED_VALUE"""),"Clark.shatavia@yahoo.com")</f>
        <v>Clark.shatavia@yahoo.com</v>
      </c>
      <c r="F296" s="506" t="str">
        <f>IFERROR(__xludf.DUMMYFUNCTION("""COMPUTED_VALUE"""),"436 Larino Road SW Palm Bay, FL 32908")</f>
        <v>436 Larino Road SW Palm Bay, FL 32908</v>
      </c>
      <c r="G296" s="506" t="str">
        <f>IFERROR(__xludf.DUMMYFUNCTION("""COMPUTED_VALUE"""),"Hurricane Milton")</f>
        <v>Hurricane Milton</v>
      </c>
      <c r="H296" s="506" t="str">
        <f>IFERROR(__xludf.DUMMYFUNCTION("""COMPUTED_VALUE"""),"New Claim")</f>
        <v>New Claim</v>
      </c>
      <c r="I296" s="505" t="b">
        <v>0</v>
      </c>
      <c r="J296" s="507" t="b">
        <v>0</v>
      </c>
      <c r="K296" s="112"/>
      <c r="L296" s="505" t="b">
        <v>0</v>
      </c>
      <c r="M296" s="504" t="b">
        <v>0</v>
      </c>
      <c r="N296" s="112"/>
      <c r="O296" s="505" t="b">
        <v>0</v>
      </c>
      <c r="P296" s="504" t="b">
        <v>0</v>
      </c>
      <c r="Q296" s="116"/>
      <c r="R296" s="505" t="b">
        <v>0</v>
      </c>
      <c r="S296" s="504" t="b">
        <v>0</v>
      </c>
      <c r="T296" s="117"/>
      <c r="U296" s="505" t="b">
        <v>0</v>
      </c>
      <c r="V296" s="504" t="b">
        <v>0</v>
      </c>
      <c r="W296" s="118"/>
      <c r="X296" s="505" t="b">
        <v>0</v>
      </c>
      <c r="Y296" s="504" t="b">
        <v>0</v>
      </c>
      <c r="Z296" s="119"/>
      <c r="AA296" s="505" t="b">
        <v>0</v>
      </c>
      <c r="AB296" s="504" t="b">
        <v>0</v>
      </c>
      <c r="AC296" s="121"/>
      <c r="AD296" s="505" t="b">
        <v>0</v>
      </c>
      <c r="AE296" s="504" t="b">
        <v>0</v>
      </c>
      <c r="AF296" s="125"/>
      <c r="AG296" s="505" t="b">
        <v>0</v>
      </c>
      <c r="AH296" s="504" t="b">
        <v>0</v>
      </c>
      <c r="AI296" s="105"/>
      <c r="AJ296" s="505" t="b">
        <v>0</v>
      </c>
      <c r="AK296" s="504" t="b">
        <v>0</v>
      </c>
      <c r="AL296" s="126"/>
      <c r="AM296" s="505" t="b">
        <v>0</v>
      </c>
      <c r="AN296" s="504" t="b">
        <v>0</v>
      </c>
      <c r="AO296" s="105"/>
      <c r="AP296" s="105"/>
      <c r="AQ296" s="105"/>
      <c r="AR296" s="105"/>
      <c r="AS296" s="105"/>
      <c r="AT296" s="105"/>
      <c r="AU296" s="105"/>
      <c r="AV296" s="105"/>
      <c r="AW296" s="105"/>
      <c r="AX296" s="105"/>
      <c r="AY296" s="105"/>
      <c r="AZ296" s="105"/>
      <c r="BA296" s="105"/>
    </row>
    <row r="297">
      <c r="A297" s="506" t="str">
        <f>IFERROR(__xludf.DUMMYFUNCTION("""COMPUTED_VALUE"""),"SETTLED")</f>
        <v>SETTLED</v>
      </c>
      <c r="B297" s="506" t="str">
        <f>IFERROR(__xludf.DUMMYFUNCTION("""COMPUTED_VALUE"""),"Ivan")</f>
        <v>Ivan</v>
      </c>
      <c r="C297" s="506" t="str">
        <f>IFERROR(__xludf.DUMMYFUNCTION("""COMPUTED_VALUE"""),"Lionel Brooks")</f>
        <v>Lionel Brooks</v>
      </c>
      <c r="D297" s="506" t="str">
        <f>IFERROR(__xludf.DUMMYFUNCTION("""COMPUTED_VALUE"""),"772-812-1775")</f>
        <v>772-812-1775</v>
      </c>
      <c r="E297" s="506" t="str">
        <f>IFERROR(__xludf.DUMMYFUNCTION("""COMPUTED_VALUE"""),"lionel34953@yahoo.com")</f>
        <v>lionel34953@yahoo.com</v>
      </c>
      <c r="F297" s="506" t="str">
        <f>IFERROR(__xludf.DUMMYFUNCTION("""COMPUTED_VALUE"""),"3141 SW Curcuma St. Port Saint Lucie, FL 34953")</f>
        <v>3141 SW Curcuma St. Port Saint Lucie, FL 34953</v>
      </c>
      <c r="G297" s="506" t="str">
        <f>IFERROR(__xludf.DUMMYFUNCTION("""COMPUTED_VALUE"""),"Hurricane Milton")</f>
        <v>Hurricane Milton</v>
      </c>
      <c r="H297" s="506" t="str">
        <f>IFERROR(__xludf.DUMMYFUNCTION("""COMPUTED_VALUE"""),"New Claim")</f>
        <v>New Claim</v>
      </c>
      <c r="I297" s="505" t="b">
        <v>0</v>
      </c>
      <c r="J297" s="507" t="b">
        <v>0</v>
      </c>
      <c r="K297" s="112"/>
      <c r="L297" s="505" t="b">
        <v>0</v>
      </c>
      <c r="M297" s="504" t="b">
        <v>0</v>
      </c>
      <c r="N297" s="112"/>
      <c r="O297" s="505" t="b">
        <v>0</v>
      </c>
      <c r="P297" s="504" t="b">
        <v>0</v>
      </c>
      <c r="Q297" s="116"/>
      <c r="R297" s="505" t="b">
        <v>0</v>
      </c>
      <c r="S297" s="504" t="b">
        <v>0</v>
      </c>
      <c r="T297" s="117"/>
      <c r="U297" s="505" t="b">
        <v>0</v>
      </c>
      <c r="V297" s="504" t="b">
        <v>0</v>
      </c>
      <c r="W297" s="118"/>
      <c r="X297" s="505" t="b">
        <v>0</v>
      </c>
      <c r="Y297" s="504" t="b">
        <v>0</v>
      </c>
      <c r="Z297" s="119"/>
      <c r="AA297" s="505" t="b">
        <v>0</v>
      </c>
      <c r="AB297" s="504" t="b">
        <v>0</v>
      </c>
      <c r="AC297" s="121"/>
      <c r="AD297" s="505" t="b">
        <v>0</v>
      </c>
      <c r="AE297" s="504" t="b">
        <v>0</v>
      </c>
      <c r="AF297" s="125"/>
      <c r="AG297" s="505" t="b">
        <v>0</v>
      </c>
      <c r="AH297" s="504" t="b">
        <v>0</v>
      </c>
      <c r="AI297" s="105"/>
      <c r="AJ297" s="505" t="b">
        <v>0</v>
      </c>
      <c r="AK297" s="504" t="b">
        <v>0</v>
      </c>
      <c r="AL297" s="126"/>
      <c r="AM297" s="505" t="b">
        <v>0</v>
      </c>
      <c r="AN297" s="504" t="b">
        <v>0</v>
      </c>
      <c r="AO297" s="105"/>
      <c r="AP297" s="105"/>
      <c r="AQ297" s="105"/>
      <c r="AR297" s="105"/>
      <c r="AS297" s="105"/>
      <c r="AT297" s="105"/>
      <c r="AU297" s="105"/>
      <c r="AV297" s="105"/>
      <c r="AW297" s="105"/>
      <c r="AX297" s="105"/>
      <c r="AY297" s="105"/>
      <c r="AZ297" s="105"/>
      <c r="BA297" s="105"/>
    </row>
    <row r="298">
      <c r="A298" s="506" t="str">
        <f>IFERROR(__xludf.DUMMYFUNCTION("""COMPUTED_VALUE"""),"SETTLED")</f>
        <v>SETTLED</v>
      </c>
      <c r="B298" s="506" t="str">
        <f>IFERROR(__xludf.DUMMYFUNCTION("""COMPUTED_VALUE"""),"Angie")</f>
        <v>Angie</v>
      </c>
      <c r="C298" s="506" t="str">
        <f>IFERROR(__xludf.DUMMYFUNCTION("""COMPUTED_VALUE"""),"Lucresha Robinson Reeves")</f>
        <v>Lucresha Robinson Reeves</v>
      </c>
      <c r="D298" s="506" t="str">
        <f>IFERROR(__xludf.DUMMYFUNCTION("""COMPUTED_VALUE"""),"772-216-5062")</f>
        <v>772-216-5062</v>
      </c>
      <c r="E298" s="506" t="str">
        <f>IFERROR(__xludf.DUMMYFUNCTION("""COMPUTED_VALUE"""),"Lucreshareeves@gmail.com")</f>
        <v>Lucreshareeves@gmail.com</v>
      </c>
      <c r="F298" s="506" t="str">
        <f>IFERROR(__xludf.DUMMYFUNCTION("""COMPUTED_VALUE"""),"6804 Santa Clara Blvd. Fort Pierce, FL 34951")</f>
        <v>6804 Santa Clara Blvd. Fort Pierce, FL 34951</v>
      </c>
      <c r="G298" s="506" t="str">
        <f>IFERROR(__xludf.DUMMYFUNCTION("""COMPUTED_VALUE"""),"Hurricane Milton")</f>
        <v>Hurricane Milton</v>
      </c>
      <c r="H298" s="506" t="str">
        <f>IFERROR(__xludf.DUMMYFUNCTION("""COMPUTED_VALUE"""),"Reopen")</f>
        <v>Reopen</v>
      </c>
      <c r="I298" s="505" t="b">
        <v>0</v>
      </c>
      <c r="J298" s="507" t="b">
        <v>0</v>
      </c>
      <c r="K298" s="112"/>
      <c r="L298" s="505" t="b">
        <v>0</v>
      </c>
      <c r="M298" s="504" t="b">
        <v>0</v>
      </c>
      <c r="N298" s="112"/>
      <c r="O298" s="505" t="b">
        <v>0</v>
      </c>
      <c r="P298" s="504" t="b">
        <v>0</v>
      </c>
      <c r="Q298" s="116"/>
      <c r="R298" s="505" t="b">
        <v>0</v>
      </c>
      <c r="S298" s="504" t="b">
        <v>0</v>
      </c>
      <c r="T298" s="117"/>
      <c r="U298" s="505" t="b">
        <v>0</v>
      </c>
      <c r="V298" s="504" t="b">
        <v>0</v>
      </c>
      <c r="W298" s="118"/>
      <c r="X298" s="505" t="b">
        <v>0</v>
      </c>
      <c r="Y298" s="504" t="b">
        <v>0</v>
      </c>
      <c r="Z298" s="119"/>
      <c r="AA298" s="505" t="b">
        <v>0</v>
      </c>
      <c r="AB298" s="504" t="b">
        <v>0</v>
      </c>
      <c r="AC298" s="121"/>
      <c r="AD298" s="505" t="b">
        <v>0</v>
      </c>
      <c r="AE298" s="504" t="b">
        <v>0</v>
      </c>
      <c r="AF298" s="125"/>
      <c r="AG298" s="505" t="b">
        <v>0</v>
      </c>
      <c r="AH298" s="504" t="b">
        <v>0</v>
      </c>
      <c r="AI298" s="105"/>
      <c r="AJ298" s="505" t="b">
        <v>0</v>
      </c>
      <c r="AK298" s="504" t="b">
        <v>0</v>
      </c>
      <c r="AL298" s="126"/>
      <c r="AM298" s="505" t="b">
        <v>0</v>
      </c>
      <c r="AN298" s="504" t="b">
        <v>0</v>
      </c>
      <c r="AO298" s="105"/>
      <c r="AP298" s="105"/>
      <c r="AQ298" s="105"/>
      <c r="AR298" s="105"/>
      <c r="AS298" s="105"/>
      <c r="AT298" s="105"/>
      <c r="AU298" s="105"/>
      <c r="AV298" s="105"/>
      <c r="AW298" s="105"/>
      <c r="AX298" s="105"/>
      <c r="AY298" s="105"/>
      <c r="AZ298" s="105"/>
      <c r="BA298" s="105"/>
    </row>
    <row r="299">
      <c r="A299" s="506" t="str">
        <f>IFERROR(__xludf.DUMMYFUNCTION("""COMPUTED_VALUE"""),"SETTLED")</f>
        <v>SETTLED</v>
      </c>
      <c r="B299" s="506" t="str">
        <f>IFERROR(__xludf.DUMMYFUNCTION("""COMPUTED_VALUE"""),"Ivan")</f>
        <v>Ivan</v>
      </c>
      <c r="C299" s="506" t="str">
        <f>IFERROR(__xludf.DUMMYFUNCTION("""COMPUTED_VALUE"""),"William Dean")</f>
        <v>William Dean</v>
      </c>
      <c r="D299" s="506" t="str">
        <f>IFERROR(__xludf.DUMMYFUNCTION("""COMPUTED_VALUE"""),"352-727-2087")</f>
        <v>352-727-2087</v>
      </c>
      <c r="E299" s="506" t="str">
        <f>IFERROR(__xludf.DUMMYFUNCTION("""COMPUTED_VALUE"""),"billy.dean456@gmail.com")</f>
        <v>billy.dean456@gmail.com</v>
      </c>
      <c r="F299" s="506" t="str">
        <f>IFERROR(__xludf.DUMMYFUNCTION("""COMPUTED_VALUE"""),"4816 SE Capstan Ave Stuart, FL 34997")</f>
        <v>4816 SE Capstan Ave Stuart, FL 34997</v>
      </c>
      <c r="G299" s="506" t="str">
        <f>IFERROR(__xludf.DUMMYFUNCTION("""COMPUTED_VALUE"""),"Hurricane Milton")</f>
        <v>Hurricane Milton</v>
      </c>
      <c r="H299" s="506" t="str">
        <f>IFERROR(__xludf.DUMMYFUNCTION("""COMPUTED_VALUE"""),"Reopen")</f>
        <v>Reopen</v>
      </c>
      <c r="I299" s="505" t="b">
        <v>0</v>
      </c>
      <c r="J299" s="507" t="b">
        <v>0</v>
      </c>
      <c r="K299" s="112"/>
      <c r="L299" s="505" t="b">
        <v>0</v>
      </c>
      <c r="M299" s="504" t="b">
        <v>0</v>
      </c>
      <c r="N299" s="112"/>
      <c r="O299" s="505" t="b">
        <v>0</v>
      </c>
      <c r="P299" s="504" t="b">
        <v>0</v>
      </c>
      <c r="Q299" s="116"/>
      <c r="R299" s="505" t="b">
        <v>0</v>
      </c>
      <c r="S299" s="504" t="b">
        <v>0</v>
      </c>
      <c r="T299" s="117"/>
      <c r="U299" s="505" t="b">
        <v>0</v>
      </c>
      <c r="V299" s="504" t="b">
        <v>0</v>
      </c>
      <c r="W299" s="118"/>
      <c r="X299" s="505" t="b">
        <v>0</v>
      </c>
      <c r="Y299" s="504" t="b">
        <v>0</v>
      </c>
      <c r="Z299" s="119"/>
      <c r="AA299" s="505" t="b">
        <v>0</v>
      </c>
      <c r="AB299" s="504" t="b">
        <v>0</v>
      </c>
      <c r="AC299" s="121"/>
      <c r="AD299" s="505" t="b">
        <v>0</v>
      </c>
      <c r="AE299" s="504" t="b">
        <v>0</v>
      </c>
      <c r="AF299" s="125"/>
      <c r="AG299" s="505" t="b">
        <v>0</v>
      </c>
      <c r="AH299" s="504" t="b">
        <v>0</v>
      </c>
      <c r="AI299" s="105"/>
      <c r="AJ299" s="505" t="b">
        <v>0</v>
      </c>
      <c r="AK299" s="504" t="b">
        <v>0</v>
      </c>
      <c r="AL299" s="126"/>
      <c r="AM299" s="505" t="b">
        <v>0</v>
      </c>
      <c r="AN299" s="504" t="b">
        <v>0</v>
      </c>
      <c r="AO299" s="105"/>
      <c r="AP299" s="105"/>
      <c r="AQ299" s="105"/>
      <c r="AR299" s="105"/>
      <c r="AS299" s="105"/>
      <c r="AT299" s="105"/>
      <c r="AU299" s="105"/>
      <c r="AV299" s="105"/>
      <c r="AW299" s="105"/>
      <c r="AX299" s="105"/>
      <c r="AY299" s="105"/>
      <c r="AZ299" s="105"/>
      <c r="BA299" s="105"/>
    </row>
    <row r="300">
      <c r="A300" s="506" t="str">
        <f>IFERROR(__xludf.DUMMYFUNCTION("""COMPUTED_VALUE"""),"SETTLED")</f>
        <v>SETTLED</v>
      </c>
      <c r="B300" s="506" t="str">
        <f>IFERROR(__xludf.DUMMYFUNCTION("""COMPUTED_VALUE"""),"Joshua")</f>
        <v>Joshua</v>
      </c>
      <c r="C300" s="506" t="str">
        <f>IFERROR(__xludf.DUMMYFUNCTION("""COMPUTED_VALUE"""),"Jason &amp; Ashely Bolema ")</f>
        <v>Jason &amp; Ashely Bolema </v>
      </c>
      <c r="D300" s="506" t="str">
        <f>IFERROR(__xludf.DUMMYFUNCTION("""COMPUTED_VALUE"""),"941-809-3183")</f>
        <v>941-809-3183</v>
      </c>
      <c r="E300" s="506" t="str">
        <f>IFERROR(__xludf.DUMMYFUNCTION("""COMPUTED_VALUE"""),"Jasonbolema@aol.com")</f>
        <v>Jasonbolema@aol.com</v>
      </c>
      <c r="F300" s="506" t="str">
        <f>IFERROR(__xludf.DUMMYFUNCTION("""COMPUTED_VALUE"""),"327 Gris Sky Ln Bradenton, FL 34212")</f>
        <v>327 Gris Sky Ln Bradenton, FL 34212</v>
      </c>
      <c r="G300" s="506" t="str">
        <f>IFERROR(__xludf.DUMMYFUNCTION("""COMPUTED_VALUE"""),"Hurricane Helene")</f>
        <v>Hurricane Helene</v>
      </c>
      <c r="H300" s="506" t="str">
        <f>IFERROR(__xludf.DUMMYFUNCTION("""COMPUTED_VALUE"""),"Reopen")</f>
        <v>Reopen</v>
      </c>
      <c r="I300" s="505" t="b">
        <v>0</v>
      </c>
      <c r="J300" s="507" t="b">
        <v>0</v>
      </c>
      <c r="K300" s="112"/>
      <c r="L300" s="505" t="b">
        <v>0</v>
      </c>
      <c r="M300" s="504" t="b">
        <v>0</v>
      </c>
      <c r="N300" s="112"/>
      <c r="O300" s="505" t="b">
        <v>0</v>
      </c>
      <c r="P300" s="504" t="b">
        <v>0</v>
      </c>
      <c r="Q300" s="116"/>
      <c r="R300" s="505" t="b">
        <v>0</v>
      </c>
      <c r="S300" s="504" t="b">
        <v>0</v>
      </c>
      <c r="T300" s="117"/>
      <c r="U300" s="505" t="b">
        <v>0</v>
      </c>
      <c r="V300" s="504" t="b">
        <v>0</v>
      </c>
      <c r="W300" s="118"/>
      <c r="X300" s="505" t="b">
        <v>0</v>
      </c>
      <c r="Y300" s="504" t="b">
        <v>0</v>
      </c>
      <c r="Z300" s="119"/>
      <c r="AA300" s="505" t="b">
        <v>0</v>
      </c>
      <c r="AB300" s="504" t="b">
        <v>0</v>
      </c>
      <c r="AC300" s="121"/>
      <c r="AD300" s="505" t="b">
        <v>0</v>
      </c>
      <c r="AE300" s="504" t="b">
        <v>0</v>
      </c>
      <c r="AF300" s="125"/>
      <c r="AG300" s="505" t="b">
        <v>0</v>
      </c>
      <c r="AH300" s="504" t="b">
        <v>0</v>
      </c>
      <c r="AI300" s="105"/>
      <c r="AJ300" s="505" t="b">
        <v>0</v>
      </c>
      <c r="AK300" s="504" t="b">
        <v>0</v>
      </c>
      <c r="AL300" s="126"/>
      <c r="AM300" s="505" t="b">
        <v>0</v>
      </c>
      <c r="AN300" s="504" t="b">
        <v>0</v>
      </c>
      <c r="AO300" s="105"/>
      <c r="AP300" s="105"/>
      <c r="AQ300" s="105"/>
      <c r="AR300" s="105"/>
      <c r="AS300" s="105"/>
      <c r="AT300" s="105"/>
      <c r="AU300" s="105"/>
      <c r="AV300" s="105"/>
      <c r="AW300" s="105"/>
      <c r="AX300" s="105"/>
      <c r="AY300" s="105"/>
      <c r="AZ300" s="105"/>
      <c r="BA300" s="105"/>
    </row>
    <row r="301">
      <c r="A301" s="105" t="str">
        <f>IFERROR(__xludf.DUMMYFUNCTION("""COMPUTED_VALUE"""),"STAND BY")</f>
        <v>STAND BY</v>
      </c>
      <c r="B301" s="506" t="str">
        <f>IFERROR(__xludf.DUMMYFUNCTION("""COMPUTED_VALUE"""),"Joshua")</f>
        <v>Joshua</v>
      </c>
      <c r="C301" s="506" t="str">
        <f>IFERROR(__xludf.DUMMYFUNCTION("""COMPUTED_VALUE"""),"Shana Junior")</f>
        <v>Shana Junior</v>
      </c>
      <c r="D301" s="506" t="str">
        <f>IFERROR(__xludf.DUMMYFUNCTION("""COMPUTED_VALUE"""),"813-817-8665")</f>
        <v>813-817-8665</v>
      </c>
      <c r="E301" s="506" t="str">
        <f>IFERROR(__xludf.DUMMYFUNCTION("""COMPUTED_VALUE"""),"shana24@gmail.com")</f>
        <v>shana24@gmail.com</v>
      </c>
      <c r="F301" s="506" t="str">
        <f>IFERROR(__xludf.DUMMYFUNCTION("""COMPUTED_VALUE"""),"4305 Cinemark Ct Mulberry, FL 33860")</f>
        <v>4305 Cinemark Ct Mulberry, FL 33860</v>
      </c>
      <c r="G301" s="506" t="str">
        <f>IFERROR(__xludf.DUMMYFUNCTION("""COMPUTED_VALUE"""),"Hurricane Milton")</f>
        <v>Hurricane Milton</v>
      </c>
      <c r="H301" s="506" t="str">
        <f>IFERROR(__xludf.DUMMYFUNCTION("""COMPUTED_VALUE"""),"Reopen")</f>
        <v>Reopen</v>
      </c>
      <c r="I301" s="505" t="b">
        <v>0</v>
      </c>
      <c r="J301" s="507" t="b">
        <v>0</v>
      </c>
      <c r="K301" s="112"/>
      <c r="L301" s="505" t="b">
        <v>0</v>
      </c>
      <c r="M301" s="504" t="b">
        <v>0</v>
      </c>
      <c r="N301" s="112"/>
      <c r="O301" s="505" t="b">
        <v>0</v>
      </c>
      <c r="P301" s="504" t="b">
        <v>0</v>
      </c>
      <c r="Q301" s="116"/>
      <c r="R301" s="505" t="b">
        <v>0</v>
      </c>
      <c r="S301" s="504" t="b">
        <v>0</v>
      </c>
      <c r="T301" s="117"/>
      <c r="U301" s="505" t="b">
        <v>0</v>
      </c>
      <c r="V301" s="504" t="b">
        <v>0</v>
      </c>
      <c r="W301" s="118"/>
      <c r="X301" s="505" t="b">
        <v>0</v>
      </c>
      <c r="Y301" s="504" t="b">
        <v>0</v>
      </c>
      <c r="Z301" s="119"/>
      <c r="AA301" s="505" t="b">
        <v>0</v>
      </c>
      <c r="AB301" s="504" t="b">
        <v>0</v>
      </c>
      <c r="AC301" s="121"/>
      <c r="AD301" s="505" t="b">
        <v>0</v>
      </c>
      <c r="AE301" s="504" t="b">
        <v>0</v>
      </c>
      <c r="AF301" s="125"/>
      <c r="AG301" s="505" t="b">
        <v>0</v>
      </c>
      <c r="AH301" s="504" t="b">
        <v>0</v>
      </c>
      <c r="AI301" s="105"/>
      <c r="AJ301" s="505" t="b">
        <v>0</v>
      </c>
      <c r="AK301" s="504" t="b">
        <v>0</v>
      </c>
      <c r="AL301" s="126"/>
      <c r="AM301" s="505" t="b">
        <v>0</v>
      </c>
      <c r="AN301" s="504" t="b">
        <v>0</v>
      </c>
      <c r="AO301" s="105"/>
      <c r="AP301" s="105"/>
      <c r="AQ301" s="105"/>
      <c r="AR301" s="105"/>
      <c r="AS301" s="105"/>
      <c r="AT301" s="105"/>
      <c r="AU301" s="105"/>
      <c r="AV301" s="105"/>
      <c r="AW301" s="105"/>
      <c r="AX301" s="105"/>
      <c r="AY301" s="105"/>
      <c r="AZ301" s="105"/>
      <c r="BA301" s="105"/>
    </row>
    <row r="302">
      <c r="A302" s="506" t="str">
        <f>IFERROR(__xludf.DUMMYFUNCTION("""COMPUTED_VALUE"""),"SETTLED")</f>
        <v>SETTLED</v>
      </c>
      <c r="B302" s="506" t="str">
        <f>IFERROR(__xludf.DUMMYFUNCTION("""COMPUTED_VALUE"""),"Ivan")</f>
        <v>Ivan</v>
      </c>
      <c r="C302" s="506" t="str">
        <f>IFERROR(__xludf.DUMMYFUNCTION("""COMPUTED_VALUE"""),"Maria Bove")</f>
        <v>Maria Bove</v>
      </c>
      <c r="D302" s="506" t="str">
        <f>IFERROR(__xludf.DUMMYFUNCTION("""COMPUTED_VALUE"""),"727-492-2379")</f>
        <v>727-492-2379</v>
      </c>
      <c r="E302" s="506" t="str">
        <f>IFERROR(__xludf.DUMMYFUNCTION("""COMPUTED_VALUE"""),"inesbove@gmail.com")</f>
        <v>inesbove@gmail.com</v>
      </c>
      <c r="F302" s="506" t="str">
        <f>IFERROR(__xludf.DUMMYFUNCTION("""COMPUTED_VALUE"""),"10485 Lucaya Dr Tampa, FL 33647")</f>
        <v>10485 Lucaya Dr Tampa, FL 33647</v>
      </c>
      <c r="G302" s="506" t="str">
        <f>IFERROR(__xludf.DUMMYFUNCTION("""COMPUTED_VALUE"""),"AWD")</f>
        <v>AWD</v>
      </c>
      <c r="H302" s="506" t="str">
        <f>IFERROR(__xludf.DUMMYFUNCTION("""COMPUTED_VALUE"""),"New Claim")</f>
        <v>New Claim</v>
      </c>
      <c r="I302" s="505" t="b">
        <v>0</v>
      </c>
      <c r="J302" s="507" t="b">
        <v>0</v>
      </c>
      <c r="K302" s="112"/>
      <c r="L302" s="505" t="b">
        <v>0</v>
      </c>
      <c r="M302" s="504" t="b">
        <v>0</v>
      </c>
      <c r="N302" s="112"/>
      <c r="O302" s="505" t="b">
        <v>0</v>
      </c>
      <c r="P302" s="504" t="b">
        <v>0</v>
      </c>
      <c r="Q302" s="116"/>
      <c r="R302" s="505" t="b">
        <v>0</v>
      </c>
      <c r="S302" s="504" t="b">
        <v>0</v>
      </c>
      <c r="T302" s="117"/>
      <c r="U302" s="505" t="b">
        <v>0</v>
      </c>
      <c r="V302" s="504" t="b">
        <v>0</v>
      </c>
      <c r="W302" s="118"/>
      <c r="X302" s="505" t="b">
        <v>0</v>
      </c>
      <c r="Y302" s="504" t="b">
        <v>0</v>
      </c>
      <c r="Z302" s="119"/>
      <c r="AA302" s="505" t="b">
        <v>0</v>
      </c>
      <c r="AB302" s="504" t="b">
        <v>0</v>
      </c>
      <c r="AC302" s="121"/>
      <c r="AD302" s="505" t="b">
        <v>0</v>
      </c>
      <c r="AE302" s="504" t="b">
        <v>0</v>
      </c>
      <c r="AF302" s="125"/>
      <c r="AG302" s="505" t="b">
        <v>0</v>
      </c>
      <c r="AH302" s="504" t="b">
        <v>0</v>
      </c>
      <c r="AI302" s="105"/>
      <c r="AJ302" s="505" t="b">
        <v>0</v>
      </c>
      <c r="AK302" s="504" t="b">
        <v>0</v>
      </c>
      <c r="AL302" s="126"/>
      <c r="AM302" s="505" t="b">
        <v>0</v>
      </c>
      <c r="AN302" s="504" t="b">
        <v>0</v>
      </c>
      <c r="AO302" s="105"/>
      <c r="AP302" s="105"/>
      <c r="AQ302" s="105"/>
      <c r="AR302" s="105"/>
      <c r="AS302" s="105"/>
      <c r="AT302" s="105"/>
      <c r="AU302" s="105"/>
      <c r="AV302" s="105"/>
      <c r="AW302" s="105"/>
      <c r="AX302" s="105"/>
      <c r="AY302" s="105"/>
      <c r="AZ302" s="105"/>
      <c r="BA302" s="105"/>
    </row>
    <row r="303">
      <c r="A303" s="506" t="str">
        <f>IFERROR(__xludf.DUMMYFUNCTION("""COMPUTED_VALUE"""),"SETTLED")</f>
        <v>SETTLED</v>
      </c>
      <c r="B303" s="506" t="str">
        <f>IFERROR(__xludf.DUMMYFUNCTION("""COMPUTED_VALUE"""),"Jose P.")</f>
        <v>Jose P.</v>
      </c>
      <c r="C303" s="506" t="str">
        <f>IFERROR(__xludf.DUMMYFUNCTION("""COMPUTED_VALUE"""),"Julio Herrera")</f>
        <v>Julio Herrera</v>
      </c>
      <c r="D303" s="506" t="str">
        <f>IFERROR(__xludf.DUMMYFUNCTION("""COMPUTED_VALUE"""),"516-429-5408")</f>
        <v>516-429-5408</v>
      </c>
      <c r="E303" s="506" t="str">
        <f>IFERROR(__xludf.DUMMYFUNCTION("""COMPUTED_VALUE"""),"annychavarria@gmail.com")</f>
        <v>annychavarria@gmail.com</v>
      </c>
      <c r="F303" s="506" t="str">
        <f>IFERROR(__xludf.DUMMYFUNCTION("""COMPUTED_VALUE"""),"3558 Silver Lace #29 Boynton Beach, FL 33436")</f>
        <v>3558 Silver Lace #29 Boynton Beach, FL 33436</v>
      </c>
      <c r="G303" s="506" t="str">
        <f>IFERROR(__xludf.DUMMYFUNCTION("""COMPUTED_VALUE"""),"AWD")</f>
        <v>AWD</v>
      </c>
      <c r="H303" s="506" t="str">
        <f>IFERROR(__xludf.DUMMYFUNCTION("""COMPUTED_VALUE"""),"New Claim")</f>
        <v>New Claim</v>
      </c>
      <c r="I303" s="505" t="b">
        <v>0</v>
      </c>
      <c r="J303" s="507" t="b">
        <v>0</v>
      </c>
      <c r="K303" s="112"/>
      <c r="L303" s="505" t="b">
        <v>0</v>
      </c>
      <c r="M303" s="504" t="b">
        <v>0</v>
      </c>
      <c r="N303" s="112"/>
      <c r="O303" s="505" t="b">
        <v>0</v>
      </c>
      <c r="P303" s="504" t="b">
        <v>0</v>
      </c>
      <c r="Q303" s="116"/>
      <c r="R303" s="505" t="b">
        <v>0</v>
      </c>
      <c r="S303" s="504" t="b">
        <v>0</v>
      </c>
      <c r="T303" s="117"/>
      <c r="U303" s="505" t="b">
        <v>0</v>
      </c>
      <c r="V303" s="504" t="b">
        <v>0</v>
      </c>
      <c r="W303" s="118"/>
      <c r="X303" s="505" t="b">
        <v>0</v>
      </c>
      <c r="Y303" s="504" t="b">
        <v>0</v>
      </c>
      <c r="Z303" s="119"/>
      <c r="AA303" s="505" t="b">
        <v>0</v>
      </c>
      <c r="AB303" s="504" t="b">
        <v>0</v>
      </c>
      <c r="AC303" s="121"/>
      <c r="AD303" s="505" t="b">
        <v>0</v>
      </c>
      <c r="AE303" s="504" t="b">
        <v>0</v>
      </c>
      <c r="AF303" s="125"/>
      <c r="AG303" s="505" t="b">
        <v>0</v>
      </c>
      <c r="AH303" s="504" t="b">
        <v>0</v>
      </c>
      <c r="AI303" s="105"/>
      <c r="AJ303" s="505" t="b">
        <v>0</v>
      </c>
      <c r="AK303" s="504" t="b">
        <v>0</v>
      </c>
      <c r="AL303" s="126"/>
      <c r="AM303" s="505" t="b">
        <v>0</v>
      </c>
      <c r="AN303" s="504" t="b">
        <v>0</v>
      </c>
      <c r="AO303" s="105"/>
      <c r="AP303" s="105"/>
      <c r="AQ303" s="105"/>
      <c r="AR303" s="105"/>
      <c r="AS303" s="105"/>
      <c r="AT303" s="105"/>
      <c r="AU303" s="105"/>
      <c r="AV303" s="105"/>
      <c r="AW303" s="105"/>
      <c r="AX303" s="105"/>
      <c r="AY303" s="105"/>
      <c r="AZ303" s="105"/>
      <c r="BA303" s="105"/>
    </row>
    <row r="304">
      <c r="A304" s="506" t="str">
        <f>IFERROR(__xludf.DUMMYFUNCTION("""COMPUTED_VALUE"""),"SETTLED")</f>
        <v>SETTLED</v>
      </c>
      <c r="B304" s="506" t="str">
        <f>IFERROR(__xludf.DUMMYFUNCTION("""COMPUTED_VALUE"""),"Ivan")</f>
        <v>Ivan</v>
      </c>
      <c r="C304" s="506" t="str">
        <f>IFERROR(__xludf.DUMMYFUNCTION("""COMPUTED_VALUE"""),"Catile &amp; Marie Alcide")</f>
        <v>Catile &amp; Marie Alcide</v>
      </c>
      <c r="D304" s="506" t="str">
        <f>IFERROR(__xludf.DUMMYFUNCTION("""COMPUTED_VALUE"""),"772-359-7356")</f>
        <v>772-359-7356</v>
      </c>
      <c r="E304" s="506" t="str">
        <f>IFERROR(__xludf.DUMMYFUNCTION("""COMPUTED_VALUE"""),"alcidecatile@gmail.com")</f>
        <v>alcidecatile@gmail.com</v>
      </c>
      <c r="F304" s="506" t="str">
        <f>IFERROR(__xludf.DUMMYFUNCTION("""COMPUTED_VALUE"""),"780 NW Floresta Dr Port Saint Lucie, FL 34983")</f>
        <v>780 NW Floresta Dr Port Saint Lucie, FL 34983</v>
      </c>
      <c r="G304" s="506" t="str">
        <f>IFERROR(__xludf.DUMMYFUNCTION("""COMPUTED_VALUE"""),"Hurricane Milton")</f>
        <v>Hurricane Milton</v>
      </c>
      <c r="H304" s="506" t="str">
        <f>IFERROR(__xludf.DUMMYFUNCTION("""COMPUTED_VALUE"""),"Reopen")</f>
        <v>Reopen</v>
      </c>
      <c r="I304" s="505" t="b">
        <v>0</v>
      </c>
      <c r="J304" s="507" t="b">
        <v>0</v>
      </c>
      <c r="K304" s="112"/>
      <c r="L304" s="505" t="b">
        <v>0</v>
      </c>
      <c r="M304" s="504" t="b">
        <v>0</v>
      </c>
      <c r="N304" s="112"/>
      <c r="O304" s="505" t="b">
        <v>0</v>
      </c>
      <c r="P304" s="504" t="b">
        <v>0</v>
      </c>
      <c r="Q304" s="116"/>
      <c r="R304" s="505" t="b">
        <v>0</v>
      </c>
      <c r="S304" s="504" t="b">
        <v>0</v>
      </c>
      <c r="T304" s="117"/>
      <c r="U304" s="505" t="b">
        <v>0</v>
      </c>
      <c r="V304" s="504" t="b">
        <v>0</v>
      </c>
      <c r="W304" s="118"/>
      <c r="X304" s="505" t="b">
        <v>0</v>
      </c>
      <c r="Y304" s="504" t="b">
        <v>0</v>
      </c>
      <c r="Z304" s="119"/>
      <c r="AA304" s="505" t="b">
        <v>0</v>
      </c>
      <c r="AB304" s="504" t="b">
        <v>0</v>
      </c>
      <c r="AC304" s="121"/>
      <c r="AD304" s="505" t="b">
        <v>0</v>
      </c>
      <c r="AE304" s="504" t="b">
        <v>0</v>
      </c>
      <c r="AF304" s="125"/>
      <c r="AG304" s="505" t="b">
        <v>0</v>
      </c>
      <c r="AH304" s="504" t="b">
        <v>0</v>
      </c>
      <c r="AI304" s="105"/>
      <c r="AJ304" s="505" t="b">
        <v>0</v>
      </c>
      <c r="AK304" s="504" t="b">
        <v>0</v>
      </c>
      <c r="AL304" s="126"/>
      <c r="AM304" s="505" t="b">
        <v>0</v>
      </c>
      <c r="AN304" s="504" t="b">
        <v>0</v>
      </c>
      <c r="AO304" s="105"/>
      <c r="AP304" s="105"/>
      <c r="AQ304" s="105"/>
      <c r="AR304" s="105"/>
      <c r="AS304" s="105"/>
      <c r="AT304" s="105"/>
      <c r="AU304" s="105"/>
      <c r="AV304" s="105"/>
      <c r="AW304" s="105"/>
      <c r="AX304" s="105"/>
      <c r="AY304" s="105"/>
      <c r="AZ304" s="105"/>
      <c r="BA304" s="105"/>
    </row>
    <row r="305">
      <c r="A305" s="506" t="str">
        <f>IFERROR(__xludf.DUMMYFUNCTION("""COMPUTED_VALUE"""),"SETTLED")</f>
        <v>SETTLED</v>
      </c>
      <c r="B305" s="506" t="str">
        <f>IFERROR(__xludf.DUMMYFUNCTION("""COMPUTED_VALUE"""),"Joshua")</f>
        <v>Joshua</v>
      </c>
      <c r="C305" s="506" t="str">
        <f>IFERROR(__xludf.DUMMYFUNCTION("""COMPUTED_VALUE"""),"Marilyn George ")</f>
        <v>Marilyn George </v>
      </c>
      <c r="D305" s="506" t="str">
        <f>IFERROR(__xludf.DUMMYFUNCTION("""COMPUTED_VALUE"""),"954-479-4914")</f>
        <v>954-479-4914</v>
      </c>
      <c r="E305" s="506" t="str">
        <f>IFERROR(__xludf.DUMMYFUNCTION("""COMPUTED_VALUE"""),"Indyai@aol.com")</f>
        <v>Indyai@aol.com</v>
      </c>
      <c r="F305" s="506" t="str">
        <f>IFERROR(__xludf.DUMMYFUNCTION("""COMPUTED_VALUE"""),"3547 Inverrary Blvd W Lauderhill Fl 33319")</f>
        <v>3547 Inverrary Blvd W Lauderhill Fl 33319</v>
      </c>
      <c r="G305" s="506" t="str">
        <f>IFERROR(__xludf.DUMMYFUNCTION("""COMPUTED_VALUE"""),"A/C")</f>
        <v>A/C</v>
      </c>
      <c r="H305" s="506" t="str">
        <f>IFERROR(__xludf.DUMMYFUNCTION("""COMPUTED_VALUE"""),"New Claim")</f>
        <v>New Claim</v>
      </c>
      <c r="I305" s="505" t="b">
        <v>0</v>
      </c>
      <c r="J305" s="507" t="b">
        <v>0</v>
      </c>
      <c r="K305" s="112"/>
      <c r="L305" s="505" t="b">
        <v>0</v>
      </c>
      <c r="M305" s="504" t="b">
        <v>0</v>
      </c>
      <c r="N305" s="112"/>
      <c r="O305" s="505" t="b">
        <v>0</v>
      </c>
      <c r="P305" s="504" t="b">
        <v>0</v>
      </c>
      <c r="Q305" s="116"/>
      <c r="R305" s="505" t="b">
        <v>0</v>
      </c>
      <c r="S305" s="504" t="b">
        <v>0</v>
      </c>
      <c r="T305" s="117"/>
      <c r="U305" s="505" t="b">
        <v>0</v>
      </c>
      <c r="V305" s="504" t="b">
        <v>0</v>
      </c>
      <c r="W305" s="118"/>
      <c r="X305" s="505" t="b">
        <v>0</v>
      </c>
      <c r="Y305" s="504" t="b">
        <v>0</v>
      </c>
      <c r="Z305" s="119"/>
      <c r="AA305" s="505" t="b">
        <v>0</v>
      </c>
      <c r="AB305" s="504" t="b">
        <v>0</v>
      </c>
      <c r="AC305" s="121"/>
      <c r="AD305" s="505" t="b">
        <v>0</v>
      </c>
      <c r="AE305" s="504" t="b">
        <v>0</v>
      </c>
      <c r="AF305" s="125"/>
      <c r="AG305" s="505" t="b">
        <v>0</v>
      </c>
      <c r="AH305" s="504" t="b">
        <v>0</v>
      </c>
      <c r="AI305" s="105"/>
      <c r="AJ305" s="505" t="b">
        <v>0</v>
      </c>
      <c r="AK305" s="504" t="b">
        <v>0</v>
      </c>
      <c r="AL305" s="126"/>
      <c r="AM305" s="505" t="b">
        <v>0</v>
      </c>
      <c r="AN305" s="504" t="b">
        <v>0</v>
      </c>
      <c r="AO305" s="105"/>
      <c r="AP305" s="105"/>
      <c r="AQ305" s="105"/>
      <c r="AR305" s="105"/>
      <c r="AS305" s="105"/>
      <c r="AT305" s="105"/>
      <c r="AU305" s="105"/>
      <c r="AV305" s="105"/>
      <c r="AW305" s="105"/>
      <c r="AX305" s="105"/>
      <c r="AY305" s="105"/>
      <c r="AZ305" s="105"/>
      <c r="BA305" s="105"/>
    </row>
    <row r="306">
      <c r="A306" s="506" t="str">
        <f>IFERROR(__xludf.DUMMYFUNCTION("""COMPUTED_VALUE"""),"CLSD CLAIMS")</f>
        <v>CLSD CLAIMS</v>
      </c>
      <c r="B306" s="506" t="str">
        <f>IFERROR(__xludf.DUMMYFUNCTION("""COMPUTED_VALUE"""),"Joshua")</f>
        <v>Joshua</v>
      </c>
      <c r="C306" s="506" t="str">
        <f>IFERROR(__xludf.DUMMYFUNCTION("""COMPUTED_VALUE"""),"Beth Ann Southerns ")</f>
        <v>Beth Ann Southerns </v>
      </c>
      <c r="D306" s="506" t="str">
        <f>IFERROR(__xludf.DUMMYFUNCTION("""COMPUTED_VALUE"""),"941-518-1106")</f>
        <v>941-518-1106</v>
      </c>
      <c r="E306" s="506" t="str">
        <f>IFERROR(__xludf.DUMMYFUNCTION("""COMPUTED_VALUE"""),"Bann1605@gmail.com")</f>
        <v>Bann1605@gmail.com</v>
      </c>
      <c r="F306" s="506" t="str">
        <f>IFERROR(__xludf.DUMMYFUNCTION("""COMPUTED_VALUE"""),"1605 29th St W Bradenton, FL 34205")</f>
        <v>1605 29th St W Bradenton, FL 34205</v>
      </c>
      <c r="G306" s="506" t="str">
        <f>IFERROR(__xludf.DUMMYFUNCTION("""COMPUTED_VALUE"""),"AWD")</f>
        <v>AWD</v>
      </c>
      <c r="H306" s="506" t="str">
        <f>IFERROR(__xludf.DUMMYFUNCTION("""COMPUTED_VALUE"""),"New Claim")</f>
        <v>New Claim</v>
      </c>
      <c r="I306" s="505" t="b">
        <v>0</v>
      </c>
      <c r="J306" s="507" t="b">
        <v>0</v>
      </c>
      <c r="K306" s="112"/>
      <c r="L306" s="505" t="b">
        <v>0</v>
      </c>
      <c r="M306" s="504" t="b">
        <v>0</v>
      </c>
      <c r="N306" s="112"/>
      <c r="O306" s="505" t="b">
        <v>0</v>
      </c>
      <c r="P306" s="504" t="b">
        <v>0</v>
      </c>
      <c r="Q306" s="116"/>
      <c r="R306" s="505" t="b">
        <v>0</v>
      </c>
      <c r="S306" s="504" t="b">
        <v>0</v>
      </c>
      <c r="T306" s="117"/>
      <c r="U306" s="505" t="b">
        <v>0</v>
      </c>
      <c r="V306" s="504" t="b">
        <v>0</v>
      </c>
      <c r="W306" s="118"/>
      <c r="X306" s="505" t="b">
        <v>0</v>
      </c>
      <c r="Y306" s="504" t="b">
        <v>0</v>
      </c>
      <c r="Z306" s="119"/>
      <c r="AA306" s="505" t="b">
        <v>0</v>
      </c>
      <c r="AB306" s="504" t="b">
        <v>0</v>
      </c>
      <c r="AC306" s="121"/>
      <c r="AD306" s="505" t="b">
        <v>0</v>
      </c>
      <c r="AE306" s="504" t="b">
        <v>0</v>
      </c>
      <c r="AF306" s="125"/>
      <c r="AG306" s="505" t="b">
        <v>0</v>
      </c>
      <c r="AH306" s="504" t="b">
        <v>0</v>
      </c>
      <c r="AI306" s="105"/>
      <c r="AJ306" s="505" t="b">
        <v>0</v>
      </c>
      <c r="AK306" s="504" t="b">
        <v>0</v>
      </c>
      <c r="AL306" s="126"/>
      <c r="AM306" s="505" t="b">
        <v>0</v>
      </c>
      <c r="AN306" s="504" t="b">
        <v>0</v>
      </c>
      <c r="AO306" s="105"/>
      <c r="AP306" s="105"/>
      <c r="AQ306" s="105"/>
      <c r="AR306" s="105"/>
      <c r="AS306" s="105"/>
      <c r="AT306" s="105"/>
      <c r="AU306" s="105"/>
      <c r="AV306" s="105"/>
      <c r="AW306" s="105"/>
      <c r="AX306" s="105"/>
      <c r="AY306" s="105"/>
      <c r="AZ306" s="105"/>
      <c r="BA306" s="105"/>
    </row>
    <row r="307">
      <c r="A307" s="105" t="str">
        <f>IFERROR(__xludf.DUMMYFUNCTION("""COMPUTED_VALUE"""),"CLSD CLAIMS")</f>
        <v>CLSD CLAIMS</v>
      </c>
      <c r="B307" s="506" t="str">
        <f>IFERROR(__xludf.DUMMYFUNCTION("""COMPUTED_VALUE"""),"Ivan")</f>
        <v>Ivan</v>
      </c>
      <c r="C307" s="506" t="str">
        <f>IFERROR(__xludf.DUMMYFUNCTION("""COMPUTED_VALUE"""),"Murielle Guillaume")</f>
        <v>Murielle Guillaume</v>
      </c>
      <c r="D307" s="506" t="str">
        <f>IFERROR(__xludf.DUMMYFUNCTION("""COMPUTED_VALUE"""),"772-267-4149")</f>
        <v>772-267-4149</v>
      </c>
      <c r="E307" s="506" t="str">
        <f>IFERROR(__xludf.DUMMYFUNCTION("""COMPUTED_VALUE"""),"murgui17@yahoo.com")</f>
        <v>murgui17@yahoo.com</v>
      </c>
      <c r="F307" s="506" t="str">
        <f>IFERROR(__xludf.DUMMYFUNCTION("""COMPUTED_VALUE"""),"2033 SW Fears Ave. Port Saint Lucie, FL 34953")</f>
        <v>2033 SW Fears Ave. Port Saint Lucie, FL 34953</v>
      </c>
      <c r="G307" s="506" t="str">
        <f>IFERROR(__xludf.DUMMYFUNCTION("""COMPUTED_VALUE"""),"Hurricane Milton")</f>
        <v>Hurricane Milton</v>
      </c>
      <c r="H307" s="506" t="str">
        <f>IFERROR(__xludf.DUMMYFUNCTION("""COMPUTED_VALUE"""),"New Claim")</f>
        <v>New Claim</v>
      </c>
      <c r="I307" s="505" t="b">
        <v>0</v>
      </c>
      <c r="J307" s="507" t="b">
        <v>0</v>
      </c>
      <c r="K307" s="112"/>
      <c r="L307" s="505" t="b">
        <v>0</v>
      </c>
      <c r="M307" s="504" t="b">
        <v>0</v>
      </c>
      <c r="N307" s="112"/>
      <c r="O307" s="505" t="b">
        <v>0</v>
      </c>
      <c r="P307" s="504" t="b">
        <v>0</v>
      </c>
      <c r="Q307" s="116"/>
      <c r="R307" s="505" t="b">
        <v>0</v>
      </c>
      <c r="S307" s="504" t="b">
        <v>0</v>
      </c>
      <c r="T307" s="117"/>
      <c r="U307" s="505" t="b">
        <v>0</v>
      </c>
      <c r="V307" s="504" t="b">
        <v>0</v>
      </c>
      <c r="W307" s="118"/>
      <c r="X307" s="505" t="b">
        <v>0</v>
      </c>
      <c r="Y307" s="504" t="b">
        <v>0</v>
      </c>
      <c r="Z307" s="119"/>
      <c r="AA307" s="505" t="b">
        <v>0</v>
      </c>
      <c r="AB307" s="504" t="b">
        <v>0</v>
      </c>
      <c r="AC307" s="121"/>
      <c r="AD307" s="505" t="b">
        <v>0</v>
      </c>
      <c r="AE307" s="504" t="b">
        <v>0</v>
      </c>
      <c r="AF307" s="125"/>
      <c r="AG307" s="505" t="b">
        <v>0</v>
      </c>
      <c r="AH307" s="504" t="b">
        <v>0</v>
      </c>
      <c r="AI307" s="105"/>
      <c r="AJ307" s="505" t="b">
        <v>0</v>
      </c>
      <c r="AK307" s="504" t="b">
        <v>0</v>
      </c>
      <c r="AL307" s="126"/>
      <c r="AM307" s="505" t="b">
        <v>0</v>
      </c>
      <c r="AN307" s="504" t="b">
        <v>0</v>
      </c>
      <c r="AO307" s="105"/>
      <c r="AP307" s="105"/>
      <c r="AQ307" s="105"/>
      <c r="AR307" s="105"/>
      <c r="AS307" s="105"/>
      <c r="AT307" s="105"/>
      <c r="AU307" s="105"/>
      <c r="AV307" s="105"/>
      <c r="AW307" s="105"/>
      <c r="AX307" s="105"/>
      <c r="AY307" s="105"/>
      <c r="AZ307" s="105"/>
      <c r="BA307" s="105"/>
    </row>
    <row r="308">
      <c r="A308" s="105" t="str">
        <f>IFERROR(__xludf.DUMMYFUNCTION("""COMPUTED_VALUE"""),"FEES PENDING")</f>
        <v>FEES PENDING</v>
      </c>
      <c r="B308" s="506" t="str">
        <f>IFERROR(__xludf.DUMMYFUNCTION("""COMPUTED_VALUE"""),"Ivan")</f>
        <v>Ivan</v>
      </c>
      <c r="C308" s="506" t="str">
        <f>IFERROR(__xludf.DUMMYFUNCTION("""COMPUTED_VALUE"""),"Patricia Treece")</f>
        <v>Patricia Treece</v>
      </c>
      <c r="D308" s="506" t="str">
        <f>IFERROR(__xludf.DUMMYFUNCTION("""COMPUTED_VALUE"""),"772-971-7650")</f>
        <v>772-971-7650</v>
      </c>
      <c r="E308" s="506" t="str">
        <f>IFERROR(__xludf.DUMMYFUNCTION("""COMPUTED_VALUE"""),"chriswunderhill@gmail.com")</f>
        <v>chriswunderhill@gmail.com</v>
      </c>
      <c r="F308" s="506" t="str">
        <f>IFERROR(__xludf.DUMMYFUNCTION("""COMPUTED_VALUE"""),"329 NW Concord Dr. Port Saint Lucie FL 34983")</f>
        <v>329 NW Concord Dr. Port Saint Lucie FL 34983</v>
      </c>
      <c r="G308" s="506" t="str">
        <f>IFERROR(__xludf.DUMMYFUNCTION("""COMPUTED_VALUE"""),"Hurricane Milton")</f>
        <v>Hurricane Milton</v>
      </c>
      <c r="H308" s="506" t="str">
        <f>IFERROR(__xludf.DUMMYFUNCTION("""COMPUTED_VALUE"""),"New Claim")</f>
        <v>New Claim</v>
      </c>
      <c r="I308" s="505" t="b">
        <v>0</v>
      </c>
      <c r="J308" s="507" t="b">
        <v>0</v>
      </c>
      <c r="K308" s="112"/>
      <c r="L308" s="505" t="b">
        <v>0</v>
      </c>
      <c r="M308" s="504" t="b">
        <v>0</v>
      </c>
      <c r="N308" s="112"/>
      <c r="O308" s="505" t="b">
        <v>0</v>
      </c>
      <c r="P308" s="504" t="b">
        <v>0</v>
      </c>
      <c r="Q308" s="116"/>
      <c r="R308" s="505" t="b">
        <v>0</v>
      </c>
      <c r="S308" s="504" t="b">
        <v>0</v>
      </c>
      <c r="T308" s="117"/>
      <c r="U308" s="505" t="b">
        <v>0</v>
      </c>
      <c r="V308" s="504" t="b">
        <v>0</v>
      </c>
      <c r="W308" s="118"/>
      <c r="X308" s="505" t="b">
        <v>0</v>
      </c>
      <c r="Y308" s="504" t="b">
        <v>0</v>
      </c>
      <c r="Z308" s="119"/>
      <c r="AA308" s="505" t="b">
        <v>0</v>
      </c>
      <c r="AB308" s="504" t="b">
        <v>0</v>
      </c>
      <c r="AC308" s="121"/>
      <c r="AD308" s="505" t="b">
        <v>0</v>
      </c>
      <c r="AE308" s="504" t="b">
        <v>0</v>
      </c>
      <c r="AF308" s="125"/>
      <c r="AG308" s="505" t="b">
        <v>0</v>
      </c>
      <c r="AH308" s="504" t="b">
        <v>0</v>
      </c>
      <c r="AI308" s="105"/>
      <c r="AJ308" s="505" t="b">
        <v>0</v>
      </c>
      <c r="AK308" s="504" t="b">
        <v>0</v>
      </c>
      <c r="AL308" s="126"/>
      <c r="AM308" s="505" t="b">
        <v>0</v>
      </c>
      <c r="AN308" s="504" t="b">
        <v>0</v>
      </c>
      <c r="AO308" s="105"/>
      <c r="AP308" s="105"/>
      <c r="AQ308" s="105"/>
      <c r="AR308" s="105"/>
      <c r="AS308" s="105"/>
      <c r="AT308" s="105"/>
      <c r="AU308" s="105"/>
      <c r="AV308" s="105"/>
      <c r="AW308" s="105"/>
      <c r="AX308" s="105"/>
      <c r="AY308" s="105"/>
      <c r="AZ308" s="105"/>
      <c r="BA308" s="105"/>
    </row>
    <row r="309">
      <c r="A309" s="506" t="str">
        <f>IFERROR(__xludf.DUMMYFUNCTION("""COMPUTED_VALUE"""),"SETTLED")</f>
        <v>SETTLED</v>
      </c>
      <c r="B309" s="506" t="str">
        <f>IFERROR(__xludf.DUMMYFUNCTION("""COMPUTED_VALUE"""),"Ivan")</f>
        <v>Ivan</v>
      </c>
      <c r="C309" s="506" t="str">
        <f>IFERROR(__xludf.DUMMYFUNCTION("""COMPUTED_VALUE"""),"Thayna M. Pluviose")</f>
        <v>Thayna M. Pluviose</v>
      </c>
      <c r="D309" s="506" t="str">
        <f>IFERROR(__xludf.DUMMYFUNCTION("""COMPUTED_VALUE"""),"561-814-1416")</f>
        <v>561-814-1416</v>
      </c>
      <c r="E309" s="506" t="str">
        <f>IFERROR(__xludf.DUMMYFUNCTION("""COMPUTED_VALUE"""),"mjoseph@simplycareservices.com")</f>
        <v>mjoseph@simplycareservices.com</v>
      </c>
      <c r="F309" s="506" t="str">
        <f>IFERROR(__xludf.DUMMYFUNCTION("""COMPUTED_VALUE"""),"1652 SW McAllister Ln. Port St. Lucie, FL 34953")</f>
        <v>1652 SW McAllister Ln. Port St. Lucie, FL 34953</v>
      </c>
      <c r="G309" s="506" t="str">
        <f>IFERROR(__xludf.DUMMYFUNCTION("""COMPUTED_VALUE"""),"Hurricane Milton")</f>
        <v>Hurricane Milton</v>
      </c>
      <c r="H309" s="506" t="str">
        <f>IFERROR(__xludf.DUMMYFUNCTION("""COMPUTED_VALUE"""),"New Claim")</f>
        <v>New Claim</v>
      </c>
      <c r="I309" s="505" t="b">
        <v>0</v>
      </c>
      <c r="J309" s="507" t="b">
        <v>0</v>
      </c>
      <c r="K309" s="112"/>
      <c r="L309" s="505" t="b">
        <v>0</v>
      </c>
      <c r="M309" s="504" t="b">
        <v>0</v>
      </c>
      <c r="N309" s="112"/>
      <c r="O309" s="505" t="b">
        <v>0</v>
      </c>
      <c r="P309" s="504" t="b">
        <v>0</v>
      </c>
      <c r="Q309" s="116"/>
      <c r="R309" s="505" t="b">
        <v>0</v>
      </c>
      <c r="S309" s="504" t="b">
        <v>0</v>
      </c>
      <c r="T309" s="117"/>
      <c r="U309" s="505" t="b">
        <v>0</v>
      </c>
      <c r="V309" s="504" t="b">
        <v>0</v>
      </c>
      <c r="W309" s="118"/>
      <c r="X309" s="505" t="b">
        <v>0</v>
      </c>
      <c r="Y309" s="504" t="b">
        <v>0</v>
      </c>
      <c r="Z309" s="119"/>
      <c r="AA309" s="505" t="b">
        <v>0</v>
      </c>
      <c r="AB309" s="504" t="b">
        <v>0</v>
      </c>
      <c r="AC309" s="121"/>
      <c r="AD309" s="505" t="b">
        <v>0</v>
      </c>
      <c r="AE309" s="504" t="b">
        <v>0</v>
      </c>
      <c r="AF309" s="125"/>
      <c r="AG309" s="505" t="b">
        <v>0</v>
      </c>
      <c r="AH309" s="504" t="b">
        <v>0</v>
      </c>
      <c r="AI309" s="105"/>
      <c r="AJ309" s="505" t="b">
        <v>0</v>
      </c>
      <c r="AK309" s="504" t="b">
        <v>0</v>
      </c>
      <c r="AL309" s="126"/>
      <c r="AM309" s="505" t="b">
        <v>0</v>
      </c>
      <c r="AN309" s="504" t="b">
        <v>0</v>
      </c>
      <c r="AO309" s="105"/>
      <c r="AP309" s="105"/>
      <c r="AQ309" s="105"/>
      <c r="AR309" s="105"/>
      <c r="AS309" s="105"/>
      <c r="AT309" s="105"/>
      <c r="AU309" s="105"/>
      <c r="AV309" s="105"/>
      <c r="AW309" s="105"/>
      <c r="AX309" s="105"/>
      <c r="AY309" s="105"/>
      <c r="AZ309" s="105"/>
      <c r="BA309" s="105"/>
    </row>
    <row r="310">
      <c r="A310" s="506" t="str">
        <f>IFERROR(__xludf.DUMMYFUNCTION("""COMPUTED_VALUE"""),"PEN O&amp;L/DEPRECIATION")</f>
        <v>PEN O&amp;L/DEPRECIATION</v>
      </c>
      <c r="B310" s="506" t="str">
        <f>IFERROR(__xludf.DUMMYFUNCTION("""COMPUTED_VALUE"""),"Joshua")</f>
        <v>Joshua</v>
      </c>
      <c r="C310" s="506" t="str">
        <f>IFERROR(__xludf.DUMMYFUNCTION("""COMPUTED_VALUE"""),"Melinda Holland")</f>
        <v>Melinda Holland</v>
      </c>
      <c r="D310" s="506" t="str">
        <f>IFERROR(__xludf.DUMMYFUNCTION("""COMPUTED_VALUE"""),"786-501-0203")</f>
        <v>786-501-0203</v>
      </c>
      <c r="E310" s="506" t="str">
        <f>IFERROR(__xludf.DUMMYFUNCTION("""COMPUTED_VALUE"""),"melinda.isabel@yahoo.com ")</f>
        <v>melinda.isabel@yahoo.com </v>
      </c>
      <c r="F310" s="506" t="str">
        <f>IFERROR(__xludf.DUMMYFUNCTION("""COMPUTED_VALUE"""),"5303 Eagle Dr Fort Pierce, FL 34951")</f>
        <v>5303 Eagle Dr Fort Pierce, FL 34951</v>
      </c>
      <c r="G310" s="506" t="str">
        <f>IFERROR(__xludf.DUMMYFUNCTION("""COMPUTED_VALUE"""),"Hurricane Milton")</f>
        <v>Hurricane Milton</v>
      </c>
      <c r="H310" s="506" t="str">
        <f>IFERROR(__xludf.DUMMYFUNCTION("""COMPUTED_VALUE"""),"Reopen")</f>
        <v>Reopen</v>
      </c>
      <c r="I310" s="505" t="b">
        <v>0</v>
      </c>
      <c r="J310" s="507" t="b">
        <v>0</v>
      </c>
      <c r="K310" s="112"/>
      <c r="L310" s="505" t="b">
        <v>0</v>
      </c>
      <c r="M310" s="504" t="b">
        <v>0</v>
      </c>
      <c r="N310" s="112"/>
      <c r="O310" s="505" t="b">
        <v>0</v>
      </c>
      <c r="P310" s="504" t="b">
        <v>0</v>
      </c>
      <c r="Q310" s="116"/>
      <c r="R310" s="505" t="b">
        <v>0</v>
      </c>
      <c r="S310" s="504" t="b">
        <v>0</v>
      </c>
      <c r="T310" s="117"/>
      <c r="U310" s="505" t="b">
        <v>0</v>
      </c>
      <c r="V310" s="504" t="b">
        <v>0</v>
      </c>
      <c r="W310" s="118"/>
      <c r="X310" s="505" t="b">
        <v>0</v>
      </c>
      <c r="Y310" s="504" t="b">
        <v>0</v>
      </c>
      <c r="Z310" s="119"/>
      <c r="AA310" s="505" t="b">
        <v>0</v>
      </c>
      <c r="AB310" s="504" t="b">
        <v>0</v>
      </c>
      <c r="AC310" s="121"/>
      <c r="AD310" s="505" t="b">
        <v>0</v>
      </c>
      <c r="AE310" s="504" t="b">
        <v>0</v>
      </c>
      <c r="AF310" s="125"/>
      <c r="AG310" s="505" t="b">
        <v>0</v>
      </c>
      <c r="AH310" s="504" t="b">
        <v>0</v>
      </c>
      <c r="AI310" s="105"/>
      <c r="AJ310" s="505" t="b">
        <v>0</v>
      </c>
      <c r="AK310" s="504" t="b">
        <v>0</v>
      </c>
      <c r="AL310" s="126"/>
      <c r="AM310" s="505" t="b">
        <v>0</v>
      </c>
      <c r="AN310" s="504" t="b">
        <v>0</v>
      </c>
      <c r="AO310" s="105"/>
      <c r="AP310" s="105"/>
      <c r="AQ310" s="105"/>
      <c r="AR310" s="105"/>
      <c r="AS310" s="105"/>
      <c r="AT310" s="105"/>
      <c r="AU310" s="105"/>
      <c r="AV310" s="105"/>
      <c r="AW310" s="105"/>
      <c r="AX310" s="105"/>
      <c r="AY310" s="105"/>
      <c r="AZ310" s="105"/>
      <c r="BA310" s="105"/>
    </row>
    <row r="311">
      <c r="A311" s="506" t="str">
        <f>IFERROR(__xludf.DUMMYFUNCTION("""COMPUTED_VALUE"""),"PEN O&amp;L/DEPRECIATION")</f>
        <v>PEN O&amp;L/DEPRECIATION</v>
      </c>
      <c r="B311" s="506" t="str">
        <f>IFERROR(__xludf.DUMMYFUNCTION("""COMPUTED_VALUE"""),"Juan")</f>
        <v>Juan</v>
      </c>
      <c r="C311" s="506" t="str">
        <f>IFERROR(__xludf.DUMMYFUNCTION("""COMPUTED_VALUE"""),"Luke Wheat ")</f>
        <v>Luke Wheat </v>
      </c>
      <c r="D311" s="506" t="str">
        <f>IFERROR(__xludf.DUMMYFUNCTION("""COMPUTED_VALUE"""),"765-894-3568")</f>
        <v>765-894-3568</v>
      </c>
      <c r="E311" s="506" t="str">
        <f>IFERROR(__xludf.DUMMYFUNCTION("""COMPUTED_VALUE"""),"Lukewheat@icloud.com")</f>
        <v>Lukewheat@icloud.com</v>
      </c>
      <c r="F311" s="506" t="str">
        <f>IFERROR(__xludf.DUMMYFUNCTION("""COMPUTED_VALUE"""),"715 Ixora Ave Ellenton, FL, 34222")</f>
        <v>715 Ixora Ave Ellenton, FL, 34222</v>
      </c>
      <c r="G311" s="506" t="str">
        <f>IFERROR(__xludf.DUMMYFUNCTION("""COMPUTED_VALUE"""),"Hurricane Milton")</f>
        <v>Hurricane Milton</v>
      </c>
      <c r="H311" s="506" t="str">
        <f>IFERROR(__xludf.DUMMYFUNCTION("""COMPUTED_VALUE"""),"New Claim")</f>
        <v>New Claim</v>
      </c>
      <c r="I311" s="505" t="b">
        <v>0</v>
      </c>
      <c r="J311" s="507" t="b">
        <v>0</v>
      </c>
      <c r="K311" s="112"/>
      <c r="L311" s="505" t="b">
        <v>0</v>
      </c>
      <c r="M311" s="504" t="b">
        <v>0</v>
      </c>
      <c r="N311" s="112"/>
      <c r="O311" s="505" t="b">
        <v>0</v>
      </c>
      <c r="P311" s="504" t="b">
        <v>0</v>
      </c>
      <c r="Q311" s="116"/>
      <c r="R311" s="505" t="b">
        <v>0</v>
      </c>
      <c r="S311" s="504" t="b">
        <v>0</v>
      </c>
      <c r="T311" s="117"/>
      <c r="U311" s="505" t="b">
        <v>0</v>
      </c>
      <c r="V311" s="504" t="b">
        <v>0</v>
      </c>
      <c r="W311" s="118"/>
      <c r="X311" s="505" t="b">
        <v>0</v>
      </c>
      <c r="Y311" s="504" t="b">
        <v>0</v>
      </c>
      <c r="Z311" s="119"/>
      <c r="AA311" s="505" t="b">
        <v>0</v>
      </c>
      <c r="AB311" s="504" t="b">
        <v>0</v>
      </c>
      <c r="AC311" s="121"/>
      <c r="AD311" s="505" t="b">
        <v>0</v>
      </c>
      <c r="AE311" s="504" t="b">
        <v>0</v>
      </c>
      <c r="AF311" s="125"/>
      <c r="AG311" s="505" t="b">
        <v>0</v>
      </c>
      <c r="AH311" s="504" t="b">
        <v>0</v>
      </c>
      <c r="AI311" s="105"/>
      <c r="AJ311" s="505" t="b">
        <v>0</v>
      </c>
      <c r="AK311" s="504" t="b">
        <v>0</v>
      </c>
      <c r="AL311" s="126"/>
      <c r="AM311" s="505" t="b">
        <v>0</v>
      </c>
      <c r="AN311" s="504" t="b">
        <v>0</v>
      </c>
      <c r="AO311" s="105"/>
      <c r="AP311" s="105"/>
      <c r="AQ311" s="105"/>
      <c r="AR311" s="105"/>
      <c r="AS311" s="105"/>
      <c r="AT311" s="105"/>
      <c r="AU311" s="105"/>
      <c r="AV311" s="105"/>
      <c r="AW311" s="105"/>
      <c r="AX311" s="105"/>
      <c r="AY311" s="105"/>
      <c r="AZ311" s="105"/>
      <c r="BA311" s="105"/>
    </row>
    <row r="312">
      <c r="A312" s="506" t="str">
        <f>IFERROR(__xludf.DUMMYFUNCTION("""COMPUTED_VALUE"""),"SETTLED")</f>
        <v>SETTLED</v>
      </c>
      <c r="B312" s="506" t="str">
        <f>IFERROR(__xludf.DUMMYFUNCTION("""COMPUTED_VALUE"""),"Ivan")</f>
        <v>Ivan</v>
      </c>
      <c r="C312" s="105" t="str">
        <f>IFERROR(__xludf.DUMMYFUNCTION("""COMPUTED_VALUE"""),"Hector &amp; Frances Rodriguez")</f>
        <v>Hector &amp; Frances Rodriguez</v>
      </c>
      <c r="D312" s="506" t="str">
        <f>IFERROR(__xludf.DUMMYFUNCTION("""COMPUTED_VALUE"""),"407-844-4733")</f>
        <v>407-844-4733</v>
      </c>
      <c r="E312" s="506" t="str">
        <f>IFERROR(__xludf.DUMMYFUNCTION("""COMPUTED_VALUE"""),"rickrodriguez@aol.com")</f>
        <v>rickrodriguez@aol.com</v>
      </c>
      <c r="F312" s="506" t="str">
        <f>IFERROR(__xludf.DUMMYFUNCTION("""COMPUTED_VALUE"""),"2806 Hardwood Court Kissimmee, FL 34744")</f>
        <v>2806 Hardwood Court Kissimmee, FL 34744</v>
      </c>
      <c r="G312" s="506" t="str">
        <f>IFERROR(__xludf.DUMMYFUNCTION("""COMPUTED_VALUE"""),"AWD")</f>
        <v>AWD</v>
      </c>
      <c r="H312" s="506" t="str">
        <f>IFERROR(__xludf.DUMMYFUNCTION("""COMPUTED_VALUE"""),"Reopen")</f>
        <v>Reopen</v>
      </c>
      <c r="I312" s="505" t="b">
        <v>0</v>
      </c>
      <c r="J312" s="507" t="b">
        <v>0</v>
      </c>
      <c r="K312" s="112"/>
      <c r="L312" s="505" t="b">
        <v>0</v>
      </c>
      <c r="M312" s="504" t="b">
        <v>0</v>
      </c>
      <c r="N312" s="112"/>
      <c r="O312" s="505" t="b">
        <v>0</v>
      </c>
      <c r="P312" s="504" t="b">
        <v>0</v>
      </c>
      <c r="Q312" s="116"/>
      <c r="R312" s="505" t="b">
        <v>0</v>
      </c>
      <c r="S312" s="504" t="b">
        <v>0</v>
      </c>
      <c r="T312" s="117"/>
      <c r="U312" s="505" t="b">
        <v>0</v>
      </c>
      <c r="V312" s="504" t="b">
        <v>0</v>
      </c>
      <c r="W312" s="118"/>
      <c r="X312" s="505" t="b">
        <v>0</v>
      </c>
      <c r="Y312" s="504" t="b">
        <v>0</v>
      </c>
      <c r="Z312" s="119"/>
      <c r="AA312" s="505" t="b">
        <v>0</v>
      </c>
      <c r="AB312" s="504" t="b">
        <v>0</v>
      </c>
      <c r="AC312" s="121"/>
      <c r="AD312" s="505" t="b">
        <v>0</v>
      </c>
      <c r="AE312" s="504" t="b">
        <v>0</v>
      </c>
      <c r="AF312" s="125"/>
      <c r="AG312" s="505" t="b">
        <v>0</v>
      </c>
      <c r="AH312" s="504" t="b">
        <v>0</v>
      </c>
      <c r="AI312" s="105"/>
      <c r="AJ312" s="505" t="b">
        <v>0</v>
      </c>
      <c r="AK312" s="504" t="b">
        <v>0</v>
      </c>
      <c r="AL312" s="126"/>
      <c r="AM312" s="505" t="b">
        <v>0</v>
      </c>
      <c r="AN312" s="504" t="b">
        <v>0</v>
      </c>
      <c r="AO312" s="105"/>
      <c r="AP312" s="105"/>
      <c r="AQ312" s="105"/>
      <c r="AR312" s="105"/>
      <c r="AS312" s="105"/>
      <c r="AT312" s="105"/>
      <c r="AU312" s="105"/>
      <c r="AV312" s="105"/>
      <c r="AW312" s="105"/>
      <c r="AX312" s="105"/>
      <c r="AY312" s="105"/>
      <c r="AZ312" s="105"/>
      <c r="BA312" s="105"/>
    </row>
    <row r="313">
      <c r="A313" s="105" t="str">
        <f>IFERROR(__xludf.DUMMYFUNCTION("""COMPUTED_VALUE"""),"SETTLED")</f>
        <v>SETTLED</v>
      </c>
      <c r="B313" s="105" t="str">
        <f>IFERROR(__xludf.DUMMYFUNCTION("""COMPUTED_VALUE"""),"Chris / Joshua")</f>
        <v>Chris / Joshua</v>
      </c>
      <c r="C313" s="506" t="str">
        <f>IFERROR(__xludf.DUMMYFUNCTION("""COMPUTED_VALUE"""),"Celso Mendez ")</f>
        <v>Celso Mendez </v>
      </c>
      <c r="D313" s="506" t="str">
        <f>IFERROR(__xludf.DUMMYFUNCTION("""COMPUTED_VALUE"""),"813-679-3589")</f>
        <v>813-679-3589</v>
      </c>
      <c r="E313" s="506" t="str">
        <f>IFERROR(__xludf.DUMMYFUNCTION("""COMPUTED_VALUE"""),"Celso.mendez@yahoo.com")</f>
        <v>Celso.mendez@yahoo.com</v>
      </c>
      <c r="F313" s="506" t="str">
        <f>IFERROR(__xludf.DUMMYFUNCTION("""COMPUTED_VALUE"""),"2113 Song Sparrow Ct Ruskin FL 33570")</f>
        <v>2113 Song Sparrow Ct Ruskin FL 33570</v>
      </c>
      <c r="G313" s="506" t="str">
        <f>IFERROR(__xludf.DUMMYFUNCTION("""COMPUTED_VALUE"""),"Hurricane Milton")</f>
        <v>Hurricane Milton</v>
      </c>
      <c r="H313" s="506" t="str">
        <f>IFERROR(__xludf.DUMMYFUNCTION("""COMPUTED_VALUE"""),"Reopen")</f>
        <v>Reopen</v>
      </c>
      <c r="I313" s="505" t="b">
        <v>0</v>
      </c>
      <c r="J313" s="507" t="b">
        <v>0</v>
      </c>
      <c r="K313" s="112"/>
      <c r="L313" s="505" t="b">
        <v>0</v>
      </c>
      <c r="M313" s="504" t="b">
        <v>0</v>
      </c>
      <c r="N313" s="112"/>
      <c r="O313" s="505" t="b">
        <v>0</v>
      </c>
      <c r="P313" s="504" t="b">
        <v>0</v>
      </c>
      <c r="Q313" s="116"/>
      <c r="R313" s="505" t="b">
        <v>0</v>
      </c>
      <c r="S313" s="504" t="b">
        <v>0</v>
      </c>
      <c r="T313" s="117"/>
      <c r="U313" s="505" t="b">
        <v>0</v>
      </c>
      <c r="V313" s="504" t="b">
        <v>0</v>
      </c>
      <c r="W313" s="118"/>
      <c r="X313" s="505" t="b">
        <v>0</v>
      </c>
      <c r="Y313" s="504" t="b">
        <v>0</v>
      </c>
      <c r="Z313" s="119"/>
      <c r="AA313" s="505" t="b">
        <v>0</v>
      </c>
      <c r="AB313" s="504" t="b">
        <v>0</v>
      </c>
      <c r="AC313" s="121"/>
      <c r="AD313" s="505" t="b">
        <v>0</v>
      </c>
      <c r="AE313" s="504" t="b">
        <v>0</v>
      </c>
      <c r="AF313" s="125"/>
      <c r="AG313" s="505" t="b">
        <v>0</v>
      </c>
      <c r="AH313" s="504" t="b">
        <v>0</v>
      </c>
      <c r="AI313" s="105"/>
      <c r="AJ313" s="505" t="b">
        <v>0</v>
      </c>
      <c r="AK313" s="504" t="b">
        <v>0</v>
      </c>
      <c r="AL313" s="126"/>
      <c r="AM313" s="505" t="b">
        <v>0</v>
      </c>
      <c r="AN313" s="504" t="b">
        <v>0</v>
      </c>
      <c r="AO313" s="105"/>
      <c r="AP313" s="105"/>
      <c r="AQ313" s="105"/>
      <c r="AR313" s="105"/>
      <c r="AS313" s="105"/>
      <c r="AT313" s="105"/>
      <c r="AU313" s="105"/>
      <c r="AV313" s="105"/>
      <c r="AW313" s="105"/>
      <c r="AX313" s="105"/>
      <c r="AY313" s="105"/>
      <c r="AZ313" s="105"/>
      <c r="BA313" s="105"/>
    </row>
    <row r="314">
      <c r="A314" s="105" t="str">
        <f>IFERROR(__xludf.DUMMYFUNCTION("""COMPUTED_VALUE"""),"SETTLED")</f>
        <v>SETTLED</v>
      </c>
      <c r="B314" s="506" t="str">
        <f>IFERROR(__xludf.DUMMYFUNCTION("""COMPUTED_VALUE"""),"Joshua")</f>
        <v>Joshua</v>
      </c>
      <c r="C314" s="506" t="str">
        <f>IFERROR(__xludf.DUMMYFUNCTION("""COMPUTED_VALUE"""),"Alfredo Fley ")</f>
        <v>Alfredo Fley </v>
      </c>
      <c r="D314" s="506" t="str">
        <f>IFERROR(__xludf.DUMMYFUNCTION("""COMPUTED_VALUE"""),"646-453-9854")</f>
        <v>646-453-9854</v>
      </c>
      <c r="E314" s="506" t="str">
        <f>IFERROR(__xludf.DUMMYFUNCTION("""COMPUTED_VALUE"""),"Alfredofley@yahoo.com")</f>
        <v>Alfredofley@yahoo.com</v>
      </c>
      <c r="F314" s="506" t="str">
        <f>IFERROR(__xludf.DUMMYFUNCTION("""COMPUTED_VALUE"""),"836 Golf Dr Venice, FL 34285")</f>
        <v>836 Golf Dr Venice, FL 34285</v>
      </c>
      <c r="G314" s="506" t="str">
        <f>IFERROR(__xludf.DUMMYFUNCTION("""COMPUTED_VALUE"""),"Hurricane Debby")</f>
        <v>Hurricane Debby</v>
      </c>
      <c r="H314" s="506" t="str">
        <f>IFERROR(__xludf.DUMMYFUNCTION("""COMPUTED_VALUE"""),"New Claim")</f>
        <v>New Claim</v>
      </c>
      <c r="I314" s="505" t="b">
        <v>0</v>
      </c>
      <c r="J314" s="507" t="b">
        <v>0</v>
      </c>
      <c r="K314" s="112"/>
      <c r="L314" s="505" t="b">
        <v>0</v>
      </c>
      <c r="M314" s="504" t="b">
        <v>0</v>
      </c>
      <c r="N314" s="112"/>
      <c r="O314" s="505" t="b">
        <v>0</v>
      </c>
      <c r="P314" s="504" t="b">
        <v>0</v>
      </c>
      <c r="Q314" s="116"/>
      <c r="R314" s="505" t="b">
        <v>0</v>
      </c>
      <c r="S314" s="504" t="b">
        <v>0</v>
      </c>
      <c r="T314" s="117"/>
      <c r="U314" s="505" t="b">
        <v>0</v>
      </c>
      <c r="V314" s="504" t="b">
        <v>0</v>
      </c>
      <c r="W314" s="118"/>
      <c r="X314" s="505" t="b">
        <v>0</v>
      </c>
      <c r="Y314" s="504" t="b">
        <v>0</v>
      </c>
      <c r="Z314" s="119"/>
      <c r="AA314" s="505" t="b">
        <v>0</v>
      </c>
      <c r="AB314" s="504" t="b">
        <v>0</v>
      </c>
      <c r="AC314" s="121"/>
      <c r="AD314" s="505" t="b">
        <v>0</v>
      </c>
      <c r="AE314" s="504" t="b">
        <v>0</v>
      </c>
      <c r="AF314" s="125"/>
      <c r="AG314" s="505" t="b">
        <v>0</v>
      </c>
      <c r="AH314" s="504" t="b">
        <v>0</v>
      </c>
      <c r="AI314" s="105"/>
      <c r="AJ314" s="505" t="b">
        <v>0</v>
      </c>
      <c r="AK314" s="504" t="b">
        <v>0</v>
      </c>
      <c r="AL314" s="126"/>
      <c r="AM314" s="505" t="b">
        <v>0</v>
      </c>
      <c r="AN314" s="504" t="b">
        <v>0</v>
      </c>
      <c r="AO314" s="105"/>
      <c r="AP314" s="105"/>
      <c r="AQ314" s="105"/>
      <c r="AR314" s="105"/>
      <c r="AS314" s="105"/>
      <c r="AT314" s="105"/>
      <c r="AU314" s="105"/>
      <c r="AV314" s="105"/>
      <c r="AW314" s="105"/>
      <c r="AX314" s="105"/>
      <c r="AY314" s="105"/>
      <c r="AZ314" s="105"/>
      <c r="BA314" s="105"/>
    </row>
    <row r="315">
      <c r="A315" s="506" t="str">
        <f>IFERROR(__xludf.DUMMYFUNCTION("""COMPUTED_VALUE"""),"PEN O&amp;L/DEPRECIATION")</f>
        <v>PEN O&amp;L/DEPRECIATION</v>
      </c>
      <c r="B315" s="105" t="str">
        <f>IFERROR(__xludf.DUMMYFUNCTION("""COMPUTED_VALUE"""),"Chris / Joshua")</f>
        <v>Chris / Joshua</v>
      </c>
      <c r="C315" s="506" t="str">
        <f>IFERROR(__xludf.DUMMYFUNCTION("""COMPUTED_VALUE"""),"John Alicea")</f>
        <v>John Alicea</v>
      </c>
      <c r="D315" s="506" t="str">
        <f>IFERROR(__xludf.DUMMYFUNCTION("""COMPUTED_VALUE"""),"773-858-0315")</f>
        <v>773-858-0315</v>
      </c>
      <c r="E315" s="506" t="str">
        <f>IFERROR(__xludf.DUMMYFUNCTION("""COMPUTED_VALUE"""),"Johnluvsbaby@gmail.com")</f>
        <v>Johnluvsbaby@gmail.com</v>
      </c>
      <c r="F315" s="506" t="str">
        <f>IFERROR(__xludf.DUMMYFUNCTION("""COMPUTED_VALUE"""),"2225 Unity Village Dr Ruskin, FL 33570 ")</f>
        <v>2225 Unity Village Dr Ruskin, FL 33570 </v>
      </c>
      <c r="G315" s="506" t="str">
        <f>IFERROR(__xludf.DUMMYFUNCTION("""COMPUTED_VALUE"""),"Hurricane Milton")</f>
        <v>Hurricane Milton</v>
      </c>
      <c r="H315" s="105" t="str">
        <f>IFERROR(__xludf.DUMMYFUNCTION("""COMPUTED_VALUE"""),"New Claim")</f>
        <v>New Claim</v>
      </c>
      <c r="I315" s="505" t="b">
        <v>0</v>
      </c>
      <c r="J315" s="507" t="b">
        <v>0</v>
      </c>
      <c r="K315" s="112"/>
      <c r="L315" s="505" t="b">
        <v>0</v>
      </c>
      <c r="M315" s="504" t="b">
        <v>0</v>
      </c>
      <c r="N315" s="112"/>
      <c r="O315" s="505" t="b">
        <v>0</v>
      </c>
      <c r="P315" s="504" t="b">
        <v>0</v>
      </c>
      <c r="Q315" s="116"/>
      <c r="R315" s="505" t="b">
        <v>0</v>
      </c>
      <c r="S315" s="504" t="b">
        <v>0</v>
      </c>
      <c r="T315" s="117"/>
      <c r="U315" s="505" t="b">
        <v>0</v>
      </c>
      <c r="V315" s="504" t="b">
        <v>0</v>
      </c>
      <c r="W315" s="118"/>
      <c r="X315" s="505" t="b">
        <v>0</v>
      </c>
      <c r="Y315" s="504" t="b">
        <v>0</v>
      </c>
      <c r="Z315" s="119"/>
      <c r="AA315" s="505" t="b">
        <v>0</v>
      </c>
      <c r="AB315" s="504" t="b">
        <v>0</v>
      </c>
      <c r="AC315" s="121"/>
      <c r="AD315" s="505" t="b">
        <v>0</v>
      </c>
      <c r="AE315" s="504" t="b">
        <v>0</v>
      </c>
      <c r="AF315" s="125"/>
      <c r="AG315" s="505" t="b">
        <v>0</v>
      </c>
      <c r="AH315" s="504" t="b">
        <v>0</v>
      </c>
      <c r="AI315" s="105"/>
      <c r="AJ315" s="505" t="b">
        <v>0</v>
      </c>
      <c r="AK315" s="504" t="b">
        <v>0</v>
      </c>
      <c r="AL315" s="126"/>
      <c r="AM315" s="505" t="b">
        <v>0</v>
      </c>
      <c r="AN315" s="504" t="b">
        <v>0</v>
      </c>
      <c r="AO315" s="105"/>
      <c r="AP315" s="105"/>
      <c r="AQ315" s="105"/>
      <c r="AR315" s="105"/>
      <c r="AS315" s="105"/>
      <c r="AT315" s="105"/>
      <c r="AU315" s="105"/>
      <c r="AV315" s="105"/>
      <c r="AW315" s="105"/>
      <c r="AX315" s="105"/>
      <c r="AY315" s="105"/>
      <c r="AZ315" s="105"/>
      <c r="BA315" s="105"/>
    </row>
    <row r="316">
      <c r="A316" s="105" t="str">
        <f>IFERROR(__xludf.DUMMYFUNCTION("""COMPUTED_VALUE"""),"FEES PENDING")</f>
        <v>FEES PENDING</v>
      </c>
      <c r="B316" s="105" t="str">
        <f>IFERROR(__xludf.DUMMYFUNCTION("""COMPUTED_VALUE"""),"Juan")</f>
        <v>Juan</v>
      </c>
      <c r="C316" s="506" t="str">
        <f>IFERROR(__xludf.DUMMYFUNCTION("""COMPUTED_VALUE"""),"Dean Diehl")</f>
        <v>Dean Diehl</v>
      </c>
      <c r="D316" s="506" t="str">
        <f>IFERROR(__xludf.DUMMYFUNCTION("""COMPUTED_VALUE""")," 719-648-9504")</f>
        <v> 719-648-9504</v>
      </c>
      <c r="E316" s="506" t="str">
        <f>IFERROR(__xludf.DUMMYFUNCTION("""COMPUTED_VALUE"""),"ddiehl2010@gmail.com")</f>
        <v>ddiehl2010@gmail.com</v>
      </c>
      <c r="F316" s="506" t="str">
        <f>IFERROR(__xludf.DUMMYFUNCTION("""COMPUTED_VALUE"""),"1102 Sable CV Ruskin, FL 33570")</f>
        <v>1102 Sable CV Ruskin, FL 33570</v>
      </c>
      <c r="G316" s="506" t="str">
        <f>IFERROR(__xludf.DUMMYFUNCTION("""COMPUTED_VALUE"""),"Hurricane Milton")</f>
        <v>Hurricane Milton</v>
      </c>
      <c r="H316" s="105" t="str">
        <f>IFERROR(__xludf.DUMMYFUNCTION("""COMPUTED_VALUE"""),"Reopen")</f>
        <v>Reopen</v>
      </c>
      <c r="I316" s="505" t="b">
        <v>0</v>
      </c>
      <c r="J316" s="507" t="b">
        <v>0</v>
      </c>
      <c r="K316" s="112"/>
      <c r="L316" s="505" t="b">
        <v>0</v>
      </c>
      <c r="M316" s="504" t="b">
        <v>0</v>
      </c>
      <c r="N316" s="112"/>
      <c r="O316" s="505" t="b">
        <v>0</v>
      </c>
      <c r="P316" s="504" t="b">
        <v>0</v>
      </c>
      <c r="Q316" s="116"/>
      <c r="R316" s="505" t="b">
        <v>0</v>
      </c>
      <c r="S316" s="504" t="b">
        <v>0</v>
      </c>
      <c r="T316" s="117"/>
      <c r="U316" s="505" t="b">
        <v>0</v>
      </c>
      <c r="V316" s="504" t="b">
        <v>0</v>
      </c>
      <c r="W316" s="118"/>
      <c r="X316" s="505" t="b">
        <v>0</v>
      </c>
      <c r="Y316" s="504" t="b">
        <v>0</v>
      </c>
      <c r="Z316" s="119"/>
      <c r="AA316" s="505" t="b">
        <v>0</v>
      </c>
      <c r="AB316" s="504" t="b">
        <v>0</v>
      </c>
      <c r="AC316" s="121"/>
      <c r="AD316" s="505" t="b">
        <v>0</v>
      </c>
      <c r="AE316" s="504" t="b">
        <v>0</v>
      </c>
      <c r="AF316" s="125"/>
      <c r="AG316" s="505" t="b">
        <v>0</v>
      </c>
      <c r="AH316" s="504" t="b">
        <v>0</v>
      </c>
      <c r="AI316" s="105"/>
      <c r="AJ316" s="505" t="b">
        <v>0</v>
      </c>
      <c r="AK316" s="504" t="b">
        <v>0</v>
      </c>
      <c r="AL316" s="126"/>
      <c r="AM316" s="505" t="b">
        <v>0</v>
      </c>
      <c r="AN316" s="504" t="b">
        <v>0</v>
      </c>
      <c r="AO316" s="105"/>
      <c r="AP316" s="105"/>
      <c r="AQ316" s="105"/>
      <c r="AR316" s="105"/>
      <c r="AS316" s="105"/>
      <c r="AT316" s="105"/>
      <c r="AU316" s="105"/>
      <c r="AV316" s="105"/>
      <c r="AW316" s="105"/>
      <c r="AX316" s="105"/>
      <c r="AY316" s="105"/>
      <c r="AZ316" s="105"/>
      <c r="BA316" s="105"/>
    </row>
    <row r="317">
      <c r="A317" s="506" t="str">
        <f>IFERROR(__xludf.DUMMYFUNCTION("""COMPUTED_VALUE"""),"PEN O&amp;L/DEPRECIATION")</f>
        <v>PEN O&amp;L/DEPRECIATION</v>
      </c>
      <c r="B317" s="105" t="str">
        <f>IFERROR(__xludf.DUMMYFUNCTION("""COMPUTED_VALUE"""),"Chris / Joshua")</f>
        <v>Chris / Joshua</v>
      </c>
      <c r="C317" s="506" t="str">
        <f>IFERROR(__xludf.DUMMYFUNCTION("""COMPUTED_VALUE"""),"Robert Robles ")</f>
        <v>Robert Robles </v>
      </c>
      <c r="D317" s="506" t="str">
        <f>IFERROR(__xludf.DUMMYFUNCTION("""COMPUTED_VALUE"""),"941-704-8493")</f>
        <v>941-704-8493</v>
      </c>
      <c r="E317" s="506" t="str">
        <f>IFERROR(__xludf.DUMMYFUNCTION("""COMPUTED_VALUE"""),"Robbie.robles94@gmail.com")</f>
        <v>Robbie.robles94@gmail.com</v>
      </c>
      <c r="F317" s="506" t="str">
        <f>IFERROR(__xludf.DUMMYFUNCTION("""COMPUTED_VALUE"""),"504 50th Ave Ter W Bradenton FL 34207")</f>
        <v>504 50th Ave Ter W Bradenton FL 34207</v>
      </c>
      <c r="G317" s="506" t="str">
        <f>IFERROR(__xludf.DUMMYFUNCTION("""COMPUTED_VALUE"""),"Hurricane Milton")</f>
        <v>Hurricane Milton</v>
      </c>
      <c r="H317" s="105" t="str">
        <f>IFERROR(__xludf.DUMMYFUNCTION("""COMPUTED_VALUE"""),"Reopen")</f>
        <v>Reopen</v>
      </c>
      <c r="I317" s="505" t="b">
        <v>0</v>
      </c>
      <c r="J317" s="507" t="b">
        <v>0</v>
      </c>
      <c r="K317" s="112"/>
      <c r="L317" s="505" t="b">
        <v>0</v>
      </c>
      <c r="M317" s="504" t="b">
        <v>0</v>
      </c>
      <c r="N317" s="112"/>
      <c r="O317" s="505" t="b">
        <v>0</v>
      </c>
      <c r="P317" s="504" t="b">
        <v>0</v>
      </c>
      <c r="Q317" s="116"/>
      <c r="R317" s="505" t="b">
        <v>0</v>
      </c>
      <c r="S317" s="504" t="b">
        <v>0</v>
      </c>
      <c r="T317" s="117"/>
      <c r="U317" s="505" t="b">
        <v>0</v>
      </c>
      <c r="V317" s="504" t="b">
        <v>0</v>
      </c>
      <c r="W317" s="118"/>
      <c r="X317" s="505" t="b">
        <v>0</v>
      </c>
      <c r="Y317" s="504" t="b">
        <v>0</v>
      </c>
      <c r="Z317" s="119"/>
      <c r="AA317" s="505" t="b">
        <v>0</v>
      </c>
      <c r="AB317" s="504" t="b">
        <v>0</v>
      </c>
      <c r="AC317" s="121"/>
      <c r="AD317" s="505" t="b">
        <v>0</v>
      </c>
      <c r="AE317" s="504" t="b">
        <v>0</v>
      </c>
      <c r="AF317" s="125"/>
      <c r="AG317" s="505" t="b">
        <v>0</v>
      </c>
      <c r="AH317" s="504" t="b">
        <v>0</v>
      </c>
      <c r="AI317" s="105"/>
      <c r="AJ317" s="505" t="b">
        <v>0</v>
      </c>
      <c r="AK317" s="504" t="b">
        <v>0</v>
      </c>
      <c r="AL317" s="126"/>
      <c r="AM317" s="505" t="b">
        <v>0</v>
      </c>
      <c r="AN317" s="504" t="b">
        <v>0</v>
      </c>
      <c r="AO317" s="105"/>
      <c r="AP317" s="105"/>
      <c r="AQ317" s="105"/>
      <c r="AR317" s="105"/>
      <c r="AS317" s="105"/>
      <c r="AT317" s="105"/>
      <c r="AU317" s="105"/>
      <c r="AV317" s="105"/>
      <c r="AW317" s="105"/>
      <c r="AX317" s="105"/>
      <c r="AY317" s="105"/>
      <c r="AZ317" s="105"/>
      <c r="BA317" s="105"/>
    </row>
    <row r="318">
      <c r="A318" s="105" t="str">
        <f>IFERROR(__xludf.DUMMYFUNCTION("""COMPUTED_VALUE"""),"SETTLED")</f>
        <v>SETTLED</v>
      </c>
      <c r="B318" s="105" t="str">
        <f>IFERROR(__xludf.DUMMYFUNCTION("""COMPUTED_VALUE"""),"Chris / Joshua")</f>
        <v>Chris / Joshua</v>
      </c>
      <c r="C318" s="506" t="str">
        <f>IFERROR(__xludf.DUMMYFUNCTION("""COMPUTED_VALUE"""),"Joseph &amp; Wilza Metellus")</f>
        <v>Joseph &amp; Wilza Metellus</v>
      </c>
      <c r="D318" s="506" t="str">
        <f>IFERROR(__xludf.DUMMYFUNCTION("""COMPUTED_VALUE"""),"941-301-1981/ 941-807-7061")</f>
        <v>941-301-1981/ 941-807-7061</v>
      </c>
      <c r="E318" s="506" t="str">
        <f>IFERROR(__xludf.DUMMYFUNCTION("""COMPUTED_VALUE"""),"Wametellus@gmail.com")</f>
        <v>Wametellus@gmail.com</v>
      </c>
      <c r="F318" s="506" t="str">
        <f>IFERROR(__xludf.DUMMYFUNCTION("""COMPUTED_VALUE"""),"5612 25th St W Bradenton, FL 34207")</f>
        <v>5612 25th St W Bradenton, FL 34207</v>
      </c>
      <c r="G318" s="506" t="str">
        <f>IFERROR(__xludf.DUMMYFUNCTION("""COMPUTED_VALUE"""),"AWD")</f>
        <v>AWD</v>
      </c>
      <c r="H318" s="105" t="str">
        <f>IFERROR(__xludf.DUMMYFUNCTION("""COMPUTED_VALUE"""),"New Claim")</f>
        <v>New Claim</v>
      </c>
      <c r="I318" s="505" t="b">
        <v>0</v>
      </c>
      <c r="J318" s="507" t="b">
        <v>0</v>
      </c>
      <c r="K318" s="112"/>
      <c r="L318" s="505" t="b">
        <v>0</v>
      </c>
      <c r="M318" s="504" t="b">
        <v>0</v>
      </c>
      <c r="N318" s="112"/>
      <c r="O318" s="505" t="b">
        <v>0</v>
      </c>
      <c r="P318" s="504" t="b">
        <v>0</v>
      </c>
      <c r="Q318" s="116"/>
      <c r="R318" s="505" t="b">
        <v>0</v>
      </c>
      <c r="S318" s="504" t="b">
        <v>0</v>
      </c>
      <c r="T318" s="117"/>
      <c r="U318" s="505" t="b">
        <v>0</v>
      </c>
      <c r="V318" s="504" t="b">
        <v>0</v>
      </c>
      <c r="W318" s="118"/>
      <c r="X318" s="505" t="b">
        <v>0</v>
      </c>
      <c r="Y318" s="504" t="b">
        <v>0</v>
      </c>
      <c r="Z318" s="119"/>
      <c r="AA318" s="505" t="b">
        <v>0</v>
      </c>
      <c r="AB318" s="504" t="b">
        <v>0</v>
      </c>
      <c r="AC318" s="121"/>
      <c r="AD318" s="505" t="b">
        <v>0</v>
      </c>
      <c r="AE318" s="504" t="b">
        <v>0</v>
      </c>
      <c r="AF318" s="125"/>
      <c r="AG318" s="505" t="b">
        <v>0</v>
      </c>
      <c r="AH318" s="504" t="b">
        <v>0</v>
      </c>
      <c r="AI318" s="105"/>
      <c r="AJ318" s="505" t="b">
        <v>0</v>
      </c>
      <c r="AK318" s="504" t="b">
        <v>0</v>
      </c>
      <c r="AL318" s="126"/>
      <c r="AM318" s="505" t="b">
        <v>0</v>
      </c>
      <c r="AN318" s="504" t="b">
        <v>0</v>
      </c>
      <c r="AO318" s="105"/>
      <c r="AP318" s="105"/>
      <c r="AQ318" s="105"/>
      <c r="AR318" s="105"/>
      <c r="AS318" s="105"/>
      <c r="AT318" s="105"/>
      <c r="AU318" s="105"/>
      <c r="AV318" s="105"/>
      <c r="AW318" s="105"/>
      <c r="AX318" s="105"/>
      <c r="AY318" s="105"/>
      <c r="AZ318" s="105"/>
      <c r="BA318" s="105"/>
    </row>
    <row r="319">
      <c r="A319" s="105" t="str">
        <f>IFERROR(__xludf.DUMMYFUNCTION("""COMPUTED_VALUE"""),"SETTLED")</f>
        <v>SETTLED</v>
      </c>
      <c r="B319" s="105" t="str">
        <f>IFERROR(__xludf.DUMMYFUNCTION("""COMPUTED_VALUE"""),"Ivan")</f>
        <v>Ivan</v>
      </c>
      <c r="C319" s="506" t="str">
        <f>IFERROR(__xludf.DUMMYFUNCTION("""COMPUTED_VALUE"""),"Sylonie Graham")</f>
        <v>Sylonie Graham</v>
      </c>
      <c r="D319" s="506" t="str">
        <f>IFERROR(__xludf.DUMMYFUNCTION("""COMPUTED_VALUE"""),"561-299-7868")</f>
        <v>561-299-7868</v>
      </c>
      <c r="E319" s="506" t="str">
        <f>IFERROR(__xludf.DUMMYFUNCTION("""COMPUTED_VALUE"""),"sylonie.graham@gmail.com")</f>
        <v>sylonie.graham@gmail.com</v>
      </c>
      <c r="F319" s="506" t="str">
        <f>IFERROR(__xludf.DUMMYFUNCTION("""COMPUTED_VALUE"""),"1856 SW Fears Ave Port Saint Lucie, FL 34953")</f>
        <v>1856 SW Fears Ave Port Saint Lucie, FL 34953</v>
      </c>
      <c r="G319" s="506" t="str">
        <f>IFERROR(__xludf.DUMMYFUNCTION("""COMPUTED_VALUE"""),"Hurricane Milton")</f>
        <v>Hurricane Milton</v>
      </c>
      <c r="H319" s="105" t="str">
        <f>IFERROR(__xludf.DUMMYFUNCTION("""COMPUTED_VALUE"""),"New Claim")</f>
        <v>New Claim</v>
      </c>
      <c r="I319" s="505" t="b">
        <v>0</v>
      </c>
      <c r="J319" s="507" t="b">
        <v>0</v>
      </c>
      <c r="K319" s="112"/>
      <c r="L319" s="505" t="b">
        <v>0</v>
      </c>
      <c r="M319" s="504" t="b">
        <v>0</v>
      </c>
      <c r="N319" s="112"/>
      <c r="O319" s="505" t="b">
        <v>0</v>
      </c>
      <c r="P319" s="504" t="b">
        <v>0</v>
      </c>
      <c r="Q319" s="116"/>
      <c r="R319" s="505" t="b">
        <v>0</v>
      </c>
      <c r="S319" s="504" t="b">
        <v>0</v>
      </c>
      <c r="T319" s="117"/>
      <c r="U319" s="505" t="b">
        <v>0</v>
      </c>
      <c r="V319" s="504" t="b">
        <v>0</v>
      </c>
      <c r="W319" s="118"/>
      <c r="X319" s="505" t="b">
        <v>0</v>
      </c>
      <c r="Y319" s="504" t="b">
        <v>0</v>
      </c>
      <c r="Z319" s="119"/>
      <c r="AA319" s="505" t="b">
        <v>0</v>
      </c>
      <c r="AB319" s="504" t="b">
        <v>0</v>
      </c>
      <c r="AC319" s="121"/>
      <c r="AD319" s="505" t="b">
        <v>0</v>
      </c>
      <c r="AE319" s="504" t="b">
        <v>0</v>
      </c>
      <c r="AF319" s="125"/>
      <c r="AG319" s="505" t="b">
        <v>0</v>
      </c>
      <c r="AH319" s="504" t="b">
        <v>0</v>
      </c>
      <c r="AI319" s="105"/>
      <c r="AJ319" s="505" t="b">
        <v>0</v>
      </c>
      <c r="AK319" s="504" t="b">
        <v>0</v>
      </c>
      <c r="AL319" s="126"/>
      <c r="AM319" s="505" t="b">
        <v>0</v>
      </c>
      <c r="AN319" s="504" t="b">
        <v>0</v>
      </c>
      <c r="AO319" s="105"/>
      <c r="AP319" s="105"/>
      <c r="AQ319" s="105"/>
      <c r="AR319" s="105"/>
      <c r="AS319" s="105"/>
      <c r="AT319" s="105"/>
      <c r="AU319" s="105"/>
      <c r="AV319" s="105"/>
      <c r="AW319" s="105"/>
      <c r="AX319" s="105"/>
      <c r="AY319" s="105"/>
      <c r="AZ319" s="105"/>
      <c r="BA319" s="105"/>
    </row>
    <row r="320">
      <c r="A320" s="105" t="str">
        <f>IFERROR(__xludf.DUMMYFUNCTION("""COMPUTED_VALUE"""),"CLSD CLAIMS")</f>
        <v>CLSD CLAIMS</v>
      </c>
      <c r="B320" s="506" t="str">
        <f>IFERROR(__xludf.DUMMYFUNCTION("""COMPUTED_VALUE"""),"Juan")</f>
        <v>Juan</v>
      </c>
      <c r="C320" s="506" t="str">
        <f>IFERROR(__xludf.DUMMYFUNCTION("""COMPUTED_VALUE"""),"Barrington &amp; Conchita James")</f>
        <v>Barrington &amp; Conchita James</v>
      </c>
      <c r="D320" s="506" t="str">
        <f>IFERROR(__xludf.DUMMYFUNCTION("""COMPUTED_VALUE"""),"863-682-6676")</f>
        <v>863-682-6676</v>
      </c>
      <c r="E320" s="506" t="str">
        <f>IFERROR(__xludf.DUMMYFUNCTION("""COMPUTED_VALUE"""),"conchitajames626@gmail.com")</f>
        <v>conchitajames626@gmail.com</v>
      </c>
      <c r="F320" s="506" t="str">
        <f>IFERROR(__xludf.DUMMYFUNCTION("""COMPUTED_VALUE"""),"1722 Staunton Ave Lakeland FL 33803")</f>
        <v>1722 Staunton Ave Lakeland FL 33803</v>
      </c>
      <c r="G320" s="506" t="str">
        <f>IFERROR(__xludf.DUMMYFUNCTION("""COMPUTED_VALUE"""),"Windstorm")</f>
        <v>Windstorm</v>
      </c>
      <c r="H320" s="506" t="str">
        <f>IFERROR(__xludf.DUMMYFUNCTION("""COMPUTED_VALUE"""),"New Claim")</f>
        <v>New Claim</v>
      </c>
      <c r="I320" s="505" t="b">
        <v>0</v>
      </c>
      <c r="J320" s="507" t="b">
        <v>0</v>
      </c>
      <c r="K320" s="112"/>
      <c r="L320" s="505" t="b">
        <v>0</v>
      </c>
      <c r="M320" s="504" t="b">
        <v>0</v>
      </c>
      <c r="N320" s="112"/>
      <c r="O320" s="505" t="b">
        <v>0</v>
      </c>
      <c r="P320" s="504" t="b">
        <v>0</v>
      </c>
      <c r="Q320" s="116"/>
      <c r="R320" s="505" t="b">
        <v>0</v>
      </c>
      <c r="S320" s="504" t="b">
        <v>0</v>
      </c>
      <c r="T320" s="117"/>
      <c r="U320" s="505" t="b">
        <v>0</v>
      </c>
      <c r="V320" s="504" t="b">
        <v>0</v>
      </c>
      <c r="W320" s="118"/>
      <c r="X320" s="505" t="b">
        <v>0</v>
      </c>
      <c r="Y320" s="504" t="b">
        <v>0</v>
      </c>
      <c r="Z320" s="119"/>
      <c r="AA320" s="505" t="b">
        <v>0</v>
      </c>
      <c r="AB320" s="504" t="b">
        <v>0</v>
      </c>
      <c r="AC320" s="121"/>
      <c r="AD320" s="505" t="b">
        <v>0</v>
      </c>
      <c r="AE320" s="504" t="b">
        <v>0</v>
      </c>
      <c r="AF320" s="125"/>
      <c r="AG320" s="505" t="b">
        <v>0</v>
      </c>
      <c r="AH320" s="504" t="b">
        <v>0</v>
      </c>
      <c r="AI320" s="105"/>
      <c r="AJ320" s="505" t="b">
        <v>0</v>
      </c>
      <c r="AK320" s="504" t="b">
        <v>0</v>
      </c>
      <c r="AL320" s="126"/>
      <c r="AM320" s="505" t="b">
        <v>0</v>
      </c>
      <c r="AN320" s="504" t="b">
        <v>0</v>
      </c>
      <c r="AO320" s="105"/>
      <c r="AP320" s="105"/>
      <c r="AQ320" s="105"/>
      <c r="AR320" s="105"/>
      <c r="AS320" s="105"/>
      <c r="AT320" s="105"/>
      <c r="AU320" s="105"/>
      <c r="AV320" s="105"/>
      <c r="AW320" s="105"/>
      <c r="AX320" s="105"/>
      <c r="AY320" s="105"/>
      <c r="AZ320" s="105"/>
      <c r="BA320" s="105"/>
    </row>
    <row r="321">
      <c r="A321" s="105" t="str">
        <f>IFERROR(__xludf.DUMMYFUNCTION("""COMPUTED_VALUE"""),"CLSD CLAIMS")</f>
        <v>CLSD CLAIMS</v>
      </c>
      <c r="B321" s="506" t="str">
        <f>IFERROR(__xludf.DUMMYFUNCTION("""COMPUTED_VALUE"""),"Juan")</f>
        <v>Juan</v>
      </c>
      <c r="C321" s="506" t="str">
        <f>IFERROR(__xludf.DUMMYFUNCTION("""COMPUTED_VALUE"""),"Barrington &amp; Conchita James")</f>
        <v>Barrington &amp; Conchita James</v>
      </c>
      <c r="D321" s="506" t="str">
        <f>IFERROR(__xludf.DUMMYFUNCTION("""COMPUTED_VALUE"""),"863-682-6676")</f>
        <v>863-682-6676</v>
      </c>
      <c r="E321" s="506" t="str">
        <f>IFERROR(__xludf.DUMMYFUNCTION("""COMPUTED_VALUE"""),"conchitajames626@gmail.com")</f>
        <v>conchitajames626@gmail.com</v>
      </c>
      <c r="F321" s="506" t="str">
        <f>IFERROR(__xludf.DUMMYFUNCTION("""COMPUTED_VALUE"""),"1722 Staunton Ave Lakeland FL 33803")</f>
        <v>1722 Staunton Ave Lakeland FL 33803</v>
      </c>
      <c r="G321" s="506" t="str">
        <f>IFERROR(__xludf.DUMMYFUNCTION("""COMPUTED_VALUE"""),"Windstorm")</f>
        <v>Windstorm</v>
      </c>
      <c r="H321" s="506" t="str">
        <f>IFERROR(__xludf.DUMMYFUNCTION("""COMPUTED_VALUE"""),"New Claim")</f>
        <v>New Claim</v>
      </c>
      <c r="I321" s="505" t="b">
        <v>0</v>
      </c>
      <c r="J321" s="507" t="b">
        <v>0</v>
      </c>
      <c r="K321" s="112"/>
      <c r="L321" s="505" t="b">
        <v>0</v>
      </c>
      <c r="M321" s="504" t="b">
        <v>0</v>
      </c>
      <c r="N321" s="112"/>
      <c r="O321" s="505" t="b">
        <v>0</v>
      </c>
      <c r="P321" s="504" t="b">
        <v>0</v>
      </c>
      <c r="Q321" s="116"/>
      <c r="R321" s="505" t="b">
        <v>0</v>
      </c>
      <c r="S321" s="504" t="b">
        <v>0</v>
      </c>
      <c r="T321" s="117"/>
      <c r="U321" s="505" t="b">
        <v>0</v>
      </c>
      <c r="V321" s="504" t="b">
        <v>0</v>
      </c>
      <c r="W321" s="118"/>
      <c r="X321" s="505" t="b">
        <v>0</v>
      </c>
      <c r="Y321" s="504" t="b">
        <v>0</v>
      </c>
      <c r="Z321" s="119"/>
      <c r="AA321" s="505" t="b">
        <v>0</v>
      </c>
      <c r="AB321" s="504" t="b">
        <v>0</v>
      </c>
      <c r="AC321" s="121"/>
      <c r="AD321" s="505" t="b">
        <v>0</v>
      </c>
      <c r="AE321" s="504" t="b">
        <v>0</v>
      </c>
      <c r="AF321" s="125"/>
      <c r="AG321" s="505" t="b">
        <v>0</v>
      </c>
      <c r="AH321" s="504" t="b">
        <v>0</v>
      </c>
      <c r="AI321" s="105"/>
      <c r="AJ321" s="505" t="b">
        <v>0</v>
      </c>
      <c r="AK321" s="504" t="b">
        <v>0</v>
      </c>
      <c r="AL321" s="126"/>
      <c r="AM321" s="505" t="b">
        <v>0</v>
      </c>
      <c r="AN321" s="504" t="b">
        <v>0</v>
      </c>
      <c r="AO321" s="105"/>
      <c r="AP321" s="105"/>
      <c r="AQ321" s="105"/>
      <c r="AR321" s="105"/>
      <c r="AS321" s="105"/>
      <c r="AT321" s="105"/>
      <c r="AU321" s="105"/>
      <c r="AV321" s="105"/>
      <c r="AW321" s="105"/>
      <c r="AX321" s="105"/>
      <c r="AY321" s="105"/>
      <c r="AZ321" s="105"/>
      <c r="BA321" s="105"/>
    </row>
    <row r="322">
      <c r="A322" s="105" t="str">
        <f>IFERROR(__xludf.DUMMYFUNCTION("""COMPUTED_VALUE"""),"SETTLED")</f>
        <v>SETTLED</v>
      </c>
      <c r="B322" s="105" t="str">
        <f>IFERROR(__xludf.DUMMYFUNCTION("""COMPUTED_VALUE"""),"Ivan")</f>
        <v>Ivan</v>
      </c>
      <c r="C322" s="506" t="str">
        <f>IFERROR(__xludf.DUMMYFUNCTION("""COMPUTED_VALUE"""),"Bruce Cohen")</f>
        <v>Bruce Cohen</v>
      </c>
      <c r="D322" s="506" t="str">
        <f>IFERROR(__xludf.DUMMYFUNCTION("""COMPUTED_VALUE"""),"210-324-6735")</f>
        <v>210-324-6735</v>
      </c>
      <c r="E322" s="506" t="str">
        <f>IFERROR(__xludf.DUMMYFUNCTION("""COMPUTED_VALUE"""),"bj.cohen@yahoo.com")</f>
        <v>bj.cohen@yahoo.com</v>
      </c>
      <c r="F322" s="506" t="str">
        <f>IFERROR(__xludf.DUMMYFUNCTION("""COMPUTED_VALUE"""),"1820 SW Citadel Ave Port Saint Lucie FL 34953")</f>
        <v>1820 SW Citadel Ave Port Saint Lucie FL 34953</v>
      </c>
      <c r="G322" s="506" t="str">
        <f>IFERROR(__xludf.DUMMYFUNCTION("""COMPUTED_VALUE"""),"Hurricane Milton")</f>
        <v>Hurricane Milton</v>
      </c>
      <c r="H322" s="105" t="str">
        <f>IFERROR(__xludf.DUMMYFUNCTION("""COMPUTED_VALUE"""),"Reopen")</f>
        <v>Reopen</v>
      </c>
      <c r="I322" s="505" t="b">
        <v>0</v>
      </c>
      <c r="J322" s="507" t="b">
        <v>0</v>
      </c>
      <c r="K322" s="112"/>
      <c r="L322" s="505" t="b">
        <v>0</v>
      </c>
      <c r="M322" s="504" t="b">
        <v>0</v>
      </c>
      <c r="N322" s="112"/>
      <c r="O322" s="505" t="b">
        <v>0</v>
      </c>
      <c r="P322" s="504" t="b">
        <v>0</v>
      </c>
      <c r="Q322" s="116"/>
      <c r="R322" s="505" t="b">
        <v>0</v>
      </c>
      <c r="S322" s="504" t="b">
        <v>0</v>
      </c>
      <c r="T322" s="117"/>
      <c r="U322" s="505" t="b">
        <v>0</v>
      </c>
      <c r="V322" s="504" t="b">
        <v>0</v>
      </c>
      <c r="W322" s="118"/>
      <c r="X322" s="505" t="b">
        <v>0</v>
      </c>
      <c r="Y322" s="504" t="b">
        <v>0</v>
      </c>
      <c r="Z322" s="119"/>
      <c r="AA322" s="505" t="b">
        <v>0</v>
      </c>
      <c r="AB322" s="504" t="b">
        <v>0</v>
      </c>
      <c r="AC322" s="121"/>
      <c r="AD322" s="505" t="b">
        <v>0</v>
      </c>
      <c r="AE322" s="504" t="b">
        <v>0</v>
      </c>
      <c r="AF322" s="125"/>
      <c r="AG322" s="505" t="b">
        <v>0</v>
      </c>
      <c r="AH322" s="504" t="b">
        <v>0</v>
      </c>
      <c r="AI322" s="105"/>
      <c r="AJ322" s="505" t="b">
        <v>0</v>
      </c>
      <c r="AK322" s="504" t="b">
        <v>0</v>
      </c>
      <c r="AL322" s="126"/>
      <c r="AM322" s="505" t="b">
        <v>0</v>
      </c>
      <c r="AN322" s="504" t="b">
        <v>0</v>
      </c>
      <c r="AO322" s="105"/>
      <c r="AP322" s="105"/>
      <c r="AQ322" s="105"/>
      <c r="AR322" s="105"/>
      <c r="AS322" s="105"/>
      <c r="AT322" s="105"/>
      <c r="AU322" s="105"/>
      <c r="AV322" s="105"/>
      <c r="AW322" s="105"/>
      <c r="AX322" s="105"/>
      <c r="AY322" s="105"/>
      <c r="AZ322" s="105"/>
      <c r="BA322" s="105"/>
    </row>
    <row r="323">
      <c r="A323" s="105" t="str">
        <f>IFERROR(__xludf.DUMMYFUNCTION("""COMPUTED_VALUE"""),"SETTLED")</f>
        <v>SETTLED</v>
      </c>
      <c r="B323" s="105" t="str">
        <f>IFERROR(__xludf.DUMMYFUNCTION("""COMPUTED_VALUE"""),"Juan")</f>
        <v>Juan</v>
      </c>
      <c r="C323" s="506" t="str">
        <f>IFERROR(__xludf.DUMMYFUNCTION("""COMPUTED_VALUE"""),"Daniel Croce")</f>
        <v>Daniel Croce</v>
      </c>
      <c r="D323" s="506" t="str">
        <f>IFERROR(__xludf.DUMMYFUNCTION("""COMPUTED_VALUE"""),"716-725-1484")</f>
        <v>716-725-1484</v>
      </c>
      <c r="E323" s="506" t="str">
        <f>IFERROR(__xludf.DUMMYFUNCTION("""COMPUTED_VALUE"""),"dinocroce85@hotmail.com")</f>
        <v>dinocroce85@hotmail.com</v>
      </c>
      <c r="F323" s="506" t="str">
        <f>IFERROR(__xludf.DUMMYFUNCTION("""COMPUTED_VALUE"""),"1206 Chesterfield Ave Ruskin, FL 33570")</f>
        <v>1206 Chesterfield Ave Ruskin, FL 33570</v>
      </c>
      <c r="G323" s="506" t="str">
        <f>IFERROR(__xludf.DUMMYFUNCTION("""COMPUTED_VALUE"""),"Hurricane Milton")</f>
        <v>Hurricane Milton</v>
      </c>
      <c r="H323" s="105" t="str">
        <f>IFERROR(__xludf.DUMMYFUNCTION("""COMPUTED_VALUE"""),"New Claim")</f>
        <v>New Claim</v>
      </c>
      <c r="I323" s="505" t="b">
        <v>0</v>
      </c>
      <c r="J323" s="507" t="b">
        <v>0</v>
      </c>
      <c r="K323" s="112"/>
      <c r="L323" s="505" t="b">
        <v>0</v>
      </c>
      <c r="M323" s="504" t="b">
        <v>0</v>
      </c>
      <c r="N323" s="112"/>
      <c r="O323" s="505" t="b">
        <v>0</v>
      </c>
      <c r="P323" s="504" t="b">
        <v>0</v>
      </c>
      <c r="Q323" s="116"/>
      <c r="R323" s="505" t="b">
        <v>0</v>
      </c>
      <c r="S323" s="504" t="b">
        <v>0</v>
      </c>
      <c r="T323" s="117"/>
      <c r="U323" s="505" t="b">
        <v>0</v>
      </c>
      <c r="V323" s="504" t="b">
        <v>0</v>
      </c>
      <c r="W323" s="118"/>
      <c r="X323" s="505" t="b">
        <v>0</v>
      </c>
      <c r="Y323" s="504" t="b">
        <v>0</v>
      </c>
      <c r="Z323" s="119"/>
      <c r="AA323" s="505" t="b">
        <v>0</v>
      </c>
      <c r="AB323" s="504" t="b">
        <v>0</v>
      </c>
      <c r="AC323" s="121"/>
      <c r="AD323" s="505" t="b">
        <v>0</v>
      </c>
      <c r="AE323" s="504" t="b">
        <v>0</v>
      </c>
      <c r="AF323" s="125"/>
      <c r="AG323" s="505" t="b">
        <v>0</v>
      </c>
      <c r="AH323" s="504" t="b">
        <v>0</v>
      </c>
      <c r="AI323" s="105"/>
      <c r="AJ323" s="505" t="b">
        <v>0</v>
      </c>
      <c r="AK323" s="504" t="b">
        <v>0</v>
      </c>
      <c r="AL323" s="126"/>
      <c r="AM323" s="505" t="b">
        <v>0</v>
      </c>
      <c r="AN323" s="504" t="b">
        <v>0</v>
      </c>
      <c r="AO323" s="105"/>
      <c r="AP323" s="105"/>
      <c r="AQ323" s="105"/>
      <c r="AR323" s="105"/>
      <c r="AS323" s="105"/>
      <c r="AT323" s="105"/>
      <c r="AU323" s="105"/>
      <c r="AV323" s="105"/>
      <c r="AW323" s="105"/>
      <c r="AX323" s="105"/>
      <c r="AY323" s="105"/>
      <c r="AZ323" s="105"/>
      <c r="BA323" s="105"/>
    </row>
    <row r="324">
      <c r="A324" s="105" t="str">
        <f>IFERROR(__xludf.DUMMYFUNCTION("""COMPUTED_VALUE"""),"CLSD CLAIMS")</f>
        <v>CLSD CLAIMS</v>
      </c>
      <c r="B324" s="105" t="str">
        <f>IFERROR(__xludf.DUMMYFUNCTION("""COMPUTED_VALUE"""),"Chris / Joshua")</f>
        <v>Chris / Joshua</v>
      </c>
      <c r="C324" s="506" t="str">
        <f>IFERROR(__xludf.DUMMYFUNCTION("""COMPUTED_VALUE"""),"Robert J Heerdt")</f>
        <v>Robert J Heerdt</v>
      </c>
      <c r="D324" s="506" t="str">
        <f>IFERROR(__xludf.DUMMYFUNCTION("""COMPUTED_VALUE"""),"813-344-8066")</f>
        <v>813-344-8066</v>
      </c>
      <c r="E324" s="506" t="str">
        <f>IFERROR(__xludf.DUMMYFUNCTION("""COMPUTED_VALUE"""),"David.heerdt@gmail.com")</f>
        <v>David.heerdt@gmail.com</v>
      </c>
      <c r="F324" s="506" t="str">
        <f>IFERROR(__xludf.DUMMYFUNCTION("""COMPUTED_VALUE"""),"1522 Harbor Blue St Ruskin FL 33570")</f>
        <v>1522 Harbor Blue St Ruskin FL 33570</v>
      </c>
      <c r="G324" s="506" t="str">
        <f>IFERROR(__xludf.DUMMYFUNCTION("""COMPUTED_VALUE"""),"Hurricane Milton")</f>
        <v>Hurricane Milton</v>
      </c>
      <c r="H324" s="105" t="str">
        <f>IFERROR(__xludf.DUMMYFUNCTION("""COMPUTED_VALUE"""),"Reopen")</f>
        <v>Reopen</v>
      </c>
      <c r="I324" s="505" t="b">
        <v>0</v>
      </c>
      <c r="J324" s="507" t="b">
        <v>0</v>
      </c>
      <c r="K324" s="112"/>
      <c r="L324" s="505" t="b">
        <v>0</v>
      </c>
      <c r="M324" s="504" t="b">
        <v>0</v>
      </c>
      <c r="N324" s="112"/>
      <c r="O324" s="505" t="b">
        <v>0</v>
      </c>
      <c r="P324" s="504" t="b">
        <v>0</v>
      </c>
      <c r="Q324" s="116"/>
      <c r="R324" s="505" t="b">
        <v>0</v>
      </c>
      <c r="S324" s="504" t="b">
        <v>0</v>
      </c>
      <c r="T324" s="117"/>
      <c r="U324" s="505" t="b">
        <v>0</v>
      </c>
      <c r="V324" s="504" t="b">
        <v>0</v>
      </c>
      <c r="W324" s="118"/>
      <c r="X324" s="505" t="b">
        <v>0</v>
      </c>
      <c r="Y324" s="504" t="b">
        <v>0</v>
      </c>
      <c r="Z324" s="119"/>
      <c r="AA324" s="505" t="b">
        <v>0</v>
      </c>
      <c r="AB324" s="504" t="b">
        <v>0</v>
      </c>
      <c r="AC324" s="121"/>
      <c r="AD324" s="505" t="b">
        <v>0</v>
      </c>
      <c r="AE324" s="504" t="b">
        <v>0</v>
      </c>
      <c r="AF324" s="125"/>
      <c r="AG324" s="505" t="b">
        <v>0</v>
      </c>
      <c r="AH324" s="504" t="b">
        <v>0</v>
      </c>
      <c r="AI324" s="105"/>
      <c r="AJ324" s="505" t="b">
        <v>0</v>
      </c>
      <c r="AK324" s="504" t="b">
        <v>0</v>
      </c>
      <c r="AL324" s="126"/>
      <c r="AM324" s="505" t="b">
        <v>0</v>
      </c>
      <c r="AN324" s="504" t="b">
        <v>0</v>
      </c>
      <c r="AO324" s="105"/>
      <c r="AP324" s="105"/>
      <c r="AQ324" s="105"/>
      <c r="AR324" s="105"/>
      <c r="AS324" s="105"/>
      <c r="AT324" s="105"/>
      <c r="AU324" s="105"/>
      <c r="AV324" s="105"/>
      <c r="AW324" s="105"/>
      <c r="AX324" s="105"/>
      <c r="AY324" s="105"/>
      <c r="AZ324" s="105"/>
      <c r="BA324" s="105"/>
    </row>
    <row r="325">
      <c r="A325" s="105" t="str">
        <f>IFERROR(__xludf.DUMMYFUNCTION("""COMPUTED_VALUE"""),"SETTLED")</f>
        <v>SETTLED</v>
      </c>
      <c r="B325" s="105" t="str">
        <f>IFERROR(__xludf.DUMMYFUNCTION("""COMPUTED_VALUE"""),"Chris / Joshua")</f>
        <v>Chris / Joshua</v>
      </c>
      <c r="C325" s="506" t="str">
        <f>IFERROR(__xludf.DUMMYFUNCTION("""COMPUTED_VALUE"""),"Lisa Cleghorn")</f>
        <v>Lisa Cleghorn</v>
      </c>
      <c r="D325" s="506" t="str">
        <f>IFERROR(__xludf.DUMMYFUNCTION("""COMPUTED_VALUE"""),"941-565-4989")</f>
        <v>941-565-4989</v>
      </c>
      <c r="E325" s="506" t="str">
        <f>IFERROR(__xludf.DUMMYFUNCTION("""COMPUTED_VALUE"""),"Wlvsroses@gmail.com")</f>
        <v>Wlvsroses@gmail.com</v>
      </c>
      <c r="F325" s="506" t="str">
        <f>IFERROR(__xludf.DUMMYFUNCTION("""COMPUTED_VALUE"""),"6710 36th Ave E Lot 151 Palmetto FL 34221")</f>
        <v>6710 36th Ave E Lot 151 Palmetto FL 34221</v>
      </c>
      <c r="G325" s="506" t="str">
        <f>IFERROR(__xludf.DUMMYFUNCTION("""COMPUTED_VALUE"""),"Hurricane Milton")</f>
        <v>Hurricane Milton</v>
      </c>
      <c r="H325" s="105" t="str">
        <f>IFERROR(__xludf.DUMMYFUNCTION("""COMPUTED_VALUE"""),"Reopen")</f>
        <v>Reopen</v>
      </c>
      <c r="I325" s="505" t="b">
        <v>0</v>
      </c>
      <c r="J325" s="507" t="b">
        <v>0</v>
      </c>
      <c r="K325" s="112"/>
      <c r="L325" s="505" t="b">
        <v>0</v>
      </c>
      <c r="M325" s="504" t="b">
        <v>0</v>
      </c>
      <c r="N325" s="112"/>
      <c r="O325" s="505" t="b">
        <v>0</v>
      </c>
      <c r="P325" s="504" t="b">
        <v>0</v>
      </c>
      <c r="Q325" s="116"/>
      <c r="R325" s="505" t="b">
        <v>0</v>
      </c>
      <c r="S325" s="504" t="b">
        <v>0</v>
      </c>
      <c r="T325" s="117"/>
      <c r="U325" s="505" t="b">
        <v>0</v>
      </c>
      <c r="V325" s="504" t="b">
        <v>0</v>
      </c>
      <c r="W325" s="118"/>
      <c r="X325" s="505" t="b">
        <v>0</v>
      </c>
      <c r="Y325" s="504" t="b">
        <v>0</v>
      </c>
      <c r="Z325" s="119"/>
      <c r="AA325" s="505" t="b">
        <v>0</v>
      </c>
      <c r="AB325" s="504" t="b">
        <v>0</v>
      </c>
      <c r="AC325" s="121"/>
      <c r="AD325" s="505" t="b">
        <v>0</v>
      </c>
      <c r="AE325" s="504" t="b">
        <v>0</v>
      </c>
      <c r="AF325" s="125"/>
      <c r="AG325" s="505" t="b">
        <v>0</v>
      </c>
      <c r="AH325" s="504" t="b">
        <v>0</v>
      </c>
      <c r="AI325" s="105"/>
      <c r="AJ325" s="505" t="b">
        <v>0</v>
      </c>
      <c r="AK325" s="504" t="b">
        <v>0</v>
      </c>
      <c r="AL325" s="126"/>
      <c r="AM325" s="505" t="b">
        <v>0</v>
      </c>
      <c r="AN325" s="504" t="b">
        <v>0</v>
      </c>
      <c r="AO325" s="105"/>
      <c r="AP325" s="105"/>
      <c r="AQ325" s="105"/>
      <c r="AR325" s="105"/>
      <c r="AS325" s="105"/>
      <c r="AT325" s="105"/>
      <c r="AU325" s="105"/>
      <c r="AV325" s="105"/>
      <c r="AW325" s="105"/>
      <c r="AX325" s="105"/>
      <c r="AY325" s="105"/>
      <c r="AZ325" s="105"/>
      <c r="BA325" s="105"/>
    </row>
    <row r="326">
      <c r="A326" s="105" t="str">
        <f>IFERROR(__xludf.DUMMYFUNCTION("""COMPUTED_VALUE"""),"SETTLED")</f>
        <v>SETTLED</v>
      </c>
      <c r="B326" s="105" t="str">
        <f>IFERROR(__xludf.DUMMYFUNCTION("""COMPUTED_VALUE"""),"Ivan")</f>
        <v>Ivan</v>
      </c>
      <c r="C326" s="506" t="str">
        <f>IFERROR(__xludf.DUMMYFUNCTION("""COMPUTED_VALUE"""),"Suzy Comellas")</f>
        <v>Suzy Comellas</v>
      </c>
      <c r="D326" s="506" t="str">
        <f>IFERROR(__xludf.DUMMYFUNCTION("""COMPUTED_VALUE"""),"813-408-3996")</f>
        <v>813-408-3996</v>
      </c>
      <c r="E326" s="506" t="str">
        <f>IFERROR(__xludf.DUMMYFUNCTION("""COMPUTED_VALUE"""),"suzy1213@yahoo.com")</f>
        <v>suzy1213@yahoo.com</v>
      </c>
      <c r="F326" s="506" t="str">
        <f>IFERROR(__xludf.DUMMYFUNCTION("""COMPUTED_VALUE"""),"18301 Timberlan Dr. Lutz, FL 33549")</f>
        <v>18301 Timberlan Dr. Lutz, FL 33549</v>
      </c>
      <c r="G326" s="506" t="str">
        <f>IFERROR(__xludf.DUMMYFUNCTION("""COMPUTED_VALUE"""),"AWD")</f>
        <v>AWD</v>
      </c>
      <c r="H326" s="105" t="str">
        <f>IFERROR(__xludf.DUMMYFUNCTION("""COMPUTED_VALUE"""),"New Claim")</f>
        <v>New Claim</v>
      </c>
      <c r="I326" s="505" t="b">
        <v>0</v>
      </c>
      <c r="J326" s="507" t="b">
        <v>0</v>
      </c>
      <c r="K326" s="112"/>
      <c r="L326" s="505" t="b">
        <v>0</v>
      </c>
      <c r="M326" s="504" t="b">
        <v>0</v>
      </c>
      <c r="N326" s="112"/>
      <c r="O326" s="505" t="b">
        <v>0</v>
      </c>
      <c r="P326" s="504" t="b">
        <v>0</v>
      </c>
      <c r="Q326" s="116"/>
      <c r="R326" s="505" t="b">
        <v>0</v>
      </c>
      <c r="S326" s="504" t="b">
        <v>0</v>
      </c>
      <c r="T326" s="117"/>
      <c r="U326" s="505" t="b">
        <v>0</v>
      </c>
      <c r="V326" s="504" t="b">
        <v>0</v>
      </c>
      <c r="W326" s="118"/>
      <c r="X326" s="505" t="b">
        <v>0</v>
      </c>
      <c r="Y326" s="504" t="b">
        <v>0</v>
      </c>
      <c r="Z326" s="119"/>
      <c r="AA326" s="505" t="b">
        <v>0</v>
      </c>
      <c r="AB326" s="504" t="b">
        <v>0</v>
      </c>
      <c r="AC326" s="121"/>
      <c r="AD326" s="505" t="b">
        <v>0</v>
      </c>
      <c r="AE326" s="504" t="b">
        <v>0</v>
      </c>
      <c r="AF326" s="125"/>
      <c r="AG326" s="505" t="b">
        <v>0</v>
      </c>
      <c r="AH326" s="504" t="b">
        <v>0</v>
      </c>
      <c r="AI326" s="105"/>
      <c r="AJ326" s="505" t="b">
        <v>0</v>
      </c>
      <c r="AK326" s="504" t="b">
        <v>0</v>
      </c>
      <c r="AL326" s="126"/>
      <c r="AM326" s="505" t="b">
        <v>0</v>
      </c>
      <c r="AN326" s="504" t="b">
        <v>0</v>
      </c>
      <c r="AO326" s="105"/>
      <c r="AP326" s="105"/>
      <c r="AQ326" s="105"/>
      <c r="AR326" s="105"/>
      <c r="AS326" s="105"/>
      <c r="AT326" s="105"/>
      <c r="AU326" s="105"/>
      <c r="AV326" s="105"/>
      <c r="AW326" s="105"/>
      <c r="AX326" s="105"/>
      <c r="AY326" s="105"/>
      <c r="AZ326" s="105"/>
      <c r="BA326" s="105"/>
    </row>
    <row r="327">
      <c r="A327" s="105" t="str">
        <f>IFERROR(__xludf.DUMMYFUNCTION("""COMPUTED_VALUE"""),"SETTLED")</f>
        <v>SETTLED</v>
      </c>
      <c r="B327" s="105" t="str">
        <f>IFERROR(__xludf.DUMMYFUNCTION("""COMPUTED_VALUE"""),"Chris / Joshua")</f>
        <v>Chris / Joshua</v>
      </c>
      <c r="C327" s="506" t="str">
        <f>IFERROR(__xludf.DUMMYFUNCTION("""COMPUTED_VALUE"""),"Ruth Bentley")</f>
        <v>Ruth Bentley</v>
      </c>
      <c r="D327" s="506" t="str">
        <f>IFERROR(__xludf.DUMMYFUNCTION("""COMPUTED_VALUE"""),"503-381-0501")</f>
        <v>503-381-0501</v>
      </c>
      <c r="E327" s="506" t="str">
        <f>IFERROR(__xludf.DUMMYFUNCTION("""COMPUTED_VALUE"""),"jpmotter@gmail.com")</f>
        <v>jpmotter@gmail.com</v>
      </c>
      <c r="F327" s="506" t="str">
        <f>IFERROR(__xludf.DUMMYFUNCTION("""COMPUTED_VALUE"""),"6710 36th Ave E Lot 221 Palmetto, FL 34221")</f>
        <v>6710 36th Ave E Lot 221 Palmetto, FL 34221</v>
      </c>
      <c r="G327" s="506" t="str">
        <f>IFERROR(__xludf.DUMMYFUNCTION("""COMPUTED_VALUE"""),"Hurricane Milton")</f>
        <v>Hurricane Milton</v>
      </c>
      <c r="H327" s="105" t="str">
        <f>IFERROR(__xludf.DUMMYFUNCTION("""COMPUTED_VALUE"""),"Reopen")</f>
        <v>Reopen</v>
      </c>
      <c r="I327" s="505" t="b">
        <v>0</v>
      </c>
      <c r="J327" s="507" t="b">
        <v>0</v>
      </c>
      <c r="K327" s="112"/>
      <c r="L327" s="505" t="b">
        <v>0</v>
      </c>
      <c r="M327" s="504" t="b">
        <v>0</v>
      </c>
      <c r="N327" s="112"/>
      <c r="O327" s="505" t="b">
        <v>0</v>
      </c>
      <c r="P327" s="504" t="b">
        <v>0</v>
      </c>
      <c r="Q327" s="116"/>
      <c r="R327" s="505" t="b">
        <v>0</v>
      </c>
      <c r="S327" s="504" t="b">
        <v>0</v>
      </c>
      <c r="T327" s="117"/>
      <c r="U327" s="505" t="b">
        <v>0</v>
      </c>
      <c r="V327" s="504" t="b">
        <v>0</v>
      </c>
      <c r="W327" s="118"/>
      <c r="X327" s="505" t="b">
        <v>0</v>
      </c>
      <c r="Y327" s="504" t="b">
        <v>0</v>
      </c>
      <c r="Z327" s="119"/>
      <c r="AA327" s="505" t="b">
        <v>0</v>
      </c>
      <c r="AB327" s="504" t="b">
        <v>0</v>
      </c>
      <c r="AC327" s="121"/>
      <c r="AD327" s="505" t="b">
        <v>0</v>
      </c>
      <c r="AE327" s="504" t="b">
        <v>0</v>
      </c>
      <c r="AF327" s="125"/>
      <c r="AG327" s="505" t="b">
        <v>0</v>
      </c>
      <c r="AH327" s="504" t="b">
        <v>0</v>
      </c>
      <c r="AI327" s="105"/>
      <c r="AJ327" s="505" t="b">
        <v>0</v>
      </c>
      <c r="AK327" s="504" t="b">
        <v>0</v>
      </c>
      <c r="AL327" s="126"/>
      <c r="AM327" s="505" t="b">
        <v>0</v>
      </c>
      <c r="AN327" s="504" t="b">
        <v>0</v>
      </c>
      <c r="AO327" s="105"/>
      <c r="AP327" s="105"/>
      <c r="AQ327" s="105"/>
      <c r="AR327" s="105"/>
      <c r="AS327" s="105"/>
      <c r="AT327" s="105"/>
      <c r="AU327" s="105"/>
      <c r="AV327" s="105"/>
      <c r="AW327" s="105"/>
      <c r="AX327" s="105"/>
      <c r="AY327" s="105"/>
      <c r="AZ327" s="105"/>
      <c r="BA327" s="105"/>
    </row>
    <row r="328">
      <c r="A328" s="506" t="str">
        <f>IFERROR(__xludf.DUMMYFUNCTION("""COMPUTED_VALUE"""),"SETTLED")</f>
        <v>SETTLED</v>
      </c>
      <c r="B328" s="105" t="str">
        <f>IFERROR(__xludf.DUMMYFUNCTION("""COMPUTED_VALUE"""),"Ivan")</f>
        <v>Ivan</v>
      </c>
      <c r="C328" s="506" t="str">
        <f>IFERROR(__xludf.DUMMYFUNCTION("""COMPUTED_VALUE"""),"Matthew &amp; Jennifer Morse")</f>
        <v>Matthew &amp; Jennifer Morse</v>
      </c>
      <c r="D328" s="506" t="str">
        <f>IFERROR(__xludf.DUMMYFUNCTION("""COMPUTED_VALUE"""),"757-450-4902")</f>
        <v>757-450-4902</v>
      </c>
      <c r="E328" s="506" t="str">
        <f>IFERROR(__xludf.DUMMYFUNCTION("""COMPUTED_VALUE"""),"jennifermarie440@yahoo.com")</f>
        <v>jennifermarie440@yahoo.com</v>
      </c>
      <c r="F328" s="506" t="str">
        <f>IFERROR(__xludf.DUMMYFUNCTION("""COMPUTED_VALUE"""),"7614 S West Shore Blvd. Tampa, FL 33616")</f>
        <v>7614 S West Shore Blvd. Tampa, FL 33616</v>
      </c>
      <c r="G328" s="506" t="str">
        <f>IFERROR(__xludf.DUMMYFUNCTION("""COMPUTED_VALUE"""),"Hurricane Milton")</f>
        <v>Hurricane Milton</v>
      </c>
      <c r="H328" s="105" t="str">
        <f>IFERROR(__xludf.DUMMYFUNCTION("""COMPUTED_VALUE"""),"Reopen")</f>
        <v>Reopen</v>
      </c>
      <c r="I328" s="505" t="b">
        <v>0</v>
      </c>
      <c r="J328" s="507" t="b">
        <v>0</v>
      </c>
      <c r="K328" s="112"/>
      <c r="L328" s="505" t="b">
        <v>0</v>
      </c>
      <c r="M328" s="504" t="b">
        <v>0</v>
      </c>
      <c r="N328" s="112"/>
      <c r="O328" s="505" t="b">
        <v>0</v>
      </c>
      <c r="P328" s="504" t="b">
        <v>0</v>
      </c>
      <c r="Q328" s="116"/>
      <c r="R328" s="505" t="b">
        <v>0</v>
      </c>
      <c r="S328" s="504" t="b">
        <v>0</v>
      </c>
      <c r="T328" s="117"/>
      <c r="U328" s="505" t="b">
        <v>0</v>
      </c>
      <c r="V328" s="504" t="b">
        <v>0</v>
      </c>
      <c r="W328" s="118"/>
      <c r="X328" s="505" t="b">
        <v>0</v>
      </c>
      <c r="Y328" s="504" t="b">
        <v>0</v>
      </c>
      <c r="Z328" s="119"/>
      <c r="AA328" s="505" t="b">
        <v>0</v>
      </c>
      <c r="AB328" s="504" t="b">
        <v>0</v>
      </c>
      <c r="AC328" s="121"/>
      <c r="AD328" s="505" t="b">
        <v>0</v>
      </c>
      <c r="AE328" s="504" t="b">
        <v>0</v>
      </c>
      <c r="AF328" s="125"/>
      <c r="AG328" s="505" t="b">
        <v>0</v>
      </c>
      <c r="AH328" s="504" t="b">
        <v>0</v>
      </c>
      <c r="AI328" s="105"/>
      <c r="AJ328" s="505" t="b">
        <v>0</v>
      </c>
      <c r="AK328" s="504" t="b">
        <v>0</v>
      </c>
      <c r="AL328" s="126"/>
      <c r="AM328" s="505" t="b">
        <v>0</v>
      </c>
      <c r="AN328" s="504" t="b">
        <v>0</v>
      </c>
      <c r="AO328" s="105"/>
      <c r="AP328" s="105"/>
      <c r="AQ328" s="105"/>
      <c r="AR328" s="105"/>
      <c r="AS328" s="105"/>
      <c r="AT328" s="105"/>
      <c r="AU328" s="105"/>
      <c r="AV328" s="105"/>
      <c r="AW328" s="105"/>
      <c r="AX328" s="105"/>
      <c r="AY328" s="105"/>
      <c r="AZ328" s="105"/>
      <c r="BA328" s="105"/>
    </row>
    <row r="329">
      <c r="A329" s="105" t="str">
        <f>IFERROR(__xludf.DUMMYFUNCTION("""COMPUTED_VALUE"""),"SETTLED")</f>
        <v>SETTLED</v>
      </c>
      <c r="B329" s="105" t="str">
        <f>IFERROR(__xludf.DUMMYFUNCTION("""COMPUTED_VALUE"""),"Ivan")</f>
        <v>Ivan</v>
      </c>
      <c r="C329" s="506" t="str">
        <f>IFERROR(__xludf.DUMMYFUNCTION("""COMPUTED_VALUE"""),"Suzanne &amp; Jerry Comellas")</f>
        <v>Suzanne &amp; Jerry Comellas</v>
      </c>
      <c r="D329" s="506" t="str">
        <f>IFERROR(__xludf.DUMMYFUNCTION("""COMPUTED_VALUE"""),"813-408-3996")</f>
        <v>813-408-3996</v>
      </c>
      <c r="E329" s="506" t="str">
        <f>IFERROR(__xludf.DUMMYFUNCTION("""COMPUTED_VALUE"""),"suzy1213@yahoo.com")</f>
        <v>suzy1213@yahoo.com</v>
      </c>
      <c r="F329" s="506" t="str">
        <f>IFERROR(__xludf.DUMMYFUNCTION("""COMPUTED_VALUE"""),"18301 Timberlan Dr. Lutz, FL 33549")</f>
        <v>18301 Timberlan Dr. Lutz, FL 33549</v>
      </c>
      <c r="G329" s="506" t="str">
        <f>IFERROR(__xludf.DUMMYFUNCTION("""COMPUTED_VALUE"""),"Hurricane Milton")</f>
        <v>Hurricane Milton</v>
      </c>
      <c r="H329" s="105" t="str">
        <f>IFERROR(__xludf.DUMMYFUNCTION("""COMPUTED_VALUE"""),"New Claim")</f>
        <v>New Claim</v>
      </c>
      <c r="I329" s="505" t="b">
        <v>0</v>
      </c>
      <c r="J329" s="507" t="b">
        <v>0</v>
      </c>
      <c r="K329" s="112"/>
      <c r="L329" s="505" t="b">
        <v>0</v>
      </c>
      <c r="M329" s="504" t="b">
        <v>0</v>
      </c>
      <c r="N329" s="112"/>
      <c r="O329" s="505" t="b">
        <v>0</v>
      </c>
      <c r="P329" s="504" t="b">
        <v>0</v>
      </c>
      <c r="Q329" s="116"/>
      <c r="R329" s="505" t="b">
        <v>0</v>
      </c>
      <c r="S329" s="504" t="b">
        <v>0</v>
      </c>
      <c r="T329" s="117"/>
      <c r="U329" s="505" t="b">
        <v>0</v>
      </c>
      <c r="V329" s="504" t="b">
        <v>0</v>
      </c>
      <c r="W329" s="118"/>
      <c r="X329" s="505" t="b">
        <v>0</v>
      </c>
      <c r="Y329" s="504" t="b">
        <v>0</v>
      </c>
      <c r="Z329" s="119"/>
      <c r="AA329" s="505" t="b">
        <v>0</v>
      </c>
      <c r="AB329" s="504" t="b">
        <v>0</v>
      </c>
      <c r="AC329" s="121"/>
      <c r="AD329" s="505" t="b">
        <v>0</v>
      </c>
      <c r="AE329" s="504" t="b">
        <v>0</v>
      </c>
      <c r="AF329" s="125"/>
      <c r="AG329" s="505" t="b">
        <v>0</v>
      </c>
      <c r="AH329" s="504" t="b">
        <v>0</v>
      </c>
      <c r="AI329" s="105"/>
      <c r="AJ329" s="505" t="b">
        <v>0</v>
      </c>
      <c r="AK329" s="504" t="b">
        <v>0</v>
      </c>
      <c r="AL329" s="126"/>
      <c r="AM329" s="505" t="b">
        <v>0</v>
      </c>
      <c r="AN329" s="504" t="b">
        <v>0</v>
      </c>
      <c r="AO329" s="105"/>
      <c r="AP329" s="105"/>
      <c r="AQ329" s="105"/>
      <c r="AR329" s="105"/>
      <c r="AS329" s="105"/>
      <c r="AT329" s="105"/>
      <c r="AU329" s="105"/>
      <c r="AV329" s="105"/>
      <c r="AW329" s="105"/>
      <c r="AX329" s="105"/>
      <c r="AY329" s="105"/>
      <c r="AZ329" s="105"/>
      <c r="BA329" s="105"/>
    </row>
    <row r="330">
      <c r="A330" s="105" t="str">
        <f>IFERROR(__xludf.DUMMYFUNCTION("""COMPUTED_VALUE"""),"NOI")</f>
        <v>NOI</v>
      </c>
      <c r="B330" s="105" t="str">
        <f>IFERROR(__xludf.DUMMYFUNCTION("""COMPUTED_VALUE"""),"Joshua")</f>
        <v>Joshua</v>
      </c>
      <c r="C330" s="506" t="str">
        <f>IFERROR(__xludf.DUMMYFUNCTION("""COMPUTED_VALUE"""),"Karen McEvoy ")</f>
        <v>Karen McEvoy </v>
      </c>
      <c r="D330" s="506" t="str">
        <f>IFERROR(__xludf.DUMMYFUNCTION("""COMPUTED_VALUE"""),"941-724-1385")</f>
        <v>941-724-1385</v>
      </c>
      <c r="E330" s="506" t="str">
        <f>IFERROR(__xludf.DUMMYFUNCTION("""COMPUTED_VALUE"""),"Kkmcevoy2@gmail.com")</f>
        <v>Kkmcevoy2@gmail.com</v>
      </c>
      <c r="F330" s="506" t="str">
        <f>IFERROR(__xludf.DUMMYFUNCTION("""COMPUTED_VALUE"""),"367 Tierra Verde Way Bradenton FL 34212 ")</f>
        <v>367 Tierra Verde Way Bradenton FL 34212 </v>
      </c>
      <c r="G330" s="506" t="str">
        <f>IFERROR(__xludf.DUMMYFUNCTION("""COMPUTED_VALUE"""),"Hurricane Milton")</f>
        <v>Hurricane Milton</v>
      </c>
      <c r="H330" s="105" t="str">
        <f>IFERROR(__xludf.DUMMYFUNCTION("""COMPUTED_VALUE"""),"Reopen")</f>
        <v>Reopen</v>
      </c>
      <c r="I330" s="505" t="b">
        <v>0</v>
      </c>
      <c r="J330" s="507" t="b">
        <v>0</v>
      </c>
      <c r="K330" s="112"/>
      <c r="L330" s="505" t="b">
        <v>0</v>
      </c>
      <c r="M330" s="504" t="b">
        <v>0</v>
      </c>
      <c r="N330" s="112"/>
      <c r="O330" s="505" t="b">
        <v>0</v>
      </c>
      <c r="P330" s="504" t="b">
        <v>0</v>
      </c>
      <c r="Q330" s="116"/>
      <c r="R330" s="505" t="b">
        <v>0</v>
      </c>
      <c r="S330" s="504" t="b">
        <v>0</v>
      </c>
      <c r="T330" s="117"/>
      <c r="U330" s="505" t="b">
        <v>0</v>
      </c>
      <c r="V330" s="504" t="b">
        <v>0</v>
      </c>
      <c r="W330" s="118"/>
      <c r="X330" s="505" t="b">
        <v>0</v>
      </c>
      <c r="Y330" s="504" t="b">
        <v>0</v>
      </c>
      <c r="Z330" s="119"/>
      <c r="AA330" s="505" t="b">
        <v>0</v>
      </c>
      <c r="AB330" s="504" t="b">
        <v>0</v>
      </c>
      <c r="AC330" s="121"/>
      <c r="AD330" s="505" t="b">
        <v>0</v>
      </c>
      <c r="AE330" s="504" t="b">
        <v>0</v>
      </c>
      <c r="AF330" s="125"/>
      <c r="AG330" s="505" t="b">
        <v>0</v>
      </c>
      <c r="AH330" s="504" t="b">
        <v>0</v>
      </c>
      <c r="AI330" s="105"/>
      <c r="AJ330" s="505" t="b">
        <v>0</v>
      </c>
      <c r="AK330" s="504" t="b">
        <v>0</v>
      </c>
      <c r="AL330" s="126"/>
      <c r="AM330" s="505" t="b">
        <v>0</v>
      </c>
      <c r="AN330" s="504" t="b">
        <v>0</v>
      </c>
      <c r="AO330" s="105"/>
      <c r="AP330" s="105"/>
      <c r="AQ330" s="105"/>
      <c r="AR330" s="105"/>
      <c r="AS330" s="105"/>
      <c r="AT330" s="105"/>
      <c r="AU330" s="105"/>
      <c r="AV330" s="105"/>
      <c r="AW330" s="105"/>
      <c r="AX330" s="105"/>
      <c r="AY330" s="105"/>
      <c r="AZ330" s="105"/>
      <c r="BA330" s="105"/>
    </row>
    <row r="331">
      <c r="A331" s="105" t="str">
        <f>IFERROR(__xludf.DUMMYFUNCTION("""COMPUTED_VALUE"""),"SETTLED")</f>
        <v>SETTLED</v>
      </c>
      <c r="B331" s="105" t="str">
        <f>IFERROR(__xludf.DUMMYFUNCTION("""COMPUTED_VALUE"""),"Joshua")</f>
        <v>Joshua</v>
      </c>
      <c r="C331" s="506" t="str">
        <f>IFERROR(__xludf.DUMMYFUNCTION("""COMPUTED_VALUE"""),"Priscilla &amp; Murid Partaw ")</f>
        <v>Priscilla &amp; Murid Partaw </v>
      </c>
      <c r="D331" s="506" t="str">
        <f>IFERROR(__xludf.DUMMYFUNCTION("""COMPUTED_VALUE"""),"813-369-3444")</f>
        <v>813-369-3444</v>
      </c>
      <c r="E331" s="506" t="str">
        <f>IFERROR(__xludf.DUMMYFUNCTION("""COMPUTED_VALUE"""),"Priscilla.Partaw@gmail.com")</f>
        <v>Priscilla.Partaw@gmail.com</v>
      </c>
      <c r="F331" s="506" t="str">
        <f>IFERROR(__xludf.DUMMYFUNCTION("""COMPUTED_VALUE"""),"4420 W Iowa Ave Tampa, FL 33616")</f>
        <v>4420 W Iowa Ave Tampa, FL 33616</v>
      </c>
      <c r="G331" s="506" t="str">
        <f>IFERROR(__xludf.DUMMYFUNCTION("""COMPUTED_VALUE"""),"Hurricane Milton")</f>
        <v>Hurricane Milton</v>
      </c>
      <c r="H331" s="105" t="str">
        <f>IFERROR(__xludf.DUMMYFUNCTION("""COMPUTED_VALUE"""),"New Claim")</f>
        <v>New Claim</v>
      </c>
      <c r="I331" s="505" t="b">
        <v>0</v>
      </c>
      <c r="J331" s="507" t="b">
        <v>0</v>
      </c>
      <c r="K331" s="112"/>
      <c r="L331" s="505" t="b">
        <v>0</v>
      </c>
      <c r="M331" s="504" t="b">
        <v>0</v>
      </c>
      <c r="N331" s="112"/>
      <c r="O331" s="505" t="b">
        <v>0</v>
      </c>
      <c r="P331" s="504" t="b">
        <v>0</v>
      </c>
      <c r="Q331" s="116"/>
      <c r="R331" s="505" t="b">
        <v>0</v>
      </c>
      <c r="S331" s="504" t="b">
        <v>0</v>
      </c>
      <c r="T331" s="117"/>
      <c r="U331" s="505" t="b">
        <v>0</v>
      </c>
      <c r="V331" s="504" t="b">
        <v>0</v>
      </c>
      <c r="W331" s="118"/>
      <c r="X331" s="505" t="b">
        <v>0</v>
      </c>
      <c r="Y331" s="504" t="b">
        <v>0</v>
      </c>
      <c r="Z331" s="119"/>
      <c r="AA331" s="505" t="b">
        <v>0</v>
      </c>
      <c r="AB331" s="504" t="b">
        <v>0</v>
      </c>
      <c r="AC331" s="121"/>
      <c r="AD331" s="505" t="b">
        <v>0</v>
      </c>
      <c r="AE331" s="504" t="b">
        <v>0</v>
      </c>
      <c r="AF331" s="125"/>
      <c r="AG331" s="505" t="b">
        <v>0</v>
      </c>
      <c r="AH331" s="504" t="b">
        <v>0</v>
      </c>
      <c r="AI331" s="105"/>
      <c r="AJ331" s="505" t="b">
        <v>0</v>
      </c>
      <c r="AK331" s="504" t="b">
        <v>0</v>
      </c>
      <c r="AL331" s="126"/>
      <c r="AM331" s="505" t="b">
        <v>0</v>
      </c>
      <c r="AN331" s="504" t="b">
        <v>0</v>
      </c>
      <c r="AO331" s="105"/>
      <c r="AP331" s="105"/>
      <c r="AQ331" s="105"/>
      <c r="AR331" s="105"/>
      <c r="AS331" s="105"/>
      <c r="AT331" s="105"/>
      <c r="AU331" s="105"/>
      <c r="AV331" s="105"/>
      <c r="AW331" s="105"/>
      <c r="AX331" s="105"/>
      <c r="AY331" s="105"/>
      <c r="AZ331" s="105"/>
      <c r="BA331" s="105"/>
    </row>
    <row r="332">
      <c r="A332" s="105" t="str">
        <f>IFERROR(__xludf.DUMMYFUNCTION("""COMPUTED_VALUE"""),"CLSD CLAIMS")</f>
        <v>CLSD CLAIMS</v>
      </c>
      <c r="B332" s="105" t="str">
        <f>IFERROR(__xludf.DUMMYFUNCTION("""COMPUTED_VALUE"""),"Joshua")</f>
        <v>Joshua</v>
      </c>
      <c r="C332" s="506" t="str">
        <f>IFERROR(__xludf.DUMMYFUNCTION("""COMPUTED_VALUE"""),"Miranda Mattingly")</f>
        <v>Miranda Mattingly</v>
      </c>
      <c r="D332" s="506" t="str">
        <f>IFERROR(__xludf.DUMMYFUNCTION("""COMPUTED_VALUE"""),"316-371-0913/316-209-5708")</f>
        <v>316-371-0913/316-209-5708</v>
      </c>
      <c r="E332" s="506" t="str">
        <f>IFERROR(__xludf.DUMMYFUNCTION("""COMPUTED_VALUE"""),"Mirandaliz@gmail.com")</f>
        <v>Mirandaliz@gmail.com</v>
      </c>
      <c r="F332" s="506" t="str">
        <f>IFERROR(__xludf.DUMMYFUNCTION("""COMPUTED_VALUE"""),"6710 36th Ave E Lot 202 Palmetto FL 34221")</f>
        <v>6710 36th Ave E Lot 202 Palmetto FL 34221</v>
      </c>
      <c r="G332" s="506" t="str">
        <f>IFERROR(__xludf.DUMMYFUNCTION("""COMPUTED_VALUE"""),"Hurricane Milton")</f>
        <v>Hurricane Milton</v>
      </c>
      <c r="H332" s="105" t="str">
        <f>IFERROR(__xludf.DUMMYFUNCTION("""COMPUTED_VALUE"""),"New Claim")</f>
        <v>New Claim</v>
      </c>
      <c r="I332" s="505" t="b">
        <v>0</v>
      </c>
      <c r="J332" s="507" t="b">
        <v>0</v>
      </c>
      <c r="K332" s="112"/>
      <c r="L332" s="505" t="b">
        <v>0</v>
      </c>
      <c r="M332" s="504" t="b">
        <v>0</v>
      </c>
      <c r="N332" s="112"/>
      <c r="O332" s="505" t="b">
        <v>0</v>
      </c>
      <c r="P332" s="504" t="b">
        <v>0</v>
      </c>
      <c r="Q332" s="116"/>
      <c r="R332" s="505" t="b">
        <v>0</v>
      </c>
      <c r="S332" s="504" t="b">
        <v>0</v>
      </c>
      <c r="T332" s="117"/>
      <c r="U332" s="505" t="b">
        <v>0</v>
      </c>
      <c r="V332" s="504" t="b">
        <v>0</v>
      </c>
      <c r="W332" s="118"/>
      <c r="X332" s="505" t="b">
        <v>0</v>
      </c>
      <c r="Y332" s="504" t="b">
        <v>0</v>
      </c>
      <c r="Z332" s="119"/>
      <c r="AA332" s="505" t="b">
        <v>0</v>
      </c>
      <c r="AB332" s="504" t="b">
        <v>0</v>
      </c>
      <c r="AC332" s="121"/>
      <c r="AD332" s="505" t="b">
        <v>0</v>
      </c>
      <c r="AE332" s="504" t="b">
        <v>0</v>
      </c>
      <c r="AF332" s="125"/>
      <c r="AG332" s="505" t="b">
        <v>0</v>
      </c>
      <c r="AH332" s="504" t="b">
        <v>0</v>
      </c>
      <c r="AI332" s="105"/>
      <c r="AJ332" s="505" t="b">
        <v>0</v>
      </c>
      <c r="AK332" s="504" t="b">
        <v>0</v>
      </c>
      <c r="AL332" s="126"/>
      <c r="AM332" s="505" t="b">
        <v>0</v>
      </c>
      <c r="AN332" s="504" t="b">
        <v>0</v>
      </c>
      <c r="AO332" s="105"/>
      <c r="AP332" s="105"/>
      <c r="AQ332" s="105"/>
      <c r="AR332" s="105"/>
      <c r="AS332" s="105"/>
      <c r="AT332" s="105"/>
      <c r="AU332" s="105"/>
      <c r="AV332" s="105"/>
      <c r="AW332" s="105"/>
      <c r="AX332" s="105"/>
      <c r="AY332" s="105"/>
      <c r="AZ332" s="105"/>
      <c r="BA332" s="105"/>
    </row>
    <row r="333">
      <c r="A333" s="105" t="str">
        <f>IFERROR(__xludf.DUMMYFUNCTION("""COMPUTED_VALUE"""),"CLSD CLAIMS")</f>
        <v>CLSD CLAIMS</v>
      </c>
      <c r="B333" s="105" t="str">
        <f>IFERROR(__xludf.DUMMYFUNCTION("""COMPUTED_VALUE"""),"Chris / Joshua")</f>
        <v>Chris / Joshua</v>
      </c>
      <c r="C333" s="506" t="str">
        <f>IFERROR(__xludf.DUMMYFUNCTION("""COMPUTED_VALUE"""),"Natali Figueredo")</f>
        <v>Natali Figueredo</v>
      </c>
      <c r="D333" s="506" t="str">
        <f>IFERROR(__xludf.DUMMYFUNCTION("""COMPUTED_VALUE"""),"813-568-0463/813-344-7023")</f>
        <v>813-568-0463/813-344-7023</v>
      </c>
      <c r="E333" s="506" t="str">
        <f>IFERROR(__xludf.DUMMYFUNCTION("""COMPUTED_VALUE"""),"natisoler92@gmail.com")</f>
        <v>natisoler92@gmail.com</v>
      </c>
      <c r="F333" s="506" t="str">
        <f>IFERROR(__xludf.DUMMYFUNCTION("""COMPUTED_VALUE"""),"4523 Dreisler ST Tampa FL 33634")</f>
        <v>4523 Dreisler ST Tampa FL 33634</v>
      </c>
      <c r="G333" s="506" t="str">
        <f>IFERROR(__xludf.DUMMYFUNCTION("""COMPUTED_VALUE"""),"Windstorm")</f>
        <v>Windstorm</v>
      </c>
      <c r="H333" s="105" t="str">
        <f>IFERROR(__xludf.DUMMYFUNCTION("""COMPUTED_VALUE"""),"New Claim")</f>
        <v>New Claim</v>
      </c>
      <c r="I333" s="505" t="b">
        <v>0</v>
      </c>
      <c r="J333" s="507" t="b">
        <v>0</v>
      </c>
      <c r="K333" s="112"/>
      <c r="L333" s="505" t="b">
        <v>0</v>
      </c>
      <c r="M333" s="504" t="b">
        <v>0</v>
      </c>
      <c r="N333" s="112"/>
      <c r="O333" s="505" t="b">
        <v>0</v>
      </c>
      <c r="P333" s="504" t="b">
        <v>0</v>
      </c>
      <c r="Q333" s="116"/>
      <c r="R333" s="505" t="b">
        <v>0</v>
      </c>
      <c r="S333" s="504" t="b">
        <v>0</v>
      </c>
      <c r="T333" s="117"/>
      <c r="U333" s="505" t="b">
        <v>0</v>
      </c>
      <c r="V333" s="504" t="b">
        <v>0</v>
      </c>
      <c r="W333" s="118"/>
      <c r="X333" s="505" t="b">
        <v>0</v>
      </c>
      <c r="Y333" s="504" t="b">
        <v>0</v>
      </c>
      <c r="Z333" s="119"/>
      <c r="AA333" s="505" t="b">
        <v>0</v>
      </c>
      <c r="AB333" s="504" t="b">
        <v>0</v>
      </c>
      <c r="AC333" s="121"/>
      <c r="AD333" s="505" t="b">
        <v>0</v>
      </c>
      <c r="AE333" s="504" t="b">
        <v>0</v>
      </c>
      <c r="AF333" s="125"/>
      <c r="AG333" s="505" t="b">
        <v>0</v>
      </c>
      <c r="AH333" s="504" t="b">
        <v>0</v>
      </c>
      <c r="AI333" s="105"/>
      <c r="AJ333" s="505" t="b">
        <v>0</v>
      </c>
      <c r="AK333" s="504" t="b">
        <v>0</v>
      </c>
      <c r="AL333" s="126"/>
      <c r="AM333" s="505" t="b">
        <v>0</v>
      </c>
      <c r="AN333" s="504" t="b">
        <v>0</v>
      </c>
      <c r="AO333" s="105"/>
      <c r="AP333" s="105"/>
      <c r="AQ333" s="105"/>
      <c r="AR333" s="105"/>
      <c r="AS333" s="105"/>
      <c r="AT333" s="105"/>
      <c r="AU333" s="105"/>
      <c r="AV333" s="105"/>
      <c r="AW333" s="105"/>
      <c r="AX333" s="105"/>
      <c r="AY333" s="105"/>
      <c r="AZ333" s="105"/>
      <c r="BA333" s="105"/>
    </row>
    <row r="334">
      <c r="A334" s="105" t="str">
        <f>IFERROR(__xludf.DUMMYFUNCTION("""COMPUTED_VALUE"""),"CLSD CLAIMS")</f>
        <v>CLSD CLAIMS</v>
      </c>
      <c r="B334" s="105" t="str">
        <f>IFERROR(__xludf.DUMMYFUNCTION("""COMPUTED_VALUE"""),"Joshua")</f>
        <v>Joshua</v>
      </c>
      <c r="C334" s="506" t="str">
        <f>IFERROR(__xludf.DUMMYFUNCTION("""COMPUTED_VALUE"""),"Gleisis Giralt Diaz ")</f>
        <v>Gleisis Giralt Diaz </v>
      </c>
      <c r="D334" s="506" t="str">
        <f>IFERROR(__xludf.DUMMYFUNCTION("""COMPUTED_VALUE"""),"813-526-9765")</f>
        <v>813-526-9765</v>
      </c>
      <c r="E334" s="506" t="str">
        <f>IFERROR(__xludf.DUMMYFUNCTION("""COMPUTED_VALUE""")," Gigigiralt@gmail.com")</f>
        <v> Gigigiralt@gmail.com</v>
      </c>
      <c r="F334" s="506" t="str">
        <f>IFERROR(__xludf.DUMMYFUNCTION("""COMPUTED_VALUE"""),"6711 W Clifton St Tampa FL 33634")</f>
        <v>6711 W Clifton St Tampa FL 33634</v>
      </c>
      <c r="G334" s="506" t="str">
        <f>IFERROR(__xludf.DUMMYFUNCTION("""COMPUTED_VALUE"""),"Hurricane Milton")</f>
        <v>Hurricane Milton</v>
      </c>
      <c r="H334" s="105" t="str">
        <f>IFERROR(__xludf.DUMMYFUNCTION("""COMPUTED_VALUE"""),"New Claim")</f>
        <v>New Claim</v>
      </c>
      <c r="I334" s="505" t="b">
        <v>0</v>
      </c>
      <c r="J334" s="507" t="b">
        <v>0</v>
      </c>
      <c r="K334" s="112"/>
      <c r="L334" s="505" t="b">
        <v>0</v>
      </c>
      <c r="M334" s="504" t="b">
        <v>0</v>
      </c>
      <c r="N334" s="112"/>
      <c r="O334" s="505" t="b">
        <v>0</v>
      </c>
      <c r="P334" s="504" t="b">
        <v>0</v>
      </c>
      <c r="Q334" s="116"/>
      <c r="R334" s="505" t="b">
        <v>0</v>
      </c>
      <c r="S334" s="504" t="b">
        <v>0</v>
      </c>
      <c r="T334" s="117"/>
      <c r="U334" s="505" t="b">
        <v>0</v>
      </c>
      <c r="V334" s="504" t="b">
        <v>0</v>
      </c>
      <c r="W334" s="118"/>
      <c r="X334" s="505" t="b">
        <v>0</v>
      </c>
      <c r="Y334" s="504" t="b">
        <v>0</v>
      </c>
      <c r="Z334" s="119"/>
      <c r="AA334" s="505" t="b">
        <v>0</v>
      </c>
      <c r="AB334" s="504" t="b">
        <v>0</v>
      </c>
      <c r="AC334" s="121"/>
      <c r="AD334" s="505" t="b">
        <v>0</v>
      </c>
      <c r="AE334" s="504" t="b">
        <v>0</v>
      </c>
      <c r="AF334" s="125"/>
      <c r="AG334" s="505" t="b">
        <v>0</v>
      </c>
      <c r="AH334" s="504" t="b">
        <v>0</v>
      </c>
      <c r="AI334" s="105"/>
      <c r="AJ334" s="505" t="b">
        <v>0</v>
      </c>
      <c r="AK334" s="504" t="b">
        <v>0</v>
      </c>
      <c r="AL334" s="126"/>
      <c r="AM334" s="505" t="b">
        <v>0</v>
      </c>
      <c r="AN334" s="504" t="b">
        <v>0</v>
      </c>
      <c r="AO334" s="105"/>
      <c r="AP334" s="105"/>
      <c r="AQ334" s="105"/>
      <c r="AR334" s="105"/>
      <c r="AS334" s="105"/>
      <c r="AT334" s="105"/>
      <c r="AU334" s="105"/>
      <c r="AV334" s="105"/>
      <c r="AW334" s="105"/>
      <c r="AX334" s="105"/>
      <c r="AY334" s="105"/>
      <c r="AZ334" s="105"/>
      <c r="BA334" s="105"/>
    </row>
    <row r="335">
      <c r="A335" s="105" t="str">
        <f>IFERROR(__xludf.DUMMYFUNCTION("""COMPUTED_VALUE"""),"SETTLED")</f>
        <v>SETTLED</v>
      </c>
      <c r="B335" s="105" t="str">
        <f>IFERROR(__xludf.DUMMYFUNCTION("""COMPUTED_VALUE"""),"Chris / Joshua")</f>
        <v>Chris / Joshua</v>
      </c>
      <c r="C335" s="506" t="str">
        <f>IFERROR(__xludf.DUMMYFUNCTION("""COMPUTED_VALUE"""),"Robin Williams Anthony")</f>
        <v>Robin Williams Anthony</v>
      </c>
      <c r="D335" s="506" t="str">
        <f>IFERROR(__xludf.DUMMYFUNCTION("""COMPUTED_VALUE"""),"941-323-4716")</f>
        <v>941-323-4716</v>
      </c>
      <c r="E335" s="506" t="str">
        <f>IFERROR(__xludf.DUMMYFUNCTION("""COMPUTED_VALUE"""),"Sancas04@yahoo.com")</f>
        <v>Sancas04@yahoo.com</v>
      </c>
      <c r="F335" s="506" t="str">
        <f>IFERROR(__xludf.DUMMYFUNCTION("""COMPUTED_VALUE"""),"504 Powder View Dr Ruskin, FL 33570")</f>
        <v>504 Powder View Dr Ruskin, FL 33570</v>
      </c>
      <c r="G335" s="506" t="str">
        <f>IFERROR(__xludf.DUMMYFUNCTION("""COMPUTED_VALUE"""),"Hurricane Milton")</f>
        <v>Hurricane Milton</v>
      </c>
      <c r="H335" s="105" t="str">
        <f>IFERROR(__xludf.DUMMYFUNCTION("""COMPUTED_VALUE"""),"New Claim")</f>
        <v>New Claim</v>
      </c>
      <c r="I335" s="505" t="b">
        <v>0</v>
      </c>
      <c r="J335" s="507" t="b">
        <v>0</v>
      </c>
      <c r="K335" s="112"/>
      <c r="L335" s="505" t="b">
        <v>0</v>
      </c>
      <c r="M335" s="504" t="b">
        <v>0</v>
      </c>
      <c r="N335" s="112"/>
      <c r="O335" s="505" t="b">
        <v>0</v>
      </c>
      <c r="P335" s="504" t="b">
        <v>0</v>
      </c>
      <c r="Q335" s="116"/>
      <c r="R335" s="505" t="b">
        <v>0</v>
      </c>
      <c r="S335" s="504" t="b">
        <v>0</v>
      </c>
      <c r="T335" s="117"/>
      <c r="U335" s="505" t="b">
        <v>0</v>
      </c>
      <c r="V335" s="504" t="b">
        <v>0</v>
      </c>
      <c r="W335" s="118"/>
      <c r="X335" s="505" t="b">
        <v>0</v>
      </c>
      <c r="Y335" s="504" t="b">
        <v>0</v>
      </c>
      <c r="Z335" s="119"/>
      <c r="AA335" s="505" t="b">
        <v>0</v>
      </c>
      <c r="AB335" s="504" t="b">
        <v>0</v>
      </c>
      <c r="AC335" s="121"/>
      <c r="AD335" s="505" t="b">
        <v>0</v>
      </c>
      <c r="AE335" s="504" t="b">
        <v>0</v>
      </c>
      <c r="AF335" s="125"/>
      <c r="AG335" s="505" t="b">
        <v>0</v>
      </c>
      <c r="AH335" s="504" t="b">
        <v>0</v>
      </c>
      <c r="AI335" s="105"/>
      <c r="AJ335" s="505" t="b">
        <v>0</v>
      </c>
      <c r="AK335" s="504" t="b">
        <v>0</v>
      </c>
      <c r="AL335" s="126"/>
      <c r="AM335" s="505" t="b">
        <v>0</v>
      </c>
      <c r="AN335" s="504" t="b">
        <v>0</v>
      </c>
      <c r="AO335" s="105"/>
      <c r="AP335" s="105"/>
      <c r="AQ335" s="105"/>
      <c r="AR335" s="105"/>
      <c r="AS335" s="105"/>
      <c r="AT335" s="105"/>
      <c r="AU335" s="105"/>
      <c r="AV335" s="105"/>
      <c r="AW335" s="105"/>
      <c r="AX335" s="105"/>
      <c r="AY335" s="105"/>
      <c r="AZ335" s="105"/>
      <c r="BA335" s="105"/>
    </row>
    <row r="336">
      <c r="A336" s="506" t="str">
        <f>IFERROR(__xludf.DUMMYFUNCTION("""COMPUTED_VALUE"""),"SETTLED")</f>
        <v>SETTLED</v>
      </c>
      <c r="B336" s="105" t="str">
        <f>IFERROR(__xludf.DUMMYFUNCTION("""COMPUTED_VALUE"""),"Ivan")</f>
        <v>Ivan</v>
      </c>
      <c r="C336" s="506" t="str">
        <f>IFERROR(__xludf.DUMMYFUNCTION("""COMPUTED_VALUE"""),"Joseph Hambrick ")</f>
        <v>Joseph Hambrick </v>
      </c>
      <c r="D336" s="506" t="str">
        <f>IFERROR(__xludf.DUMMYFUNCTION("""COMPUTED_VALUE"""),"561-262-4581 ")</f>
        <v>561-262-4581 </v>
      </c>
      <c r="E336" s="506" t="str">
        <f>IFERROR(__xludf.DUMMYFUNCTION("""COMPUTED_VALUE"""),"jhambrick222@gmail.com")</f>
        <v>jhambrick222@gmail.com</v>
      </c>
      <c r="F336" s="506" t="str">
        <f>IFERROR(__xludf.DUMMYFUNCTION("""COMPUTED_VALUE"""),"3273 SW Hambrick St Port Saint Lucie, FL 34953")</f>
        <v>3273 SW Hambrick St Port Saint Lucie, FL 34953</v>
      </c>
      <c r="G336" s="506" t="str">
        <f>IFERROR(__xludf.DUMMYFUNCTION("""COMPUTED_VALUE"""),"Hurricane Milton")</f>
        <v>Hurricane Milton</v>
      </c>
      <c r="H336" s="105" t="str">
        <f>IFERROR(__xludf.DUMMYFUNCTION("""COMPUTED_VALUE"""),"Reopen")</f>
        <v>Reopen</v>
      </c>
      <c r="I336" s="505" t="b">
        <v>0</v>
      </c>
      <c r="J336" s="507" t="b">
        <v>0</v>
      </c>
      <c r="K336" s="112"/>
      <c r="L336" s="505" t="b">
        <v>0</v>
      </c>
      <c r="M336" s="504" t="b">
        <v>0</v>
      </c>
      <c r="N336" s="112"/>
      <c r="O336" s="505" t="b">
        <v>0</v>
      </c>
      <c r="P336" s="504" t="b">
        <v>0</v>
      </c>
      <c r="Q336" s="116"/>
      <c r="R336" s="505" t="b">
        <v>0</v>
      </c>
      <c r="S336" s="504" t="b">
        <v>0</v>
      </c>
      <c r="T336" s="117"/>
      <c r="U336" s="505" t="b">
        <v>0</v>
      </c>
      <c r="V336" s="504" t="b">
        <v>0</v>
      </c>
      <c r="W336" s="118"/>
      <c r="X336" s="505" t="b">
        <v>0</v>
      </c>
      <c r="Y336" s="504" t="b">
        <v>0</v>
      </c>
      <c r="Z336" s="119"/>
      <c r="AA336" s="505" t="b">
        <v>0</v>
      </c>
      <c r="AB336" s="504" t="b">
        <v>0</v>
      </c>
      <c r="AC336" s="121"/>
      <c r="AD336" s="505" t="b">
        <v>0</v>
      </c>
      <c r="AE336" s="504" t="b">
        <v>0</v>
      </c>
      <c r="AF336" s="125"/>
      <c r="AG336" s="505" t="b">
        <v>0</v>
      </c>
      <c r="AH336" s="504" t="b">
        <v>0</v>
      </c>
      <c r="AI336" s="105"/>
      <c r="AJ336" s="505" t="b">
        <v>0</v>
      </c>
      <c r="AK336" s="504" t="b">
        <v>0</v>
      </c>
      <c r="AL336" s="126"/>
      <c r="AM336" s="505" t="b">
        <v>0</v>
      </c>
      <c r="AN336" s="504" t="b">
        <v>0</v>
      </c>
      <c r="AO336" s="105"/>
      <c r="AP336" s="105"/>
      <c r="AQ336" s="105"/>
      <c r="AR336" s="105"/>
      <c r="AS336" s="105"/>
      <c r="AT336" s="105"/>
      <c r="AU336" s="105"/>
      <c r="AV336" s="105"/>
      <c r="AW336" s="105"/>
      <c r="AX336" s="105"/>
      <c r="AY336" s="105"/>
      <c r="AZ336" s="105"/>
      <c r="BA336" s="105"/>
    </row>
    <row r="337">
      <c r="A337" s="105" t="str">
        <f>IFERROR(__xludf.DUMMYFUNCTION("""COMPUTED_VALUE"""),"CLSD CLAIMS")</f>
        <v>CLSD CLAIMS</v>
      </c>
      <c r="B337" s="105" t="str">
        <f>IFERROR(__xludf.DUMMYFUNCTION("""COMPUTED_VALUE"""),"Juan")</f>
        <v>Juan</v>
      </c>
      <c r="C337" s="506" t="str">
        <f>IFERROR(__xludf.DUMMYFUNCTION("""COMPUTED_VALUE"""),"Chad Santoro ")</f>
        <v>Chad Santoro </v>
      </c>
      <c r="D337" s="506" t="str">
        <f>IFERROR(__xludf.DUMMYFUNCTION("""COMPUTED_VALUE"""),"813-734-0322")</f>
        <v>813-734-0322</v>
      </c>
      <c r="E337" s="506" t="str">
        <f>IFERROR(__xludf.DUMMYFUNCTION("""COMPUTED_VALUE"""),"Sherry.scott7@yahoo.com")</f>
        <v>Sherry.scott7@yahoo.com</v>
      </c>
      <c r="F337" s="506" t="str">
        <f>IFERROR(__xludf.DUMMYFUNCTION("""COMPUTED_VALUE"""),"518 Flame Tree Dr, Apollo Beach, FL 33572")</f>
        <v>518 Flame Tree Dr, Apollo Beach, FL 33572</v>
      </c>
      <c r="G337" s="506" t="str">
        <f>IFERROR(__xludf.DUMMYFUNCTION("""COMPUTED_VALUE"""),"Hurricane Milton")</f>
        <v>Hurricane Milton</v>
      </c>
      <c r="H337" s="105" t="str">
        <f>IFERROR(__xludf.DUMMYFUNCTION("""COMPUTED_VALUE"""),"New Claim")</f>
        <v>New Claim</v>
      </c>
      <c r="I337" s="505" t="b">
        <v>0</v>
      </c>
      <c r="J337" s="507" t="b">
        <v>0</v>
      </c>
      <c r="K337" s="112"/>
      <c r="L337" s="505" t="b">
        <v>0</v>
      </c>
      <c r="M337" s="504" t="b">
        <v>0</v>
      </c>
      <c r="N337" s="112"/>
      <c r="O337" s="505" t="b">
        <v>0</v>
      </c>
      <c r="P337" s="504" t="b">
        <v>0</v>
      </c>
      <c r="Q337" s="116"/>
      <c r="R337" s="505" t="b">
        <v>0</v>
      </c>
      <c r="S337" s="504" t="b">
        <v>0</v>
      </c>
      <c r="T337" s="117"/>
      <c r="U337" s="505" t="b">
        <v>0</v>
      </c>
      <c r="V337" s="504" t="b">
        <v>0</v>
      </c>
      <c r="W337" s="118"/>
      <c r="X337" s="505" t="b">
        <v>0</v>
      </c>
      <c r="Y337" s="504" t="b">
        <v>0</v>
      </c>
      <c r="Z337" s="119"/>
      <c r="AA337" s="505" t="b">
        <v>0</v>
      </c>
      <c r="AB337" s="504" t="b">
        <v>0</v>
      </c>
      <c r="AC337" s="121"/>
      <c r="AD337" s="505" t="b">
        <v>0</v>
      </c>
      <c r="AE337" s="504" t="b">
        <v>0</v>
      </c>
      <c r="AF337" s="125"/>
      <c r="AG337" s="505" t="b">
        <v>0</v>
      </c>
      <c r="AH337" s="504" t="b">
        <v>0</v>
      </c>
      <c r="AI337" s="105"/>
      <c r="AJ337" s="505" t="b">
        <v>0</v>
      </c>
      <c r="AK337" s="504" t="b">
        <v>0</v>
      </c>
      <c r="AL337" s="126"/>
      <c r="AM337" s="505" t="b">
        <v>0</v>
      </c>
      <c r="AN337" s="504" t="b">
        <v>0</v>
      </c>
      <c r="AO337" s="105"/>
      <c r="AP337" s="105"/>
      <c r="AQ337" s="105"/>
      <c r="AR337" s="105"/>
      <c r="AS337" s="105"/>
      <c r="AT337" s="105"/>
      <c r="AU337" s="105"/>
      <c r="AV337" s="105"/>
      <c r="AW337" s="105"/>
      <c r="AX337" s="105"/>
      <c r="AY337" s="105"/>
      <c r="AZ337" s="105"/>
      <c r="BA337" s="105"/>
    </row>
    <row r="338">
      <c r="A338" s="105" t="str">
        <f>IFERROR(__xludf.DUMMYFUNCTION("""COMPUTED_VALUE"""),"PEND. FILE NOI")</f>
        <v>PEND. FILE NOI</v>
      </c>
      <c r="B338" s="105" t="str">
        <f>IFERROR(__xludf.DUMMYFUNCTION("""COMPUTED_VALUE"""),"Juan")</f>
        <v>Juan</v>
      </c>
      <c r="C338" s="506" t="str">
        <f>IFERROR(__xludf.DUMMYFUNCTION("""COMPUTED_VALUE"""),"Rubye Lee Gordon ")</f>
        <v>Rubye Lee Gordon </v>
      </c>
      <c r="D338" s="506" t="str">
        <f>IFERROR(__xludf.DUMMYFUNCTION("""COMPUTED_VALUE"""),"863-660-1447")</f>
        <v>863-660-1447</v>
      </c>
      <c r="E338" s="506" t="str">
        <f>IFERROR(__xludf.DUMMYFUNCTION("""COMPUTED_VALUE"""),"rubyegordon5923@gmail.com")</f>
        <v>rubyegordon5923@gmail.com</v>
      </c>
      <c r="F338" s="506" t="str">
        <f>IFERROR(__xludf.DUMMYFUNCTION("""COMPUTED_VALUE"""),"2441 Dakota Rock Dr, Ruskin, FL 33570 ")</f>
        <v>2441 Dakota Rock Dr, Ruskin, FL 33570 </v>
      </c>
      <c r="G338" s="506" t="str">
        <f>IFERROR(__xludf.DUMMYFUNCTION("""COMPUTED_VALUE"""),"Hurricane Milton")</f>
        <v>Hurricane Milton</v>
      </c>
      <c r="H338" s="105" t="str">
        <f>IFERROR(__xludf.DUMMYFUNCTION("""COMPUTED_VALUE"""),"Reopen")</f>
        <v>Reopen</v>
      </c>
      <c r="I338" s="505" t="b">
        <v>0</v>
      </c>
      <c r="J338" s="507" t="b">
        <v>0</v>
      </c>
      <c r="K338" s="112"/>
      <c r="L338" s="505" t="b">
        <v>0</v>
      </c>
      <c r="M338" s="504" t="b">
        <v>0</v>
      </c>
      <c r="N338" s="112"/>
      <c r="O338" s="505" t="b">
        <v>0</v>
      </c>
      <c r="P338" s="504" t="b">
        <v>0</v>
      </c>
      <c r="Q338" s="116"/>
      <c r="R338" s="505" t="b">
        <v>0</v>
      </c>
      <c r="S338" s="504" t="b">
        <v>0</v>
      </c>
      <c r="T338" s="117"/>
      <c r="U338" s="505" t="b">
        <v>0</v>
      </c>
      <c r="V338" s="504" t="b">
        <v>0</v>
      </c>
      <c r="W338" s="118"/>
      <c r="X338" s="505" t="b">
        <v>0</v>
      </c>
      <c r="Y338" s="504" t="b">
        <v>0</v>
      </c>
      <c r="Z338" s="119"/>
      <c r="AA338" s="505" t="b">
        <v>0</v>
      </c>
      <c r="AB338" s="504" t="b">
        <v>0</v>
      </c>
      <c r="AC338" s="121"/>
      <c r="AD338" s="505" t="b">
        <v>0</v>
      </c>
      <c r="AE338" s="504" t="b">
        <v>0</v>
      </c>
      <c r="AF338" s="125"/>
      <c r="AG338" s="505" t="b">
        <v>0</v>
      </c>
      <c r="AH338" s="504" t="b">
        <v>0</v>
      </c>
      <c r="AI338" s="105"/>
      <c r="AJ338" s="505" t="b">
        <v>0</v>
      </c>
      <c r="AK338" s="504" t="b">
        <v>0</v>
      </c>
      <c r="AL338" s="126"/>
      <c r="AM338" s="505" t="b">
        <v>0</v>
      </c>
      <c r="AN338" s="504" t="b">
        <v>0</v>
      </c>
      <c r="AO338" s="105"/>
      <c r="AP338" s="105"/>
      <c r="AQ338" s="105"/>
      <c r="AR338" s="105"/>
      <c r="AS338" s="105"/>
      <c r="AT338" s="105"/>
      <c r="AU338" s="105"/>
      <c r="AV338" s="105"/>
      <c r="AW338" s="105"/>
      <c r="AX338" s="105"/>
      <c r="AY338" s="105"/>
      <c r="AZ338" s="105"/>
      <c r="BA338" s="105"/>
    </row>
    <row r="339">
      <c r="A339" s="105" t="str">
        <f>IFERROR(__xludf.DUMMYFUNCTION("""COMPUTED_VALUE"""),"SETTLED")</f>
        <v>SETTLED</v>
      </c>
      <c r="B339" s="105" t="str">
        <f>IFERROR(__xludf.DUMMYFUNCTION("""COMPUTED_VALUE"""),"Juan")</f>
        <v>Juan</v>
      </c>
      <c r="C339" s="506" t="str">
        <f>IFERROR(__xludf.DUMMYFUNCTION("""COMPUTED_VALUE"""),"Jason L Gordon")</f>
        <v>Jason L Gordon</v>
      </c>
      <c r="D339" s="506" t="str">
        <f>IFERROR(__xludf.DUMMYFUNCTION("""COMPUTED_VALUE"""),"813 850 6020")</f>
        <v>813 850 6020</v>
      </c>
      <c r="E339" s="506" t="str">
        <f>IFERROR(__xludf.DUMMYFUNCTION("""COMPUTED_VALUE"""),"Jasonl.gordon@gmail.com")</f>
        <v>Jasonl.gordon@gmail.com</v>
      </c>
      <c r="F339" s="506" t="str">
        <f>IFERROR(__xludf.DUMMYFUNCTION("""COMPUTED_VALUE"""),"1502 21St St SE Ruskin, FL 33570")</f>
        <v>1502 21St St SE Ruskin, FL 33570</v>
      </c>
      <c r="G339" s="506" t="str">
        <f>IFERROR(__xludf.DUMMYFUNCTION("""COMPUTED_VALUE"""),"Hurricane Milton")</f>
        <v>Hurricane Milton</v>
      </c>
      <c r="H339" s="105" t="str">
        <f>IFERROR(__xludf.DUMMYFUNCTION("""COMPUTED_VALUE"""),"Reopen")</f>
        <v>Reopen</v>
      </c>
      <c r="I339" s="505" t="b">
        <v>0</v>
      </c>
      <c r="J339" s="507" t="b">
        <v>0</v>
      </c>
      <c r="K339" s="112"/>
      <c r="L339" s="505" t="b">
        <v>0</v>
      </c>
      <c r="M339" s="504" t="b">
        <v>0</v>
      </c>
      <c r="N339" s="112"/>
      <c r="O339" s="505" t="b">
        <v>0</v>
      </c>
      <c r="P339" s="504" t="b">
        <v>0</v>
      </c>
      <c r="Q339" s="116"/>
      <c r="R339" s="505" t="b">
        <v>0</v>
      </c>
      <c r="S339" s="504" t="b">
        <v>0</v>
      </c>
      <c r="T339" s="117"/>
      <c r="U339" s="505" t="b">
        <v>0</v>
      </c>
      <c r="V339" s="504" t="b">
        <v>0</v>
      </c>
      <c r="W339" s="118"/>
      <c r="X339" s="505" t="b">
        <v>0</v>
      </c>
      <c r="Y339" s="504" t="b">
        <v>0</v>
      </c>
      <c r="Z339" s="119"/>
      <c r="AA339" s="505" t="b">
        <v>0</v>
      </c>
      <c r="AB339" s="504" t="b">
        <v>0</v>
      </c>
      <c r="AC339" s="121"/>
      <c r="AD339" s="505" t="b">
        <v>0</v>
      </c>
      <c r="AE339" s="504" t="b">
        <v>0</v>
      </c>
      <c r="AF339" s="125"/>
      <c r="AG339" s="505" t="b">
        <v>0</v>
      </c>
      <c r="AH339" s="504" t="b">
        <v>0</v>
      </c>
      <c r="AI339" s="105"/>
      <c r="AJ339" s="505" t="b">
        <v>0</v>
      </c>
      <c r="AK339" s="504" t="b">
        <v>0</v>
      </c>
      <c r="AL339" s="126"/>
      <c r="AM339" s="505" t="b">
        <v>0</v>
      </c>
      <c r="AN339" s="504" t="b">
        <v>0</v>
      </c>
      <c r="AO339" s="105"/>
      <c r="AP339" s="105"/>
      <c r="AQ339" s="105"/>
      <c r="AR339" s="105"/>
      <c r="AS339" s="105"/>
      <c r="AT339" s="105"/>
      <c r="AU339" s="105"/>
      <c r="AV339" s="105"/>
      <c r="AW339" s="105"/>
      <c r="AX339" s="105"/>
      <c r="AY339" s="105"/>
      <c r="AZ339" s="105"/>
      <c r="BA339" s="105"/>
    </row>
    <row r="340">
      <c r="A340" s="105" t="str">
        <f>IFERROR(__xludf.DUMMYFUNCTION("""COMPUTED_VALUE"""),"SETTLED")</f>
        <v>SETTLED</v>
      </c>
      <c r="B340" s="105" t="str">
        <f>IFERROR(__xludf.DUMMYFUNCTION("""COMPUTED_VALUE"""),"Ivan")</f>
        <v>Ivan</v>
      </c>
      <c r="C340" s="506" t="str">
        <f>IFERROR(__xludf.DUMMYFUNCTION("""COMPUTED_VALUE"""),"John Martin")</f>
        <v>John Martin</v>
      </c>
      <c r="D340" s="506" t="str">
        <f>IFERROR(__xludf.DUMMYFUNCTION("""COMPUTED_VALUE"""),"772-801-1093")</f>
        <v>772-801-1093</v>
      </c>
      <c r="E340" s="506" t="str">
        <f>IFERROR(__xludf.DUMMYFUNCTION("""COMPUTED_VALUE"""),"martin23s@yahoo.com")</f>
        <v>martin23s@yahoo.com</v>
      </c>
      <c r="F340" s="506" t="str">
        <f>IFERROR(__xludf.DUMMYFUNCTION("""COMPUTED_VALUE"""),"3105 Kingsley DR. Fort Pierce, FL 34946")</f>
        <v>3105 Kingsley DR. Fort Pierce, FL 34946</v>
      </c>
      <c r="G340" s="506" t="str">
        <f>IFERROR(__xludf.DUMMYFUNCTION("""COMPUTED_VALUE"""),"Hurricane Milton")</f>
        <v>Hurricane Milton</v>
      </c>
      <c r="H340" s="105" t="str">
        <f>IFERROR(__xludf.DUMMYFUNCTION("""COMPUTED_VALUE"""),"Reopen")</f>
        <v>Reopen</v>
      </c>
      <c r="I340" s="505" t="b">
        <v>0</v>
      </c>
      <c r="J340" s="507" t="b">
        <v>0</v>
      </c>
      <c r="K340" s="112"/>
      <c r="L340" s="505" t="b">
        <v>0</v>
      </c>
      <c r="M340" s="504" t="b">
        <v>0</v>
      </c>
      <c r="N340" s="112"/>
      <c r="O340" s="505" t="b">
        <v>0</v>
      </c>
      <c r="P340" s="504" t="b">
        <v>0</v>
      </c>
      <c r="Q340" s="116"/>
      <c r="R340" s="505" t="b">
        <v>0</v>
      </c>
      <c r="S340" s="504" t="b">
        <v>0</v>
      </c>
      <c r="T340" s="117"/>
      <c r="U340" s="505" t="b">
        <v>0</v>
      </c>
      <c r="V340" s="504" t="b">
        <v>0</v>
      </c>
      <c r="W340" s="118"/>
      <c r="X340" s="505" t="b">
        <v>0</v>
      </c>
      <c r="Y340" s="504" t="b">
        <v>0</v>
      </c>
      <c r="Z340" s="119"/>
      <c r="AA340" s="505" t="b">
        <v>0</v>
      </c>
      <c r="AB340" s="504" t="b">
        <v>0</v>
      </c>
      <c r="AC340" s="121"/>
      <c r="AD340" s="505" t="b">
        <v>0</v>
      </c>
      <c r="AE340" s="504" t="b">
        <v>0</v>
      </c>
      <c r="AF340" s="125"/>
      <c r="AG340" s="505" t="b">
        <v>0</v>
      </c>
      <c r="AH340" s="504" t="b">
        <v>0</v>
      </c>
      <c r="AI340" s="105"/>
      <c r="AJ340" s="505" t="b">
        <v>0</v>
      </c>
      <c r="AK340" s="504" t="b">
        <v>0</v>
      </c>
      <c r="AL340" s="126"/>
      <c r="AM340" s="505" t="b">
        <v>0</v>
      </c>
      <c r="AN340" s="504" t="b">
        <v>0</v>
      </c>
      <c r="AO340" s="105"/>
      <c r="AP340" s="105"/>
      <c r="AQ340" s="105"/>
      <c r="AR340" s="105"/>
      <c r="AS340" s="105"/>
      <c r="AT340" s="105"/>
      <c r="AU340" s="105"/>
      <c r="AV340" s="105"/>
      <c r="AW340" s="105"/>
      <c r="AX340" s="105"/>
      <c r="AY340" s="105"/>
      <c r="AZ340" s="105"/>
      <c r="BA340" s="105"/>
    </row>
    <row r="341">
      <c r="A341" s="105" t="str">
        <f>IFERROR(__xludf.DUMMYFUNCTION("""COMPUTED_VALUE"""),"SETTLED")</f>
        <v>SETTLED</v>
      </c>
      <c r="B341" s="105" t="str">
        <f>IFERROR(__xludf.DUMMYFUNCTION("""COMPUTED_VALUE"""),"Juan")</f>
        <v>Juan</v>
      </c>
      <c r="C341" s="506" t="str">
        <f>IFERROR(__xludf.DUMMYFUNCTION("""COMPUTED_VALUE"""),"Archie Sanders")</f>
        <v>Archie Sanders</v>
      </c>
      <c r="D341" s="506" t="str">
        <f>IFERROR(__xludf.DUMMYFUNCTION("""COMPUTED_VALUE"""),"813-508-3668")</f>
        <v>813-508-3668</v>
      </c>
      <c r="E341" s="506" t="str">
        <f>IFERROR(__xludf.DUMMYFUNCTION("""COMPUTED_VALUE"""),"Archie222413@gmail.com")</f>
        <v>Archie222413@gmail.com</v>
      </c>
      <c r="F341" s="506" t="str">
        <f>IFERROR(__xludf.DUMMYFUNCTION("""COMPUTED_VALUE"""),"323 Flamingo Dr Apollo Beach, FL 33572")</f>
        <v>323 Flamingo Dr Apollo Beach, FL 33572</v>
      </c>
      <c r="G341" s="506" t="str">
        <f>IFERROR(__xludf.DUMMYFUNCTION("""COMPUTED_VALUE"""),"Hurricane Milton")</f>
        <v>Hurricane Milton</v>
      </c>
      <c r="H341" s="105" t="str">
        <f>IFERROR(__xludf.DUMMYFUNCTION("""COMPUTED_VALUE"""),"Reopen")</f>
        <v>Reopen</v>
      </c>
      <c r="I341" s="505" t="b">
        <v>0</v>
      </c>
      <c r="J341" s="507" t="b">
        <v>0</v>
      </c>
      <c r="K341" s="112"/>
      <c r="L341" s="505" t="b">
        <v>0</v>
      </c>
      <c r="M341" s="504" t="b">
        <v>0</v>
      </c>
      <c r="N341" s="112"/>
      <c r="O341" s="505" t="b">
        <v>0</v>
      </c>
      <c r="P341" s="504" t="b">
        <v>0</v>
      </c>
      <c r="Q341" s="116"/>
      <c r="R341" s="505" t="b">
        <v>0</v>
      </c>
      <c r="S341" s="504" t="b">
        <v>0</v>
      </c>
      <c r="T341" s="117"/>
      <c r="U341" s="505" t="b">
        <v>0</v>
      </c>
      <c r="V341" s="504" t="b">
        <v>0</v>
      </c>
      <c r="W341" s="118"/>
      <c r="X341" s="505" t="b">
        <v>0</v>
      </c>
      <c r="Y341" s="504" t="b">
        <v>0</v>
      </c>
      <c r="Z341" s="119"/>
      <c r="AA341" s="505" t="b">
        <v>0</v>
      </c>
      <c r="AB341" s="504" t="b">
        <v>0</v>
      </c>
      <c r="AC341" s="121"/>
      <c r="AD341" s="505" t="b">
        <v>0</v>
      </c>
      <c r="AE341" s="504" t="b">
        <v>0</v>
      </c>
      <c r="AF341" s="125"/>
      <c r="AG341" s="505" t="b">
        <v>0</v>
      </c>
      <c r="AH341" s="504" t="b">
        <v>0</v>
      </c>
      <c r="AI341" s="105"/>
      <c r="AJ341" s="505" t="b">
        <v>0</v>
      </c>
      <c r="AK341" s="504" t="b">
        <v>0</v>
      </c>
      <c r="AL341" s="126"/>
      <c r="AM341" s="505" t="b">
        <v>0</v>
      </c>
      <c r="AN341" s="504" t="b">
        <v>0</v>
      </c>
      <c r="AO341" s="105"/>
      <c r="AP341" s="105"/>
      <c r="AQ341" s="105"/>
      <c r="AR341" s="105"/>
      <c r="AS341" s="105"/>
      <c r="AT341" s="105"/>
      <c r="AU341" s="105"/>
      <c r="AV341" s="105"/>
      <c r="AW341" s="105"/>
      <c r="AX341" s="105"/>
      <c r="AY341" s="105"/>
      <c r="AZ341" s="105"/>
      <c r="BA341" s="105"/>
    </row>
    <row r="342">
      <c r="A342" s="105" t="str">
        <f>IFERROR(__xludf.DUMMYFUNCTION("""COMPUTED_VALUE"""),"SETTLED")</f>
        <v>SETTLED</v>
      </c>
      <c r="B342" s="105" t="str">
        <f>IFERROR(__xludf.DUMMYFUNCTION("""COMPUTED_VALUE"""),"Chris / Joshua")</f>
        <v>Chris / Joshua</v>
      </c>
      <c r="C342" s="506" t="str">
        <f>IFERROR(__xludf.DUMMYFUNCTION("""COMPUTED_VALUE"""),"Julissa Jimenez")</f>
        <v>Julissa Jimenez</v>
      </c>
      <c r="D342" s="506" t="str">
        <f>IFERROR(__xludf.DUMMYFUNCTION("""COMPUTED_VALUE"""),"941-705-1862")</f>
        <v>941-705-1862</v>
      </c>
      <c r="E342" s="506" t="str">
        <f>IFERROR(__xludf.DUMMYFUNCTION("""COMPUTED_VALUE"""),"Jjulissa875@gmail.com")</f>
        <v>Jjulissa875@gmail.com</v>
      </c>
      <c r="F342" s="506" t="str">
        <f>IFERROR(__xludf.DUMMYFUNCTION("""COMPUTED_VALUE"""),"220 21st ST W Palmetto FL, 34221")</f>
        <v>220 21st ST W Palmetto FL, 34221</v>
      </c>
      <c r="G342" s="506" t="str">
        <f>IFERROR(__xludf.DUMMYFUNCTION("""COMPUTED_VALUE"""),"Hurricane Milton")</f>
        <v>Hurricane Milton</v>
      </c>
      <c r="H342" s="105" t="str">
        <f>IFERROR(__xludf.DUMMYFUNCTION("""COMPUTED_VALUE"""),"Reopen")</f>
        <v>Reopen</v>
      </c>
      <c r="I342" s="505" t="b">
        <v>0</v>
      </c>
      <c r="J342" s="507" t="b">
        <v>0</v>
      </c>
      <c r="K342" s="112"/>
      <c r="L342" s="505" t="b">
        <v>0</v>
      </c>
      <c r="M342" s="504" t="b">
        <v>0</v>
      </c>
      <c r="N342" s="112"/>
      <c r="O342" s="505" t="b">
        <v>0</v>
      </c>
      <c r="P342" s="504" t="b">
        <v>0</v>
      </c>
      <c r="Q342" s="116"/>
      <c r="R342" s="505" t="b">
        <v>0</v>
      </c>
      <c r="S342" s="504" t="b">
        <v>0</v>
      </c>
      <c r="T342" s="117"/>
      <c r="U342" s="505" t="b">
        <v>0</v>
      </c>
      <c r="V342" s="504" t="b">
        <v>0</v>
      </c>
      <c r="W342" s="118"/>
      <c r="X342" s="505" t="b">
        <v>0</v>
      </c>
      <c r="Y342" s="504" t="b">
        <v>0</v>
      </c>
      <c r="Z342" s="119"/>
      <c r="AA342" s="505" t="b">
        <v>0</v>
      </c>
      <c r="AB342" s="504" t="b">
        <v>0</v>
      </c>
      <c r="AC342" s="121"/>
      <c r="AD342" s="505" t="b">
        <v>0</v>
      </c>
      <c r="AE342" s="504" t="b">
        <v>0</v>
      </c>
      <c r="AF342" s="125"/>
      <c r="AG342" s="505" t="b">
        <v>0</v>
      </c>
      <c r="AH342" s="504" t="b">
        <v>0</v>
      </c>
      <c r="AI342" s="105"/>
      <c r="AJ342" s="505" t="b">
        <v>0</v>
      </c>
      <c r="AK342" s="504" t="b">
        <v>0</v>
      </c>
      <c r="AL342" s="126"/>
      <c r="AM342" s="505" t="b">
        <v>0</v>
      </c>
      <c r="AN342" s="504" t="b">
        <v>0</v>
      </c>
      <c r="AO342" s="105"/>
      <c r="AP342" s="105"/>
      <c r="AQ342" s="105"/>
      <c r="AR342" s="105"/>
      <c r="AS342" s="105"/>
      <c r="AT342" s="105"/>
      <c r="AU342" s="105"/>
      <c r="AV342" s="105"/>
      <c r="AW342" s="105"/>
      <c r="AX342" s="105"/>
      <c r="AY342" s="105"/>
      <c r="AZ342" s="105"/>
      <c r="BA342" s="105"/>
    </row>
    <row r="343">
      <c r="A343" s="105" t="str">
        <f>IFERROR(__xludf.DUMMYFUNCTION("""COMPUTED_VALUE"""),"SETTLED")</f>
        <v>SETTLED</v>
      </c>
      <c r="B343" s="105" t="str">
        <f>IFERROR(__xludf.DUMMYFUNCTION("""COMPUTED_VALUE"""),"Joshua")</f>
        <v>Joshua</v>
      </c>
      <c r="C343" s="506" t="str">
        <f>IFERROR(__xludf.DUMMYFUNCTION("""COMPUTED_VALUE"""),"Andrew Dove-Rivers")</f>
        <v>Andrew Dove-Rivers</v>
      </c>
      <c r="D343" s="506" t="str">
        <f>IFERROR(__xludf.DUMMYFUNCTION("""COMPUTED_VALUE"""),"656-200-8767")</f>
        <v>656-200-8767</v>
      </c>
      <c r="E343" s="506" t="str">
        <f>IFERROR(__xludf.DUMMYFUNCTION("""COMPUTED_VALUE"""),"Andrew.rivers520@gmail.com")</f>
        <v>Andrew.rivers520@gmail.com</v>
      </c>
      <c r="F343" s="506" t="str">
        <f>IFERROR(__xludf.DUMMYFUNCTION("""COMPUTED_VALUE"""),"11417 Bridge Pine Dr, Riverview, FL 33569")</f>
        <v>11417 Bridge Pine Dr, Riverview, FL 33569</v>
      </c>
      <c r="G343" s="506" t="str">
        <f>IFERROR(__xludf.DUMMYFUNCTION("""COMPUTED_VALUE"""),"Hurricane Milton")</f>
        <v>Hurricane Milton</v>
      </c>
      <c r="H343" s="105" t="str">
        <f>IFERROR(__xludf.DUMMYFUNCTION("""COMPUTED_VALUE"""),"Reopen")</f>
        <v>Reopen</v>
      </c>
      <c r="I343" s="505" t="b">
        <v>0</v>
      </c>
      <c r="J343" s="507" t="b">
        <v>0</v>
      </c>
      <c r="K343" s="112"/>
      <c r="L343" s="505" t="b">
        <v>0</v>
      </c>
      <c r="M343" s="504" t="b">
        <v>0</v>
      </c>
      <c r="N343" s="112"/>
      <c r="O343" s="505" t="b">
        <v>0</v>
      </c>
      <c r="P343" s="504" t="b">
        <v>0</v>
      </c>
      <c r="Q343" s="116"/>
      <c r="R343" s="505" t="b">
        <v>0</v>
      </c>
      <c r="S343" s="504" t="b">
        <v>0</v>
      </c>
      <c r="T343" s="117"/>
      <c r="U343" s="505" t="b">
        <v>0</v>
      </c>
      <c r="V343" s="504" t="b">
        <v>0</v>
      </c>
      <c r="W343" s="118"/>
      <c r="X343" s="505" t="b">
        <v>0</v>
      </c>
      <c r="Y343" s="504" t="b">
        <v>0</v>
      </c>
      <c r="Z343" s="119"/>
      <c r="AA343" s="505" t="b">
        <v>0</v>
      </c>
      <c r="AB343" s="504" t="b">
        <v>0</v>
      </c>
      <c r="AC343" s="121"/>
      <c r="AD343" s="505" t="b">
        <v>0</v>
      </c>
      <c r="AE343" s="504" t="b">
        <v>0</v>
      </c>
      <c r="AF343" s="125"/>
      <c r="AG343" s="505" t="b">
        <v>0</v>
      </c>
      <c r="AH343" s="504" t="b">
        <v>0</v>
      </c>
      <c r="AI343" s="105"/>
      <c r="AJ343" s="505" t="b">
        <v>0</v>
      </c>
      <c r="AK343" s="504" t="b">
        <v>0</v>
      </c>
      <c r="AL343" s="126"/>
      <c r="AM343" s="505" t="b">
        <v>0</v>
      </c>
      <c r="AN343" s="504" t="b">
        <v>0</v>
      </c>
      <c r="AO343" s="105"/>
      <c r="AP343" s="105"/>
      <c r="AQ343" s="105"/>
      <c r="AR343" s="105"/>
      <c r="AS343" s="105"/>
      <c r="AT343" s="105"/>
      <c r="AU343" s="105"/>
      <c r="AV343" s="105"/>
      <c r="AW343" s="105"/>
      <c r="AX343" s="105"/>
      <c r="AY343" s="105"/>
      <c r="AZ343" s="105"/>
      <c r="BA343" s="105"/>
    </row>
    <row r="344">
      <c r="A344" s="105" t="str">
        <f>IFERROR(__xludf.DUMMYFUNCTION("""COMPUTED_VALUE"""),"FEES PENDING")</f>
        <v>FEES PENDING</v>
      </c>
      <c r="B344" s="105" t="str">
        <f>IFERROR(__xludf.DUMMYFUNCTION("""COMPUTED_VALUE"""),"Juan")</f>
        <v>Juan</v>
      </c>
      <c r="C344" s="506" t="str">
        <f>IFERROR(__xludf.DUMMYFUNCTION("""COMPUTED_VALUE"""),"Robert &amp; Carol Risch ")</f>
        <v>Robert &amp; Carol Risch </v>
      </c>
      <c r="D344" s="506" t="str">
        <f>IFERROR(__xludf.DUMMYFUNCTION("""COMPUTED_VALUE""")," 740-819-8001")</f>
        <v> 740-819-8001</v>
      </c>
      <c r="E344" s="506" t="str">
        <f>IFERROR(__xludf.DUMMYFUNCTION("""COMPUTED_VALUE"""),"Robert.risch@verizon.net")</f>
        <v>Robert.risch@verizon.net</v>
      </c>
      <c r="F344" s="506" t="str">
        <f>IFERROR(__xludf.DUMMYFUNCTION("""COMPUTED_VALUE"""),"611 Washita Stone Dr. Ruskin, FL 33570")</f>
        <v>611 Washita Stone Dr. Ruskin, FL 33570</v>
      </c>
      <c r="G344" s="506" t="str">
        <f>IFERROR(__xludf.DUMMYFUNCTION("""COMPUTED_VALUE"""),"Hurricane Milton")</f>
        <v>Hurricane Milton</v>
      </c>
      <c r="H344" s="105" t="str">
        <f>IFERROR(__xludf.DUMMYFUNCTION("""COMPUTED_VALUE"""),"Reopen")</f>
        <v>Reopen</v>
      </c>
      <c r="I344" s="505" t="b">
        <v>0</v>
      </c>
      <c r="J344" s="507" t="b">
        <v>0</v>
      </c>
      <c r="K344" s="112"/>
      <c r="L344" s="505" t="b">
        <v>0</v>
      </c>
      <c r="M344" s="504" t="b">
        <v>0</v>
      </c>
      <c r="N344" s="112"/>
      <c r="O344" s="505" t="b">
        <v>0</v>
      </c>
      <c r="P344" s="504" t="b">
        <v>0</v>
      </c>
      <c r="Q344" s="116"/>
      <c r="R344" s="505" t="b">
        <v>0</v>
      </c>
      <c r="S344" s="504" t="b">
        <v>0</v>
      </c>
      <c r="T344" s="117"/>
      <c r="U344" s="505" t="b">
        <v>0</v>
      </c>
      <c r="V344" s="504" t="b">
        <v>0</v>
      </c>
      <c r="W344" s="118"/>
      <c r="X344" s="505" t="b">
        <v>0</v>
      </c>
      <c r="Y344" s="504" t="b">
        <v>0</v>
      </c>
      <c r="Z344" s="119"/>
      <c r="AA344" s="505" t="b">
        <v>0</v>
      </c>
      <c r="AB344" s="504" t="b">
        <v>0</v>
      </c>
      <c r="AC344" s="121"/>
      <c r="AD344" s="505" t="b">
        <v>0</v>
      </c>
      <c r="AE344" s="504" t="b">
        <v>0</v>
      </c>
      <c r="AF344" s="125"/>
      <c r="AG344" s="505" t="b">
        <v>0</v>
      </c>
      <c r="AH344" s="504" t="b">
        <v>0</v>
      </c>
      <c r="AI344" s="105"/>
      <c r="AJ344" s="505" t="b">
        <v>0</v>
      </c>
      <c r="AK344" s="504" t="b">
        <v>0</v>
      </c>
      <c r="AL344" s="126"/>
      <c r="AM344" s="505" t="b">
        <v>0</v>
      </c>
      <c r="AN344" s="504" t="b">
        <v>0</v>
      </c>
      <c r="AO344" s="105"/>
      <c r="AP344" s="105"/>
      <c r="AQ344" s="105"/>
      <c r="AR344" s="105"/>
      <c r="AS344" s="105"/>
      <c r="AT344" s="105"/>
      <c r="AU344" s="105"/>
      <c r="AV344" s="105"/>
      <c r="AW344" s="105"/>
      <c r="AX344" s="105"/>
      <c r="AY344" s="105"/>
      <c r="AZ344" s="105"/>
      <c r="BA344" s="105"/>
    </row>
    <row r="345">
      <c r="A345" s="105" t="str">
        <f>IFERROR(__xludf.DUMMYFUNCTION("""COMPUTED_VALUE"""),"SETTLED")</f>
        <v>SETTLED</v>
      </c>
      <c r="B345" s="105" t="str">
        <f>IFERROR(__xludf.DUMMYFUNCTION("""COMPUTED_VALUE"""),"Ivan")</f>
        <v>Ivan</v>
      </c>
      <c r="C345" s="506" t="str">
        <f>IFERROR(__xludf.DUMMYFUNCTION("""COMPUTED_VALUE"""),"Melissa Miranda")</f>
        <v>Melissa Miranda</v>
      </c>
      <c r="D345" s="506" t="str">
        <f>IFERROR(__xludf.DUMMYFUNCTION("""COMPUTED_VALUE""")," 305-431-6080")</f>
        <v> 305-431-6080</v>
      </c>
      <c r="E345" s="506" t="str">
        <f>IFERROR(__xludf.DUMMYFUNCTION("""COMPUTED_VALUE"""),"melissa.e.miranda@gmail.com")</f>
        <v>melissa.e.miranda@gmail.com</v>
      </c>
      <c r="F345" s="506" t="str">
        <f>IFERROR(__xludf.DUMMYFUNCTION("""COMPUTED_VALUE"""),"13917 SW 84 ST. Miami, FL 33183")</f>
        <v>13917 SW 84 ST. Miami, FL 33183</v>
      </c>
      <c r="G345" s="506" t="str">
        <f>IFERROR(__xludf.DUMMYFUNCTION("""COMPUTED_VALUE"""),"AWD")</f>
        <v>AWD</v>
      </c>
      <c r="H345" s="105" t="str">
        <f>IFERROR(__xludf.DUMMYFUNCTION("""COMPUTED_VALUE"""),"New Claim")</f>
        <v>New Claim</v>
      </c>
      <c r="I345" s="505" t="b">
        <v>0</v>
      </c>
      <c r="J345" s="507" t="b">
        <v>0</v>
      </c>
      <c r="K345" s="112"/>
      <c r="L345" s="505" t="b">
        <v>0</v>
      </c>
      <c r="M345" s="504" t="b">
        <v>0</v>
      </c>
      <c r="N345" s="112"/>
      <c r="O345" s="505" t="b">
        <v>0</v>
      </c>
      <c r="P345" s="504" t="b">
        <v>0</v>
      </c>
      <c r="Q345" s="116"/>
      <c r="R345" s="505" t="b">
        <v>0</v>
      </c>
      <c r="S345" s="504" t="b">
        <v>0</v>
      </c>
      <c r="T345" s="117"/>
      <c r="U345" s="505" t="b">
        <v>0</v>
      </c>
      <c r="V345" s="504" t="b">
        <v>0</v>
      </c>
      <c r="W345" s="118"/>
      <c r="X345" s="505" t="b">
        <v>0</v>
      </c>
      <c r="Y345" s="504" t="b">
        <v>0</v>
      </c>
      <c r="Z345" s="119"/>
      <c r="AA345" s="505" t="b">
        <v>0</v>
      </c>
      <c r="AB345" s="504" t="b">
        <v>0</v>
      </c>
      <c r="AC345" s="121"/>
      <c r="AD345" s="505" t="b">
        <v>0</v>
      </c>
      <c r="AE345" s="504" t="b">
        <v>0</v>
      </c>
      <c r="AF345" s="125"/>
      <c r="AG345" s="505" t="b">
        <v>0</v>
      </c>
      <c r="AH345" s="504" t="b">
        <v>0</v>
      </c>
      <c r="AI345" s="105"/>
      <c r="AJ345" s="505" t="b">
        <v>0</v>
      </c>
      <c r="AK345" s="504" t="b">
        <v>0</v>
      </c>
      <c r="AL345" s="126"/>
      <c r="AM345" s="505" t="b">
        <v>0</v>
      </c>
      <c r="AN345" s="504" t="b">
        <v>0</v>
      </c>
      <c r="AO345" s="105"/>
      <c r="AP345" s="105"/>
      <c r="AQ345" s="105"/>
      <c r="AR345" s="105"/>
      <c r="AS345" s="105"/>
      <c r="AT345" s="105"/>
      <c r="AU345" s="105"/>
      <c r="AV345" s="105"/>
      <c r="AW345" s="105"/>
      <c r="AX345" s="105"/>
      <c r="AY345" s="105"/>
      <c r="AZ345" s="105"/>
      <c r="BA345" s="105"/>
    </row>
    <row r="346">
      <c r="A346" s="105" t="str">
        <f>IFERROR(__xludf.DUMMYFUNCTION("""COMPUTED_VALUE"""),"CLSD CLAIMS")</f>
        <v>CLSD CLAIMS</v>
      </c>
      <c r="B346" s="105" t="str">
        <f>IFERROR(__xludf.DUMMYFUNCTION("""COMPUTED_VALUE"""),"Ivan")</f>
        <v>Ivan</v>
      </c>
      <c r="C346" s="506" t="str">
        <f>IFERROR(__xludf.DUMMYFUNCTION("""COMPUTED_VALUE"""),"Michelle Tingling")</f>
        <v>Michelle Tingling</v>
      </c>
      <c r="D346" s="506" t="str">
        <f>IFERROR(__xludf.DUMMYFUNCTION("""COMPUTED_VALUE"""),"772-607-3172")</f>
        <v>772-607-3172</v>
      </c>
      <c r="E346" s="506" t="str">
        <f>IFERROR(__xludf.DUMMYFUNCTION("""COMPUTED_VALUE"""),"Whisrico11@gmail.com")</f>
        <v>Whisrico11@gmail.com</v>
      </c>
      <c r="F346" s="506" t="str">
        <f>IFERROR(__xludf.DUMMYFUNCTION("""COMPUTED_VALUE"""),"1566 SW Jacksonville Ave. Port Saint Lucie FL 34953")</f>
        <v>1566 SW Jacksonville Ave. Port Saint Lucie FL 34953</v>
      </c>
      <c r="G346" s="506" t="str">
        <f>IFERROR(__xludf.DUMMYFUNCTION("""COMPUTED_VALUE"""),"Hurricane Milton")</f>
        <v>Hurricane Milton</v>
      </c>
      <c r="H346" s="105" t="str">
        <f>IFERROR(__xludf.DUMMYFUNCTION("""COMPUTED_VALUE"""),"New Claim")</f>
        <v>New Claim</v>
      </c>
      <c r="I346" s="505" t="b">
        <v>0</v>
      </c>
      <c r="J346" s="507" t="b">
        <v>0</v>
      </c>
      <c r="K346" s="112"/>
      <c r="L346" s="505" t="b">
        <v>0</v>
      </c>
      <c r="M346" s="504" t="b">
        <v>0</v>
      </c>
      <c r="N346" s="112"/>
      <c r="O346" s="505" t="b">
        <v>0</v>
      </c>
      <c r="P346" s="504" t="b">
        <v>0</v>
      </c>
      <c r="Q346" s="116"/>
      <c r="R346" s="505" t="b">
        <v>0</v>
      </c>
      <c r="S346" s="504" t="b">
        <v>0</v>
      </c>
      <c r="T346" s="117"/>
      <c r="U346" s="505" t="b">
        <v>0</v>
      </c>
      <c r="V346" s="504" t="b">
        <v>0</v>
      </c>
      <c r="W346" s="118"/>
      <c r="X346" s="505" t="b">
        <v>0</v>
      </c>
      <c r="Y346" s="504" t="b">
        <v>0</v>
      </c>
      <c r="Z346" s="119"/>
      <c r="AA346" s="505" t="b">
        <v>0</v>
      </c>
      <c r="AB346" s="504" t="b">
        <v>0</v>
      </c>
      <c r="AC346" s="121"/>
      <c r="AD346" s="505" t="b">
        <v>0</v>
      </c>
      <c r="AE346" s="504" t="b">
        <v>0</v>
      </c>
      <c r="AF346" s="125"/>
      <c r="AG346" s="505" t="b">
        <v>0</v>
      </c>
      <c r="AH346" s="504" t="b">
        <v>0</v>
      </c>
      <c r="AI346" s="105"/>
      <c r="AJ346" s="505" t="b">
        <v>0</v>
      </c>
      <c r="AK346" s="504" t="b">
        <v>0</v>
      </c>
      <c r="AL346" s="126"/>
      <c r="AM346" s="505" t="b">
        <v>0</v>
      </c>
      <c r="AN346" s="504" t="b">
        <v>0</v>
      </c>
      <c r="AO346" s="105"/>
      <c r="AP346" s="105"/>
      <c r="AQ346" s="105"/>
      <c r="AR346" s="105"/>
      <c r="AS346" s="105"/>
      <c r="AT346" s="105"/>
      <c r="AU346" s="105"/>
      <c r="AV346" s="105"/>
      <c r="AW346" s="105"/>
      <c r="AX346" s="105"/>
      <c r="AY346" s="105"/>
      <c r="AZ346" s="105"/>
      <c r="BA346" s="105"/>
    </row>
    <row r="347">
      <c r="A347" s="105" t="str">
        <f>IFERROR(__xludf.DUMMYFUNCTION("""COMPUTED_VALUE"""),"PEN O&amp;L/DEPRECIATION")</f>
        <v>PEN O&amp;L/DEPRECIATION</v>
      </c>
      <c r="B347" s="105" t="str">
        <f>IFERROR(__xludf.DUMMYFUNCTION("""COMPUTED_VALUE"""),"Chris / Joshua")</f>
        <v>Chris / Joshua</v>
      </c>
      <c r="C347" s="506" t="str">
        <f>IFERROR(__xludf.DUMMYFUNCTION("""COMPUTED_VALUE"""),"Servando Valdez")</f>
        <v>Servando Valdez</v>
      </c>
      <c r="D347" s="506" t="str">
        <f>IFERROR(__xludf.DUMMYFUNCTION("""COMPUTED_VALUE"""),"813-531-1267")</f>
        <v>813-531-1267</v>
      </c>
      <c r="E347" s="506" t="str">
        <f>IFERROR(__xludf.DUMMYFUNCTION("""COMPUTED_VALUE"""),"Ritovaldez22@gmail.com")</f>
        <v>Ritovaldez22@gmail.com</v>
      </c>
      <c r="F347" s="506" t="str">
        <f>IFERROR(__xludf.DUMMYFUNCTION("""COMPUTED_VALUE"""),"2427 Crestview RD Wimauma ,FL 33598")</f>
        <v>2427 Crestview RD Wimauma ,FL 33598</v>
      </c>
      <c r="G347" s="506" t="str">
        <f>IFERROR(__xludf.DUMMYFUNCTION("""COMPUTED_VALUE"""),"Hurricane Milton")</f>
        <v>Hurricane Milton</v>
      </c>
      <c r="H347" s="105" t="str">
        <f>IFERROR(__xludf.DUMMYFUNCTION("""COMPUTED_VALUE"""),"Reopen")</f>
        <v>Reopen</v>
      </c>
      <c r="I347" s="505" t="b">
        <v>0</v>
      </c>
      <c r="J347" s="507" t="b">
        <v>0</v>
      </c>
      <c r="K347" s="112"/>
      <c r="L347" s="505" t="b">
        <v>0</v>
      </c>
      <c r="M347" s="504" t="b">
        <v>0</v>
      </c>
      <c r="N347" s="112"/>
      <c r="O347" s="505" t="b">
        <v>0</v>
      </c>
      <c r="P347" s="504" t="b">
        <v>0</v>
      </c>
      <c r="Q347" s="116"/>
      <c r="R347" s="505" t="b">
        <v>0</v>
      </c>
      <c r="S347" s="504" t="b">
        <v>0</v>
      </c>
      <c r="T347" s="117"/>
      <c r="U347" s="505" t="b">
        <v>0</v>
      </c>
      <c r="V347" s="504" t="b">
        <v>0</v>
      </c>
      <c r="W347" s="118"/>
      <c r="X347" s="505" t="b">
        <v>0</v>
      </c>
      <c r="Y347" s="504" t="b">
        <v>0</v>
      </c>
      <c r="Z347" s="119"/>
      <c r="AA347" s="505" t="b">
        <v>0</v>
      </c>
      <c r="AB347" s="504" t="b">
        <v>0</v>
      </c>
      <c r="AC347" s="121"/>
      <c r="AD347" s="505" t="b">
        <v>0</v>
      </c>
      <c r="AE347" s="504" t="b">
        <v>0</v>
      </c>
      <c r="AF347" s="125"/>
      <c r="AG347" s="505" t="b">
        <v>0</v>
      </c>
      <c r="AH347" s="504" t="b">
        <v>0</v>
      </c>
      <c r="AI347" s="105"/>
      <c r="AJ347" s="505" t="b">
        <v>0</v>
      </c>
      <c r="AK347" s="504" t="b">
        <v>0</v>
      </c>
      <c r="AL347" s="126"/>
      <c r="AM347" s="505" t="b">
        <v>0</v>
      </c>
      <c r="AN347" s="504" t="b">
        <v>0</v>
      </c>
      <c r="AO347" s="105"/>
      <c r="AP347" s="105"/>
      <c r="AQ347" s="105"/>
      <c r="AR347" s="105"/>
      <c r="AS347" s="105"/>
      <c r="AT347" s="105"/>
      <c r="AU347" s="105"/>
      <c r="AV347" s="105"/>
      <c r="AW347" s="105"/>
      <c r="AX347" s="105"/>
      <c r="AY347" s="105"/>
      <c r="AZ347" s="105"/>
      <c r="BA347" s="105"/>
    </row>
    <row r="348">
      <c r="A348" s="105" t="str">
        <f>IFERROR(__xludf.DUMMYFUNCTION("""COMPUTED_VALUE"""),"FEES PENDING")</f>
        <v>FEES PENDING</v>
      </c>
      <c r="B348" s="105" t="str">
        <f>IFERROR(__xludf.DUMMYFUNCTION("""COMPUTED_VALUE"""),"Chris / Joshua")</f>
        <v>Chris / Joshua</v>
      </c>
      <c r="C348" s="506" t="str">
        <f>IFERROR(__xludf.DUMMYFUNCTION("""COMPUTED_VALUE"""),"Jose Flores &amp; Angie Gallegos ")</f>
        <v>Jose Flores &amp; Angie Gallegos </v>
      </c>
      <c r="D348" s="506" t="str">
        <f>IFERROR(__xludf.DUMMYFUNCTION("""COMPUTED_VALUE"""),"813-812-0038")</f>
        <v>813-812-0038</v>
      </c>
      <c r="E348" s="506" t="str">
        <f>IFERROR(__xludf.DUMMYFUNCTION("""COMPUTED_VALUE"""),"Gizmo.flores130@gmail.com/
agallegos9380@yahoo.com")</f>
        <v>Gizmo.flores130@gmail.com/
agallegos9380@yahoo.com</v>
      </c>
      <c r="F348" s="506" t="str">
        <f>IFERROR(__xludf.DUMMYFUNCTION("""COMPUTED_VALUE"""),"5143 Bishop Rd. Wimauma, FL 33598")</f>
        <v>5143 Bishop Rd. Wimauma, FL 33598</v>
      </c>
      <c r="G348" s="506" t="str">
        <f>IFERROR(__xludf.DUMMYFUNCTION("""COMPUTED_VALUE"""),"Hurricane Milton")</f>
        <v>Hurricane Milton</v>
      </c>
      <c r="H348" s="105" t="str">
        <f>IFERROR(__xludf.DUMMYFUNCTION("""COMPUTED_VALUE"""),"New Claim")</f>
        <v>New Claim</v>
      </c>
      <c r="I348" s="505" t="b">
        <v>0</v>
      </c>
      <c r="J348" s="507" t="b">
        <v>0</v>
      </c>
      <c r="K348" s="112"/>
      <c r="L348" s="505" t="b">
        <v>0</v>
      </c>
      <c r="M348" s="504" t="b">
        <v>0</v>
      </c>
      <c r="N348" s="112"/>
      <c r="O348" s="505" t="b">
        <v>0</v>
      </c>
      <c r="P348" s="504" t="b">
        <v>0</v>
      </c>
      <c r="Q348" s="116"/>
      <c r="R348" s="505" t="b">
        <v>0</v>
      </c>
      <c r="S348" s="504" t="b">
        <v>0</v>
      </c>
      <c r="T348" s="117"/>
      <c r="U348" s="505" t="b">
        <v>0</v>
      </c>
      <c r="V348" s="504" t="b">
        <v>0</v>
      </c>
      <c r="W348" s="118"/>
      <c r="X348" s="505" t="b">
        <v>0</v>
      </c>
      <c r="Y348" s="504" t="b">
        <v>0</v>
      </c>
      <c r="Z348" s="119"/>
      <c r="AA348" s="505" t="b">
        <v>0</v>
      </c>
      <c r="AB348" s="504" t="b">
        <v>0</v>
      </c>
      <c r="AC348" s="121"/>
      <c r="AD348" s="505" t="b">
        <v>0</v>
      </c>
      <c r="AE348" s="504" t="b">
        <v>0</v>
      </c>
      <c r="AF348" s="125"/>
      <c r="AG348" s="505" t="b">
        <v>0</v>
      </c>
      <c r="AH348" s="504" t="b">
        <v>0</v>
      </c>
      <c r="AI348" s="105"/>
      <c r="AJ348" s="505" t="b">
        <v>0</v>
      </c>
      <c r="AK348" s="504" t="b">
        <v>0</v>
      </c>
      <c r="AL348" s="126"/>
      <c r="AM348" s="505" t="b">
        <v>0</v>
      </c>
      <c r="AN348" s="504" t="b">
        <v>0</v>
      </c>
      <c r="AO348" s="105"/>
      <c r="AP348" s="105"/>
      <c r="AQ348" s="105"/>
      <c r="AR348" s="105"/>
      <c r="AS348" s="105"/>
      <c r="AT348" s="105"/>
      <c r="AU348" s="105"/>
      <c r="AV348" s="105"/>
      <c r="AW348" s="105"/>
      <c r="AX348" s="105"/>
      <c r="AY348" s="105"/>
      <c r="AZ348" s="105"/>
      <c r="BA348" s="105"/>
    </row>
    <row r="349">
      <c r="A349" s="506" t="str">
        <f>IFERROR(__xludf.DUMMYFUNCTION("""COMPUTED_VALUE"""),"PEN O&amp;L/DEPRECIATION")</f>
        <v>PEN O&amp;L/DEPRECIATION</v>
      </c>
      <c r="B349" s="105" t="str">
        <f>IFERROR(__xludf.DUMMYFUNCTION("""COMPUTED_VALUE"""),"Chris / Joshua")</f>
        <v>Chris / Joshua</v>
      </c>
      <c r="C349" s="506" t="str">
        <f>IFERROR(__xludf.DUMMYFUNCTION("""COMPUTED_VALUE"""),"Brett Anderson ")</f>
        <v>Brett Anderson </v>
      </c>
      <c r="D349" s="506" t="str">
        <f>IFERROR(__xludf.DUMMYFUNCTION("""COMPUTED_VALUE"""),"813 -778-1967")</f>
        <v>813 -778-1967</v>
      </c>
      <c r="E349" s="506" t="str">
        <f>IFERROR(__xludf.DUMMYFUNCTION("""COMPUTED_VALUE"""),"brett_257@msn.com")</f>
        <v>brett_257@msn.com</v>
      </c>
      <c r="F349" s="506" t="str">
        <f>IFERROR(__xludf.DUMMYFUNCTION("""COMPUTED_VALUE"""),"1002 Circle DR Ruskin, FL 33570 ")</f>
        <v>1002 Circle DR Ruskin, FL 33570 </v>
      </c>
      <c r="G349" s="506" t="str">
        <f>IFERROR(__xludf.DUMMYFUNCTION("""COMPUTED_VALUE"""),"Hurricane Milton")</f>
        <v>Hurricane Milton</v>
      </c>
      <c r="H349" s="105" t="str">
        <f>IFERROR(__xludf.DUMMYFUNCTION("""COMPUTED_VALUE"""),"New Claim")</f>
        <v>New Claim</v>
      </c>
      <c r="I349" s="505" t="b">
        <v>0</v>
      </c>
      <c r="J349" s="507" t="b">
        <v>0</v>
      </c>
      <c r="K349" s="112"/>
      <c r="L349" s="505" t="b">
        <v>0</v>
      </c>
      <c r="M349" s="504" t="b">
        <v>0</v>
      </c>
      <c r="N349" s="112"/>
      <c r="O349" s="505" t="b">
        <v>0</v>
      </c>
      <c r="P349" s="504" t="b">
        <v>0</v>
      </c>
      <c r="Q349" s="116"/>
      <c r="R349" s="505" t="b">
        <v>0</v>
      </c>
      <c r="S349" s="504" t="b">
        <v>0</v>
      </c>
      <c r="T349" s="117"/>
      <c r="U349" s="505" t="b">
        <v>0</v>
      </c>
      <c r="V349" s="504" t="b">
        <v>0</v>
      </c>
      <c r="W349" s="118"/>
      <c r="X349" s="505" t="b">
        <v>0</v>
      </c>
      <c r="Y349" s="504" t="b">
        <v>0</v>
      </c>
      <c r="Z349" s="119"/>
      <c r="AA349" s="505" t="b">
        <v>0</v>
      </c>
      <c r="AB349" s="504" t="b">
        <v>0</v>
      </c>
      <c r="AC349" s="121"/>
      <c r="AD349" s="505" t="b">
        <v>0</v>
      </c>
      <c r="AE349" s="504" t="b">
        <v>0</v>
      </c>
      <c r="AF349" s="125"/>
      <c r="AG349" s="505" t="b">
        <v>0</v>
      </c>
      <c r="AH349" s="504" t="b">
        <v>0</v>
      </c>
      <c r="AI349" s="105"/>
      <c r="AJ349" s="505" t="b">
        <v>0</v>
      </c>
      <c r="AK349" s="504" t="b">
        <v>0</v>
      </c>
      <c r="AL349" s="126"/>
      <c r="AM349" s="505" t="b">
        <v>0</v>
      </c>
      <c r="AN349" s="504" t="b">
        <v>0</v>
      </c>
      <c r="AO349" s="105"/>
      <c r="AP349" s="105"/>
      <c r="AQ349" s="105"/>
      <c r="AR349" s="105"/>
      <c r="AS349" s="105"/>
      <c r="AT349" s="105"/>
      <c r="AU349" s="105"/>
      <c r="AV349" s="105"/>
      <c r="AW349" s="105"/>
      <c r="AX349" s="105"/>
      <c r="AY349" s="105"/>
      <c r="AZ349" s="105"/>
      <c r="BA349" s="105"/>
    </row>
    <row r="350">
      <c r="A350" s="105" t="str">
        <f>IFERROR(__xludf.DUMMYFUNCTION("""COMPUTED_VALUE"""),"SETTLED")</f>
        <v>SETTLED</v>
      </c>
      <c r="B350" s="105" t="str">
        <f>IFERROR(__xludf.DUMMYFUNCTION("""COMPUTED_VALUE"""),"Chris / Joshua")</f>
        <v>Chris / Joshua</v>
      </c>
      <c r="C350" s="506" t="str">
        <f>IFERROR(__xludf.DUMMYFUNCTION("""COMPUTED_VALUE"""),"Maria A Herrera ")</f>
        <v>Maria A Herrera </v>
      </c>
      <c r="D350" s="506" t="str">
        <f>IFERROR(__xludf.DUMMYFUNCTION("""COMPUTED_VALUE"""),"813-491-4036")</f>
        <v>813-491-4036</v>
      </c>
      <c r="E350" s="506" t="str">
        <f>IFERROR(__xludf.DUMMYFUNCTION("""COMPUTED_VALUE"""),"Olgaherrera1@yahoo.com/
aracelivasquez98@gmail.com")</f>
        <v>Olgaherrera1@yahoo.com/
aracelivasquez98@gmail.com</v>
      </c>
      <c r="F350" s="506" t="str">
        <f>IFERROR(__xludf.DUMMYFUNCTION("""COMPUTED_VALUE"""),"5308 Ruth Morris Rd Wimauma FL 33598")</f>
        <v>5308 Ruth Morris Rd Wimauma FL 33598</v>
      </c>
      <c r="G350" s="506" t="str">
        <f>IFERROR(__xludf.DUMMYFUNCTION("""COMPUTED_VALUE"""),"Hurricane Milton")</f>
        <v>Hurricane Milton</v>
      </c>
      <c r="H350" s="105" t="str">
        <f>IFERROR(__xludf.DUMMYFUNCTION("""COMPUTED_VALUE"""),"New Claim")</f>
        <v>New Claim</v>
      </c>
      <c r="I350" s="505" t="b">
        <v>0</v>
      </c>
      <c r="J350" s="507" t="b">
        <v>0</v>
      </c>
      <c r="K350" s="112"/>
      <c r="L350" s="505" t="b">
        <v>0</v>
      </c>
      <c r="M350" s="504" t="b">
        <v>0</v>
      </c>
      <c r="N350" s="112"/>
      <c r="O350" s="505" t="b">
        <v>0</v>
      </c>
      <c r="P350" s="504" t="b">
        <v>0</v>
      </c>
      <c r="Q350" s="116"/>
      <c r="R350" s="505" t="b">
        <v>0</v>
      </c>
      <c r="S350" s="504" t="b">
        <v>0</v>
      </c>
      <c r="T350" s="117"/>
      <c r="U350" s="505" t="b">
        <v>0</v>
      </c>
      <c r="V350" s="504" t="b">
        <v>0</v>
      </c>
      <c r="W350" s="118"/>
      <c r="X350" s="505" t="b">
        <v>0</v>
      </c>
      <c r="Y350" s="504" t="b">
        <v>0</v>
      </c>
      <c r="Z350" s="119"/>
      <c r="AA350" s="505" t="b">
        <v>0</v>
      </c>
      <c r="AB350" s="504" t="b">
        <v>0</v>
      </c>
      <c r="AC350" s="121"/>
      <c r="AD350" s="505" t="b">
        <v>0</v>
      </c>
      <c r="AE350" s="504" t="b">
        <v>0</v>
      </c>
      <c r="AF350" s="125"/>
      <c r="AG350" s="505" t="b">
        <v>0</v>
      </c>
      <c r="AH350" s="504" t="b">
        <v>0</v>
      </c>
      <c r="AI350" s="105"/>
      <c r="AJ350" s="505" t="b">
        <v>0</v>
      </c>
      <c r="AK350" s="504" t="b">
        <v>0</v>
      </c>
      <c r="AL350" s="126"/>
      <c r="AM350" s="505" t="b">
        <v>0</v>
      </c>
      <c r="AN350" s="504" t="b">
        <v>0</v>
      </c>
      <c r="AO350" s="105"/>
      <c r="AP350" s="105"/>
      <c r="AQ350" s="105"/>
      <c r="AR350" s="105"/>
      <c r="AS350" s="105"/>
      <c r="AT350" s="105"/>
      <c r="AU350" s="105"/>
      <c r="AV350" s="105"/>
      <c r="AW350" s="105"/>
      <c r="AX350" s="105"/>
      <c r="AY350" s="105"/>
      <c r="AZ350" s="105"/>
      <c r="BA350" s="105"/>
    </row>
    <row r="351">
      <c r="A351" s="506" t="str">
        <f>IFERROR(__xludf.DUMMYFUNCTION("""COMPUTED_VALUE"""),"CLSD CLAIMS")</f>
        <v>CLSD CLAIMS</v>
      </c>
      <c r="B351" s="105" t="str">
        <f>IFERROR(__xludf.DUMMYFUNCTION("""COMPUTED_VALUE"""),"Ivan")</f>
        <v>Ivan</v>
      </c>
      <c r="C351" s="506" t="str">
        <f>IFERROR(__xludf.DUMMYFUNCTION("""COMPUTED_VALUE"""),"Junior Mauger")</f>
        <v>Junior Mauger</v>
      </c>
      <c r="D351" s="506" t="str">
        <f>IFERROR(__xludf.DUMMYFUNCTION("""COMPUTED_VALUE"""),"561-317-0652")</f>
        <v>561-317-0652</v>
      </c>
      <c r="E351" s="506" t="str">
        <f>IFERROR(__xludf.DUMMYFUNCTION("""COMPUTED_VALUE"""),"Maugerj73@gmail.com")</f>
        <v>Maugerj73@gmail.com</v>
      </c>
      <c r="F351" s="506" t="str">
        <f>IFERROR(__xludf.DUMMYFUNCTION("""COMPUTED_VALUE"""),"3231 SW Crumpacker ST Port Saint Lucie, FL 34953")</f>
        <v>3231 SW Crumpacker ST Port Saint Lucie, FL 34953</v>
      </c>
      <c r="G351" s="506" t="str">
        <f>IFERROR(__xludf.DUMMYFUNCTION("""COMPUTED_VALUE"""),"Hurricane Milton")</f>
        <v>Hurricane Milton</v>
      </c>
      <c r="H351" s="105" t="str">
        <f>IFERROR(__xludf.DUMMYFUNCTION("""COMPUTED_VALUE"""),"New Claim")</f>
        <v>New Claim</v>
      </c>
      <c r="I351" s="505" t="b">
        <v>0</v>
      </c>
      <c r="J351" s="507" t="b">
        <v>0</v>
      </c>
      <c r="K351" s="112"/>
      <c r="L351" s="505" t="b">
        <v>0</v>
      </c>
      <c r="M351" s="504" t="b">
        <v>0</v>
      </c>
      <c r="N351" s="112"/>
      <c r="O351" s="505" t="b">
        <v>0</v>
      </c>
      <c r="P351" s="504" t="b">
        <v>0</v>
      </c>
      <c r="Q351" s="116"/>
      <c r="R351" s="505" t="b">
        <v>0</v>
      </c>
      <c r="S351" s="504" t="b">
        <v>0</v>
      </c>
      <c r="T351" s="117"/>
      <c r="U351" s="505" t="b">
        <v>0</v>
      </c>
      <c r="V351" s="504" t="b">
        <v>0</v>
      </c>
      <c r="W351" s="118"/>
      <c r="X351" s="505" t="b">
        <v>0</v>
      </c>
      <c r="Y351" s="504" t="b">
        <v>0</v>
      </c>
      <c r="Z351" s="119"/>
      <c r="AA351" s="505" t="b">
        <v>0</v>
      </c>
      <c r="AB351" s="504" t="b">
        <v>0</v>
      </c>
      <c r="AC351" s="121"/>
      <c r="AD351" s="505" t="b">
        <v>0</v>
      </c>
      <c r="AE351" s="504" t="b">
        <v>0</v>
      </c>
      <c r="AF351" s="125"/>
      <c r="AG351" s="505" t="b">
        <v>0</v>
      </c>
      <c r="AH351" s="504" t="b">
        <v>0</v>
      </c>
      <c r="AI351" s="105"/>
      <c r="AJ351" s="505" t="b">
        <v>0</v>
      </c>
      <c r="AK351" s="504" t="b">
        <v>0</v>
      </c>
      <c r="AL351" s="126"/>
      <c r="AM351" s="505" t="b">
        <v>0</v>
      </c>
      <c r="AN351" s="504" t="b">
        <v>0</v>
      </c>
      <c r="AO351" s="105"/>
      <c r="AP351" s="105"/>
      <c r="AQ351" s="105"/>
      <c r="AR351" s="105"/>
      <c r="AS351" s="105"/>
      <c r="AT351" s="105"/>
      <c r="AU351" s="105"/>
      <c r="AV351" s="105"/>
      <c r="AW351" s="105"/>
      <c r="AX351" s="105"/>
      <c r="AY351" s="105"/>
      <c r="AZ351" s="105"/>
      <c r="BA351" s="105"/>
    </row>
    <row r="352">
      <c r="A352" s="105" t="str">
        <f>IFERROR(__xludf.DUMMYFUNCTION("""COMPUTED_VALUE"""),"SETTLED")</f>
        <v>SETTLED</v>
      </c>
      <c r="B352" s="105" t="str">
        <f>IFERROR(__xludf.DUMMYFUNCTION("""COMPUTED_VALUE"""),"Chris / Joshua")</f>
        <v>Chris / Joshua</v>
      </c>
      <c r="C352" s="506" t="str">
        <f>IFERROR(__xludf.DUMMYFUNCTION("""COMPUTED_VALUE"""),"Jerry Hernandez Rodriguez")</f>
        <v>Jerry Hernandez Rodriguez</v>
      </c>
      <c r="D352" s="506" t="str">
        <f>IFERROR(__xludf.DUMMYFUNCTION("""COMPUTED_VALUE"""),"813-270-1920")</f>
        <v>813-270-1920</v>
      </c>
      <c r="E352" s="506" t="str">
        <f>IFERROR(__xludf.DUMMYFUNCTION("""COMPUTED_VALUE"""),"jerrymasters96@gmail.com")</f>
        <v>jerrymasters96@gmail.com</v>
      </c>
      <c r="F352" s="506" t="str">
        <f>IFERROR(__xludf.DUMMYFUNCTION("""COMPUTED_VALUE"""),"713 Parsons ST SW Ruskin FL 33570")</f>
        <v>713 Parsons ST SW Ruskin FL 33570</v>
      </c>
      <c r="G352" s="506" t="str">
        <f>IFERROR(__xludf.DUMMYFUNCTION("""COMPUTED_VALUE"""),"Hurricane Milton")</f>
        <v>Hurricane Milton</v>
      </c>
      <c r="H352" s="105" t="str">
        <f>IFERROR(__xludf.DUMMYFUNCTION("""COMPUTED_VALUE"""),"Reopen")</f>
        <v>Reopen</v>
      </c>
      <c r="I352" s="505" t="b">
        <v>0</v>
      </c>
      <c r="J352" s="507" t="b">
        <v>0</v>
      </c>
      <c r="K352" s="112"/>
      <c r="L352" s="505" t="b">
        <v>0</v>
      </c>
      <c r="M352" s="504" t="b">
        <v>0</v>
      </c>
      <c r="N352" s="112"/>
      <c r="O352" s="505" t="b">
        <v>0</v>
      </c>
      <c r="P352" s="504" t="b">
        <v>0</v>
      </c>
      <c r="Q352" s="116"/>
      <c r="R352" s="505" t="b">
        <v>0</v>
      </c>
      <c r="S352" s="504" t="b">
        <v>0</v>
      </c>
      <c r="T352" s="117"/>
      <c r="U352" s="505" t="b">
        <v>0</v>
      </c>
      <c r="V352" s="504" t="b">
        <v>0</v>
      </c>
      <c r="W352" s="118"/>
      <c r="X352" s="505" t="b">
        <v>0</v>
      </c>
      <c r="Y352" s="504" t="b">
        <v>0</v>
      </c>
      <c r="Z352" s="119"/>
      <c r="AA352" s="505" t="b">
        <v>0</v>
      </c>
      <c r="AB352" s="504" t="b">
        <v>0</v>
      </c>
      <c r="AC352" s="121"/>
      <c r="AD352" s="505" t="b">
        <v>0</v>
      </c>
      <c r="AE352" s="504" t="b">
        <v>0</v>
      </c>
      <c r="AF352" s="125"/>
      <c r="AG352" s="505" t="b">
        <v>0</v>
      </c>
      <c r="AH352" s="504" t="b">
        <v>0</v>
      </c>
      <c r="AI352" s="105"/>
      <c r="AJ352" s="505" t="b">
        <v>0</v>
      </c>
      <c r="AK352" s="504" t="b">
        <v>0</v>
      </c>
      <c r="AL352" s="126"/>
      <c r="AM352" s="505" t="b">
        <v>0</v>
      </c>
      <c r="AN352" s="504" t="b">
        <v>0</v>
      </c>
      <c r="AO352" s="105"/>
      <c r="AP352" s="105"/>
      <c r="AQ352" s="105"/>
      <c r="AR352" s="105"/>
      <c r="AS352" s="105"/>
      <c r="AT352" s="105"/>
      <c r="AU352" s="105"/>
      <c r="AV352" s="105"/>
      <c r="AW352" s="105"/>
      <c r="AX352" s="105"/>
      <c r="AY352" s="105"/>
      <c r="AZ352" s="105"/>
      <c r="BA352" s="105"/>
    </row>
    <row r="353">
      <c r="A353" s="506" t="str">
        <f>IFERROR(__xludf.DUMMYFUNCTION("""COMPUTED_VALUE"""),"PEN O&amp;L/DEPRECIATION")</f>
        <v>PEN O&amp;L/DEPRECIATION</v>
      </c>
      <c r="B353" s="105" t="str">
        <f>IFERROR(__xludf.DUMMYFUNCTION("""COMPUTED_VALUE"""),"Joshua")</f>
        <v>Joshua</v>
      </c>
      <c r="C353" s="506" t="str">
        <f>IFERROR(__xludf.DUMMYFUNCTION("""COMPUTED_VALUE"""),"Gleisis Giralt Diaz ")</f>
        <v>Gleisis Giralt Diaz </v>
      </c>
      <c r="D353" s="506" t="str">
        <f>IFERROR(__xludf.DUMMYFUNCTION("""COMPUTED_VALUE"""),"813-526-9765")</f>
        <v>813-526-9765</v>
      </c>
      <c r="E353" s="506" t="str">
        <f>IFERROR(__xludf.DUMMYFUNCTION("""COMPUTED_VALUE""")," Gigigiralt@gmail.com")</f>
        <v> Gigigiralt@gmail.com</v>
      </c>
      <c r="F353" s="506" t="str">
        <f>IFERROR(__xludf.DUMMYFUNCTION("""COMPUTED_VALUE"""),"6711 W Clifton St Tampa FL 33634")</f>
        <v>6711 W Clifton St Tampa FL 33634</v>
      </c>
      <c r="G353" s="506" t="str">
        <f>IFERROR(__xludf.DUMMYFUNCTION("""COMPUTED_VALUE"""),"Hurricane Helene")</f>
        <v>Hurricane Helene</v>
      </c>
      <c r="H353" s="105" t="str">
        <f>IFERROR(__xludf.DUMMYFUNCTION("""COMPUTED_VALUE"""),"Reopen")</f>
        <v>Reopen</v>
      </c>
      <c r="I353" s="505" t="b">
        <v>0</v>
      </c>
      <c r="J353" s="507" t="b">
        <v>0</v>
      </c>
      <c r="K353" s="112"/>
      <c r="L353" s="505" t="b">
        <v>0</v>
      </c>
      <c r="M353" s="504" t="b">
        <v>0</v>
      </c>
      <c r="N353" s="112"/>
      <c r="O353" s="505" t="b">
        <v>0</v>
      </c>
      <c r="P353" s="504" t="b">
        <v>0</v>
      </c>
      <c r="Q353" s="116"/>
      <c r="R353" s="505" t="b">
        <v>0</v>
      </c>
      <c r="S353" s="504" t="b">
        <v>0</v>
      </c>
      <c r="T353" s="117"/>
      <c r="U353" s="505" t="b">
        <v>0</v>
      </c>
      <c r="V353" s="504" t="b">
        <v>0</v>
      </c>
      <c r="W353" s="118"/>
      <c r="X353" s="505" t="b">
        <v>0</v>
      </c>
      <c r="Y353" s="504" t="b">
        <v>0</v>
      </c>
      <c r="Z353" s="119"/>
      <c r="AA353" s="505" t="b">
        <v>0</v>
      </c>
      <c r="AB353" s="504" t="b">
        <v>0</v>
      </c>
      <c r="AC353" s="121"/>
      <c r="AD353" s="505" t="b">
        <v>0</v>
      </c>
      <c r="AE353" s="504" t="b">
        <v>0</v>
      </c>
      <c r="AF353" s="125"/>
      <c r="AG353" s="505" t="b">
        <v>0</v>
      </c>
      <c r="AH353" s="504" t="b">
        <v>0</v>
      </c>
      <c r="AI353" s="105"/>
      <c r="AJ353" s="505" t="b">
        <v>0</v>
      </c>
      <c r="AK353" s="504" t="b">
        <v>0</v>
      </c>
      <c r="AL353" s="126"/>
      <c r="AM353" s="505" t="b">
        <v>0</v>
      </c>
      <c r="AN353" s="504" t="b">
        <v>0</v>
      </c>
      <c r="AO353" s="105"/>
      <c r="AP353" s="105"/>
      <c r="AQ353" s="105"/>
      <c r="AR353" s="105"/>
      <c r="AS353" s="105"/>
      <c r="AT353" s="105"/>
      <c r="AU353" s="105"/>
      <c r="AV353" s="105"/>
      <c r="AW353" s="105"/>
      <c r="AX353" s="105"/>
      <c r="AY353" s="105"/>
      <c r="AZ353" s="105"/>
      <c r="BA353" s="105"/>
    </row>
    <row r="354">
      <c r="A354" s="105" t="str">
        <f>IFERROR(__xludf.DUMMYFUNCTION("""COMPUTED_VALUE"""),"CLSD CLAIMS")</f>
        <v>CLSD CLAIMS</v>
      </c>
      <c r="B354" s="506" t="str">
        <f>IFERROR(__xludf.DUMMYFUNCTION("""COMPUTED_VALUE"""),"Ivan")</f>
        <v>Ivan</v>
      </c>
      <c r="C354" s="506" t="str">
        <f>IFERROR(__xludf.DUMMYFUNCTION("""COMPUTED_VALUE"""),"Catile &amp; Marie Alcide")</f>
        <v>Catile &amp; Marie Alcide</v>
      </c>
      <c r="D354" s="506" t="str">
        <f>IFERROR(__xludf.DUMMYFUNCTION("""COMPUTED_VALUE"""),"772-359-7356")</f>
        <v>772-359-7356</v>
      </c>
      <c r="E354" s="506" t="str">
        <f>IFERROR(__xludf.DUMMYFUNCTION("""COMPUTED_VALUE"""),"jrenee18@yahoo.com")</f>
        <v>jrenee18@yahoo.com</v>
      </c>
      <c r="F354" s="506" t="str">
        <f>IFERROR(__xludf.DUMMYFUNCTION("""COMPUTED_VALUE"""),"780 NW Floresta Dr Port Saint Lucie, FL 34983")</f>
        <v>780 NW Floresta Dr Port Saint Lucie, FL 34983</v>
      </c>
      <c r="G354" s="506" t="str">
        <f>IFERROR(__xludf.DUMMYFUNCTION("""COMPUTED_VALUE"""),"Hail")</f>
        <v>Hail</v>
      </c>
      <c r="H354" s="506" t="str">
        <f>IFERROR(__xludf.DUMMYFUNCTION("""COMPUTED_VALUE"""),"Reopen")</f>
        <v>Reopen</v>
      </c>
      <c r="I354" s="505" t="b">
        <v>0</v>
      </c>
      <c r="J354" s="507" t="b">
        <v>0</v>
      </c>
      <c r="K354" s="112"/>
      <c r="L354" s="505" t="b">
        <v>0</v>
      </c>
      <c r="M354" s="504" t="b">
        <v>0</v>
      </c>
      <c r="N354" s="112"/>
      <c r="O354" s="505" t="b">
        <v>0</v>
      </c>
      <c r="P354" s="504" t="b">
        <v>0</v>
      </c>
      <c r="Q354" s="116"/>
      <c r="R354" s="505" t="b">
        <v>0</v>
      </c>
      <c r="S354" s="504" t="b">
        <v>0</v>
      </c>
      <c r="T354" s="117"/>
      <c r="U354" s="505" t="b">
        <v>0</v>
      </c>
      <c r="V354" s="504" t="b">
        <v>0</v>
      </c>
      <c r="W354" s="118"/>
      <c r="X354" s="505" t="b">
        <v>0</v>
      </c>
      <c r="Y354" s="504" t="b">
        <v>0</v>
      </c>
      <c r="Z354" s="119"/>
      <c r="AA354" s="505" t="b">
        <v>0</v>
      </c>
      <c r="AB354" s="504" t="b">
        <v>0</v>
      </c>
      <c r="AC354" s="121"/>
      <c r="AD354" s="505" t="b">
        <v>0</v>
      </c>
      <c r="AE354" s="504" t="b">
        <v>0</v>
      </c>
      <c r="AF354" s="125"/>
      <c r="AG354" s="505" t="b">
        <v>0</v>
      </c>
      <c r="AH354" s="504" t="b">
        <v>0</v>
      </c>
      <c r="AI354" s="105"/>
      <c r="AJ354" s="505" t="b">
        <v>0</v>
      </c>
      <c r="AK354" s="504" t="b">
        <v>0</v>
      </c>
      <c r="AL354" s="126"/>
      <c r="AM354" s="505" t="b">
        <v>0</v>
      </c>
      <c r="AN354" s="504" t="b">
        <v>0</v>
      </c>
      <c r="AO354" s="105"/>
      <c r="AP354" s="105"/>
      <c r="AQ354" s="105"/>
      <c r="AR354" s="105"/>
      <c r="AS354" s="105"/>
      <c r="AT354" s="105"/>
      <c r="AU354" s="105"/>
      <c r="AV354" s="105"/>
      <c r="AW354" s="105"/>
      <c r="AX354" s="105"/>
      <c r="AY354" s="105"/>
      <c r="AZ354" s="105"/>
      <c r="BA354" s="105"/>
    </row>
    <row r="355">
      <c r="A355" s="105" t="str">
        <f>IFERROR(__xludf.DUMMYFUNCTION("""COMPUTED_VALUE"""),"FEES PENDING")</f>
        <v>FEES PENDING</v>
      </c>
      <c r="B355" s="105" t="str">
        <f>IFERROR(__xludf.DUMMYFUNCTION("""COMPUTED_VALUE"""),"Chris / Joshua")</f>
        <v>Chris / Joshua</v>
      </c>
      <c r="C355" s="506" t="str">
        <f>IFERROR(__xludf.DUMMYFUNCTION("""COMPUTED_VALUE"""),"Barbara Walton ")</f>
        <v>Barbara Walton </v>
      </c>
      <c r="D355" s="506" t="str">
        <f>IFERROR(__xludf.DUMMYFUNCTION("""COMPUTED_VALUE"""),"941-755-5986 / 931-214-4349")</f>
        <v>941-755-5986 / 931-214-4349</v>
      </c>
      <c r="E355" s="506" t="str">
        <f>IFERROR(__xludf.DUMMYFUNCTION("""COMPUTED_VALUE"""),"michaelwalton391@gmail.com/
slackbeverly35@gmail.com")</f>
        <v>michaelwalton391@gmail.com/
slackbeverly35@gmail.com</v>
      </c>
      <c r="F355" s="506" t="str">
        <f>IFERROR(__xludf.DUMMYFUNCTION("""COMPUTED_VALUE"""),"1903 Marilyn Ave Brandenton FL 34207")</f>
        <v>1903 Marilyn Ave Brandenton FL 34207</v>
      </c>
      <c r="G355" s="506" t="str">
        <f>IFERROR(__xludf.DUMMYFUNCTION("""COMPUTED_VALUE"""),"Hurricane Milton")</f>
        <v>Hurricane Milton</v>
      </c>
      <c r="H355" s="105" t="str">
        <f>IFERROR(__xludf.DUMMYFUNCTION("""COMPUTED_VALUE"""),"Reopen")</f>
        <v>Reopen</v>
      </c>
      <c r="I355" s="505" t="b">
        <v>0</v>
      </c>
      <c r="J355" s="507" t="b">
        <v>0</v>
      </c>
      <c r="K355" s="112"/>
      <c r="L355" s="505" t="b">
        <v>0</v>
      </c>
      <c r="M355" s="504" t="b">
        <v>0</v>
      </c>
      <c r="N355" s="112"/>
      <c r="O355" s="505" t="b">
        <v>0</v>
      </c>
      <c r="P355" s="504" t="b">
        <v>0</v>
      </c>
      <c r="Q355" s="116"/>
      <c r="R355" s="505" t="b">
        <v>0</v>
      </c>
      <c r="S355" s="504" t="b">
        <v>0</v>
      </c>
      <c r="T355" s="117"/>
      <c r="U355" s="505" t="b">
        <v>0</v>
      </c>
      <c r="V355" s="504" t="b">
        <v>0</v>
      </c>
      <c r="W355" s="118"/>
      <c r="X355" s="505" t="b">
        <v>0</v>
      </c>
      <c r="Y355" s="504" t="b">
        <v>0</v>
      </c>
      <c r="Z355" s="119"/>
      <c r="AA355" s="505" t="b">
        <v>0</v>
      </c>
      <c r="AB355" s="504" t="b">
        <v>0</v>
      </c>
      <c r="AC355" s="121"/>
      <c r="AD355" s="505" t="b">
        <v>0</v>
      </c>
      <c r="AE355" s="504" t="b">
        <v>0</v>
      </c>
      <c r="AF355" s="125"/>
      <c r="AG355" s="505" t="b">
        <v>0</v>
      </c>
      <c r="AH355" s="504" t="b">
        <v>0</v>
      </c>
      <c r="AI355" s="105"/>
      <c r="AJ355" s="505" t="b">
        <v>0</v>
      </c>
      <c r="AK355" s="504" t="b">
        <v>0</v>
      </c>
      <c r="AL355" s="126"/>
      <c r="AM355" s="505" t="b">
        <v>0</v>
      </c>
      <c r="AN355" s="504" t="b">
        <v>0</v>
      </c>
      <c r="AO355" s="105"/>
      <c r="AP355" s="105"/>
      <c r="AQ355" s="105"/>
      <c r="AR355" s="105"/>
      <c r="AS355" s="105"/>
      <c r="AT355" s="105"/>
      <c r="AU355" s="105"/>
      <c r="AV355" s="105"/>
      <c r="AW355" s="105"/>
      <c r="AX355" s="105"/>
      <c r="AY355" s="105"/>
      <c r="AZ355" s="105"/>
      <c r="BA355" s="105"/>
    </row>
    <row r="356">
      <c r="A356" s="105" t="str">
        <f>IFERROR(__xludf.DUMMYFUNCTION("""COMPUTED_VALUE"""),"SETTLED")</f>
        <v>SETTLED</v>
      </c>
      <c r="B356" s="105" t="str">
        <f>IFERROR(__xludf.DUMMYFUNCTION("""COMPUTED_VALUE"""),"Chris / Joshua")</f>
        <v>Chris / Joshua</v>
      </c>
      <c r="C356" s="506" t="str">
        <f>IFERROR(__xludf.DUMMYFUNCTION("""COMPUTED_VALUE"""),"Alba Rivera ")</f>
        <v>Alba Rivera </v>
      </c>
      <c r="D356" s="506" t="str">
        <f>IFERROR(__xludf.DUMMYFUNCTION("""COMPUTED_VALUE"""),"813-585-0243")</f>
        <v>813-585-0243</v>
      </c>
      <c r="E356" s="506" t="str">
        <f>IFERROR(__xludf.DUMMYFUNCTION("""COMPUTED_VALUE"""),"Riveraalba@gmail.com")</f>
        <v>Riveraalba@gmail.com</v>
      </c>
      <c r="F356" s="506" t="str">
        <f>IFERROR(__xludf.DUMMYFUNCTION("""COMPUTED_VALUE"""),"7605 Tangle Brook Blvd Gibsonton FL 33534")</f>
        <v>7605 Tangle Brook Blvd Gibsonton FL 33534</v>
      </c>
      <c r="G356" s="506" t="str">
        <f>IFERROR(__xludf.DUMMYFUNCTION("""COMPUTED_VALUE"""),"Hurricane Milton")</f>
        <v>Hurricane Milton</v>
      </c>
      <c r="H356" s="105" t="str">
        <f>IFERROR(__xludf.DUMMYFUNCTION("""COMPUTED_VALUE"""),"Reopen")</f>
        <v>Reopen</v>
      </c>
      <c r="I356" s="505" t="b">
        <v>0</v>
      </c>
      <c r="J356" s="507" t="b">
        <v>0</v>
      </c>
      <c r="K356" s="112"/>
      <c r="L356" s="505" t="b">
        <v>0</v>
      </c>
      <c r="M356" s="504" t="b">
        <v>0</v>
      </c>
      <c r="N356" s="112"/>
      <c r="O356" s="505" t="b">
        <v>0</v>
      </c>
      <c r="P356" s="504" t="b">
        <v>0</v>
      </c>
      <c r="Q356" s="116"/>
      <c r="R356" s="505" t="b">
        <v>0</v>
      </c>
      <c r="S356" s="504" t="b">
        <v>0</v>
      </c>
      <c r="T356" s="117"/>
      <c r="U356" s="505" t="b">
        <v>0</v>
      </c>
      <c r="V356" s="504" t="b">
        <v>0</v>
      </c>
      <c r="W356" s="118"/>
      <c r="X356" s="505" t="b">
        <v>0</v>
      </c>
      <c r="Y356" s="504" t="b">
        <v>0</v>
      </c>
      <c r="Z356" s="119"/>
      <c r="AA356" s="505" t="b">
        <v>0</v>
      </c>
      <c r="AB356" s="504" t="b">
        <v>0</v>
      </c>
      <c r="AC356" s="121"/>
      <c r="AD356" s="505" t="b">
        <v>0</v>
      </c>
      <c r="AE356" s="504" t="b">
        <v>0</v>
      </c>
      <c r="AF356" s="125"/>
      <c r="AG356" s="505" t="b">
        <v>0</v>
      </c>
      <c r="AH356" s="504" t="b">
        <v>0</v>
      </c>
      <c r="AI356" s="105"/>
      <c r="AJ356" s="505" t="b">
        <v>0</v>
      </c>
      <c r="AK356" s="504" t="b">
        <v>0</v>
      </c>
      <c r="AL356" s="126"/>
      <c r="AM356" s="505" t="b">
        <v>0</v>
      </c>
      <c r="AN356" s="504" t="b">
        <v>0</v>
      </c>
      <c r="AO356" s="105"/>
      <c r="AP356" s="105"/>
      <c r="AQ356" s="105"/>
      <c r="AR356" s="105"/>
      <c r="AS356" s="105"/>
      <c r="AT356" s="105"/>
      <c r="AU356" s="105"/>
      <c r="AV356" s="105"/>
      <c r="AW356" s="105"/>
      <c r="AX356" s="105"/>
      <c r="AY356" s="105"/>
      <c r="AZ356" s="105"/>
      <c r="BA356" s="105"/>
    </row>
    <row r="357">
      <c r="A357" s="105" t="str">
        <f>IFERROR(__xludf.DUMMYFUNCTION("""COMPUTED_VALUE"""),"CLSD CLAIMS")</f>
        <v>CLSD CLAIMS</v>
      </c>
      <c r="B357" s="105" t="str">
        <f>IFERROR(__xludf.DUMMYFUNCTION("""COMPUTED_VALUE"""),"Joshua")</f>
        <v>Joshua</v>
      </c>
      <c r="C357" s="506" t="str">
        <f>IFERROR(__xludf.DUMMYFUNCTION("""COMPUTED_VALUE"""),"Geraldine Kidd")</f>
        <v>Geraldine Kidd</v>
      </c>
      <c r="D357" s="506" t="str">
        <f>IFERROR(__xludf.DUMMYFUNCTION("""COMPUTED_VALUE"""),"727-906-5514")</f>
        <v>727-906-5514</v>
      </c>
      <c r="E357" s="506" t="str">
        <f>IFERROR(__xludf.DUMMYFUNCTION("""COMPUTED_VALUE"""),"Geralginekidd55@gmail.com")</f>
        <v>Geralginekidd55@gmail.com</v>
      </c>
      <c r="F357" s="506" t="str">
        <f>IFERROR(__xludf.DUMMYFUNCTION("""COMPUTED_VALUE"""),"2303 11th St S Saint Petersburg FL 33705")</f>
        <v>2303 11th St S Saint Petersburg FL 33705</v>
      </c>
      <c r="G357" s="506" t="str">
        <f>IFERROR(__xludf.DUMMYFUNCTION("""COMPUTED_VALUE"""),"Hurricane Milton")</f>
        <v>Hurricane Milton</v>
      </c>
      <c r="H357" s="105" t="str">
        <f>IFERROR(__xludf.DUMMYFUNCTION("""COMPUTED_VALUE"""),"New Claim")</f>
        <v>New Claim</v>
      </c>
      <c r="I357" s="505" t="b">
        <v>0</v>
      </c>
      <c r="J357" s="507" t="b">
        <v>0</v>
      </c>
      <c r="K357" s="112"/>
      <c r="L357" s="505" t="b">
        <v>0</v>
      </c>
      <c r="M357" s="504" t="b">
        <v>0</v>
      </c>
      <c r="N357" s="112"/>
      <c r="O357" s="505" t="b">
        <v>0</v>
      </c>
      <c r="P357" s="504" t="b">
        <v>0</v>
      </c>
      <c r="Q357" s="116"/>
      <c r="R357" s="505" t="b">
        <v>0</v>
      </c>
      <c r="S357" s="504" t="b">
        <v>0</v>
      </c>
      <c r="T357" s="117"/>
      <c r="U357" s="505" t="b">
        <v>0</v>
      </c>
      <c r="V357" s="504" t="b">
        <v>0</v>
      </c>
      <c r="W357" s="118"/>
      <c r="X357" s="505" t="b">
        <v>0</v>
      </c>
      <c r="Y357" s="504" t="b">
        <v>0</v>
      </c>
      <c r="Z357" s="119"/>
      <c r="AA357" s="505" t="b">
        <v>0</v>
      </c>
      <c r="AB357" s="504" t="b">
        <v>0</v>
      </c>
      <c r="AC357" s="121"/>
      <c r="AD357" s="505" t="b">
        <v>0</v>
      </c>
      <c r="AE357" s="504" t="b">
        <v>0</v>
      </c>
      <c r="AF357" s="125"/>
      <c r="AG357" s="505" t="b">
        <v>0</v>
      </c>
      <c r="AH357" s="504" t="b">
        <v>0</v>
      </c>
      <c r="AI357" s="105"/>
      <c r="AJ357" s="505" t="b">
        <v>0</v>
      </c>
      <c r="AK357" s="504" t="b">
        <v>0</v>
      </c>
      <c r="AL357" s="126"/>
      <c r="AM357" s="505" t="b">
        <v>0</v>
      </c>
      <c r="AN357" s="504" t="b">
        <v>0</v>
      </c>
      <c r="AO357" s="105"/>
      <c r="AP357" s="105"/>
      <c r="AQ357" s="105"/>
      <c r="AR357" s="105"/>
      <c r="AS357" s="105"/>
      <c r="AT357" s="105"/>
      <c r="AU357" s="105"/>
      <c r="AV357" s="105"/>
      <c r="AW357" s="105"/>
      <c r="AX357" s="105"/>
      <c r="AY357" s="105"/>
      <c r="AZ357" s="105"/>
      <c r="BA357" s="105"/>
    </row>
    <row r="358">
      <c r="A358" s="105" t="str">
        <f>IFERROR(__xludf.DUMMYFUNCTION("""COMPUTED_VALUE"""),"CLSD CLAIMS")</f>
        <v>CLSD CLAIMS</v>
      </c>
      <c r="B358" s="105" t="str">
        <f>IFERROR(__xludf.DUMMYFUNCTION("""COMPUTED_VALUE"""),"Chris / Joshua")</f>
        <v>Chris / Joshua</v>
      </c>
      <c r="C358" s="506" t="str">
        <f>IFERROR(__xludf.DUMMYFUNCTION("""COMPUTED_VALUE"""),"Nydia Aponte ")</f>
        <v>Nydia Aponte </v>
      </c>
      <c r="D358" s="506" t="str">
        <f>IFERROR(__xludf.DUMMYFUNCTION("""COMPUTED_VALUE"""),"813-516-8339")</f>
        <v>813-516-8339</v>
      </c>
      <c r="E358" s="506" t="str">
        <f>IFERROR(__xludf.DUMMYFUNCTION("""COMPUTED_VALUE"""),"kayspanky40@gmail.com")</f>
        <v>kayspanky40@gmail.com</v>
      </c>
      <c r="F358" s="506" t="str">
        <f>IFERROR(__xludf.DUMMYFUNCTION("""COMPUTED_VALUE"""),"7632 Tangle Rush Dr. Gibsonton, FL 33534")</f>
        <v>7632 Tangle Rush Dr. Gibsonton, FL 33534</v>
      </c>
      <c r="G358" s="506" t="str">
        <f>IFERROR(__xludf.DUMMYFUNCTION("""COMPUTED_VALUE"""),"Hurricane Milton")</f>
        <v>Hurricane Milton</v>
      </c>
      <c r="H358" s="105" t="str">
        <f>IFERROR(__xludf.DUMMYFUNCTION("""COMPUTED_VALUE"""),"Reopen")</f>
        <v>Reopen</v>
      </c>
      <c r="I358" s="505" t="b">
        <v>0</v>
      </c>
      <c r="J358" s="507" t="b">
        <v>0</v>
      </c>
      <c r="K358" s="112"/>
      <c r="L358" s="505" t="b">
        <v>0</v>
      </c>
      <c r="M358" s="504" t="b">
        <v>0</v>
      </c>
      <c r="N358" s="112"/>
      <c r="O358" s="505" t="b">
        <v>0</v>
      </c>
      <c r="P358" s="504" t="b">
        <v>0</v>
      </c>
      <c r="Q358" s="116"/>
      <c r="R358" s="505" t="b">
        <v>0</v>
      </c>
      <c r="S358" s="504" t="b">
        <v>0</v>
      </c>
      <c r="T358" s="117"/>
      <c r="U358" s="505" t="b">
        <v>0</v>
      </c>
      <c r="V358" s="504" t="b">
        <v>0</v>
      </c>
      <c r="W358" s="118"/>
      <c r="X358" s="505" t="b">
        <v>0</v>
      </c>
      <c r="Y358" s="504" t="b">
        <v>0</v>
      </c>
      <c r="Z358" s="119"/>
      <c r="AA358" s="505" t="b">
        <v>0</v>
      </c>
      <c r="AB358" s="504" t="b">
        <v>0</v>
      </c>
      <c r="AC358" s="121"/>
      <c r="AD358" s="505" t="b">
        <v>0</v>
      </c>
      <c r="AE358" s="504" t="b">
        <v>0</v>
      </c>
      <c r="AF358" s="125"/>
      <c r="AG358" s="505" t="b">
        <v>0</v>
      </c>
      <c r="AH358" s="504" t="b">
        <v>0</v>
      </c>
      <c r="AI358" s="105"/>
      <c r="AJ358" s="505" t="b">
        <v>0</v>
      </c>
      <c r="AK358" s="504" t="b">
        <v>0</v>
      </c>
      <c r="AL358" s="126"/>
      <c r="AM358" s="505" t="b">
        <v>0</v>
      </c>
      <c r="AN358" s="504" t="b">
        <v>0</v>
      </c>
      <c r="AO358" s="105"/>
      <c r="AP358" s="105"/>
      <c r="AQ358" s="105"/>
      <c r="AR358" s="105"/>
      <c r="AS358" s="105"/>
      <c r="AT358" s="105"/>
      <c r="AU358" s="105"/>
      <c r="AV358" s="105"/>
      <c r="AW358" s="105"/>
      <c r="AX358" s="105"/>
      <c r="AY358" s="105"/>
      <c r="AZ358" s="105"/>
      <c r="BA358" s="105"/>
    </row>
    <row r="359">
      <c r="A359" s="105" t="str">
        <f>IFERROR(__xludf.DUMMYFUNCTION("""COMPUTED_VALUE"""),"SETTLED")</f>
        <v>SETTLED</v>
      </c>
      <c r="B359" s="105" t="str">
        <f>IFERROR(__xludf.DUMMYFUNCTION("""COMPUTED_VALUE"""),"Chris / Joshua")</f>
        <v>Chris / Joshua</v>
      </c>
      <c r="C359" s="506" t="str">
        <f>IFERROR(__xludf.DUMMYFUNCTION("""COMPUTED_VALUE"""),"Altard Altes Dieuveuil")</f>
        <v>Altard Altes Dieuveuil</v>
      </c>
      <c r="D359" s="506" t="str">
        <f>IFERROR(__xludf.DUMMYFUNCTION("""COMPUTED_VALUE"""),"813-542-8018 / 656-210-0540")</f>
        <v>813-542-8018 / 656-210-0540</v>
      </c>
      <c r="E359" s="506" t="str">
        <f>IFERROR(__xludf.DUMMYFUNCTION("""COMPUTED_VALUE"""),"Advil@brighthouse.com")</f>
        <v>Advil@brighthouse.com</v>
      </c>
      <c r="F359" s="506" t="str">
        <f>IFERROR(__xludf.DUMMYFUNCTION("""COMPUTED_VALUE"""),"11239 Southwind Lake Dr Gibsonton, FL 33534")</f>
        <v>11239 Southwind Lake Dr Gibsonton, FL 33534</v>
      </c>
      <c r="G359" s="506" t="str">
        <f>IFERROR(__xludf.DUMMYFUNCTION("""COMPUTED_VALUE"""),"Hurricane Helene")</f>
        <v>Hurricane Helene</v>
      </c>
      <c r="H359" s="105" t="str">
        <f>IFERROR(__xludf.DUMMYFUNCTION("""COMPUTED_VALUE"""),"Reopen")</f>
        <v>Reopen</v>
      </c>
      <c r="I359" s="505" t="b">
        <v>0</v>
      </c>
      <c r="J359" s="507" t="b">
        <v>0</v>
      </c>
      <c r="K359" s="112"/>
      <c r="L359" s="505" t="b">
        <v>0</v>
      </c>
      <c r="M359" s="504" t="b">
        <v>0</v>
      </c>
      <c r="N359" s="112"/>
      <c r="O359" s="505" t="b">
        <v>0</v>
      </c>
      <c r="P359" s="504" t="b">
        <v>0</v>
      </c>
      <c r="Q359" s="116"/>
      <c r="R359" s="505" t="b">
        <v>0</v>
      </c>
      <c r="S359" s="504" t="b">
        <v>0</v>
      </c>
      <c r="T359" s="117"/>
      <c r="U359" s="505" t="b">
        <v>0</v>
      </c>
      <c r="V359" s="504" t="b">
        <v>0</v>
      </c>
      <c r="W359" s="118"/>
      <c r="X359" s="505" t="b">
        <v>0</v>
      </c>
      <c r="Y359" s="504" t="b">
        <v>0</v>
      </c>
      <c r="Z359" s="119"/>
      <c r="AA359" s="505" t="b">
        <v>0</v>
      </c>
      <c r="AB359" s="504" t="b">
        <v>0</v>
      </c>
      <c r="AC359" s="121"/>
      <c r="AD359" s="505" t="b">
        <v>0</v>
      </c>
      <c r="AE359" s="504" t="b">
        <v>0</v>
      </c>
      <c r="AF359" s="125"/>
      <c r="AG359" s="505" t="b">
        <v>0</v>
      </c>
      <c r="AH359" s="504" t="b">
        <v>0</v>
      </c>
      <c r="AI359" s="105"/>
      <c r="AJ359" s="505" t="b">
        <v>0</v>
      </c>
      <c r="AK359" s="504" t="b">
        <v>0</v>
      </c>
      <c r="AL359" s="126"/>
      <c r="AM359" s="505" t="b">
        <v>0</v>
      </c>
      <c r="AN359" s="504" t="b">
        <v>0</v>
      </c>
      <c r="AO359" s="105"/>
      <c r="AP359" s="105"/>
      <c r="AQ359" s="105"/>
      <c r="AR359" s="105"/>
      <c r="AS359" s="105"/>
      <c r="AT359" s="105"/>
      <c r="AU359" s="105"/>
      <c r="AV359" s="105"/>
      <c r="AW359" s="105"/>
      <c r="AX359" s="105"/>
      <c r="AY359" s="105"/>
      <c r="AZ359" s="105"/>
      <c r="BA359" s="105"/>
    </row>
    <row r="360">
      <c r="A360" s="105" t="str">
        <f>IFERROR(__xludf.DUMMYFUNCTION("""COMPUTED_VALUE"""),"SETTLED")</f>
        <v>SETTLED</v>
      </c>
      <c r="B360" s="105" t="str">
        <f>IFERROR(__xludf.DUMMYFUNCTION("""COMPUTED_VALUE"""),"Ivan")</f>
        <v>Ivan</v>
      </c>
      <c r="C360" s="506" t="str">
        <f>IFERROR(__xludf.DUMMYFUNCTION("""COMPUTED_VALUE"""),"Desperine Blake")</f>
        <v>Desperine Blake</v>
      </c>
      <c r="D360" s="506" t="str">
        <f>IFERROR(__xludf.DUMMYFUNCTION("""COMPUTED_VALUE"""),"914-312-0822")</f>
        <v>914-312-0822</v>
      </c>
      <c r="E360" s="506" t="str">
        <f>IFERROR(__xludf.DUMMYFUNCTION("""COMPUTED_VALUE"""),"remadiva@gmail.com")</f>
        <v>remadiva@gmail.com</v>
      </c>
      <c r="F360" s="506" t="str">
        <f>IFERROR(__xludf.DUMMYFUNCTION("""COMPUTED_VALUE"""),"1890 SW Dalmatian Ave. Port Saint Lucie, FL 34953")</f>
        <v>1890 SW Dalmatian Ave. Port Saint Lucie, FL 34953</v>
      </c>
      <c r="G360" s="506" t="str">
        <f>IFERROR(__xludf.DUMMYFUNCTION("""COMPUTED_VALUE"""),"Hurricane Milton")</f>
        <v>Hurricane Milton</v>
      </c>
      <c r="H360" s="105" t="str">
        <f>IFERROR(__xludf.DUMMYFUNCTION("""COMPUTED_VALUE"""),"New Claim")</f>
        <v>New Claim</v>
      </c>
      <c r="I360" s="505" t="b">
        <v>0</v>
      </c>
      <c r="J360" s="507" t="b">
        <v>0</v>
      </c>
      <c r="K360" s="112"/>
      <c r="L360" s="505" t="b">
        <v>0</v>
      </c>
      <c r="M360" s="504" t="b">
        <v>0</v>
      </c>
      <c r="N360" s="112"/>
      <c r="O360" s="505" t="b">
        <v>0</v>
      </c>
      <c r="P360" s="504" t="b">
        <v>0</v>
      </c>
      <c r="Q360" s="116"/>
      <c r="R360" s="505" t="b">
        <v>0</v>
      </c>
      <c r="S360" s="504" t="b">
        <v>0</v>
      </c>
      <c r="T360" s="117"/>
      <c r="U360" s="505" t="b">
        <v>0</v>
      </c>
      <c r="V360" s="504" t="b">
        <v>0</v>
      </c>
      <c r="W360" s="118"/>
      <c r="X360" s="505" t="b">
        <v>0</v>
      </c>
      <c r="Y360" s="504" t="b">
        <v>0</v>
      </c>
      <c r="Z360" s="119"/>
      <c r="AA360" s="505" t="b">
        <v>0</v>
      </c>
      <c r="AB360" s="504" t="b">
        <v>0</v>
      </c>
      <c r="AC360" s="121"/>
      <c r="AD360" s="505" t="b">
        <v>0</v>
      </c>
      <c r="AE360" s="504" t="b">
        <v>0</v>
      </c>
      <c r="AF360" s="125"/>
      <c r="AG360" s="505" t="b">
        <v>0</v>
      </c>
      <c r="AH360" s="504" t="b">
        <v>0</v>
      </c>
      <c r="AI360" s="105"/>
      <c r="AJ360" s="505" t="b">
        <v>0</v>
      </c>
      <c r="AK360" s="504" t="b">
        <v>0</v>
      </c>
      <c r="AL360" s="126"/>
      <c r="AM360" s="505" t="b">
        <v>0</v>
      </c>
      <c r="AN360" s="504" t="b">
        <v>0</v>
      </c>
      <c r="AO360" s="105"/>
      <c r="AP360" s="105"/>
      <c r="AQ360" s="105"/>
      <c r="AR360" s="105"/>
      <c r="AS360" s="105"/>
      <c r="AT360" s="105"/>
      <c r="AU360" s="105"/>
      <c r="AV360" s="105"/>
      <c r="AW360" s="105"/>
      <c r="AX360" s="105"/>
      <c r="AY360" s="105"/>
      <c r="AZ360" s="105"/>
      <c r="BA360" s="105"/>
    </row>
    <row r="361">
      <c r="A361" s="105" t="str">
        <f>IFERROR(__xludf.DUMMYFUNCTION("""COMPUTED_VALUE"""),"CLSD CLAIMS")</f>
        <v>CLSD CLAIMS</v>
      </c>
      <c r="B361" s="105" t="str">
        <f>IFERROR(__xludf.DUMMYFUNCTION("""COMPUTED_VALUE"""),"Juan")</f>
        <v>Juan</v>
      </c>
      <c r="C361" s="506" t="str">
        <f>IFERROR(__xludf.DUMMYFUNCTION("""COMPUTED_VALUE"""),"Chad Santoro ")</f>
        <v>Chad Santoro </v>
      </c>
      <c r="D361" s="506" t="str">
        <f>IFERROR(__xludf.DUMMYFUNCTION("""COMPUTED_VALUE"""),"813-734-0322")</f>
        <v>813-734-0322</v>
      </c>
      <c r="E361" s="506" t="str">
        <f>IFERROR(__xludf.DUMMYFUNCTION("""COMPUTED_VALUE"""),"Sherry.scott7@yahoo.com")</f>
        <v>Sherry.scott7@yahoo.com</v>
      </c>
      <c r="F361" s="506" t="str">
        <f>IFERROR(__xludf.DUMMYFUNCTION("""COMPUTED_VALUE"""),"518 Flame Tree Dr, Apollo Beach, FL 33572")</f>
        <v>518 Flame Tree Dr, Apollo Beach, FL 33572</v>
      </c>
      <c r="G361" s="506" t="str">
        <f>IFERROR(__xludf.DUMMYFUNCTION("""COMPUTED_VALUE"""),"Hurricane Helene")</f>
        <v>Hurricane Helene</v>
      </c>
      <c r="H361" s="105" t="str">
        <f>IFERROR(__xludf.DUMMYFUNCTION("""COMPUTED_VALUE"""),"Reopen")</f>
        <v>Reopen</v>
      </c>
      <c r="I361" s="505" t="b">
        <v>0</v>
      </c>
      <c r="J361" s="507" t="b">
        <v>0</v>
      </c>
      <c r="K361" s="112"/>
      <c r="L361" s="505" t="b">
        <v>0</v>
      </c>
      <c r="M361" s="504" t="b">
        <v>0</v>
      </c>
      <c r="N361" s="112"/>
      <c r="O361" s="505" t="b">
        <v>0</v>
      </c>
      <c r="P361" s="504" t="b">
        <v>0</v>
      </c>
      <c r="Q361" s="116"/>
      <c r="R361" s="505" t="b">
        <v>0</v>
      </c>
      <c r="S361" s="504" t="b">
        <v>0</v>
      </c>
      <c r="T361" s="117"/>
      <c r="U361" s="505" t="b">
        <v>0</v>
      </c>
      <c r="V361" s="504" t="b">
        <v>0</v>
      </c>
      <c r="W361" s="118"/>
      <c r="X361" s="505" t="b">
        <v>0</v>
      </c>
      <c r="Y361" s="504" t="b">
        <v>0</v>
      </c>
      <c r="Z361" s="119"/>
      <c r="AA361" s="505" t="b">
        <v>0</v>
      </c>
      <c r="AB361" s="504" t="b">
        <v>0</v>
      </c>
      <c r="AC361" s="121"/>
      <c r="AD361" s="505" t="b">
        <v>0</v>
      </c>
      <c r="AE361" s="504" t="b">
        <v>0</v>
      </c>
      <c r="AF361" s="125"/>
      <c r="AG361" s="505" t="b">
        <v>0</v>
      </c>
      <c r="AH361" s="504" t="b">
        <v>0</v>
      </c>
      <c r="AI361" s="105"/>
      <c r="AJ361" s="505" t="b">
        <v>0</v>
      </c>
      <c r="AK361" s="504" t="b">
        <v>0</v>
      </c>
      <c r="AL361" s="126"/>
      <c r="AM361" s="505" t="b">
        <v>0</v>
      </c>
      <c r="AN361" s="504" t="b">
        <v>0</v>
      </c>
      <c r="AO361" s="105"/>
      <c r="AP361" s="105"/>
      <c r="AQ361" s="105"/>
      <c r="AR361" s="105"/>
      <c r="AS361" s="105"/>
      <c r="AT361" s="105"/>
      <c r="AU361" s="105"/>
      <c r="AV361" s="105"/>
      <c r="AW361" s="105"/>
      <c r="AX361" s="105"/>
      <c r="AY361" s="105"/>
      <c r="AZ361" s="105"/>
      <c r="BA361" s="105"/>
    </row>
    <row r="362">
      <c r="A362" s="105" t="str">
        <f>IFERROR(__xludf.DUMMYFUNCTION("""COMPUTED_VALUE"""),"SETTLED")</f>
        <v>SETTLED</v>
      </c>
      <c r="B362" s="105" t="str">
        <f>IFERROR(__xludf.DUMMYFUNCTION("""COMPUTED_VALUE"""),"Chris / Joshua")</f>
        <v>Chris / Joshua</v>
      </c>
      <c r="C362" s="105" t="str">
        <f>IFERROR(__xludf.DUMMYFUNCTION("""COMPUTED_VALUE"""),"Alba Rivera ")</f>
        <v>Alba Rivera </v>
      </c>
      <c r="D362" s="506" t="str">
        <f>IFERROR(__xludf.DUMMYFUNCTION("""COMPUTED_VALUE"""),"813-585-0243")</f>
        <v>813-585-0243</v>
      </c>
      <c r="E362" s="506" t="str">
        <f>IFERROR(__xludf.DUMMYFUNCTION("""COMPUTED_VALUE"""),"Riveraalba@gmail.com")</f>
        <v>Riveraalba@gmail.com</v>
      </c>
      <c r="F362" s="506" t="str">
        <f>IFERROR(__xludf.DUMMYFUNCTION("""COMPUTED_VALUE"""),"7605 Tangle Brook Blvd Gibsonton, FL 33534")</f>
        <v>7605 Tangle Brook Blvd Gibsonton, FL 33534</v>
      </c>
      <c r="G362" s="506" t="str">
        <f>IFERROR(__xludf.DUMMYFUNCTION("""COMPUTED_VALUE"""),"AWD")</f>
        <v>AWD</v>
      </c>
      <c r="H362" s="105" t="str">
        <f>IFERROR(__xludf.DUMMYFUNCTION("""COMPUTED_VALUE"""),"New Claim")</f>
        <v>New Claim</v>
      </c>
      <c r="I362" s="505" t="b">
        <v>0</v>
      </c>
      <c r="J362" s="507" t="b">
        <v>0</v>
      </c>
      <c r="K362" s="112"/>
      <c r="L362" s="505" t="b">
        <v>0</v>
      </c>
      <c r="M362" s="504" t="b">
        <v>0</v>
      </c>
      <c r="N362" s="112"/>
      <c r="O362" s="505" t="b">
        <v>0</v>
      </c>
      <c r="P362" s="504" t="b">
        <v>0</v>
      </c>
      <c r="Q362" s="116"/>
      <c r="R362" s="505" t="b">
        <v>0</v>
      </c>
      <c r="S362" s="504" t="b">
        <v>0</v>
      </c>
      <c r="T362" s="117"/>
      <c r="U362" s="505" t="b">
        <v>0</v>
      </c>
      <c r="V362" s="504" t="b">
        <v>0</v>
      </c>
      <c r="W362" s="118"/>
      <c r="X362" s="505" t="b">
        <v>0</v>
      </c>
      <c r="Y362" s="504" t="b">
        <v>0</v>
      </c>
      <c r="Z362" s="119"/>
      <c r="AA362" s="505" t="b">
        <v>0</v>
      </c>
      <c r="AB362" s="504" t="b">
        <v>0</v>
      </c>
      <c r="AC362" s="121"/>
      <c r="AD362" s="505" t="b">
        <v>0</v>
      </c>
      <c r="AE362" s="504" t="b">
        <v>0</v>
      </c>
      <c r="AF362" s="125"/>
      <c r="AG362" s="505" t="b">
        <v>0</v>
      </c>
      <c r="AH362" s="504" t="b">
        <v>0</v>
      </c>
      <c r="AI362" s="105"/>
      <c r="AJ362" s="505" t="b">
        <v>0</v>
      </c>
      <c r="AK362" s="504" t="b">
        <v>0</v>
      </c>
      <c r="AL362" s="126"/>
      <c r="AM362" s="505" t="b">
        <v>0</v>
      </c>
      <c r="AN362" s="504" t="b">
        <v>0</v>
      </c>
      <c r="AO362" s="105"/>
      <c r="AP362" s="105"/>
      <c r="AQ362" s="105"/>
      <c r="AR362" s="105"/>
      <c r="AS362" s="105"/>
      <c r="AT362" s="105"/>
      <c r="AU362" s="105"/>
      <c r="AV362" s="105"/>
      <c r="AW362" s="105"/>
      <c r="AX362" s="105"/>
      <c r="AY362" s="105"/>
      <c r="AZ362" s="105"/>
      <c r="BA362" s="105"/>
    </row>
    <row r="363">
      <c r="A363" s="105" t="str">
        <f>IFERROR(__xludf.DUMMYFUNCTION("""COMPUTED_VALUE"""),"SETTLED")</f>
        <v>SETTLED</v>
      </c>
      <c r="B363" s="105" t="str">
        <f>IFERROR(__xludf.DUMMYFUNCTION("""COMPUTED_VALUE"""),"Chris / Joshua")</f>
        <v>Chris / Joshua</v>
      </c>
      <c r="C363" s="506" t="str">
        <f>IFERROR(__xludf.DUMMYFUNCTION("""COMPUTED_VALUE"""),"Deranty Cohen ")</f>
        <v>Deranty Cohen </v>
      </c>
      <c r="D363" s="506" t="str">
        <f>IFERROR(__xludf.DUMMYFUNCTION("""COMPUTED_VALUE"""),"(951)472-1981")</f>
        <v>(951)472-1981</v>
      </c>
      <c r="E363" s="506" t="str">
        <f>IFERROR(__xludf.DUMMYFUNCTION("""COMPUTED_VALUE"""),"MELODIEMCKISICK@gmail.com")</f>
        <v>MELODIEMCKISICK@gmail.com</v>
      </c>
      <c r="F363" s="506" t="str">
        <f>IFERROR(__xludf.DUMMYFUNCTION("""COMPUTED_VALUE"""),"11536 Tangle Creek BLVD Gibsonton Fl 33534")</f>
        <v>11536 Tangle Creek BLVD Gibsonton Fl 33534</v>
      </c>
      <c r="G363" s="506" t="str">
        <f>IFERROR(__xludf.DUMMYFUNCTION("""COMPUTED_VALUE"""),"Hurricane Milton")</f>
        <v>Hurricane Milton</v>
      </c>
      <c r="H363" s="105" t="str">
        <f>IFERROR(__xludf.DUMMYFUNCTION("""COMPUTED_VALUE"""),"Reopen")</f>
        <v>Reopen</v>
      </c>
      <c r="I363" s="505" t="b">
        <v>0</v>
      </c>
      <c r="J363" s="507" t="b">
        <v>0</v>
      </c>
      <c r="K363" s="112"/>
      <c r="L363" s="505" t="b">
        <v>0</v>
      </c>
      <c r="M363" s="504" t="b">
        <v>0</v>
      </c>
      <c r="N363" s="112"/>
      <c r="O363" s="505" t="b">
        <v>0</v>
      </c>
      <c r="P363" s="504" t="b">
        <v>0</v>
      </c>
      <c r="Q363" s="116"/>
      <c r="R363" s="505" t="b">
        <v>0</v>
      </c>
      <c r="S363" s="504" t="b">
        <v>0</v>
      </c>
      <c r="T363" s="117"/>
      <c r="U363" s="505" t="b">
        <v>0</v>
      </c>
      <c r="V363" s="504" t="b">
        <v>0</v>
      </c>
      <c r="W363" s="118"/>
      <c r="X363" s="505" t="b">
        <v>0</v>
      </c>
      <c r="Y363" s="504" t="b">
        <v>0</v>
      </c>
      <c r="Z363" s="119"/>
      <c r="AA363" s="505" t="b">
        <v>0</v>
      </c>
      <c r="AB363" s="504" t="b">
        <v>0</v>
      </c>
      <c r="AC363" s="121"/>
      <c r="AD363" s="505" t="b">
        <v>0</v>
      </c>
      <c r="AE363" s="504" t="b">
        <v>0</v>
      </c>
      <c r="AF363" s="125"/>
      <c r="AG363" s="505" t="b">
        <v>0</v>
      </c>
      <c r="AH363" s="504" t="b">
        <v>0</v>
      </c>
      <c r="AI363" s="105"/>
      <c r="AJ363" s="505" t="b">
        <v>0</v>
      </c>
      <c r="AK363" s="504" t="b">
        <v>0</v>
      </c>
      <c r="AL363" s="126"/>
      <c r="AM363" s="505" t="b">
        <v>0</v>
      </c>
      <c r="AN363" s="504" t="b">
        <v>0</v>
      </c>
      <c r="AO363" s="105"/>
      <c r="AP363" s="105"/>
      <c r="AQ363" s="105"/>
      <c r="AR363" s="105"/>
      <c r="AS363" s="105"/>
      <c r="AT363" s="105"/>
      <c r="AU363" s="105"/>
      <c r="AV363" s="105"/>
      <c r="AW363" s="105"/>
      <c r="AX363" s="105"/>
      <c r="AY363" s="105"/>
      <c r="AZ363" s="105"/>
      <c r="BA363" s="105"/>
    </row>
    <row r="364">
      <c r="A364" s="105" t="str">
        <f>IFERROR(__xludf.DUMMYFUNCTION("""COMPUTED_VALUE"""),"SETTLED")</f>
        <v>SETTLED</v>
      </c>
      <c r="B364" s="105" t="str">
        <f>IFERROR(__xludf.DUMMYFUNCTION("""COMPUTED_VALUE"""),"Juan")</f>
        <v>Juan</v>
      </c>
      <c r="C364" s="506" t="str">
        <f>IFERROR(__xludf.DUMMYFUNCTION("""COMPUTED_VALUE"""),"Nam Nguyen")</f>
        <v>Nam Nguyen</v>
      </c>
      <c r="D364" s="506" t="str">
        <f>IFERROR(__xludf.DUMMYFUNCTION("""COMPUTED_VALUE"""),"713-385-6166")</f>
        <v>713-385-6166</v>
      </c>
      <c r="E364" s="105" t="str">
        <f>IFERROR(__xludf.DUMMYFUNCTION("""COMPUTED_VALUE"""),"Jon2mai@yahoo.com")</f>
        <v>Jon2mai@yahoo.com</v>
      </c>
      <c r="F364" s="506" t="str">
        <f>IFERROR(__xludf.DUMMYFUNCTION("""COMPUTED_VALUE"""),"536 Flame Tree Dr Apollo Beach FL 33572")</f>
        <v>536 Flame Tree Dr Apollo Beach FL 33572</v>
      </c>
      <c r="G364" s="506" t="str">
        <f>IFERROR(__xludf.DUMMYFUNCTION("""COMPUTED_VALUE"""),"Hurricane Milton")</f>
        <v>Hurricane Milton</v>
      </c>
      <c r="H364" s="105" t="str">
        <f>IFERROR(__xludf.DUMMYFUNCTION("""COMPUTED_VALUE"""),"Reopen")</f>
        <v>Reopen</v>
      </c>
      <c r="I364" s="505" t="b">
        <v>0</v>
      </c>
      <c r="J364" s="507" t="b">
        <v>0</v>
      </c>
      <c r="K364" s="112"/>
      <c r="L364" s="505" t="b">
        <v>0</v>
      </c>
      <c r="M364" s="504" t="b">
        <v>0</v>
      </c>
      <c r="N364" s="112"/>
      <c r="O364" s="505" t="b">
        <v>0</v>
      </c>
      <c r="P364" s="504" t="b">
        <v>0</v>
      </c>
      <c r="Q364" s="116"/>
      <c r="R364" s="505" t="b">
        <v>0</v>
      </c>
      <c r="S364" s="504" t="b">
        <v>0</v>
      </c>
      <c r="T364" s="117"/>
      <c r="U364" s="505" t="b">
        <v>0</v>
      </c>
      <c r="V364" s="504" t="b">
        <v>0</v>
      </c>
      <c r="W364" s="118"/>
      <c r="X364" s="505" t="b">
        <v>0</v>
      </c>
      <c r="Y364" s="504" t="b">
        <v>0</v>
      </c>
      <c r="Z364" s="119"/>
      <c r="AA364" s="505" t="b">
        <v>0</v>
      </c>
      <c r="AB364" s="504" t="b">
        <v>0</v>
      </c>
      <c r="AC364" s="121"/>
      <c r="AD364" s="505" t="b">
        <v>0</v>
      </c>
      <c r="AE364" s="504" t="b">
        <v>0</v>
      </c>
      <c r="AF364" s="125"/>
      <c r="AG364" s="505" t="b">
        <v>0</v>
      </c>
      <c r="AH364" s="504" t="b">
        <v>0</v>
      </c>
      <c r="AI364" s="105"/>
      <c r="AJ364" s="505" t="b">
        <v>0</v>
      </c>
      <c r="AK364" s="504" t="b">
        <v>0</v>
      </c>
      <c r="AL364" s="126"/>
      <c r="AM364" s="505" t="b">
        <v>0</v>
      </c>
      <c r="AN364" s="504" t="b">
        <v>0</v>
      </c>
      <c r="AO364" s="105"/>
      <c r="AP364" s="105"/>
      <c r="AQ364" s="105"/>
      <c r="AR364" s="105"/>
      <c r="AS364" s="105"/>
      <c r="AT364" s="105"/>
      <c r="AU364" s="105"/>
      <c r="AV364" s="105"/>
      <c r="AW364" s="105"/>
      <c r="AX364" s="105"/>
      <c r="AY364" s="105"/>
      <c r="AZ364" s="105"/>
      <c r="BA364" s="105"/>
    </row>
    <row r="365">
      <c r="A365" s="506" t="str">
        <f>IFERROR(__xludf.DUMMYFUNCTION("""COMPUTED_VALUE"""),"PEN O&amp;L/DEPRECIATION")</f>
        <v>PEN O&amp;L/DEPRECIATION</v>
      </c>
      <c r="B365" s="506" t="str">
        <f>IFERROR(__xludf.DUMMYFUNCTION("""COMPUTED_VALUE"""),"Juan")</f>
        <v>Juan</v>
      </c>
      <c r="C365" s="506" t="str">
        <f>IFERROR(__xludf.DUMMYFUNCTION("""COMPUTED_VALUE"""),"Courtney Marie McNeal")</f>
        <v>Courtney Marie McNeal</v>
      </c>
      <c r="D365" s="506" t="str">
        <f>IFERROR(__xludf.DUMMYFUNCTION("""COMPUTED_VALUE"""),"727-742-0103")</f>
        <v>727-742-0103</v>
      </c>
      <c r="E365" s="506" t="str">
        <f>IFERROR(__xludf.DUMMYFUNCTION("""COMPUTED_VALUE"""),"Courtneybcca@yahoo.ca")</f>
        <v>Courtneybcca@yahoo.ca</v>
      </c>
      <c r="F365" s="506" t="str">
        <f>IFERROR(__xludf.DUMMYFUNCTION("""COMPUTED_VALUE"""),"2313 15th Ave S Saint Petersberg FL 33712 ")</f>
        <v>2313 15th Ave S Saint Petersberg FL 33712 </v>
      </c>
      <c r="G365" s="506" t="str">
        <f>IFERROR(__xludf.DUMMYFUNCTION("""COMPUTED_VALUE"""),"Hurricane Milton")</f>
        <v>Hurricane Milton</v>
      </c>
      <c r="H365" s="506" t="str">
        <f>IFERROR(__xludf.DUMMYFUNCTION("""COMPUTED_VALUE"""),"Reopen")</f>
        <v>Reopen</v>
      </c>
      <c r="I365" s="505" t="b">
        <v>0</v>
      </c>
      <c r="J365" s="507" t="b">
        <v>0</v>
      </c>
      <c r="K365" s="112"/>
      <c r="L365" s="505" t="b">
        <v>0</v>
      </c>
      <c r="M365" s="504" t="b">
        <v>0</v>
      </c>
      <c r="N365" s="112"/>
      <c r="O365" s="505" t="b">
        <v>0</v>
      </c>
      <c r="P365" s="504" t="b">
        <v>0</v>
      </c>
      <c r="Q365" s="116"/>
      <c r="R365" s="505" t="b">
        <v>0</v>
      </c>
      <c r="S365" s="504" t="b">
        <v>0</v>
      </c>
      <c r="T365" s="117"/>
      <c r="U365" s="505" t="b">
        <v>0</v>
      </c>
      <c r="V365" s="504" t="b">
        <v>0</v>
      </c>
      <c r="W365" s="118"/>
      <c r="X365" s="505" t="b">
        <v>0</v>
      </c>
      <c r="Y365" s="504" t="b">
        <v>0</v>
      </c>
      <c r="Z365" s="119"/>
      <c r="AA365" s="505" t="b">
        <v>0</v>
      </c>
      <c r="AB365" s="504" t="b">
        <v>0</v>
      </c>
      <c r="AC365" s="121"/>
      <c r="AD365" s="505" t="b">
        <v>0</v>
      </c>
      <c r="AE365" s="504" t="b">
        <v>0</v>
      </c>
      <c r="AF365" s="125"/>
      <c r="AG365" s="505" t="b">
        <v>0</v>
      </c>
      <c r="AH365" s="504" t="b">
        <v>0</v>
      </c>
      <c r="AI365" s="105"/>
      <c r="AJ365" s="505" t="b">
        <v>0</v>
      </c>
      <c r="AK365" s="504" t="b">
        <v>0</v>
      </c>
      <c r="AL365" s="126"/>
      <c r="AM365" s="505" t="b">
        <v>0</v>
      </c>
      <c r="AN365" s="504" t="b">
        <v>0</v>
      </c>
      <c r="AO365" s="105"/>
      <c r="AP365" s="105"/>
      <c r="AQ365" s="105"/>
      <c r="AR365" s="105"/>
      <c r="AS365" s="105"/>
      <c r="AT365" s="105"/>
      <c r="AU365" s="105"/>
      <c r="AV365" s="105"/>
      <c r="AW365" s="105"/>
      <c r="AX365" s="105"/>
      <c r="AY365" s="105"/>
      <c r="AZ365" s="105"/>
      <c r="BA365" s="105"/>
    </row>
    <row r="366">
      <c r="A366" s="105" t="str">
        <f>IFERROR(__xludf.DUMMYFUNCTION("""COMPUTED_VALUE"""),"CLSD CLAIMS")</f>
        <v>CLSD CLAIMS</v>
      </c>
      <c r="B366" s="506" t="str">
        <f>IFERROR(__xludf.DUMMYFUNCTION("""COMPUTED_VALUE"""),"Ivan")</f>
        <v>Ivan</v>
      </c>
      <c r="C366" s="506" t="str">
        <f>IFERROR(__xludf.DUMMYFUNCTION("""COMPUTED_VALUE"""),"Murielle Guillaume")</f>
        <v>Murielle Guillaume</v>
      </c>
      <c r="D366" s="506" t="str">
        <f>IFERROR(__xludf.DUMMYFUNCTION("""COMPUTED_VALUE"""),"772-267-4149")</f>
        <v>772-267-4149</v>
      </c>
      <c r="E366" s="506" t="str">
        <f>IFERROR(__xludf.DUMMYFUNCTION("""COMPUTED_VALUE"""),"murgui17@yahoo.com")</f>
        <v>murgui17@yahoo.com</v>
      </c>
      <c r="F366" s="506" t="str">
        <f>IFERROR(__xludf.DUMMYFUNCTION("""COMPUTED_VALUE"""),"2033 SW Fears Ave. Port Saint Lucie, FL 34953")</f>
        <v>2033 SW Fears Ave. Port Saint Lucie, FL 34953</v>
      </c>
      <c r="G366" s="506" t="str">
        <f>IFERROR(__xludf.DUMMYFUNCTION("""COMPUTED_VALUE"""),"Wind")</f>
        <v>Wind</v>
      </c>
      <c r="H366" s="506" t="str">
        <f>IFERROR(__xludf.DUMMYFUNCTION("""COMPUTED_VALUE"""),"Reopen")</f>
        <v>Reopen</v>
      </c>
      <c r="I366" s="505" t="b">
        <v>0</v>
      </c>
      <c r="J366" s="507" t="b">
        <v>0</v>
      </c>
      <c r="K366" s="112"/>
      <c r="L366" s="505" t="b">
        <v>0</v>
      </c>
      <c r="M366" s="504" t="b">
        <v>0</v>
      </c>
      <c r="N366" s="112"/>
      <c r="O366" s="505" t="b">
        <v>0</v>
      </c>
      <c r="P366" s="504" t="b">
        <v>0</v>
      </c>
      <c r="Q366" s="116"/>
      <c r="R366" s="505" t="b">
        <v>0</v>
      </c>
      <c r="S366" s="504" t="b">
        <v>0</v>
      </c>
      <c r="T366" s="117"/>
      <c r="U366" s="505" t="b">
        <v>0</v>
      </c>
      <c r="V366" s="504" t="b">
        <v>0</v>
      </c>
      <c r="W366" s="118"/>
      <c r="X366" s="505" t="b">
        <v>0</v>
      </c>
      <c r="Y366" s="504" t="b">
        <v>0</v>
      </c>
      <c r="Z366" s="119"/>
      <c r="AA366" s="505" t="b">
        <v>0</v>
      </c>
      <c r="AB366" s="504" t="b">
        <v>0</v>
      </c>
      <c r="AC366" s="121"/>
      <c r="AD366" s="505" t="b">
        <v>0</v>
      </c>
      <c r="AE366" s="504" t="b">
        <v>0</v>
      </c>
      <c r="AF366" s="125"/>
      <c r="AG366" s="505" t="b">
        <v>0</v>
      </c>
      <c r="AH366" s="504" t="b">
        <v>0</v>
      </c>
      <c r="AI366" s="105"/>
      <c r="AJ366" s="505" t="b">
        <v>0</v>
      </c>
      <c r="AK366" s="504" t="b">
        <v>0</v>
      </c>
      <c r="AL366" s="126"/>
      <c r="AM366" s="505" t="b">
        <v>0</v>
      </c>
      <c r="AN366" s="504" t="b">
        <v>0</v>
      </c>
      <c r="AO366" s="105"/>
      <c r="AP366" s="105"/>
      <c r="AQ366" s="105"/>
      <c r="AR366" s="105"/>
      <c r="AS366" s="105"/>
      <c r="AT366" s="105"/>
      <c r="AU366" s="105"/>
      <c r="AV366" s="105"/>
      <c r="AW366" s="105"/>
      <c r="AX366" s="105"/>
      <c r="AY366" s="105"/>
      <c r="AZ366" s="105"/>
      <c r="BA366" s="105"/>
    </row>
    <row r="367">
      <c r="A367" s="105" t="str">
        <f>IFERROR(__xludf.DUMMYFUNCTION("""COMPUTED_VALUE"""),"FEES PENDING")</f>
        <v>FEES PENDING</v>
      </c>
      <c r="B367" s="105" t="str">
        <f>IFERROR(__xludf.DUMMYFUNCTION("""COMPUTED_VALUE"""),"Chris / Joshua")</f>
        <v>Chris / Joshua</v>
      </c>
      <c r="C367" s="506" t="str">
        <f>IFERROR(__xludf.DUMMYFUNCTION("""COMPUTED_VALUE"""),"Rebecca Lorenzo")</f>
        <v>Rebecca Lorenzo</v>
      </c>
      <c r="D367" s="506" t="str">
        <f>IFERROR(__xludf.DUMMYFUNCTION("""COMPUTED_VALUE"""),"813-270-6420")</f>
        <v>813-270-6420</v>
      </c>
      <c r="E367" s="105" t="str">
        <f>IFERROR(__xludf.DUMMYFUNCTION("""COMPUTED_VALUE"""),"Lorenzo.becky@yahoo.com")</f>
        <v>Lorenzo.becky@yahoo.com</v>
      </c>
      <c r="F367" s="506" t="str">
        <f>IFERROR(__xludf.DUMMYFUNCTION("""COMPUTED_VALUE"""),"2041 Park Village Dr Ruskin FL 33570")</f>
        <v>2041 Park Village Dr Ruskin FL 33570</v>
      </c>
      <c r="G367" s="506" t="str">
        <f>IFERROR(__xludf.DUMMYFUNCTION("""COMPUTED_VALUE"""),"Hurricane Milton")</f>
        <v>Hurricane Milton</v>
      </c>
      <c r="H367" s="105" t="str">
        <f>IFERROR(__xludf.DUMMYFUNCTION("""COMPUTED_VALUE"""),"New Claim")</f>
        <v>New Claim</v>
      </c>
      <c r="I367" s="505" t="b">
        <v>0</v>
      </c>
      <c r="J367" s="507" t="b">
        <v>0</v>
      </c>
      <c r="K367" s="112"/>
      <c r="L367" s="505" t="b">
        <v>0</v>
      </c>
      <c r="M367" s="504" t="b">
        <v>0</v>
      </c>
      <c r="N367" s="112"/>
      <c r="O367" s="505" t="b">
        <v>0</v>
      </c>
      <c r="P367" s="504" t="b">
        <v>0</v>
      </c>
      <c r="Q367" s="116"/>
      <c r="R367" s="505" t="b">
        <v>0</v>
      </c>
      <c r="S367" s="504" t="b">
        <v>0</v>
      </c>
      <c r="T367" s="117"/>
      <c r="U367" s="505" t="b">
        <v>0</v>
      </c>
      <c r="V367" s="504" t="b">
        <v>0</v>
      </c>
      <c r="W367" s="118"/>
      <c r="X367" s="505" t="b">
        <v>0</v>
      </c>
      <c r="Y367" s="504" t="b">
        <v>0</v>
      </c>
      <c r="Z367" s="119"/>
      <c r="AA367" s="505" t="b">
        <v>0</v>
      </c>
      <c r="AB367" s="504" t="b">
        <v>0</v>
      </c>
      <c r="AC367" s="121"/>
      <c r="AD367" s="505" t="b">
        <v>0</v>
      </c>
      <c r="AE367" s="504" t="b">
        <v>0</v>
      </c>
      <c r="AF367" s="125"/>
      <c r="AG367" s="505" t="b">
        <v>0</v>
      </c>
      <c r="AH367" s="504" t="b">
        <v>0</v>
      </c>
      <c r="AI367" s="105"/>
      <c r="AJ367" s="505" t="b">
        <v>0</v>
      </c>
      <c r="AK367" s="504" t="b">
        <v>0</v>
      </c>
      <c r="AL367" s="126"/>
      <c r="AM367" s="505" t="b">
        <v>0</v>
      </c>
      <c r="AN367" s="504" t="b">
        <v>0</v>
      </c>
      <c r="AO367" s="105"/>
      <c r="AP367" s="105"/>
      <c r="AQ367" s="105"/>
      <c r="AR367" s="105"/>
      <c r="AS367" s="105"/>
      <c r="AT367" s="105"/>
      <c r="AU367" s="105"/>
      <c r="AV367" s="105"/>
      <c r="AW367" s="105"/>
      <c r="AX367" s="105"/>
      <c r="AY367" s="105"/>
      <c r="AZ367" s="105"/>
      <c r="BA367" s="105"/>
    </row>
    <row r="368">
      <c r="A368" s="506" t="str">
        <f>IFERROR(__xludf.DUMMYFUNCTION("""COMPUTED_VALUE"""),"FEES PENDING")</f>
        <v>FEES PENDING</v>
      </c>
      <c r="B368" s="105" t="str">
        <f>IFERROR(__xludf.DUMMYFUNCTION("""COMPUTED_VALUE"""),"Chris / Joshua")</f>
        <v>Chris / Joshua</v>
      </c>
      <c r="C368" s="506" t="str">
        <f>IFERROR(__xludf.DUMMYFUNCTION("""COMPUTED_VALUE"""),"Manuel Camerolinares &amp; Veronica Silva")</f>
        <v>Manuel Camerolinares &amp; Veronica Silva</v>
      </c>
      <c r="D368" s="506" t="str">
        <f>IFERROR(__xludf.DUMMYFUNCTION("""COMPUTED_VALUE"""),"813-438-9542/ 813-438-9514")</f>
        <v>813-438-9542/ 813-438-9514</v>
      </c>
      <c r="E368" s="105" t="str">
        <f>IFERROR(__xludf.DUMMYFUNCTION("""COMPUTED_VALUE"""),"Verovero0301@gmail.com")</f>
        <v>Verovero0301@gmail.com</v>
      </c>
      <c r="F368" s="506" t="str">
        <f>IFERROR(__xludf.DUMMYFUNCTION("""COMPUTED_VALUE"""),"1114 Coastal Hammock Ave Ruskin FL 33570  ")</f>
        <v>1114 Coastal Hammock Ave Ruskin FL 33570  </v>
      </c>
      <c r="G368" s="506" t="str">
        <f>IFERROR(__xludf.DUMMYFUNCTION("""COMPUTED_VALUE"""),"Hurricane Milton")</f>
        <v>Hurricane Milton</v>
      </c>
      <c r="H368" s="105" t="str">
        <f>IFERROR(__xludf.DUMMYFUNCTION("""COMPUTED_VALUE"""),"New Claim")</f>
        <v>New Claim</v>
      </c>
      <c r="I368" s="505" t="b">
        <v>0</v>
      </c>
      <c r="J368" s="507" t="b">
        <v>0</v>
      </c>
      <c r="K368" s="112"/>
      <c r="L368" s="505" t="b">
        <v>0</v>
      </c>
      <c r="M368" s="504" t="b">
        <v>0</v>
      </c>
      <c r="N368" s="112"/>
      <c r="O368" s="505" t="b">
        <v>0</v>
      </c>
      <c r="P368" s="504" t="b">
        <v>0</v>
      </c>
      <c r="Q368" s="116"/>
      <c r="R368" s="505" t="b">
        <v>0</v>
      </c>
      <c r="S368" s="504" t="b">
        <v>0</v>
      </c>
      <c r="T368" s="117"/>
      <c r="U368" s="505" t="b">
        <v>0</v>
      </c>
      <c r="V368" s="504" t="b">
        <v>0</v>
      </c>
      <c r="W368" s="118"/>
      <c r="X368" s="505" t="b">
        <v>0</v>
      </c>
      <c r="Y368" s="504" t="b">
        <v>0</v>
      </c>
      <c r="Z368" s="119"/>
      <c r="AA368" s="505" t="b">
        <v>0</v>
      </c>
      <c r="AB368" s="504" t="b">
        <v>0</v>
      </c>
      <c r="AC368" s="121"/>
      <c r="AD368" s="505" t="b">
        <v>0</v>
      </c>
      <c r="AE368" s="504" t="b">
        <v>0</v>
      </c>
      <c r="AF368" s="125"/>
      <c r="AG368" s="505" t="b">
        <v>0</v>
      </c>
      <c r="AH368" s="504" t="b">
        <v>0</v>
      </c>
      <c r="AI368" s="105"/>
      <c r="AJ368" s="505" t="b">
        <v>0</v>
      </c>
      <c r="AK368" s="504" t="b">
        <v>0</v>
      </c>
      <c r="AL368" s="126"/>
      <c r="AM368" s="505" t="b">
        <v>0</v>
      </c>
      <c r="AN368" s="504" t="b">
        <v>0</v>
      </c>
      <c r="AO368" s="105"/>
      <c r="AP368" s="105"/>
      <c r="AQ368" s="105"/>
      <c r="AR368" s="105"/>
      <c r="AS368" s="105"/>
      <c r="AT368" s="105"/>
      <c r="AU368" s="105"/>
      <c r="AV368" s="105"/>
      <c r="AW368" s="105"/>
      <c r="AX368" s="105"/>
      <c r="AY368" s="105"/>
      <c r="AZ368" s="105"/>
      <c r="BA368" s="105"/>
    </row>
    <row r="369">
      <c r="A369" s="105" t="str">
        <f>IFERROR(__xludf.DUMMYFUNCTION("""COMPUTED_VALUE"""),"SETTLED")</f>
        <v>SETTLED</v>
      </c>
      <c r="B369" s="105" t="str">
        <f>IFERROR(__xludf.DUMMYFUNCTION("""COMPUTED_VALUE"""),"Ivan")</f>
        <v>Ivan</v>
      </c>
      <c r="C369" s="506" t="str">
        <f>IFERROR(__xludf.DUMMYFUNCTION("""COMPUTED_VALUE"""),"Pedro Gonzalez")</f>
        <v>Pedro Gonzalez</v>
      </c>
      <c r="D369" s="506" t="str">
        <f>IFERROR(__xludf.DUMMYFUNCTION("""COMPUTED_VALUE"""),"954-305-9405")</f>
        <v>954-305-9405</v>
      </c>
      <c r="E369" s="105" t="str">
        <f>IFERROR(__xludf.DUMMYFUNCTION("""COMPUTED_VALUE"""),"catherinejimenez41@yahoo.com / gonzalezpedro330@yahoo.com")</f>
        <v>catherinejimenez41@yahoo.com / gonzalezpedro330@yahoo.com</v>
      </c>
      <c r="F369" s="506" t="str">
        <f>IFERROR(__xludf.DUMMYFUNCTION("""COMPUTED_VALUE"""),"731 Arizona Ave Fort Lauderdale, FL 33312")</f>
        <v>731 Arizona Ave Fort Lauderdale, FL 33312</v>
      </c>
      <c r="G369" s="506" t="str">
        <f>IFERROR(__xludf.DUMMYFUNCTION("""COMPUTED_VALUE"""),"AWD")</f>
        <v>AWD</v>
      </c>
      <c r="H369" s="105" t="str">
        <f>IFERROR(__xludf.DUMMYFUNCTION("""COMPUTED_VALUE"""),"New Claim")</f>
        <v>New Claim</v>
      </c>
      <c r="I369" s="505" t="b">
        <v>0</v>
      </c>
      <c r="J369" s="507" t="b">
        <v>0</v>
      </c>
      <c r="K369" s="112"/>
      <c r="L369" s="505" t="b">
        <v>0</v>
      </c>
      <c r="M369" s="504" t="b">
        <v>0</v>
      </c>
      <c r="N369" s="112"/>
      <c r="O369" s="505" t="b">
        <v>0</v>
      </c>
      <c r="P369" s="504" t="b">
        <v>0</v>
      </c>
      <c r="Q369" s="116"/>
      <c r="R369" s="505" t="b">
        <v>0</v>
      </c>
      <c r="S369" s="504" t="b">
        <v>0</v>
      </c>
      <c r="T369" s="117"/>
      <c r="U369" s="505" t="b">
        <v>0</v>
      </c>
      <c r="V369" s="504" t="b">
        <v>0</v>
      </c>
      <c r="W369" s="118"/>
      <c r="X369" s="505" t="b">
        <v>0</v>
      </c>
      <c r="Y369" s="504" t="b">
        <v>0</v>
      </c>
      <c r="Z369" s="119"/>
      <c r="AA369" s="505" t="b">
        <v>0</v>
      </c>
      <c r="AB369" s="504" t="b">
        <v>0</v>
      </c>
      <c r="AC369" s="121"/>
      <c r="AD369" s="505" t="b">
        <v>0</v>
      </c>
      <c r="AE369" s="504" t="b">
        <v>0</v>
      </c>
      <c r="AF369" s="125"/>
      <c r="AG369" s="505" t="b">
        <v>0</v>
      </c>
      <c r="AH369" s="504" t="b">
        <v>0</v>
      </c>
      <c r="AI369" s="105"/>
      <c r="AJ369" s="505" t="b">
        <v>0</v>
      </c>
      <c r="AK369" s="504" t="b">
        <v>0</v>
      </c>
      <c r="AL369" s="126"/>
      <c r="AM369" s="505" t="b">
        <v>0</v>
      </c>
      <c r="AN369" s="504" t="b">
        <v>0</v>
      </c>
      <c r="AO369" s="105"/>
      <c r="AP369" s="105"/>
      <c r="AQ369" s="105"/>
      <c r="AR369" s="105"/>
      <c r="AS369" s="105"/>
      <c r="AT369" s="105"/>
      <c r="AU369" s="105"/>
      <c r="AV369" s="105"/>
      <c r="AW369" s="105"/>
      <c r="AX369" s="105"/>
      <c r="AY369" s="105"/>
      <c r="AZ369" s="105"/>
      <c r="BA369" s="105"/>
    </row>
    <row r="370">
      <c r="A370" s="105" t="str">
        <f>IFERROR(__xludf.DUMMYFUNCTION("""COMPUTED_VALUE"""),"CLSD CLAIMS")</f>
        <v>CLSD CLAIMS</v>
      </c>
      <c r="B370" s="105" t="str">
        <f>IFERROR(__xludf.DUMMYFUNCTION("""COMPUTED_VALUE"""),"Chris / Joshua")</f>
        <v>Chris / Joshua</v>
      </c>
      <c r="C370" s="506" t="str">
        <f>IFERROR(__xludf.DUMMYFUNCTION("""COMPUTED_VALUE"""),"Renee Jones")</f>
        <v>Renee Jones</v>
      </c>
      <c r="D370" s="506" t="str">
        <f>IFERROR(__xludf.DUMMYFUNCTION("""COMPUTED_VALUE"""),"727-481-7807")</f>
        <v>727-481-7807</v>
      </c>
      <c r="E370" s="105" t="str">
        <f>IFERROR(__xludf.DUMMYFUNCTION("""COMPUTED_VALUE"""),"jrenee18@yahoo.com")</f>
        <v>jrenee18@yahoo.com</v>
      </c>
      <c r="F370" s="506" t="str">
        <f>IFERROR(__xludf.DUMMYFUNCTION("""COMPUTED_VALUE"""),"1425 67th Ave S St Petersburg, FL 33705")</f>
        <v>1425 67th Ave S St Petersburg, FL 33705</v>
      </c>
      <c r="G370" s="506" t="str">
        <f>IFERROR(__xludf.DUMMYFUNCTION("""COMPUTED_VALUE"""),"Hurricane Milton")</f>
        <v>Hurricane Milton</v>
      </c>
      <c r="H370" s="105" t="str">
        <f>IFERROR(__xludf.DUMMYFUNCTION("""COMPUTED_VALUE"""),"Reopen")</f>
        <v>Reopen</v>
      </c>
      <c r="I370" s="505" t="b">
        <v>0</v>
      </c>
      <c r="J370" s="507" t="b">
        <v>0</v>
      </c>
      <c r="K370" s="112"/>
      <c r="L370" s="505" t="b">
        <v>0</v>
      </c>
      <c r="M370" s="504" t="b">
        <v>0</v>
      </c>
      <c r="N370" s="112"/>
      <c r="O370" s="505" t="b">
        <v>0</v>
      </c>
      <c r="P370" s="504" t="b">
        <v>0</v>
      </c>
      <c r="Q370" s="116"/>
      <c r="R370" s="505" t="b">
        <v>0</v>
      </c>
      <c r="S370" s="504" t="b">
        <v>0</v>
      </c>
      <c r="T370" s="117"/>
      <c r="U370" s="505" t="b">
        <v>0</v>
      </c>
      <c r="V370" s="504" t="b">
        <v>0</v>
      </c>
      <c r="W370" s="118"/>
      <c r="X370" s="505" t="b">
        <v>0</v>
      </c>
      <c r="Y370" s="504" t="b">
        <v>0</v>
      </c>
      <c r="Z370" s="119"/>
      <c r="AA370" s="505" t="b">
        <v>0</v>
      </c>
      <c r="AB370" s="504" t="b">
        <v>0</v>
      </c>
      <c r="AC370" s="121"/>
      <c r="AD370" s="505" t="b">
        <v>0</v>
      </c>
      <c r="AE370" s="504" t="b">
        <v>0</v>
      </c>
      <c r="AF370" s="125"/>
      <c r="AG370" s="505" t="b">
        <v>0</v>
      </c>
      <c r="AH370" s="504" t="b">
        <v>0</v>
      </c>
      <c r="AI370" s="105"/>
      <c r="AJ370" s="505" t="b">
        <v>0</v>
      </c>
      <c r="AK370" s="504" t="b">
        <v>0</v>
      </c>
      <c r="AL370" s="126"/>
      <c r="AM370" s="505" t="b">
        <v>0</v>
      </c>
      <c r="AN370" s="504" t="b">
        <v>0</v>
      </c>
      <c r="AO370" s="105"/>
      <c r="AP370" s="105"/>
      <c r="AQ370" s="105"/>
      <c r="AR370" s="105"/>
      <c r="AS370" s="105"/>
      <c r="AT370" s="105"/>
      <c r="AU370" s="105"/>
      <c r="AV370" s="105"/>
      <c r="AW370" s="105"/>
      <c r="AX370" s="105"/>
      <c r="AY370" s="105"/>
      <c r="AZ370" s="105"/>
      <c r="BA370" s="105"/>
    </row>
    <row r="371">
      <c r="A371" s="105" t="str">
        <f>IFERROR(__xludf.DUMMYFUNCTION("""COMPUTED_VALUE"""),"FEES PENDING")</f>
        <v>FEES PENDING</v>
      </c>
      <c r="B371" s="105" t="str">
        <f>IFERROR(__xludf.DUMMYFUNCTION("""COMPUTED_VALUE"""),"Joshua")</f>
        <v>Joshua</v>
      </c>
      <c r="C371" s="506" t="str">
        <f>IFERROR(__xludf.DUMMYFUNCTION("""COMPUTED_VALUE"""),"Jerry Adams ")</f>
        <v>Jerry Adams </v>
      </c>
      <c r="D371" s="506" t="str">
        <f>IFERROR(__xludf.DUMMYFUNCTION("""COMPUTED_VALUE"""),"941-225-9013 / 941-538-8036")</f>
        <v>941-225-9013 / 941-538-8036</v>
      </c>
      <c r="E371" s="105" t="str">
        <f>IFERROR(__xludf.DUMMYFUNCTION("""COMPUTED_VALUE"""),"Phatti1@hotmail.com")</f>
        <v>Phatti1@hotmail.com</v>
      </c>
      <c r="F371" s="506" t="str">
        <f>IFERROR(__xludf.DUMMYFUNCTION("""COMPUTED_VALUE"""),"2705 3rd Ave E Palmetto FL 34221")</f>
        <v>2705 3rd Ave E Palmetto FL 34221</v>
      </c>
      <c r="G371" s="506" t="str">
        <f>IFERROR(__xludf.DUMMYFUNCTION("""COMPUTED_VALUE"""),"Hurricane Milton")</f>
        <v>Hurricane Milton</v>
      </c>
      <c r="H371" s="105" t="str">
        <f>IFERROR(__xludf.DUMMYFUNCTION("""COMPUTED_VALUE"""),"Reopen")</f>
        <v>Reopen</v>
      </c>
      <c r="I371" s="505" t="b">
        <v>0</v>
      </c>
      <c r="J371" s="507" t="b">
        <v>0</v>
      </c>
      <c r="K371" s="112"/>
      <c r="L371" s="505" t="b">
        <v>0</v>
      </c>
      <c r="M371" s="504" t="b">
        <v>0</v>
      </c>
      <c r="N371" s="112"/>
      <c r="O371" s="505" t="b">
        <v>0</v>
      </c>
      <c r="P371" s="504" t="b">
        <v>0</v>
      </c>
      <c r="Q371" s="116"/>
      <c r="R371" s="505" t="b">
        <v>0</v>
      </c>
      <c r="S371" s="504" t="b">
        <v>0</v>
      </c>
      <c r="T371" s="117"/>
      <c r="U371" s="505" t="b">
        <v>0</v>
      </c>
      <c r="V371" s="504" t="b">
        <v>0</v>
      </c>
      <c r="W371" s="118"/>
      <c r="X371" s="505" t="b">
        <v>0</v>
      </c>
      <c r="Y371" s="504" t="b">
        <v>0</v>
      </c>
      <c r="Z371" s="119"/>
      <c r="AA371" s="505" t="b">
        <v>0</v>
      </c>
      <c r="AB371" s="504" t="b">
        <v>0</v>
      </c>
      <c r="AC371" s="121"/>
      <c r="AD371" s="505" t="b">
        <v>0</v>
      </c>
      <c r="AE371" s="504" t="b">
        <v>0</v>
      </c>
      <c r="AF371" s="125"/>
      <c r="AG371" s="505" t="b">
        <v>0</v>
      </c>
      <c r="AH371" s="504" t="b">
        <v>0</v>
      </c>
      <c r="AI371" s="105"/>
      <c r="AJ371" s="505" t="b">
        <v>0</v>
      </c>
      <c r="AK371" s="504" t="b">
        <v>0</v>
      </c>
      <c r="AL371" s="126"/>
      <c r="AM371" s="505" t="b">
        <v>0</v>
      </c>
      <c r="AN371" s="504" t="b">
        <v>0</v>
      </c>
      <c r="AO371" s="105"/>
      <c r="AP371" s="105"/>
      <c r="AQ371" s="105"/>
      <c r="AR371" s="105"/>
      <c r="AS371" s="105"/>
      <c r="AT371" s="105"/>
      <c r="AU371" s="105"/>
      <c r="AV371" s="105"/>
      <c r="AW371" s="105"/>
      <c r="AX371" s="105"/>
      <c r="AY371" s="105"/>
      <c r="AZ371" s="105"/>
      <c r="BA371" s="105"/>
    </row>
    <row r="372">
      <c r="A372" s="105" t="str">
        <f>IFERROR(__xludf.DUMMYFUNCTION("""COMPUTED_VALUE"""),"SETTLED")</f>
        <v>SETTLED</v>
      </c>
      <c r="B372" s="105" t="str">
        <f>IFERROR(__xludf.DUMMYFUNCTION("""COMPUTED_VALUE"""),"Joshua")</f>
        <v>Joshua</v>
      </c>
      <c r="C372" s="506" t="str">
        <f>IFERROR(__xludf.DUMMYFUNCTION("""COMPUTED_VALUE"""),"Geraldine Kidd")</f>
        <v>Geraldine Kidd</v>
      </c>
      <c r="D372" s="506" t="str">
        <f>IFERROR(__xludf.DUMMYFUNCTION("""COMPUTED_VALUE"""),"727-906-5514")</f>
        <v>727-906-5514</v>
      </c>
      <c r="E372" s="506" t="str">
        <f>IFERROR(__xludf.DUMMYFUNCTION("""COMPUTED_VALUE"""),"Geraldinekidd55@gmail.com")</f>
        <v>Geraldinekidd55@gmail.com</v>
      </c>
      <c r="F372" s="506" t="str">
        <f>IFERROR(__xludf.DUMMYFUNCTION("""COMPUTED_VALUE"""),"2303 11th St S Saint Petersburg FL 33705")</f>
        <v>2303 11th St S Saint Petersburg FL 33705</v>
      </c>
      <c r="G372" s="506" t="str">
        <f>IFERROR(__xludf.DUMMYFUNCTION("""COMPUTED_VALUE"""),"Windstorm")</f>
        <v>Windstorm</v>
      </c>
      <c r="H372" s="105" t="str">
        <f>IFERROR(__xludf.DUMMYFUNCTION("""COMPUTED_VALUE"""),"Reopen")</f>
        <v>Reopen</v>
      </c>
      <c r="I372" s="505" t="b">
        <v>0</v>
      </c>
      <c r="J372" s="507" t="b">
        <v>0</v>
      </c>
      <c r="K372" s="112"/>
      <c r="L372" s="505" t="b">
        <v>0</v>
      </c>
      <c r="M372" s="504" t="b">
        <v>0</v>
      </c>
      <c r="N372" s="112"/>
      <c r="O372" s="505" t="b">
        <v>0</v>
      </c>
      <c r="P372" s="504" t="b">
        <v>0</v>
      </c>
      <c r="Q372" s="116"/>
      <c r="R372" s="505" t="b">
        <v>0</v>
      </c>
      <c r="S372" s="504" t="b">
        <v>0</v>
      </c>
      <c r="T372" s="117"/>
      <c r="U372" s="505" t="b">
        <v>0</v>
      </c>
      <c r="V372" s="504" t="b">
        <v>0</v>
      </c>
      <c r="W372" s="118"/>
      <c r="X372" s="505" t="b">
        <v>0</v>
      </c>
      <c r="Y372" s="504" t="b">
        <v>0</v>
      </c>
      <c r="Z372" s="119"/>
      <c r="AA372" s="505" t="b">
        <v>0</v>
      </c>
      <c r="AB372" s="504" t="b">
        <v>0</v>
      </c>
      <c r="AC372" s="121"/>
      <c r="AD372" s="505" t="b">
        <v>0</v>
      </c>
      <c r="AE372" s="504" t="b">
        <v>0</v>
      </c>
      <c r="AF372" s="125"/>
      <c r="AG372" s="505" t="b">
        <v>0</v>
      </c>
      <c r="AH372" s="504" t="b">
        <v>0</v>
      </c>
      <c r="AI372" s="105"/>
      <c r="AJ372" s="505" t="b">
        <v>0</v>
      </c>
      <c r="AK372" s="504" t="b">
        <v>0</v>
      </c>
      <c r="AL372" s="126"/>
      <c r="AM372" s="505" t="b">
        <v>0</v>
      </c>
      <c r="AN372" s="504" t="b">
        <v>0</v>
      </c>
      <c r="AO372" s="105"/>
      <c r="AP372" s="105"/>
      <c r="AQ372" s="105"/>
      <c r="AR372" s="105"/>
      <c r="AS372" s="105"/>
      <c r="AT372" s="105"/>
      <c r="AU372" s="105"/>
      <c r="AV372" s="105"/>
      <c r="AW372" s="105"/>
      <c r="AX372" s="105"/>
      <c r="AY372" s="105"/>
      <c r="AZ372" s="105"/>
      <c r="BA372" s="105"/>
    </row>
    <row r="373">
      <c r="A373" s="105" t="str">
        <f>IFERROR(__xludf.DUMMYFUNCTION("""COMPUTED_VALUE"""),"NOI")</f>
        <v>NOI</v>
      </c>
      <c r="B373" s="105" t="str">
        <f>IFERROR(__xludf.DUMMYFUNCTION("""COMPUTED_VALUE"""),"Chris / Joshua")</f>
        <v>Chris / Joshua</v>
      </c>
      <c r="C373" s="506" t="str">
        <f>IFERROR(__xludf.DUMMYFUNCTION("""COMPUTED_VALUE"""),"Andrea Destowet ")</f>
        <v>Andrea Destowet </v>
      </c>
      <c r="D373" s="506" t="str">
        <f>IFERROR(__xludf.DUMMYFUNCTION("""COMPUTED_VALUE"""),"727-422-1602")</f>
        <v>727-422-1602</v>
      </c>
      <c r="E373" s="105" t="str">
        <f>IFERROR(__xludf.DUMMYFUNCTION("""COMPUTED_VALUE"""),"Destowet1@yahoo.com")</f>
        <v>Destowet1@yahoo.com</v>
      </c>
      <c r="F373" s="506" t="str">
        <f>IFERROR(__xludf.DUMMYFUNCTION("""COMPUTED_VALUE"""),"1088 62nd Pl S Saint Petersburg FL 33705")</f>
        <v>1088 62nd Pl S Saint Petersburg FL 33705</v>
      </c>
      <c r="G373" s="506" t="str">
        <f>IFERROR(__xludf.DUMMYFUNCTION("""COMPUTED_VALUE"""),"Hurricane Milton")</f>
        <v>Hurricane Milton</v>
      </c>
      <c r="H373" s="105" t="str">
        <f>IFERROR(__xludf.DUMMYFUNCTION("""COMPUTED_VALUE"""),"New Claim")</f>
        <v>New Claim</v>
      </c>
      <c r="I373" s="505" t="b">
        <v>0</v>
      </c>
      <c r="J373" s="507" t="b">
        <v>0</v>
      </c>
      <c r="K373" s="112"/>
      <c r="L373" s="505" t="b">
        <v>0</v>
      </c>
      <c r="M373" s="504" t="b">
        <v>0</v>
      </c>
      <c r="N373" s="112"/>
      <c r="O373" s="505" t="b">
        <v>0</v>
      </c>
      <c r="P373" s="504" t="b">
        <v>0</v>
      </c>
      <c r="Q373" s="116"/>
      <c r="R373" s="505" t="b">
        <v>0</v>
      </c>
      <c r="S373" s="504" t="b">
        <v>0</v>
      </c>
      <c r="T373" s="117"/>
      <c r="U373" s="505" t="b">
        <v>0</v>
      </c>
      <c r="V373" s="504" t="b">
        <v>0</v>
      </c>
      <c r="W373" s="118"/>
      <c r="X373" s="505" t="b">
        <v>0</v>
      </c>
      <c r="Y373" s="504" t="b">
        <v>0</v>
      </c>
      <c r="Z373" s="119"/>
      <c r="AA373" s="505" t="b">
        <v>0</v>
      </c>
      <c r="AB373" s="504" t="b">
        <v>0</v>
      </c>
      <c r="AC373" s="121"/>
      <c r="AD373" s="505" t="b">
        <v>0</v>
      </c>
      <c r="AE373" s="504" t="b">
        <v>0</v>
      </c>
      <c r="AF373" s="125"/>
      <c r="AG373" s="505" t="b">
        <v>0</v>
      </c>
      <c r="AH373" s="504" t="b">
        <v>0</v>
      </c>
      <c r="AI373" s="105"/>
      <c r="AJ373" s="505" t="b">
        <v>0</v>
      </c>
      <c r="AK373" s="504" t="b">
        <v>0</v>
      </c>
      <c r="AL373" s="126"/>
      <c r="AM373" s="505" t="b">
        <v>0</v>
      </c>
      <c r="AN373" s="504" t="b">
        <v>0</v>
      </c>
      <c r="AO373" s="105"/>
      <c r="AP373" s="105"/>
      <c r="AQ373" s="105"/>
      <c r="AR373" s="105"/>
      <c r="AS373" s="105"/>
      <c r="AT373" s="105"/>
      <c r="AU373" s="105"/>
      <c r="AV373" s="105"/>
      <c r="AW373" s="105"/>
      <c r="AX373" s="105"/>
      <c r="AY373" s="105"/>
      <c r="AZ373" s="105"/>
      <c r="BA373" s="105"/>
    </row>
    <row r="374">
      <c r="A374" s="105" t="str">
        <f>IFERROR(__xludf.DUMMYFUNCTION("""COMPUTED_VALUE"""),"SETTLED")</f>
        <v>SETTLED</v>
      </c>
      <c r="B374" s="105" t="str">
        <f>IFERROR(__xludf.DUMMYFUNCTION("""COMPUTED_VALUE"""),"Joshua")</f>
        <v>Joshua</v>
      </c>
      <c r="C374" s="506" t="str">
        <f>IFERROR(__xludf.DUMMYFUNCTION("""COMPUTED_VALUE"""),"Brittany V. Gonzalez")</f>
        <v>Brittany V. Gonzalez</v>
      </c>
      <c r="D374" s="506" t="str">
        <f>IFERROR(__xludf.DUMMYFUNCTION("""COMPUTED_VALUE"""),"863-600-6603")</f>
        <v>863-600-6603</v>
      </c>
      <c r="E374" s="105" t="str">
        <f>IFERROR(__xludf.DUMMYFUNCTION("""COMPUTED_VALUE"""),"Brittany.gonzalez22@yahoo.com")</f>
        <v>Brittany.gonzalez22@yahoo.com</v>
      </c>
      <c r="F374" s="506" t="str">
        <f>IFERROR(__xludf.DUMMYFUNCTION("""COMPUTED_VALUE"""),"4898 Myrtle View Dr N Mulberry FL 33860")</f>
        <v>4898 Myrtle View Dr N Mulberry FL 33860</v>
      </c>
      <c r="G374" s="506" t="str">
        <f>IFERROR(__xludf.DUMMYFUNCTION("""COMPUTED_VALUE"""),"Hurricane Debby")</f>
        <v>Hurricane Debby</v>
      </c>
      <c r="H374" s="105" t="str">
        <f>IFERROR(__xludf.DUMMYFUNCTION("""COMPUTED_VALUE"""),"Reopen")</f>
        <v>Reopen</v>
      </c>
      <c r="I374" s="505" t="b">
        <v>0</v>
      </c>
      <c r="J374" s="507" t="b">
        <v>0</v>
      </c>
      <c r="K374" s="112"/>
      <c r="L374" s="505" t="b">
        <v>0</v>
      </c>
      <c r="M374" s="504" t="b">
        <v>0</v>
      </c>
      <c r="N374" s="112"/>
      <c r="O374" s="505" t="b">
        <v>0</v>
      </c>
      <c r="P374" s="504" t="b">
        <v>0</v>
      </c>
      <c r="Q374" s="116"/>
      <c r="R374" s="505" t="b">
        <v>0</v>
      </c>
      <c r="S374" s="504" t="b">
        <v>0</v>
      </c>
      <c r="T374" s="117"/>
      <c r="U374" s="505" t="b">
        <v>0</v>
      </c>
      <c r="V374" s="504" t="b">
        <v>0</v>
      </c>
      <c r="W374" s="118"/>
      <c r="X374" s="505" t="b">
        <v>0</v>
      </c>
      <c r="Y374" s="504" t="b">
        <v>0</v>
      </c>
      <c r="Z374" s="119"/>
      <c r="AA374" s="505" t="b">
        <v>0</v>
      </c>
      <c r="AB374" s="504" t="b">
        <v>0</v>
      </c>
      <c r="AC374" s="121"/>
      <c r="AD374" s="505" t="b">
        <v>0</v>
      </c>
      <c r="AE374" s="504" t="b">
        <v>0</v>
      </c>
      <c r="AF374" s="125"/>
      <c r="AG374" s="505" t="b">
        <v>0</v>
      </c>
      <c r="AH374" s="504" t="b">
        <v>0</v>
      </c>
      <c r="AI374" s="105"/>
      <c r="AJ374" s="505" t="b">
        <v>0</v>
      </c>
      <c r="AK374" s="504" t="b">
        <v>0</v>
      </c>
      <c r="AL374" s="126"/>
      <c r="AM374" s="505" t="b">
        <v>0</v>
      </c>
      <c r="AN374" s="504" t="b">
        <v>0</v>
      </c>
      <c r="AO374" s="105"/>
      <c r="AP374" s="105"/>
      <c r="AQ374" s="105"/>
      <c r="AR374" s="105"/>
      <c r="AS374" s="105"/>
      <c r="AT374" s="105"/>
      <c r="AU374" s="105"/>
      <c r="AV374" s="105"/>
      <c r="AW374" s="105"/>
      <c r="AX374" s="105"/>
      <c r="AY374" s="105"/>
      <c r="AZ374" s="105"/>
      <c r="BA374" s="105"/>
    </row>
    <row r="375">
      <c r="A375" s="105" t="str">
        <f>IFERROR(__xludf.DUMMYFUNCTION("""COMPUTED_VALUE"""),"SETTLED")</f>
        <v>SETTLED</v>
      </c>
      <c r="B375" s="105" t="str">
        <f>IFERROR(__xludf.DUMMYFUNCTION("""COMPUTED_VALUE"""),"Chris / Joshua")</f>
        <v>Chris / Joshua</v>
      </c>
      <c r="C375" s="506" t="str">
        <f>IFERROR(__xludf.DUMMYFUNCTION("""COMPUTED_VALUE"""),"Jessica Murrell")</f>
        <v>Jessica Murrell</v>
      </c>
      <c r="D375" s="506" t="str">
        <f>IFERROR(__xludf.DUMMYFUNCTION("""COMPUTED_VALUE"""),"941-932-2529")</f>
        <v>941-932-2529</v>
      </c>
      <c r="E375" s="105" t="str">
        <f>IFERROR(__xludf.DUMMYFUNCTION("""COMPUTED_VALUE"""),"Jmurrell91@outlook.com")</f>
        <v>Jmurrell91@outlook.com</v>
      </c>
      <c r="F375" s="506" t="str">
        <f>IFERROR(__xludf.DUMMYFUNCTION("""COMPUTED_VALUE"""),"2210 13th Ave E Palmetto FL 34221")</f>
        <v>2210 13th Ave E Palmetto FL 34221</v>
      </c>
      <c r="G375" s="506" t="str">
        <f>IFERROR(__xludf.DUMMYFUNCTION("""COMPUTED_VALUE"""),"Hurricane Milton")</f>
        <v>Hurricane Milton</v>
      </c>
      <c r="H375" s="105" t="str">
        <f>IFERROR(__xludf.DUMMYFUNCTION("""COMPUTED_VALUE"""),"Reopen")</f>
        <v>Reopen</v>
      </c>
      <c r="I375" s="505" t="b">
        <v>0</v>
      </c>
      <c r="J375" s="507" t="b">
        <v>0</v>
      </c>
      <c r="K375" s="112"/>
      <c r="L375" s="505" t="b">
        <v>0</v>
      </c>
      <c r="M375" s="504" t="b">
        <v>0</v>
      </c>
      <c r="N375" s="112"/>
      <c r="O375" s="505" t="b">
        <v>0</v>
      </c>
      <c r="P375" s="504" t="b">
        <v>0</v>
      </c>
      <c r="Q375" s="116"/>
      <c r="R375" s="505" t="b">
        <v>0</v>
      </c>
      <c r="S375" s="504" t="b">
        <v>0</v>
      </c>
      <c r="T375" s="117"/>
      <c r="U375" s="505" t="b">
        <v>0</v>
      </c>
      <c r="V375" s="504" t="b">
        <v>0</v>
      </c>
      <c r="W375" s="118"/>
      <c r="X375" s="505" t="b">
        <v>0</v>
      </c>
      <c r="Y375" s="504" t="b">
        <v>0</v>
      </c>
      <c r="Z375" s="119"/>
      <c r="AA375" s="505" t="b">
        <v>0</v>
      </c>
      <c r="AB375" s="504" t="b">
        <v>0</v>
      </c>
      <c r="AC375" s="121"/>
      <c r="AD375" s="505" t="b">
        <v>0</v>
      </c>
      <c r="AE375" s="504" t="b">
        <v>0</v>
      </c>
      <c r="AF375" s="125"/>
      <c r="AG375" s="505" t="b">
        <v>0</v>
      </c>
      <c r="AH375" s="504" t="b">
        <v>0</v>
      </c>
      <c r="AI375" s="105"/>
      <c r="AJ375" s="505" t="b">
        <v>0</v>
      </c>
      <c r="AK375" s="504" t="b">
        <v>0</v>
      </c>
      <c r="AL375" s="126"/>
      <c r="AM375" s="505" t="b">
        <v>0</v>
      </c>
      <c r="AN375" s="504" t="b">
        <v>0</v>
      </c>
      <c r="AO375" s="105"/>
      <c r="AP375" s="105"/>
      <c r="AQ375" s="105"/>
      <c r="AR375" s="105"/>
      <c r="AS375" s="105"/>
      <c r="AT375" s="105"/>
      <c r="AU375" s="105"/>
      <c r="AV375" s="105"/>
      <c r="AW375" s="105"/>
      <c r="AX375" s="105"/>
      <c r="AY375" s="105"/>
      <c r="AZ375" s="105"/>
      <c r="BA375" s="105"/>
    </row>
    <row r="376">
      <c r="A376" s="105" t="str">
        <f>IFERROR(__xludf.DUMMYFUNCTION("""COMPUTED_VALUE"""),"SETTLED")</f>
        <v>SETTLED</v>
      </c>
      <c r="B376" s="105" t="str">
        <f>IFERROR(__xludf.DUMMYFUNCTION("""COMPUTED_VALUE"""),"Ivan")</f>
        <v>Ivan</v>
      </c>
      <c r="C376" s="506" t="str">
        <f>IFERROR(__xludf.DUMMYFUNCTION("""COMPUTED_VALUE"""),"Erne Pierre")</f>
        <v>Erne Pierre</v>
      </c>
      <c r="D376" s="506" t="str">
        <f>IFERROR(__xludf.DUMMYFUNCTION("""COMPUTED_VALUE"""),"305-744-1879")</f>
        <v>305-744-1879</v>
      </c>
      <c r="E376" s="105" t="str">
        <f>IFERROR(__xludf.DUMMYFUNCTION("""COMPUTED_VALUE"""),"Ernepierre@yahoo.com")</f>
        <v>Ernepierre@yahoo.com</v>
      </c>
      <c r="F376" s="506" t="str">
        <f>IFERROR(__xludf.DUMMYFUNCTION("""COMPUTED_VALUE"""),"4268 SW Whitebread Rd. Port Saint Lucie FL, 34953")</f>
        <v>4268 SW Whitebread Rd. Port Saint Lucie FL, 34953</v>
      </c>
      <c r="G376" s="506" t="str">
        <f>IFERROR(__xludf.DUMMYFUNCTION("""COMPUTED_VALUE"""),"Hurricane Milton")</f>
        <v>Hurricane Milton</v>
      </c>
      <c r="H376" s="105" t="str">
        <f>IFERROR(__xludf.DUMMYFUNCTION("""COMPUTED_VALUE"""),"New Claim")</f>
        <v>New Claim</v>
      </c>
      <c r="I376" s="505" t="b">
        <v>0</v>
      </c>
      <c r="J376" s="507" t="b">
        <v>0</v>
      </c>
      <c r="K376" s="112"/>
      <c r="L376" s="505" t="b">
        <v>0</v>
      </c>
      <c r="M376" s="504" t="b">
        <v>0</v>
      </c>
      <c r="N376" s="112"/>
      <c r="O376" s="505" t="b">
        <v>0</v>
      </c>
      <c r="P376" s="504" t="b">
        <v>0</v>
      </c>
      <c r="Q376" s="116"/>
      <c r="R376" s="505" t="b">
        <v>0</v>
      </c>
      <c r="S376" s="504" t="b">
        <v>0</v>
      </c>
      <c r="T376" s="117"/>
      <c r="U376" s="505" t="b">
        <v>0</v>
      </c>
      <c r="V376" s="504" t="b">
        <v>0</v>
      </c>
      <c r="W376" s="118"/>
      <c r="X376" s="505" t="b">
        <v>0</v>
      </c>
      <c r="Y376" s="504" t="b">
        <v>0</v>
      </c>
      <c r="Z376" s="119"/>
      <c r="AA376" s="505" t="b">
        <v>0</v>
      </c>
      <c r="AB376" s="504" t="b">
        <v>0</v>
      </c>
      <c r="AC376" s="121"/>
      <c r="AD376" s="505" t="b">
        <v>0</v>
      </c>
      <c r="AE376" s="504" t="b">
        <v>0</v>
      </c>
      <c r="AF376" s="125"/>
      <c r="AG376" s="505" t="b">
        <v>0</v>
      </c>
      <c r="AH376" s="504" t="b">
        <v>0</v>
      </c>
      <c r="AI376" s="105"/>
      <c r="AJ376" s="505" t="b">
        <v>0</v>
      </c>
      <c r="AK376" s="504" t="b">
        <v>0</v>
      </c>
      <c r="AL376" s="126"/>
      <c r="AM376" s="505" t="b">
        <v>0</v>
      </c>
      <c r="AN376" s="504" t="b">
        <v>0</v>
      </c>
      <c r="AO376" s="105"/>
      <c r="AP376" s="105"/>
      <c r="AQ376" s="105"/>
      <c r="AR376" s="105"/>
      <c r="AS376" s="105"/>
      <c r="AT376" s="105"/>
      <c r="AU376" s="105"/>
      <c r="AV376" s="105"/>
      <c r="AW376" s="105"/>
      <c r="AX376" s="105"/>
      <c r="AY376" s="105"/>
      <c r="AZ376" s="105"/>
      <c r="BA376" s="105"/>
    </row>
    <row r="377">
      <c r="A377" s="105" t="str">
        <f>IFERROR(__xludf.DUMMYFUNCTION("""COMPUTED_VALUE"""),"LITIGATION")</f>
        <v>LITIGATION</v>
      </c>
      <c r="B377" s="105" t="str">
        <f>IFERROR(__xludf.DUMMYFUNCTION("""COMPUTED_VALUE"""),"Ivan")</f>
        <v>Ivan</v>
      </c>
      <c r="C377" s="506" t="str">
        <f>IFERROR(__xludf.DUMMYFUNCTION("""COMPUTED_VALUE"""),"Abdullah &amp; Sanah Toom")</f>
        <v>Abdullah &amp; Sanah Toom</v>
      </c>
      <c r="D377" s="506" t="str">
        <f>IFERROR(__xludf.DUMMYFUNCTION("""COMPUTED_VALUE"""),"772-834-9275")</f>
        <v>772-834-9275</v>
      </c>
      <c r="E377" s="105" t="str">
        <f>IFERROR(__xludf.DUMMYFUNCTION("""COMPUTED_VALUE"""),"Abdultoom@aol.com")</f>
        <v>Abdultoom@aol.com</v>
      </c>
      <c r="F377" s="506" t="str">
        <f>IFERROR(__xludf.DUMMYFUNCTION("""COMPUTED_VALUE"""),"3358 SW Ludlow St Port Saint Lucie FL 34953")</f>
        <v>3358 SW Ludlow St Port Saint Lucie FL 34953</v>
      </c>
      <c r="G377" s="506" t="str">
        <f>IFERROR(__xludf.DUMMYFUNCTION("""COMPUTED_VALUE"""),"Hurricane Milton")</f>
        <v>Hurricane Milton</v>
      </c>
      <c r="H377" s="105" t="str">
        <f>IFERROR(__xludf.DUMMYFUNCTION("""COMPUTED_VALUE"""),"New Claim")</f>
        <v>New Claim</v>
      </c>
      <c r="I377" s="505" t="b">
        <v>0</v>
      </c>
      <c r="J377" s="507" t="b">
        <v>0</v>
      </c>
      <c r="K377" s="112"/>
      <c r="L377" s="505" t="b">
        <v>0</v>
      </c>
      <c r="M377" s="504" t="b">
        <v>0</v>
      </c>
      <c r="N377" s="112"/>
      <c r="O377" s="505" t="b">
        <v>0</v>
      </c>
      <c r="P377" s="504" t="b">
        <v>0</v>
      </c>
      <c r="Q377" s="116"/>
      <c r="R377" s="505" t="b">
        <v>0</v>
      </c>
      <c r="S377" s="504" t="b">
        <v>0</v>
      </c>
      <c r="T377" s="117"/>
      <c r="U377" s="505" t="b">
        <v>0</v>
      </c>
      <c r="V377" s="504" t="b">
        <v>0</v>
      </c>
      <c r="W377" s="118"/>
      <c r="X377" s="505" t="b">
        <v>0</v>
      </c>
      <c r="Y377" s="504" t="b">
        <v>0</v>
      </c>
      <c r="Z377" s="119"/>
      <c r="AA377" s="505" t="b">
        <v>0</v>
      </c>
      <c r="AB377" s="504" t="b">
        <v>0</v>
      </c>
      <c r="AC377" s="121"/>
      <c r="AD377" s="505" t="b">
        <v>0</v>
      </c>
      <c r="AE377" s="504" t="b">
        <v>0</v>
      </c>
      <c r="AF377" s="125"/>
      <c r="AG377" s="505" t="b">
        <v>0</v>
      </c>
      <c r="AH377" s="504" t="b">
        <v>0</v>
      </c>
      <c r="AI377" s="105"/>
      <c r="AJ377" s="505" t="b">
        <v>0</v>
      </c>
      <c r="AK377" s="504" t="b">
        <v>0</v>
      </c>
      <c r="AL377" s="126"/>
      <c r="AM377" s="505" t="b">
        <v>0</v>
      </c>
      <c r="AN377" s="504" t="b">
        <v>0</v>
      </c>
      <c r="AO377" s="105"/>
      <c r="AP377" s="105"/>
      <c r="AQ377" s="105"/>
      <c r="AR377" s="105"/>
      <c r="AS377" s="105"/>
      <c r="AT377" s="105"/>
      <c r="AU377" s="105"/>
      <c r="AV377" s="105"/>
      <c r="AW377" s="105"/>
      <c r="AX377" s="105"/>
      <c r="AY377" s="105"/>
      <c r="AZ377" s="105"/>
      <c r="BA377" s="105"/>
    </row>
    <row r="378">
      <c r="A378" s="105" t="str">
        <f>IFERROR(__xludf.DUMMYFUNCTION("""COMPUTED_VALUE"""),"SETTLED")</f>
        <v>SETTLED</v>
      </c>
      <c r="B378" s="105" t="str">
        <f>IFERROR(__xludf.DUMMYFUNCTION("""COMPUTED_VALUE"""),"Gregory, Peter")</f>
        <v>Gregory, Peter</v>
      </c>
      <c r="C378" s="506" t="str">
        <f>IFERROR(__xludf.DUMMYFUNCTION("""COMPUTED_VALUE"""),"Robert &amp; Donna Alderman")</f>
        <v>Robert &amp; Donna Alderman</v>
      </c>
      <c r="D378" s="506" t="str">
        <f>IFERROR(__xludf.DUMMYFUNCTION("""COMPUTED_VALUE"""),"772-302-0258")</f>
        <v>772-302-0258</v>
      </c>
      <c r="E378" s="105" t="str">
        <f>IFERROR(__xludf.DUMMYFUNCTION("""COMPUTED_VALUE"""),"bobby4horses@yahoo.com")</f>
        <v>bobby4horses@yahoo.com</v>
      </c>
      <c r="F378" s="506" t="str">
        <f>IFERROR(__xludf.DUMMYFUNCTION("""COMPUTED_VALUE"""),"6702 Fort Walton Ave, Fort Pierce, FL 34951")</f>
        <v>6702 Fort Walton Ave, Fort Pierce, FL 34951</v>
      </c>
      <c r="G378" s="506" t="str">
        <f>IFERROR(__xludf.DUMMYFUNCTION("""COMPUTED_VALUE"""),"Hurricane Milton")</f>
        <v>Hurricane Milton</v>
      </c>
      <c r="H378" s="105" t="str">
        <f>IFERROR(__xludf.DUMMYFUNCTION("""COMPUTED_VALUE"""),"New Claim")</f>
        <v>New Claim</v>
      </c>
      <c r="I378" s="505" t="b">
        <v>0</v>
      </c>
      <c r="J378" s="507" t="b">
        <v>0</v>
      </c>
      <c r="K378" s="112"/>
      <c r="L378" s="505" t="b">
        <v>0</v>
      </c>
      <c r="M378" s="504" t="b">
        <v>0</v>
      </c>
      <c r="N378" s="112"/>
      <c r="O378" s="505" t="b">
        <v>0</v>
      </c>
      <c r="P378" s="504" t="b">
        <v>0</v>
      </c>
      <c r="Q378" s="116"/>
      <c r="R378" s="505" t="b">
        <v>0</v>
      </c>
      <c r="S378" s="504" t="b">
        <v>0</v>
      </c>
      <c r="T378" s="117"/>
      <c r="U378" s="505" t="b">
        <v>0</v>
      </c>
      <c r="V378" s="504" t="b">
        <v>0</v>
      </c>
      <c r="W378" s="118"/>
      <c r="X378" s="505" t="b">
        <v>0</v>
      </c>
      <c r="Y378" s="504" t="b">
        <v>0</v>
      </c>
      <c r="Z378" s="119"/>
      <c r="AA378" s="505" t="b">
        <v>0</v>
      </c>
      <c r="AB378" s="504" t="b">
        <v>0</v>
      </c>
      <c r="AC378" s="121"/>
      <c r="AD378" s="505" t="b">
        <v>0</v>
      </c>
      <c r="AE378" s="504" t="b">
        <v>0</v>
      </c>
      <c r="AF378" s="125"/>
      <c r="AG378" s="505" t="b">
        <v>0</v>
      </c>
      <c r="AH378" s="504" t="b">
        <v>0</v>
      </c>
      <c r="AI378" s="105"/>
      <c r="AJ378" s="505" t="b">
        <v>0</v>
      </c>
      <c r="AK378" s="504" t="b">
        <v>0</v>
      </c>
      <c r="AL378" s="126"/>
      <c r="AM378" s="505" t="b">
        <v>0</v>
      </c>
      <c r="AN378" s="504" t="b">
        <v>0</v>
      </c>
      <c r="AO378" s="105"/>
      <c r="AP378" s="105"/>
      <c r="AQ378" s="105"/>
      <c r="AR378" s="105"/>
      <c r="AS378" s="105"/>
      <c r="AT378" s="105"/>
      <c r="AU378" s="105"/>
      <c r="AV378" s="105"/>
      <c r="AW378" s="105"/>
      <c r="AX378" s="105"/>
      <c r="AY378" s="105"/>
      <c r="AZ378" s="105"/>
      <c r="BA378" s="105"/>
    </row>
    <row r="379">
      <c r="A379" s="105" t="str">
        <f>IFERROR(__xludf.DUMMYFUNCTION("""COMPUTED_VALUE"""),"CLSD CLAIMS")</f>
        <v>CLSD CLAIMS</v>
      </c>
      <c r="B379" s="105" t="str">
        <f>IFERROR(__xludf.DUMMYFUNCTION("""COMPUTED_VALUE"""),"Joshua")</f>
        <v>Joshua</v>
      </c>
      <c r="C379" s="506" t="str">
        <f>IFERROR(__xludf.DUMMYFUNCTION("""COMPUTED_VALUE"""),"Jennifer Spencer ")</f>
        <v>Jennifer Spencer </v>
      </c>
      <c r="D379" s="506" t="str">
        <f>IFERROR(__xludf.DUMMYFUNCTION("""COMPUTED_VALUE"""),"813-235-3703")</f>
        <v>813-235-3703</v>
      </c>
      <c r="E379" s="105" t="str">
        <f>IFERROR(__xludf.DUMMYFUNCTION("""COMPUTED_VALUE"""),"Drjenniferspencer@outlook.com")</f>
        <v>Drjenniferspencer@outlook.com</v>
      </c>
      <c r="F379" s="506" t="str">
        <f>IFERROR(__xludf.DUMMYFUNCTION("""COMPUTED_VALUE"""),"1102 Fennel Green Dr Seffner FL 33584")</f>
        <v>1102 Fennel Green Dr Seffner FL 33584</v>
      </c>
      <c r="G379" s="506" t="str">
        <f>IFERROR(__xludf.DUMMYFUNCTION("""COMPUTED_VALUE"""),"Hurricane Milton")</f>
        <v>Hurricane Milton</v>
      </c>
      <c r="H379" s="105" t="str">
        <f>IFERROR(__xludf.DUMMYFUNCTION("""COMPUTED_VALUE"""),"Reopen")</f>
        <v>Reopen</v>
      </c>
      <c r="I379" s="505" t="b">
        <v>0</v>
      </c>
      <c r="J379" s="507" t="b">
        <v>0</v>
      </c>
      <c r="K379" s="112"/>
      <c r="L379" s="505" t="b">
        <v>0</v>
      </c>
      <c r="M379" s="504" t="b">
        <v>0</v>
      </c>
      <c r="N379" s="112"/>
      <c r="O379" s="505" t="b">
        <v>0</v>
      </c>
      <c r="P379" s="504" t="b">
        <v>0</v>
      </c>
      <c r="Q379" s="116"/>
      <c r="R379" s="505" t="b">
        <v>0</v>
      </c>
      <c r="S379" s="504" t="b">
        <v>0</v>
      </c>
      <c r="T379" s="117"/>
      <c r="U379" s="505" t="b">
        <v>0</v>
      </c>
      <c r="V379" s="504" t="b">
        <v>0</v>
      </c>
      <c r="W379" s="118"/>
      <c r="X379" s="505" t="b">
        <v>0</v>
      </c>
      <c r="Y379" s="504" t="b">
        <v>0</v>
      </c>
      <c r="Z379" s="119"/>
      <c r="AA379" s="505" t="b">
        <v>0</v>
      </c>
      <c r="AB379" s="504" t="b">
        <v>0</v>
      </c>
      <c r="AC379" s="121"/>
      <c r="AD379" s="505" t="b">
        <v>0</v>
      </c>
      <c r="AE379" s="504" t="b">
        <v>0</v>
      </c>
      <c r="AF379" s="125"/>
      <c r="AG379" s="505" t="b">
        <v>0</v>
      </c>
      <c r="AH379" s="504" t="b">
        <v>0</v>
      </c>
      <c r="AI379" s="105"/>
      <c r="AJ379" s="505" t="b">
        <v>0</v>
      </c>
      <c r="AK379" s="504" t="b">
        <v>0</v>
      </c>
      <c r="AL379" s="126"/>
      <c r="AM379" s="505" t="b">
        <v>0</v>
      </c>
      <c r="AN379" s="504" t="b">
        <v>0</v>
      </c>
      <c r="AO379" s="105"/>
      <c r="AP379" s="105"/>
      <c r="AQ379" s="105"/>
      <c r="AR379" s="105"/>
      <c r="AS379" s="105"/>
      <c r="AT379" s="105"/>
      <c r="AU379" s="105"/>
      <c r="AV379" s="105"/>
      <c r="AW379" s="105"/>
      <c r="AX379" s="105"/>
      <c r="AY379" s="105"/>
      <c r="AZ379" s="105"/>
      <c r="BA379" s="105"/>
    </row>
    <row r="380">
      <c r="A380" s="105" t="str">
        <f>IFERROR(__xludf.DUMMYFUNCTION("""COMPUTED_VALUE"""),"LITIGATION")</f>
        <v>LITIGATION</v>
      </c>
      <c r="B380" s="105" t="str">
        <f>IFERROR(__xludf.DUMMYFUNCTION("""COMPUTED_VALUE"""),"Chris / Joshua")</f>
        <v>Chris / Joshua</v>
      </c>
      <c r="C380" s="506" t="str">
        <f>IFERROR(__xludf.DUMMYFUNCTION("""COMPUTED_VALUE"""),"Steven Salomon &amp; Kim Tram")</f>
        <v>Steven Salomon &amp; Kim Tram</v>
      </c>
      <c r="D380" s="506" t="str">
        <f>IFERROR(__xludf.DUMMYFUNCTION("""COMPUTED_VALUE"""),"813-734-5553")</f>
        <v>813-734-5553</v>
      </c>
      <c r="E380" s="105" t="str">
        <f>IFERROR(__xludf.DUMMYFUNCTION("""COMPUTED_VALUE"""),"lord.salomon@yahoo.com")</f>
        <v>lord.salomon@yahoo.com</v>
      </c>
      <c r="F380" s="506" t="str">
        <f>IFERROR(__xludf.DUMMYFUNCTION("""COMPUTED_VALUE"""),"1769 Rita ST Sarasota FL 34231 ")</f>
        <v>1769 Rita ST Sarasota FL 34231 </v>
      </c>
      <c r="G380" s="506" t="str">
        <f>IFERROR(__xludf.DUMMYFUNCTION("""COMPUTED_VALUE"""),"Hurricane Milton")</f>
        <v>Hurricane Milton</v>
      </c>
      <c r="H380" s="105" t="str">
        <f>IFERROR(__xludf.DUMMYFUNCTION("""COMPUTED_VALUE"""),"Reopen")</f>
        <v>Reopen</v>
      </c>
      <c r="I380" s="505" t="b">
        <v>0</v>
      </c>
      <c r="J380" s="507" t="b">
        <v>0</v>
      </c>
      <c r="K380" s="112"/>
      <c r="L380" s="505" t="b">
        <v>0</v>
      </c>
      <c r="M380" s="504" t="b">
        <v>0</v>
      </c>
      <c r="N380" s="112"/>
      <c r="O380" s="505" t="b">
        <v>0</v>
      </c>
      <c r="P380" s="504" t="b">
        <v>0</v>
      </c>
      <c r="Q380" s="116"/>
      <c r="R380" s="505" t="b">
        <v>0</v>
      </c>
      <c r="S380" s="504" t="b">
        <v>0</v>
      </c>
      <c r="T380" s="117"/>
      <c r="U380" s="505" t="b">
        <v>0</v>
      </c>
      <c r="V380" s="504" t="b">
        <v>0</v>
      </c>
      <c r="W380" s="118"/>
      <c r="X380" s="505" t="b">
        <v>0</v>
      </c>
      <c r="Y380" s="504" t="b">
        <v>0</v>
      </c>
      <c r="Z380" s="119"/>
      <c r="AA380" s="505" t="b">
        <v>0</v>
      </c>
      <c r="AB380" s="504" t="b">
        <v>0</v>
      </c>
      <c r="AC380" s="121"/>
      <c r="AD380" s="505" t="b">
        <v>0</v>
      </c>
      <c r="AE380" s="504" t="b">
        <v>0</v>
      </c>
      <c r="AF380" s="125"/>
      <c r="AG380" s="505" t="b">
        <v>0</v>
      </c>
      <c r="AH380" s="504" t="b">
        <v>0</v>
      </c>
      <c r="AI380" s="105"/>
      <c r="AJ380" s="505" t="b">
        <v>0</v>
      </c>
      <c r="AK380" s="504" t="b">
        <v>0</v>
      </c>
      <c r="AL380" s="126"/>
      <c r="AM380" s="505" t="b">
        <v>0</v>
      </c>
      <c r="AN380" s="504" t="b">
        <v>0</v>
      </c>
      <c r="AO380" s="105"/>
      <c r="AP380" s="105"/>
      <c r="AQ380" s="105"/>
      <c r="AR380" s="105"/>
      <c r="AS380" s="105"/>
      <c r="AT380" s="105"/>
      <c r="AU380" s="105"/>
      <c r="AV380" s="105"/>
      <c r="AW380" s="105"/>
      <c r="AX380" s="105"/>
      <c r="AY380" s="105"/>
      <c r="AZ380" s="105"/>
      <c r="BA380" s="105"/>
    </row>
    <row r="381">
      <c r="A381" s="105" t="str">
        <f>IFERROR(__xludf.DUMMYFUNCTION("""COMPUTED_VALUE"""),"CLSD CLAIMS")</f>
        <v>CLSD CLAIMS</v>
      </c>
      <c r="B381" s="105" t="str">
        <f>IFERROR(__xludf.DUMMYFUNCTION("""COMPUTED_VALUE"""),"Chris / Joshua")</f>
        <v>Chris / Joshua</v>
      </c>
      <c r="C381" s="506" t="str">
        <f>IFERROR(__xludf.DUMMYFUNCTION("""COMPUTED_VALUE"""),"Brian Bunich")</f>
        <v>Brian Bunich</v>
      </c>
      <c r="D381" s="506" t="str">
        <f>IFERROR(__xludf.DUMMYFUNCTION("""COMPUTED_VALUE"""),"913-238-0624")</f>
        <v>913-238-0624</v>
      </c>
      <c r="E381" s="105" t="str">
        <f>IFERROR(__xludf.DUMMYFUNCTION("""COMPUTED_VALUE"""),"Officerbjb@yahoo.com")</f>
        <v>Officerbjb@yahoo.com</v>
      </c>
      <c r="F381" s="506" t="str">
        <f>IFERROR(__xludf.DUMMYFUNCTION("""COMPUTED_VALUE"""),"11527 Weston Course Loop Riverview Fl 33579")</f>
        <v>11527 Weston Course Loop Riverview Fl 33579</v>
      </c>
      <c r="G381" s="506" t="str">
        <f>IFERROR(__xludf.DUMMYFUNCTION("""COMPUTED_VALUE"""),"Hurricane Milton")</f>
        <v>Hurricane Milton</v>
      </c>
      <c r="H381" s="105" t="str">
        <f>IFERROR(__xludf.DUMMYFUNCTION("""COMPUTED_VALUE"""),"Reopen")</f>
        <v>Reopen</v>
      </c>
      <c r="I381" s="505" t="b">
        <v>0</v>
      </c>
      <c r="J381" s="507" t="b">
        <v>0</v>
      </c>
      <c r="K381" s="112"/>
      <c r="L381" s="505" t="b">
        <v>0</v>
      </c>
      <c r="M381" s="504" t="b">
        <v>0</v>
      </c>
      <c r="N381" s="112"/>
      <c r="O381" s="505" t="b">
        <v>0</v>
      </c>
      <c r="P381" s="504" t="b">
        <v>0</v>
      </c>
      <c r="Q381" s="116"/>
      <c r="R381" s="505" t="b">
        <v>0</v>
      </c>
      <c r="S381" s="504" t="b">
        <v>0</v>
      </c>
      <c r="T381" s="117"/>
      <c r="U381" s="505" t="b">
        <v>0</v>
      </c>
      <c r="V381" s="504" t="b">
        <v>0</v>
      </c>
      <c r="W381" s="118"/>
      <c r="X381" s="505" t="b">
        <v>0</v>
      </c>
      <c r="Y381" s="504" t="b">
        <v>0</v>
      </c>
      <c r="Z381" s="119"/>
      <c r="AA381" s="505" t="b">
        <v>0</v>
      </c>
      <c r="AB381" s="504" t="b">
        <v>0</v>
      </c>
      <c r="AC381" s="121"/>
      <c r="AD381" s="505" t="b">
        <v>0</v>
      </c>
      <c r="AE381" s="504" t="b">
        <v>0</v>
      </c>
      <c r="AF381" s="125"/>
      <c r="AG381" s="505" t="b">
        <v>0</v>
      </c>
      <c r="AH381" s="504" t="b">
        <v>0</v>
      </c>
      <c r="AI381" s="105"/>
      <c r="AJ381" s="505" t="b">
        <v>0</v>
      </c>
      <c r="AK381" s="504" t="b">
        <v>0</v>
      </c>
      <c r="AL381" s="126"/>
      <c r="AM381" s="505" t="b">
        <v>0</v>
      </c>
      <c r="AN381" s="504" t="b">
        <v>0</v>
      </c>
      <c r="AO381" s="105"/>
      <c r="AP381" s="105"/>
      <c r="AQ381" s="105"/>
      <c r="AR381" s="105"/>
      <c r="AS381" s="105"/>
      <c r="AT381" s="105"/>
      <c r="AU381" s="105"/>
      <c r="AV381" s="105"/>
      <c r="AW381" s="105"/>
      <c r="AX381" s="105"/>
      <c r="AY381" s="105"/>
      <c r="AZ381" s="105"/>
      <c r="BA381" s="105"/>
    </row>
    <row r="382">
      <c r="A382" s="105" t="str">
        <f>IFERROR(__xludf.DUMMYFUNCTION("""COMPUTED_VALUE"""),"PEN O&amp;L/DEPRECIATION")</f>
        <v>PEN O&amp;L/DEPRECIATION</v>
      </c>
      <c r="B382" s="105" t="str">
        <f>IFERROR(__xludf.DUMMYFUNCTION("""COMPUTED_VALUE"""),"Chris / Joshua")</f>
        <v>Chris / Joshua</v>
      </c>
      <c r="C382" s="506" t="str">
        <f>IFERROR(__xludf.DUMMYFUNCTION("""COMPUTED_VALUE"""),"Terance Douglas ")</f>
        <v>Terance Douglas </v>
      </c>
      <c r="D382" s="506" t="str">
        <f>IFERROR(__xludf.DUMMYFUNCTION("""COMPUTED_VALUE"""),"813-893-4014")</f>
        <v>813-893-4014</v>
      </c>
      <c r="E382" s="105" t="str">
        <f>IFERROR(__xludf.DUMMYFUNCTION("""COMPUTED_VALUE"""),"Graziellacarlet@yahoo.it")</f>
        <v>Graziellacarlet@yahoo.it</v>
      </c>
      <c r="F382" s="506" t="str">
        <f>IFERROR(__xludf.DUMMYFUNCTION("""COMPUTED_VALUE"""),"11812 Gilmerton DR Riverview FL 33579")</f>
        <v>11812 Gilmerton DR Riverview FL 33579</v>
      </c>
      <c r="G382" s="506" t="str">
        <f>IFERROR(__xludf.DUMMYFUNCTION("""COMPUTED_VALUE"""),"Hurricane Milton")</f>
        <v>Hurricane Milton</v>
      </c>
      <c r="H382" s="105" t="str">
        <f>IFERROR(__xludf.DUMMYFUNCTION("""COMPUTED_VALUE"""),"Reopen")</f>
        <v>Reopen</v>
      </c>
      <c r="I382" s="505" t="b">
        <v>0</v>
      </c>
      <c r="J382" s="507" t="b">
        <v>0</v>
      </c>
      <c r="K382" s="112"/>
      <c r="L382" s="505" t="b">
        <v>0</v>
      </c>
      <c r="M382" s="504" t="b">
        <v>0</v>
      </c>
      <c r="N382" s="112"/>
      <c r="O382" s="505" t="b">
        <v>0</v>
      </c>
      <c r="P382" s="504" t="b">
        <v>0</v>
      </c>
      <c r="Q382" s="116"/>
      <c r="R382" s="505" t="b">
        <v>0</v>
      </c>
      <c r="S382" s="504" t="b">
        <v>0</v>
      </c>
      <c r="T382" s="117"/>
      <c r="U382" s="505" t="b">
        <v>0</v>
      </c>
      <c r="V382" s="504" t="b">
        <v>0</v>
      </c>
      <c r="W382" s="118"/>
      <c r="X382" s="505" t="b">
        <v>0</v>
      </c>
      <c r="Y382" s="504" t="b">
        <v>0</v>
      </c>
      <c r="Z382" s="119"/>
      <c r="AA382" s="505" t="b">
        <v>0</v>
      </c>
      <c r="AB382" s="504" t="b">
        <v>0</v>
      </c>
      <c r="AC382" s="121"/>
      <c r="AD382" s="505" t="b">
        <v>0</v>
      </c>
      <c r="AE382" s="504" t="b">
        <v>0</v>
      </c>
      <c r="AF382" s="125"/>
      <c r="AG382" s="505" t="b">
        <v>0</v>
      </c>
      <c r="AH382" s="504" t="b">
        <v>0</v>
      </c>
      <c r="AI382" s="105"/>
      <c r="AJ382" s="505" t="b">
        <v>0</v>
      </c>
      <c r="AK382" s="504" t="b">
        <v>0</v>
      </c>
      <c r="AL382" s="126"/>
      <c r="AM382" s="505" t="b">
        <v>0</v>
      </c>
      <c r="AN382" s="504" t="b">
        <v>0</v>
      </c>
      <c r="AO382" s="105"/>
      <c r="AP382" s="105"/>
      <c r="AQ382" s="105"/>
      <c r="AR382" s="105"/>
      <c r="AS382" s="105"/>
      <c r="AT382" s="105"/>
      <c r="AU382" s="105"/>
      <c r="AV382" s="105"/>
      <c r="AW382" s="105"/>
      <c r="AX382" s="105"/>
      <c r="AY382" s="105"/>
      <c r="AZ382" s="105"/>
      <c r="BA382" s="105"/>
    </row>
    <row r="383">
      <c r="A383" s="506" t="str">
        <f>IFERROR(__xludf.DUMMYFUNCTION("""COMPUTED_VALUE"""),"SETTLED")</f>
        <v>SETTLED</v>
      </c>
      <c r="B383" s="105" t="str">
        <f>IFERROR(__xludf.DUMMYFUNCTION("""COMPUTED_VALUE"""),"Ivan")</f>
        <v>Ivan</v>
      </c>
      <c r="C383" s="506" t="str">
        <f>IFERROR(__xludf.DUMMYFUNCTION("""COMPUTED_VALUE"""),"Michael Kelly")</f>
        <v>Michael Kelly</v>
      </c>
      <c r="D383" s="506" t="str">
        <f>IFERROR(__xludf.DUMMYFUNCTION("""COMPUTED_VALUE"""),"954-274-1606 / 786-985-9000")</f>
        <v>954-274-1606 / 786-985-9000</v>
      </c>
      <c r="E383" s="105" t="str">
        <f>IFERROR(__xludf.DUMMYFUNCTION("""COMPUTED_VALUE"""),"Napbizop@gmail.com")</f>
        <v>Napbizop@gmail.com</v>
      </c>
      <c r="F383" s="506" t="str">
        <f>IFERROR(__xludf.DUMMYFUNCTION("""COMPUTED_VALUE"""),"3871 SW Chaffin St. Port Saint Lucie FL, 34953")</f>
        <v>3871 SW Chaffin St. Port Saint Lucie FL, 34953</v>
      </c>
      <c r="G383" s="506" t="str">
        <f>IFERROR(__xludf.DUMMYFUNCTION("""COMPUTED_VALUE"""),"Hurricane Milton")</f>
        <v>Hurricane Milton</v>
      </c>
      <c r="H383" s="105" t="str">
        <f>IFERROR(__xludf.DUMMYFUNCTION("""COMPUTED_VALUE"""),"Reopen")</f>
        <v>Reopen</v>
      </c>
      <c r="I383" s="505" t="b">
        <v>0</v>
      </c>
      <c r="J383" s="507" t="b">
        <v>0</v>
      </c>
      <c r="K383" s="112"/>
      <c r="L383" s="505" t="b">
        <v>0</v>
      </c>
      <c r="M383" s="504" t="b">
        <v>0</v>
      </c>
      <c r="N383" s="112"/>
      <c r="O383" s="505" t="b">
        <v>0</v>
      </c>
      <c r="P383" s="504" t="b">
        <v>0</v>
      </c>
      <c r="Q383" s="116"/>
      <c r="R383" s="505" t="b">
        <v>0</v>
      </c>
      <c r="S383" s="504" t="b">
        <v>0</v>
      </c>
      <c r="T383" s="117"/>
      <c r="U383" s="505" t="b">
        <v>0</v>
      </c>
      <c r="V383" s="504" t="b">
        <v>0</v>
      </c>
      <c r="W383" s="118"/>
      <c r="X383" s="505" t="b">
        <v>0</v>
      </c>
      <c r="Y383" s="504" t="b">
        <v>0</v>
      </c>
      <c r="Z383" s="119"/>
      <c r="AA383" s="505" t="b">
        <v>0</v>
      </c>
      <c r="AB383" s="504" t="b">
        <v>0</v>
      </c>
      <c r="AC383" s="121"/>
      <c r="AD383" s="505" t="b">
        <v>0</v>
      </c>
      <c r="AE383" s="504" t="b">
        <v>0</v>
      </c>
      <c r="AF383" s="125"/>
      <c r="AG383" s="505" t="b">
        <v>0</v>
      </c>
      <c r="AH383" s="504" t="b">
        <v>0</v>
      </c>
      <c r="AI383" s="105"/>
      <c r="AJ383" s="505" t="b">
        <v>0</v>
      </c>
      <c r="AK383" s="504" t="b">
        <v>0</v>
      </c>
      <c r="AL383" s="126"/>
      <c r="AM383" s="505" t="b">
        <v>0</v>
      </c>
      <c r="AN383" s="504" t="b">
        <v>0</v>
      </c>
      <c r="AO383" s="105"/>
      <c r="AP383" s="105"/>
      <c r="AQ383" s="105"/>
      <c r="AR383" s="105"/>
      <c r="AS383" s="105"/>
      <c r="AT383" s="105"/>
      <c r="AU383" s="105"/>
      <c r="AV383" s="105"/>
      <c r="AW383" s="105"/>
      <c r="AX383" s="105"/>
      <c r="AY383" s="105"/>
      <c r="AZ383" s="105"/>
      <c r="BA383" s="105"/>
    </row>
    <row r="384">
      <c r="A384" s="506" t="str">
        <f>IFERROR(__xludf.DUMMYFUNCTION("""COMPUTED_VALUE"""),"SETTLED")</f>
        <v>SETTLED</v>
      </c>
      <c r="B384" s="105" t="str">
        <f>IFERROR(__xludf.DUMMYFUNCTION("""COMPUTED_VALUE"""),"Ivan")</f>
        <v>Ivan</v>
      </c>
      <c r="C384" s="506" t="str">
        <f>IFERROR(__xludf.DUMMYFUNCTION("""COMPUTED_VALUE"""),"Wanise Antoine")</f>
        <v>Wanise Antoine</v>
      </c>
      <c r="D384" s="506" t="str">
        <f>IFERROR(__xludf.DUMMYFUNCTION("""COMPUTED_VALUE"""),"561-574-5847")</f>
        <v>561-574-5847</v>
      </c>
      <c r="E384" s="105" t="str">
        <f>IFERROR(__xludf.DUMMYFUNCTION("""COMPUTED_VALUE"""),"Wanise.antoine74@gmail.com")</f>
        <v>Wanise.antoine74@gmail.com</v>
      </c>
      <c r="F384" s="506" t="str">
        <f>IFERROR(__xludf.DUMMYFUNCTION("""COMPUTED_VALUE"""),"2981 SW Collings Dr Port Saint Lucie FL 34953")</f>
        <v>2981 SW Collings Dr Port Saint Lucie FL 34953</v>
      </c>
      <c r="G384" s="506" t="str">
        <f>IFERROR(__xludf.DUMMYFUNCTION("""COMPUTED_VALUE"""),"Hurricane Milton")</f>
        <v>Hurricane Milton</v>
      </c>
      <c r="H384" s="105" t="str">
        <f>IFERROR(__xludf.DUMMYFUNCTION("""COMPUTED_VALUE"""),"New Claim")</f>
        <v>New Claim</v>
      </c>
      <c r="I384" s="505" t="b">
        <v>0</v>
      </c>
      <c r="J384" s="507" t="b">
        <v>0</v>
      </c>
      <c r="K384" s="112"/>
      <c r="L384" s="505" t="b">
        <v>0</v>
      </c>
      <c r="M384" s="504" t="b">
        <v>0</v>
      </c>
      <c r="N384" s="112"/>
      <c r="O384" s="505" t="b">
        <v>0</v>
      </c>
      <c r="P384" s="504" t="b">
        <v>0</v>
      </c>
      <c r="Q384" s="116"/>
      <c r="R384" s="505" t="b">
        <v>0</v>
      </c>
      <c r="S384" s="504" t="b">
        <v>0</v>
      </c>
      <c r="T384" s="117"/>
      <c r="U384" s="505" t="b">
        <v>0</v>
      </c>
      <c r="V384" s="504" t="b">
        <v>0</v>
      </c>
      <c r="W384" s="118"/>
      <c r="X384" s="505" t="b">
        <v>0</v>
      </c>
      <c r="Y384" s="504" t="b">
        <v>0</v>
      </c>
      <c r="Z384" s="119"/>
      <c r="AA384" s="505" t="b">
        <v>0</v>
      </c>
      <c r="AB384" s="504" t="b">
        <v>0</v>
      </c>
      <c r="AC384" s="121"/>
      <c r="AD384" s="505" t="b">
        <v>0</v>
      </c>
      <c r="AE384" s="504" t="b">
        <v>0</v>
      </c>
      <c r="AF384" s="125"/>
      <c r="AG384" s="505" t="b">
        <v>0</v>
      </c>
      <c r="AH384" s="504" t="b">
        <v>0</v>
      </c>
      <c r="AI384" s="105"/>
      <c r="AJ384" s="505" t="b">
        <v>0</v>
      </c>
      <c r="AK384" s="504" t="b">
        <v>0</v>
      </c>
      <c r="AL384" s="126"/>
      <c r="AM384" s="505" t="b">
        <v>0</v>
      </c>
      <c r="AN384" s="504" t="b">
        <v>0</v>
      </c>
      <c r="AO384" s="105"/>
      <c r="AP384" s="105"/>
      <c r="AQ384" s="105"/>
      <c r="AR384" s="105"/>
      <c r="AS384" s="105"/>
      <c r="AT384" s="105"/>
      <c r="AU384" s="105"/>
      <c r="AV384" s="105"/>
      <c r="AW384" s="105"/>
      <c r="AX384" s="105"/>
      <c r="AY384" s="105"/>
      <c r="AZ384" s="105"/>
      <c r="BA384" s="105"/>
    </row>
    <row r="385">
      <c r="A385" s="506" t="str">
        <f>IFERROR(__xludf.DUMMYFUNCTION("""COMPUTED_VALUE"""),"SETTLED")</f>
        <v>SETTLED</v>
      </c>
      <c r="B385" s="506" t="str">
        <f>IFERROR(__xludf.DUMMYFUNCTION("""COMPUTED_VALUE"""),"Juan")</f>
        <v>Juan</v>
      </c>
      <c r="C385" s="506" t="str">
        <f>IFERROR(__xludf.DUMMYFUNCTION("""COMPUTED_VALUE"""),"John Barlow")</f>
        <v>John Barlow</v>
      </c>
      <c r="D385" s="506" t="str">
        <f>IFERROR(__xludf.DUMMYFUNCTION("""COMPUTED_VALUE"""),"863-245-5170")</f>
        <v>863-245-5170</v>
      </c>
      <c r="E385" s="506" t="str">
        <f>IFERROR(__xludf.DUMMYFUNCTION("""COMPUTED_VALUE"""),"jtbarlow1@gmail.com")</f>
        <v>jtbarlow1@gmail.com</v>
      </c>
      <c r="F385" s="506" t="str">
        <f>IFERROR(__xludf.DUMMYFUNCTION("""COMPUTED_VALUE"""),"185 Georgetown Loop Wuachula, FL33873")</f>
        <v>185 Georgetown Loop Wuachula, FL33873</v>
      </c>
      <c r="G385" s="506" t="str">
        <f>IFERROR(__xludf.DUMMYFUNCTION("""COMPUTED_VALUE"""),"Windstorm")</f>
        <v>Windstorm</v>
      </c>
      <c r="H385" s="506" t="str">
        <f>IFERROR(__xludf.DUMMYFUNCTION("""COMPUTED_VALUE"""),"Reopen")</f>
        <v>Reopen</v>
      </c>
      <c r="I385" s="505" t="b">
        <v>0</v>
      </c>
      <c r="J385" s="507" t="b">
        <v>0</v>
      </c>
      <c r="K385" s="112"/>
      <c r="L385" s="505" t="b">
        <v>0</v>
      </c>
      <c r="M385" s="504" t="b">
        <v>0</v>
      </c>
      <c r="N385" s="112"/>
      <c r="O385" s="505" t="b">
        <v>0</v>
      </c>
      <c r="P385" s="504" t="b">
        <v>0</v>
      </c>
      <c r="Q385" s="116"/>
      <c r="R385" s="505" t="b">
        <v>0</v>
      </c>
      <c r="S385" s="504" t="b">
        <v>0</v>
      </c>
      <c r="T385" s="117"/>
      <c r="U385" s="505" t="b">
        <v>0</v>
      </c>
      <c r="V385" s="504" t="b">
        <v>0</v>
      </c>
      <c r="W385" s="118"/>
      <c r="X385" s="505" t="b">
        <v>0</v>
      </c>
      <c r="Y385" s="504" t="b">
        <v>0</v>
      </c>
      <c r="Z385" s="119"/>
      <c r="AA385" s="505" t="b">
        <v>0</v>
      </c>
      <c r="AB385" s="504" t="b">
        <v>0</v>
      </c>
      <c r="AC385" s="121"/>
      <c r="AD385" s="505" t="b">
        <v>0</v>
      </c>
      <c r="AE385" s="504" t="b">
        <v>0</v>
      </c>
      <c r="AF385" s="125"/>
      <c r="AG385" s="505" t="b">
        <v>0</v>
      </c>
      <c r="AH385" s="504" t="b">
        <v>0</v>
      </c>
      <c r="AI385" s="105"/>
      <c r="AJ385" s="505" t="b">
        <v>0</v>
      </c>
      <c r="AK385" s="504" t="b">
        <v>0</v>
      </c>
      <c r="AL385" s="126"/>
      <c r="AM385" s="505" t="b">
        <v>0</v>
      </c>
      <c r="AN385" s="504" t="b">
        <v>0</v>
      </c>
      <c r="AO385" s="105"/>
      <c r="AP385" s="105"/>
      <c r="AQ385" s="105"/>
      <c r="AR385" s="105"/>
      <c r="AS385" s="105"/>
      <c r="AT385" s="105"/>
      <c r="AU385" s="105"/>
      <c r="AV385" s="105"/>
      <c r="AW385" s="105"/>
      <c r="AX385" s="105"/>
      <c r="AY385" s="105"/>
      <c r="AZ385" s="105"/>
      <c r="BA385" s="105"/>
    </row>
    <row r="386">
      <c r="A386" s="506" t="str">
        <f>IFERROR(__xludf.DUMMYFUNCTION("""COMPUTED_VALUE"""),"PEN O&amp;L/DEPRECIATION")</f>
        <v>PEN O&amp;L/DEPRECIATION</v>
      </c>
      <c r="B386" s="105" t="str">
        <f>IFERROR(__xludf.DUMMYFUNCTION("""COMPUTED_VALUE"""),"Ivan")</f>
        <v>Ivan</v>
      </c>
      <c r="C386" s="506" t="str">
        <f>IFERROR(__xludf.DUMMYFUNCTION("""COMPUTED_VALUE"""),"Ralph &amp; Patricia Foster")</f>
        <v>Ralph &amp; Patricia Foster</v>
      </c>
      <c r="D386" s="506" t="str">
        <f>IFERROR(__xludf.DUMMYFUNCTION("""COMPUTED_VALUE"""),"772-538-2381 / 772-532-2255")</f>
        <v>772-538-2381 / 772-532-2255</v>
      </c>
      <c r="E386" s="506" t="str">
        <f>IFERROR(__xludf.DUMMYFUNCTION("""COMPUTED_VALUE"""),"ralfco15@yahoo.com")</f>
        <v>ralfco15@yahoo.com</v>
      </c>
      <c r="F386" s="506" t="str">
        <f>IFERROR(__xludf.DUMMYFUNCTION("""COMPUTED_VALUE"""),"6706 Deland Ave. Fort Pierce, FL 34951")</f>
        <v>6706 Deland Ave. Fort Pierce, FL 34951</v>
      </c>
      <c r="G386" s="506" t="str">
        <f>IFERROR(__xludf.DUMMYFUNCTION("""COMPUTED_VALUE"""),"Hurricane Milton")</f>
        <v>Hurricane Milton</v>
      </c>
      <c r="H386" s="105" t="str">
        <f>IFERROR(__xludf.DUMMYFUNCTION("""COMPUTED_VALUE"""),"Reopen")</f>
        <v>Reopen</v>
      </c>
      <c r="I386" s="505" t="b">
        <v>0</v>
      </c>
      <c r="J386" s="507" t="b">
        <v>0</v>
      </c>
      <c r="K386" s="112"/>
      <c r="L386" s="505" t="b">
        <v>0</v>
      </c>
      <c r="M386" s="504" t="b">
        <v>0</v>
      </c>
      <c r="N386" s="112"/>
      <c r="O386" s="505" t="b">
        <v>0</v>
      </c>
      <c r="P386" s="504" t="b">
        <v>0</v>
      </c>
      <c r="Q386" s="116"/>
      <c r="R386" s="505" t="b">
        <v>0</v>
      </c>
      <c r="S386" s="504" t="b">
        <v>0</v>
      </c>
      <c r="T386" s="117"/>
      <c r="U386" s="505" t="b">
        <v>0</v>
      </c>
      <c r="V386" s="504" t="b">
        <v>0</v>
      </c>
      <c r="W386" s="118"/>
      <c r="X386" s="505" t="b">
        <v>0</v>
      </c>
      <c r="Y386" s="504" t="b">
        <v>0</v>
      </c>
      <c r="Z386" s="119"/>
      <c r="AA386" s="505" t="b">
        <v>0</v>
      </c>
      <c r="AB386" s="504" t="b">
        <v>0</v>
      </c>
      <c r="AC386" s="121"/>
      <c r="AD386" s="505" t="b">
        <v>0</v>
      </c>
      <c r="AE386" s="504" t="b">
        <v>0</v>
      </c>
      <c r="AF386" s="125"/>
      <c r="AG386" s="505" t="b">
        <v>0</v>
      </c>
      <c r="AH386" s="504" t="b">
        <v>0</v>
      </c>
      <c r="AI386" s="105"/>
      <c r="AJ386" s="505" t="b">
        <v>0</v>
      </c>
      <c r="AK386" s="504" t="b">
        <v>0</v>
      </c>
      <c r="AL386" s="126"/>
      <c r="AM386" s="505" t="b">
        <v>0</v>
      </c>
      <c r="AN386" s="504" t="b">
        <v>0</v>
      </c>
      <c r="AO386" s="105"/>
      <c r="AP386" s="105"/>
      <c r="AQ386" s="105"/>
      <c r="AR386" s="105"/>
      <c r="AS386" s="105"/>
      <c r="AT386" s="105"/>
      <c r="AU386" s="105"/>
      <c r="AV386" s="105"/>
      <c r="AW386" s="105"/>
      <c r="AX386" s="105"/>
      <c r="AY386" s="105"/>
      <c r="AZ386" s="105"/>
      <c r="BA386" s="105"/>
    </row>
    <row r="387">
      <c r="A387" s="105" t="str">
        <f>IFERROR(__xludf.DUMMYFUNCTION("""COMPUTED_VALUE"""),"CLSD CLAIMS")</f>
        <v>CLSD CLAIMS</v>
      </c>
      <c r="B387" s="506" t="str">
        <f>IFERROR(__xludf.DUMMYFUNCTION("""COMPUTED_VALUE"""),"David M.")</f>
        <v>David M.</v>
      </c>
      <c r="C387" s="506" t="str">
        <f>IFERROR(__xludf.DUMMYFUNCTION("""COMPUTED_VALUE"""),"Jose Pavon")</f>
        <v>Jose Pavon</v>
      </c>
      <c r="D387" s="506" t="str">
        <f>IFERROR(__xludf.DUMMYFUNCTION("""COMPUTED_VALUE"""),"239-895-8861")</f>
        <v>239-895-8861</v>
      </c>
      <c r="E387" s="506" t="str">
        <f>IFERROR(__xludf.DUMMYFUNCTION("""COMPUTED_VALUE"""),"Precisionhomems@gmail.com")</f>
        <v>Precisionhomems@gmail.com</v>
      </c>
      <c r="F387" s="506" t="str">
        <f>IFERROR(__xludf.DUMMYFUNCTION("""COMPUTED_VALUE"""),"2111 Canton Ave, Alva FL 33920")</f>
        <v>2111 Canton Ave, Alva FL 33920</v>
      </c>
      <c r="G387" s="506" t="str">
        <f>IFERROR(__xludf.DUMMYFUNCTION("""COMPUTED_VALUE"""),"Hurricane Ian")</f>
        <v>Hurricane Ian</v>
      </c>
      <c r="H387" s="506" t="str">
        <f>IFERROR(__xludf.DUMMYFUNCTION("""COMPUTED_VALUE"""),"New Claim")</f>
        <v>New Claim</v>
      </c>
      <c r="I387" s="505" t="b">
        <v>0</v>
      </c>
      <c r="J387" s="507" t="b">
        <v>0</v>
      </c>
      <c r="K387" s="112"/>
      <c r="L387" s="505" t="b">
        <v>0</v>
      </c>
      <c r="M387" s="504" t="b">
        <v>0</v>
      </c>
      <c r="N387" s="112"/>
      <c r="O387" s="505" t="b">
        <v>0</v>
      </c>
      <c r="P387" s="504" t="b">
        <v>0</v>
      </c>
      <c r="Q387" s="116"/>
      <c r="R387" s="505" t="b">
        <v>0</v>
      </c>
      <c r="S387" s="504" t="b">
        <v>0</v>
      </c>
      <c r="T387" s="117"/>
      <c r="U387" s="505" t="b">
        <v>0</v>
      </c>
      <c r="V387" s="504" t="b">
        <v>0</v>
      </c>
      <c r="W387" s="118"/>
      <c r="X387" s="505" t="b">
        <v>0</v>
      </c>
      <c r="Y387" s="504" t="b">
        <v>0</v>
      </c>
      <c r="Z387" s="119"/>
      <c r="AA387" s="505" t="b">
        <v>0</v>
      </c>
      <c r="AB387" s="504" t="b">
        <v>0</v>
      </c>
      <c r="AC387" s="121"/>
      <c r="AD387" s="505" t="b">
        <v>0</v>
      </c>
      <c r="AE387" s="504" t="b">
        <v>0</v>
      </c>
      <c r="AF387" s="125"/>
      <c r="AG387" s="505" t="b">
        <v>0</v>
      </c>
      <c r="AH387" s="504" t="b">
        <v>0</v>
      </c>
      <c r="AI387" s="105"/>
      <c r="AJ387" s="505" t="b">
        <v>0</v>
      </c>
      <c r="AK387" s="504" t="b">
        <v>0</v>
      </c>
      <c r="AL387" s="126"/>
      <c r="AM387" s="505" t="b">
        <v>0</v>
      </c>
      <c r="AN387" s="504" t="b">
        <v>0</v>
      </c>
      <c r="AO387" s="105"/>
      <c r="AP387" s="105"/>
      <c r="AQ387" s="105"/>
      <c r="AR387" s="105"/>
      <c r="AS387" s="105"/>
      <c r="AT387" s="105"/>
      <c r="AU387" s="105"/>
      <c r="AV387" s="105"/>
      <c r="AW387" s="105"/>
      <c r="AX387" s="105"/>
      <c r="AY387" s="105"/>
      <c r="AZ387" s="105"/>
      <c r="BA387" s="105"/>
    </row>
    <row r="388">
      <c r="A388" s="105" t="str">
        <f>IFERROR(__xludf.DUMMYFUNCTION("""COMPUTED_VALUE"""),"SETTLED")</f>
        <v>SETTLED</v>
      </c>
      <c r="B388" s="105" t="str">
        <f>IFERROR(__xludf.DUMMYFUNCTION("""COMPUTED_VALUE"""),"Joshua")</f>
        <v>Joshua</v>
      </c>
      <c r="C388" s="506" t="str">
        <f>IFERROR(__xludf.DUMMYFUNCTION("""COMPUTED_VALUE"""),"Timothy Pickens ")</f>
        <v>Timothy Pickens </v>
      </c>
      <c r="D388" s="506" t="str">
        <f>IFERROR(__xludf.DUMMYFUNCTION("""COMPUTED_VALUE"""),"772-530-6291")</f>
        <v>772-530-6291</v>
      </c>
      <c r="E388" s="506" t="str">
        <f>IFERROR(__xludf.DUMMYFUNCTION("""COMPUTED_VALUE"""),"Ezpickens1@yahoo.com")</f>
        <v>Ezpickens1@yahoo.com</v>
      </c>
      <c r="F388" s="506" t="str">
        <f>IFERROR(__xludf.DUMMYFUNCTION("""COMPUTED_VALUE"""),"3261 SW Constellation RD Port Saint Lucie FL 34953")</f>
        <v>3261 SW Constellation RD Port Saint Lucie FL 34953</v>
      </c>
      <c r="G388" s="506" t="str">
        <f>IFERROR(__xludf.DUMMYFUNCTION("""COMPUTED_VALUE"""),"Hurricane Milton")</f>
        <v>Hurricane Milton</v>
      </c>
      <c r="H388" s="105" t="str">
        <f>IFERROR(__xludf.DUMMYFUNCTION("""COMPUTED_VALUE"""),"Reopen")</f>
        <v>Reopen</v>
      </c>
      <c r="I388" s="505" t="b">
        <v>0</v>
      </c>
      <c r="J388" s="507" t="b">
        <v>0</v>
      </c>
      <c r="K388" s="112"/>
      <c r="L388" s="505" t="b">
        <v>0</v>
      </c>
      <c r="M388" s="504" t="b">
        <v>0</v>
      </c>
      <c r="N388" s="112"/>
      <c r="O388" s="505" t="b">
        <v>0</v>
      </c>
      <c r="P388" s="504" t="b">
        <v>0</v>
      </c>
      <c r="Q388" s="116"/>
      <c r="R388" s="505" t="b">
        <v>0</v>
      </c>
      <c r="S388" s="504" t="b">
        <v>0</v>
      </c>
      <c r="T388" s="117"/>
      <c r="U388" s="505" t="b">
        <v>0</v>
      </c>
      <c r="V388" s="504" t="b">
        <v>0</v>
      </c>
      <c r="W388" s="118"/>
      <c r="X388" s="505" t="b">
        <v>0</v>
      </c>
      <c r="Y388" s="504" t="b">
        <v>0</v>
      </c>
      <c r="Z388" s="119"/>
      <c r="AA388" s="505" t="b">
        <v>0</v>
      </c>
      <c r="AB388" s="504" t="b">
        <v>0</v>
      </c>
      <c r="AC388" s="121"/>
      <c r="AD388" s="505" t="b">
        <v>0</v>
      </c>
      <c r="AE388" s="504" t="b">
        <v>0</v>
      </c>
      <c r="AF388" s="125"/>
      <c r="AG388" s="505" t="b">
        <v>0</v>
      </c>
      <c r="AH388" s="504" t="b">
        <v>0</v>
      </c>
      <c r="AI388" s="105"/>
      <c r="AJ388" s="505" t="b">
        <v>0</v>
      </c>
      <c r="AK388" s="504" t="b">
        <v>0</v>
      </c>
      <c r="AL388" s="126"/>
      <c r="AM388" s="505" t="b">
        <v>0</v>
      </c>
      <c r="AN388" s="504" t="b">
        <v>0</v>
      </c>
      <c r="AO388" s="105"/>
      <c r="AP388" s="105"/>
      <c r="AQ388" s="105"/>
      <c r="AR388" s="105"/>
      <c r="AS388" s="105"/>
      <c r="AT388" s="105"/>
      <c r="AU388" s="105"/>
      <c r="AV388" s="105"/>
      <c r="AW388" s="105"/>
      <c r="AX388" s="105"/>
      <c r="AY388" s="105"/>
      <c r="AZ388" s="105"/>
      <c r="BA388" s="105"/>
    </row>
    <row r="389">
      <c r="A389" s="105" t="str">
        <f>IFERROR(__xludf.DUMMYFUNCTION("""COMPUTED_VALUE"""),"SETTLED")</f>
        <v>SETTLED</v>
      </c>
      <c r="B389" s="506" t="str">
        <f>IFERROR(__xludf.DUMMYFUNCTION("""COMPUTED_VALUE"""),"Ivan")</f>
        <v>Ivan</v>
      </c>
      <c r="C389" s="506" t="str">
        <f>IFERROR(__xludf.DUMMYFUNCTION("""COMPUTED_VALUE"""),"Dadda Holdings LLC ")</f>
        <v>Dadda Holdings LLC </v>
      </c>
      <c r="D389" s="506" t="str">
        <f>IFERROR(__xludf.DUMMYFUNCTION("""COMPUTED_VALUE"""),"561-201-1100")</f>
        <v>561-201-1100</v>
      </c>
      <c r="E389" s="506" t="str">
        <f>IFERROR(__xludf.DUMMYFUNCTION("""COMPUTED_VALUE"""),"dstmartin@pedimhealthcare.com")</f>
        <v>dstmartin@pedimhealthcare.com</v>
      </c>
      <c r="F389" s="506" t="str">
        <f>IFERROR(__xludf.DUMMYFUNCTION("""COMPUTED_VALUE"""),"3553 E Suzie LN. Inverness, FL 34452")</f>
        <v>3553 E Suzie LN. Inverness, FL 34452</v>
      </c>
      <c r="G389" s="506" t="str">
        <f>IFERROR(__xludf.DUMMYFUNCTION("""COMPUTED_VALUE"""),"Hurricane Milton")</f>
        <v>Hurricane Milton</v>
      </c>
      <c r="H389" s="506" t="str">
        <f>IFERROR(__xludf.DUMMYFUNCTION("""COMPUTED_VALUE"""),"New Claim")</f>
        <v>New Claim</v>
      </c>
      <c r="I389" s="505" t="b">
        <v>0</v>
      </c>
      <c r="J389" s="507" t="b">
        <v>0</v>
      </c>
      <c r="K389" s="112"/>
      <c r="L389" s="505" t="b">
        <v>0</v>
      </c>
      <c r="M389" s="504" t="b">
        <v>0</v>
      </c>
      <c r="N389" s="112"/>
      <c r="O389" s="505" t="b">
        <v>0</v>
      </c>
      <c r="P389" s="504" t="b">
        <v>0</v>
      </c>
      <c r="Q389" s="116"/>
      <c r="R389" s="505" t="b">
        <v>0</v>
      </c>
      <c r="S389" s="504" t="b">
        <v>0</v>
      </c>
      <c r="T389" s="117"/>
      <c r="U389" s="505" t="b">
        <v>0</v>
      </c>
      <c r="V389" s="504" t="b">
        <v>0</v>
      </c>
      <c r="W389" s="118"/>
      <c r="X389" s="505" t="b">
        <v>0</v>
      </c>
      <c r="Y389" s="504" t="b">
        <v>0</v>
      </c>
      <c r="Z389" s="119"/>
      <c r="AA389" s="505" t="b">
        <v>0</v>
      </c>
      <c r="AB389" s="504" t="b">
        <v>0</v>
      </c>
      <c r="AC389" s="121"/>
      <c r="AD389" s="505" t="b">
        <v>0</v>
      </c>
      <c r="AE389" s="504" t="b">
        <v>0</v>
      </c>
      <c r="AF389" s="125"/>
      <c r="AG389" s="505" t="b">
        <v>0</v>
      </c>
      <c r="AH389" s="504" t="b">
        <v>0</v>
      </c>
      <c r="AI389" s="105"/>
      <c r="AJ389" s="505" t="b">
        <v>0</v>
      </c>
      <c r="AK389" s="504" t="b">
        <v>0</v>
      </c>
      <c r="AL389" s="126"/>
      <c r="AM389" s="505" t="b">
        <v>0</v>
      </c>
      <c r="AN389" s="504" t="b">
        <v>0</v>
      </c>
      <c r="AO389" s="105"/>
      <c r="AP389" s="105"/>
      <c r="AQ389" s="105"/>
      <c r="AR389" s="105"/>
      <c r="AS389" s="105"/>
      <c r="AT389" s="105"/>
      <c r="AU389" s="105"/>
      <c r="AV389" s="105"/>
      <c r="AW389" s="105"/>
      <c r="AX389" s="105"/>
      <c r="AY389" s="105"/>
      <c r="AZ389" s="105"/>
      <c r="BA389" s="105"/>
    </row>
    <row r="390">
      <c r="A390" s="105" t="str">
        <f>IFERROR(__xludf.DUMMYFUNCTION("""COMPUTED_VALUE"""),"SETTLED")</f>
        <v>SETTLED</v>
      </c>
      <c r="B390" s="105" t="str">
        <f>IFERROR(__xludf.DUMMYFUNCTION("""COMPUTED_VALUE"""),"Ivan")</f>
        <v>Ivan</v>
      </c>
      <c r="C390" s="506" t="str">
        <f>IFERROR(__xludf.DUMMYFUNCTION("""COMPUTED_VALUE"""),"Luke Hogan")</f>
        <v>Luke Hogan</v>
      </c>
      <c r="D390" s="506" t="str">
        <f>IFERROR(__xludf.DUMMYFUNCTION("""COMPUTED_VALUE"""),"352-566-3790")</f>
        <v>352-566-3790</v>
      </c>
      <c r="E390" s="506" t="str">
        <f>IFERROR(__xludf.DUMMYFUNCTION("""COMPUTED_VALUE"""),"Lukeyyh1993@gmail.com")</f>
        <v>Lukeyyh1993@gmail.com</v>
      </c>
      <c r="F390" s="506" t="str">
        <f>IFERROR(__xludf.DUMMYFUNCTION("""COMPUTED_VALUE"""),"1642 E Artesian LN Citrus Springs, FL 34434")</f>
        <v>1642 E Artesian LN Citrus Springs, FL 34434</v>
      </c>
      <c r="G390" s="506" t="str">
        <f>IFERROR(__xludf.DUMMYFUNCTION("""COMPUTED_VALUE"""),"AWD")</f>
        <v>AWD</v>
      </c>
      <c r="H390" s="105" t="str">
        <f>IFERROR(__xludf.DUMMYFUNCTION("""COMPUTED_VALUE"""),"New Claim")</f>
        <v>New Claim</v>
      </c>
      <c r="I390" s="505" t="b">
        <v>0</v>
      </c>
      <c r="J390" s="507" t="b">
        <v>0</v>
      </c>
      <c r="K390" s="112"/>
      <c r="L390" s="505" t="b">
        <v>0</v>
      </c>
      <c r="M390" s="504" t="b">
        <v>0</v>
      </c>
      <c r="N390" s="112"/>
      <c r="O390" s="505" t="b">
        <v>0</v>
      </c>
      <c r="P390" s="504" t="b">
        <v>0</v>
      </c>
      <c r="Q390" s="116"/>
      <c r="R390" s="505" t="b">
        <v>0</v>
      </c>
      <c r="S390" s="504" t="b">
        <v>0</v>
      </c>
      <c r="T390" s="117"/>
      <c r="U390" s="505" t="b">
        <v>0</v>
      </c>
      <c r="V390" s="504" t="b">
        <v>0</v>
      </c>
      <c r="W390" s="118"/>
      <c r="X390" s="505" t="b">
        <v>0</v>
      </c>
      <c r="Y390" s="504" t="b">
        <v>0</v>
      </c>
      <c r="Z390" s="119"/>
      <c r="AA390" s="505" t="b">
        <v>0</v>
      </c>
      <c r="AB390" s="504" t="b">
        <v>0</v>
      </c>
      <c r="AC390" s="121"/>
      <c r="AD390" s="505" t="b">
        <v>0</v>
      </c>
      <c r="AE390" s="504" t="b">
        <v>0</v>
      </c>
      <c r="AF390" s="125"/>
      <c r="AG390" s="505" t="b">
        <v>0</v>
      </c>
      <c r="AH390" s="504" t="b">
        <v>0</v>
      </c>
      <c r="AI390" s="105"/>
      <c r="AJ390" s="505" t="b">
        <v>0</v>
      </c>
      <c r="AK390" s="504" t="b">
        <v>0</v>
      </c>
      <c r="AL390" s="126"/>
      <c r="AM390" s="505" t="b">
        <v>0</v>
      </c>
      <c r="AN390" s="504" t="b">
        <v>0</v>
      </c>
      <c r="AO390" s="105"/>
      <c r="AP390" s="105"/>
      <c r="AQ390" s="105"/>
      <c r="AR390" s="105"/>
      <c r="AS390" s="105"/>
      <c r="AT390" s="105"/>
      <c r="AU390" s="105"/>
      <c r="AV390" s="105"/>
      <c r="AW390" s="105"/>
      <c r="AX390" s="105"/>
      <c r="AY390" s="105"/>
      <c r="AZ390" s="105"/>
      <c r="BA390" s="105"/>
    </row>
    <row r="391">
      <c r="A391" s="105" t="str">
        <f>IFERROR(__xludf.DUMMYFUNCTION("""COMPUTED_VALUE"""),"PEN O&amp;L/DEPRECIATION")</f>
        <v>PEN O&amp;L/DEPRECIATION</v>
      </c>
      <c r="B391" s="105" t="str">
        <f>IFERROR(__xludf.DUMMYFUNCTION("""COMPUTED_VALUE"""),"Joshua")</f>
        <v>Joshua</v>
      </c>
      <c r="C391" s="506" t="str">
        <f>IFERROR(__xludf.DUMMYFUNCTION("""COMPUTED_VALUE"""),"Jessica Moore")</f>
        <v>Jessica Moore</v>
      </c>
      <c r="D391" s="506" t="str">
        <f>IFERROR(__xludf.DUMMYFUNCTION("""COMPUTED_VALUE"""),"941-870-2596")</f>
        <v>941-870-2596</v>
      </c>
      <c r="E391" s="506" t="str">
        <f>IFERROR(__xludf.DUMMYFUNCTION("""COMPUTED_VALUE"""),"Jesfreeinchrist@gmail.com")</f>
        <v>Jesfreeinchrist@gmail.com</v>
      </c>
      <c r="F391" s="506" t="str">
        <f>IFERROR(__xludf.DUMMYFUNCTION("""COMPUTED_VALUE"""),"3218 Ave A W Bradenton FL 34205")</f>
        <v>3218 Ave A W Bradenton FL 34205</v>
      </c>
      <c r="G391" s="506" t="str">
        <f>IFERROR(__xludf.DUMMYFUNCTION("""COMPUTED_VALUE"""),"Hurricane Milton")</f>
        <v>Hurricane Milton</v>
      </c>
      <c r="H391" s="105" t="str">
        <f>IFERROR(__xludf.DUMMYFUNCTION("""COMPUTED_VALUE"""),"New Claim")</f>
        <v>New Claim</v>
      </c>
      <c r="I391" s="505" t="b">
        <v>0</v>
      </c>
      <c r="J391" s="507" t="b">
        <v>0</v>
      </c>
      <c r="K391" s="112"/>
      <c r="L391" s="505" t="b">
        <v>0</v>
      </c>
      <c r="M391" s="504" t="b">
        <v>0</v>
      </c>
      <c r="N391" s="112"/>
      <c r="O391" s="505" t="b">
        <v>0</v>
      </c>
      <c r="P391" s="504" t="b">
        <v>0</v>
      </c>
      <c r="Q391" s="116"/>
      <c r="R391" s="505" t="b">
        <v>0</v>
      </c>
      <c r="S391" s="504" t="b">
        <v>0</v>
      </c>
      <c r="T391" s="117"/>
      <c r="U391" s="505" t="b">
        <v>0</v>
      </c>
      <c r="V391" s="504" t="b">
        <v>0</v>
      </c>
      <c r="W391" s="118"/>
      <c r="X391" s="505" t="b">
        <v>0</v>
      </c>
      <c r="Y391" s="504" t="b">
        <v>0</v>
      </c>
      <c r="Z391" s="119"/>
      <c r="AA391" s="505" t="b">
        <v>0</v>
      </c>
      <c r="AB391" s="504" t="b">
        <v>0</v>
      </c>
      <c r="AC391" s="121"/>
      <c r="AD391" s="505" t="b">
        <v>0</v>
      </c>
      <c r="AE391" s="504" t="b">
        <v>0</v>
      </c>
      <c r="AF391" s="125"/>
      <c r="AG391" s="505" t="b">
        <v>0</v>
      </c>
      <c r="AH391" s="504" t="b">
        <v>0</v>
      </c>
      <c r="AI391" s="105"/>
      <c r="AJ391" s="505" t="b">
        <v>0</v>
      </c>
      <c r="AK391" s="504" t="b">
        <v>0</v>
      </c>
      <c r="AL391" s="126"/>
      <c r="AM391" s="505" t="b">
        <v>0</v>
      </c>
      <c r="AN391" s="504" t="b">
        <v>0</v>
      </c>
      <c r="AO391" s="105"/>
      <c r="AP391" s="105"/>
      <c r="AQ391" s="105"/>
      <c r="AR391" s="105"/>
      <c r="AS391" s="105"/>
      <c r="AT391" s="105"/>
      <c r="AU391" s="105"/>
      <c r="AV391" s="105"/>
      <c r="AW391" s="105"/>
      <c r="AX391" s="105"/>
      <c r="AY391" s="105"/>
      <c r="AZ391" s="105"/>
      <c r="BA391" s="105"/>
    </row>
    <row r="392">
      <c r="A392" s="105" t="str">
        <f>IFERROR(__xludf.DUMMYFUNCTION("""COMPUTED_VALUE"""),"STAND BY")</f>
        <v>STAND BY</v>
      </c>
      <c r="B392" s="105" t="str">
        <f>IFERROR(__xludf.DUMMYFUNCTION("""COMPUTED_VALUE"""),"Peter")</f>
        <v>Peter</v>
      </c>
      <c r="C392" s="506" t="str">
        <f>IFERROR(__xludf.DUMMYFUNCTION("""COMPUTED_VALUE"""),"Nathanie Hyppolite")</f>
        <v>Nathanie Hyppolite</v>
      </c>
      <c r="D392" s="506" t="str">
        <f>IFERROR(__xludf.DUMMYFUNCTION("""COMPUTED_VALUE"""),"786-512-2306")</f>
        <v>786-512-2306</v>
      </c>
      <c r="E392" s="506" t="str">
        <f>IFERROR(__xludf.DUMMYFUNCTION("""COMPUTED_VALUE"""),"nathanieh@yahoo.com ")</f>
        <v>nathanieh@yahoo.com </v>
      </c>
      <c r="F392" s="506" t="str">
        <f>IFERROR(__xludf.DUMMYFUNCTION("""COMPUTED_VALUE"""),"7624 Dilido Blvd Miramar, FL 33023")</f>
        <v>7624 Dilido Blvd Miramar, FL 33023</v>
      </c>
      <c r="G392" s="506" t="str">
        <f>IFERROR(__xludf.DUMMYFUNCTION("""COMPUTED_VALUE"""),"AWD")</f>
        <v>AWD</v>
      </c>
      <c r="H392" s="105" t="str">
        <f>IFERROR(__xludf.DUMMYFUNCTION("""COMPUTED_VALUE"""),"New Claim")</f>
        <v>New Claim</v>
      </c>
      <c r="I392" s="505" t="b">
        <v>0</v>
      </c>
      <c r="J392" s="507" t="b">
        <v>0</v>
      </c>
      <c r="K392" s="112"/>
      <c r="L392" s="505" t="b">
        <v>0</v>
      </c>
      <c r="M392" s="504" t="b">
        <v>0</v>
      </c>
      <c r="N392" s="112"/>
      <c r="O392" s="505" t="b">
        <v>0</v>
      </c>
      <c r="P392" s="504" t="b">
        <v>0</v>
      </c>
      <c r="Q392" s="116"/>
      <c r="R392" s="505" t="b">
        <v>0</v>
      </c>
      <c r="S392" s="504" t="b">
        <v>0</v>
      </c>
      <c r="T392" s="117"/>
      <c r="U392" s="505" t="b">
        <v>0</v>
      </c>
      <c r="V392" s="504" t="b">
        <v>0</v>
      </c>
      <c r="W392" s="118"/>
      <c r="X392" s="505" t="b">
        <v>0</v>
      </c>
      <c r="Y392" s="504" t="b">
        <v>0</v>
      </c>
      <c r="Z392" s="119"/>
      <c r="AA392" s="505" t="b">
        <v>0</v>
      </c>
      <c r="AB392" s="504" t="b">
        <v>0</v>
      </c>
      <c r="AC392" s="121"/>
      <c r="AD392" s="505" t="b">
        <v>0</v>
      </c>
      <c r="AE392" s="504" t="b">
        <v>0</v>
      </c>
      <c r="AF392" s="125"/>
      <c r="AG392" s="505" t="b">
        <v>0</v>
      </c>
      <c r="AH392" s="504" t="b">
        <v>0</v>
      </c>
      <c r="AI392" s="105"/>
      <c r="AJ392" s="505" t="b">
        <v>0</v>
      </c>
      <c r="AK392" s="504" t="b">
        <v>0</v>
      </c>
      <c r="AL392" s="126"/>
      <c r="AM392" s="505" t="b">
        <v>0</v>
      </c>
      <c r="AN392" s="504" t="b">
        <v>0</v>
      </c>
      <c r="AO392" s="105"/>
      <c r="AP392" s="105"/>
      <c r="AQ392" s="105"/>
      <c r="AR392" s="105"/>
      <c r="AS392" s="105"/>
      <c r="AT392" s="105"/>
      <c r="AU392" s="105"/>
      <c r="AV392" s="105"/>
      <c r="AW392" s="105"/>
      <c r="AX392" s="105"/>
      <c r="AY392" s="105"/>
      <c r="AZ392" s="105"/>
      <c r="BA392" s="105"/>
    </row>
    <row r="393">
      <c r="A393" s="105" t="str">
        <f>IFERROR(__xludf.DUMMYFUNCTION("""COMPUTED_VALUE"""),"STAND BY")</f>
        <v>STAND BY</v>
      </c>
      <c r="B393" s="105" t="str">
        <f>IFERROR(__xludf.DUMMYFUNCTION("""COMPUTED_VALUE"""),"Peter")</f>
        <v>Peter</v>
      </c>
      <c r="C393" s="506" t="str">
        <f>IFERROR(__xludf.DUMMYFUNCTION("""COMPUTED_VALUE"""),"Nathanie Hyppolite")</f>
        <v>Nathanie Hyppolite</v>
      </c>
      <c r="D393" s="506" t="str">
        <f>IFERROR(__xludf.DUMMYFUNCTION("""COMPUTED_VALUE"""),"786-512-2306")</f>
        <v>786-512-2306</v>
      </c>
      <c r="E393" s="506" t="str">
        <f>IFERROR(__xludf.DUMMYFUNCTION("""COMPUTED_VALUE"""),"nathanieh@yahoo.com ")</f>
        <v>nathanieh@yahoo.com </v>
      </c>
      <c r="F393" s="506" t="str">
        <f>IFERROR(__xludf.DUMMYFUNCTION("""COMPUTED_VALUE"""),"7624 Dilido Blvd Miramar, FL 33023")</f>
        <v>7624 Dilido Blvd Miramar, FL 33023</v>
      </c>
      <c r="G393" s="506" t="str">
        <f>IFERROR(__xludf.DUMMYFUNCTION("""COMPUTED_VALUE"""),"AWD")</f>
        <v>AWD</v>
      </c>
      <c r="H393" s="105" t="str">
        <f>IFERROR(__xludf.DUMMYFUNCTION("""COMPUTED_VALUE"""),"Reopen")</f>
        <v>Reopen</v>
      </c>
      <c r="I393" s="505" t="b">
        <v>0</v>
      </c>
      <c r="J393" s="507" t="b">
        <v>0</v>
      </c>
      <c r="K393" s="112"/>
      <c r="L393" s="505" t="b">
        <v>0</v>
      </c>
      <c r="M393" s="504" t="b">
        <v>0</v>
      </c>
      <c r="N393" s="112"/>
      <c r="O393" s="505" t="b">
        <v>0</v>
      </c>
      <c r="P393" s="504" t="b">
        <v>0</v>
      </c>
      <c r="Q393" s="116"/>
      <c r="R393" s="505" t="b">
        <v>0</v>
      </c>
      <c r="S393" s="504" t="b">
        <v>0</v>
      </c>
      <c r="T393" s="117"/>
      <c r="U393" s="505" t="b">
        <v>0</v>
      </c>
      <c r="V393" s="504" t="b">
        <v>0</v>
      </c>
      <c r="W393" s="118"/>
      <c r="X393" s="505" t="b">
        <v>0</v>
      </c>
      <c r="Y393" s="504" t="b">
        <v>0</v>
      </c>
      <c r="Z393" s="119"/>
      <c r="AA393" s="505" t="b">
        <v>0</v>
      </c>
      <c r="AB393" s="504" t="b">
        <v>0</v>
      </c>
      <c r="AC393" s="121"/>
      <c r="AD393" s="505" t="b">
        <v>0</v>
      </c>
      <c r="AE393" s="504" t="b">
        <v>0</v>
      </c>
      <c r="AF393" s="125"/>
      <c r="AG393" s="505" t="b">
        <v>0</v>
      </c>
      <c r="AH393" s="504" t="b">
        <v>0</v>
      </c>
      <c r="AI393" s="105"/>
      <c r="AJ393" s="505" t="b">
        <v>0</v>
      </c>
      <c r="AK393" s="504" t="b">
        <v>0</v>
      </c>
      <c r="AL393" s="126"/>
      <c r="AM393" s="505" t="b">
        <v>0</v>
      </c>
      <c r="AN393" s="504" t="b">
        <v>0</v>
      </c>
      <c r="AO393" s="105"/>
      <c r="AP393" s="105"/>
      <c r="AQ393" s="105"/>
      <c r="AR393" s="105"/>
      <c r="AS393" s="105"/>
      <c r="AT393" s="105"/>
      <c r="AU393" s="105"/>
      <c r="AV393" s="105"/>
      <c r="AW393" s="105"/>
      <c r="AX393" s="105"/>
      <c r="AY393" s="105"/>
      <c r="AZ393" s="105"/>
      <c r="BA393" s="105"/>
    </row>
    <row r="394">
      <c r="A394" s="105" t="str">
        <f>IFERROR(__xludf.DUMMYFUNCTION("""COMPUTED_VALUE"""),"SETTLED")</f>
        <v>SETTLED</v>
      </c>
      <c r="B394" s="105" t="str">
        <f>IFERROR(__xludf.DUMMYFUNCTION("""COMPUTED_VALUE"""),"Ivan")</f>
        <v>Ivan</v>
      </c>
      <c r="C394" s="506" t="str">
        <f>IFERROR(__xludf.DUMMYFUNCTION("""COMPUTED_VALUE"""),"Ruth Dodson")</f>
        <v>Ruth Dodson</v>
      </c>
      <c r="D394" s="506" t="str">
        <f>IFERROR(__xludf.DUMMYFUNCTION("""COMPUTED_VALUE"""),"772-812-9471")</f>
        <v>772-812-9471</v>
      </c>
      <c r="E394" s="506" t="str">
        <f>IFERROR(__xludf.DUMMYFUNCTION("""COMPUTED_VALUE"""),"rd2134mm@gmail.com")</f>
        <v>rd2134mm@gmail.com</v>
      </c>
      <c r="F394" s="506" t="str">
        <f>IFERROR(__xludf.DUMMYFUNCTION("""COMPUTED_VALUE"""),"2134 SE Carnation RD Port Saint Lucie FL 34952")</f>
        <v>2134 SE Carnation RD Port Saint Lucie FL 34952</v>
      </c>
      <c r="G394" s="506" t="str">
        <f>IFERROR(__xludf.DUMMYFUNCTION("""COMPUTED_VALUE"""),"Hurricane Milton")</f>
        <v>Hurricane Milton</v>
      </c>
      <c r="H394" s="105" t="str">
        <f>IFERROR(__xludf.DUMMYFUNCTION("""COMPUTED_VALUE"""),"New Claim")</f>
        <v>New Claim</v>
      </c>
      <c r="I394" s="505" t="b">
        <v>0</v>
      </c>
      <c r="J394" s="507" t="b">
        <v>0</v>
      </c>
      <c r="K394" s="112"/>
      <c r="L394" s="505" t="b">
        <v>0</v>
      </c>
      <c r="M394" s="504" t="b">
        <v>0</v>
      </c>
      <c r="N394" s="112"/>
      <c r="O394" s="505" t="b">
        <v>0</v>
      </c>
      <c r="P394" s="504" t="b">
        <v>0</v>
      </c>
      <c r="Q394" s="116"/>
      <c r="R394" s="505" t="b">
        <v>0</v>
      </c>
      <c r="S394" s="504" t="b">
        <v>0</v>
      </c>
      <c r="T394" s="117"/>
      <c r="U394" s="505" t="b">
        <v>0</v>
      </c>
      <c r="V394" s="504" t="b">
        <v>0</v>
      </c>
      <c r="W394" s="118"/>
      <c r="X394" s="505" t="b">
        <v>0</v>
      </c>
      <c r="Y394" s="504" t="b">
        <v>0</v>
      </c>
      <c r="Z394" s="119"/>
      <c r="AA394" s="505" t="b">
        <v>0</v>
      </c>
      <c r="AB394" s="504" t="b">
        <v>0</v>
      </c>
      <c r="AC394" s="121"/>
      <c r="AD394" s="505" t="b">
        <v>0</v>
      </c>
      <c r="AE394" s="504" t="b">
        <v>0</v>
      </c>
      <c r="AF394" s="125"/>
      <c r="AG394" s="505" t="b">
        <v>0</v>
      </c>
      <c r="AH394" s="504" t="b">
        <v>0</v>
      </c>
      <c r="AI394" s="105"/>
      <c r="AJ394" s="505" t="b">
        <v>0</v>
      </c>
      <c r="AK394" s="504" t="b">
        <v>0</v>
      </c>
      <c r="AL394" s="126"/>
      <c r="AM394" s="505" t="b">
        <v>0</v>
      </c>
      <c r="AN394" s="504" t="b">
        <v>0</v>
      </c>
      <c r="AO394" s="105"/>
      <c r="AP394" s="105"/>
      <c r="AQ394" s="105"/>
      <c r="AR394" s="105"/>
      <c r="AS394" s="105"/>
      <c r="AT394" s="105"/>
      <c r="AU394" s="105"/>
      <c r="AV394" s="105"/>
      <c r="AW394" s="105"/>
      <c r="AX394" s="105"/>
      <c r="AY394" s="105"/>
      <c r="AZ394" s="105"/>
      <c r="BA394" s="105"/>
    </row>
    <row r="395">
      <c r="A395" s="105" t="str">
        <f>IFERROR(__xludf.DUMMYFUNCTION("""COMPUTED_VALUE"""),"CLSD CLAIMS")</f>
        <v>CLSD CLAIMS</v>
      </c>
      <c r="B395" s="105" t="str">
        <f>IFERROR(__xludf.DUMMYFUNCTION("""COMPUTED_VALUE"""),"Joshua")</f>
        <v>Joshua</v>
      </c>
      <c r="C395" s="506" t="str">
        <f>IFERROR(__xludf.DUMMYFUNCTION("""COMPUTED_VALUE"""),"Tennison Hubbard ")</f>
        <v>Tennison Hubbard </v>
      </c>
      <c r="D395" s="506" t="str">
        <f>IFERROR(__xludf.DUMMYFUNCTION("""COMPUTED_VALUE"""),"703-362-2488")</f>
        <v>703-362-2488</v>
      </c>
      <c r="E395" s="506" t="str">
        <f>IFERROR(__xludf.DUMMYFUNCTION("""COMPUTED_VALUE"""),"Pianoman.hubbard@gmail.com")</f>
        <v>Pianoman.hubbard@gmail.com</v>
      </c>
      <c r="F395" s="506" t="str">
        <f>IFERROR(__xludf.DUMMYFUNCTION("""COMPUTED_VALUE"""),"9188 Cove Point Cir Boynton Beach FL 33472")</f>
        <v>9188 Cove Point Cir Boynton Beach FL 33472</v>
      </c>
      <c r="G395" s="506" t="str">
        <f>IFERROR(__xludf.DUMMYFUNCTION("""COMPUTED_VALUE"""),"Hail Storm")</f>
        <v>Hail Storm</v>
      </c>
      <c r="H395" s="105" t="str">
        <f>IFERROR(__xludf.DUMMYFUNCTION("""COMPUTED_VALUE"""),"Reopen")</f>
        <v>Reopen</v>
      </c>
      <c r="I395" s="505" t="b">
        <v>0</v>
      </c>
      <c r="J395" s="507" t="b">
        <v>0</v>
      </c>
      <c r="K395" s="112"/>
      <c r="L395" s="505" t="b">
        <v>0</v>
      </c>
      <c r="M395" s="504" t="b">
        <v>0</v>
      </c>
      <c r="N395" s="112"/>
      <c r="O395" s="505" t="b">
        <v>0</v>
      </c>
      <c r="P395" s="504" t="b">
        <v>0</v>
      </c>
      <c r="Q395" s="116"/>
      <c r="R395" s="505" t="b">
        <v>0</v>
      </c>
      <c r="S395" s="504" t="b">
        <v>0</v>
      </c>
      <c r="T395" s="117"/>
      <c r="U395" s="505" t="b">
        <v>0</v>
      </c>
      <c r="V395" s="504" t="b">
        <v>0</v>
      </c>
      <c r="W395" s="118"/>
      <c r="X395" s="505" t="b">
        <v>0</v>
      </c>
      <c r="Y395" s="504" t="b">
        <v>0</v>
      </c>
      <c r="Z395" s="119"/>
      <c r="AA395" s="505" t="b">
        <v>0</v>
      </c>
      <c r="AB395" s="504" t="b">
        <v>0</v>
      </c>
      <c r="AC395" s="121"/>
      <c r="AD395" s="505" t="b">
        <v>0</v>
      </c>
      <c r="AE395" s="504" t="b">
        <v>0</v>
      </c>
      <c r="AF395" s="125"/>
      <c r="AG395" s="505" t="b">
        <v>0</v>
      </c>
      <c r="AH395" s="504" t="b">
        <v>0</v>
      </c>
      <c r="AI395" s="105"/>
      <c r="AJ395" s="505" t="b">
        <v>0</v>
      </c>
      <c r="AK395" s="504" t="b">
        <v>0</v>
      </c>
      <c r="AL395" s="126"/>
      <c r="AM395" s="505" t="b">
        <v>0</v>
      </c>
      <c r="AN395" s="504" t="b">
        <v>0</v>
      </c>
      <c r="AO395" s="105"/>
      <c r="AP395" s="105"/>
      <c r="AQ395" s="105"/>
      <c r="AR395" s="105"/>
      <c r="AS395" s="105"/>
      <c r="AT395" s="105"/>
      <c r="AU395" s="105"/>
      <c r="AV395" s="105"/>
      <c r="AW395" s="105"/>
      <c r="AX395" s="105"/>
      <c r="AY395" s="105"/>
      <c r="AZ395" s="105"/>
      <c r="BA395" s="105"/>
    </row>
    <row r="396">
      <c r="A396" s="105" t="str">
        <f>IFERROR(__xludf.DUMMYFUNCTION("""COMPUTED_VALUE"""),"SETTLED")</f>
        <v>SETTLED</v>
      </c>
      <c r="B396" s="105" t="str">
        <f>IFERROR(__xludf.DUMMYFUNCTION("""COMPUTED_VALUE"""),"Ivan")</f>
        <v>Ivan</v>
      </c>
      <c r="C396" s="506" t="str">
        <f>IFERROR(__xludf.DUMMYFUNCTION("""COMPUTED_VALUE"""),"Rashik Adhikari")</f>
        <v>Rashik Adhikari</v>
      </c>
      <c r="D396" s="506" t="str">
        <f>IFERROR(__xludf.DUMMYFUNCTION("""COMPUTED_VALUE"""),"646-455-8555")</f>
        <v>646-455-8555</v>
      </c>
      <c r="E396" s="506" t="str">
        <f>IFERROR(__xludf.DUMMYFUNCTION("""COMPUTED_VALUE"""),"rashik.adhikari@gmail.com")</f>
        <v>rashik.adhikari@gmail.com</v>
      </c>
      <c r="F396" s="506" t="str">
        <f>IFERROR(__xludf.DUMMYFUNCTION("""COMPUTED_VALUE"""),"5104 Matanzas Ave Fort Pierce, FL 34946")</f>
        <v>5104 Matanzas Ave Fort Pierce, FL 34946</v>
      </c>
      <c r="G396" s="506" t="str">
        <f>IFERROR(__xludf.DUMMYFUNCTION("""COMPUTED_VALUE"""),"AWD")</f>
        <v>AWD</v>
      </c>
      <c r="H396" s="105" t="str">
        <f>IFERROR(__xludf.DUMMYFUNCTION("""COMPUTED_VALUE"""),"New Claim")</f>
        <v>New Claim</v>
      </c>
      <c r="I396" s="505" t="b">
        <v>0</v>
      </c>
      <c r="J396" s="507" t="b">
        <v>0</v>
      </c>
      <c r="K396" s="112"/>
      <c r="L396" s="505" t="b">
        <v>0</v>
      </c>
      <c r="M396" s="504" t="b">
        <v>0</v>
      </c>
      <c r="N396" s="112"/>
      <c r="O396" s="505" t="b">
        <v>0</v>
      </c>
      <c r="P396" s="504" t="b">
        <v>0</v>
      </c>
      <c r="Q396" s="116"/>
      <c r="R396" s="505" t="b">
        <v>0</v>
      </c>
      <c r="S396" s="504" t="b">
        <v>0</v>
      </c>
      <c r="T396" s="117"/>
      <c r="U396" s="505" t="b">
        <v>0</v>
      </c>
      <c r="V396" s="504" t="b">
        <v>0</v>
      </c>
      <c r="W396" s="118"/>
      <c r="X396" s="505" t="b">
        <v>0</v>
      </c>
      <c r="Y396" s="504" t="b">
        <v>0</v>
      </c>
      <c r="Z396" s="119"/>
      <c r="AA396" s="505" t="b">
        <v>0</v>
      </c>
      <c r="AB396" s="504" t="b">
        <v>0</v>
      </c>
      <c r="AC396" s="121"/>
      <c r="AD396" s="505" t="b">
        <v>0</v>
      </c>
      <c r="AE396" s="504" t="b">
        <v>0</v>
      </c>
      <c r="AF396" s="125"/>
      <c r="AG396" s="505" t="b">
        <v>0</v>
      </c>
      <c r="AH396" s="504" t="b">
        <v>0</v>
      </c>
      <c r="AI396" s="105"/>
      <c r="AJ396" s="505" t="b">
        <v>0</v>
      </c>
      <c r="AK396" s="504" t="b">
        <v>0</v>
      </c>
      <c r="AL396" s="126"/>
      <c r="AM396" s="505" t="b">
        <v>0</v>
      </c>
      <c r="AN396" s="504" t="b">
        <v>0</v>
      </c>
      <c r="AO396" s="105"/>
      <c r="AP396" s="105"/>
      <c r="AQ396" s="105"/>
      <c r="AR396" s="105"/>
      <c r="AS396" s="105"/>
      <c r="AT396" s="105"/>
      <c r="AU396" s="105"/>
      <c r="AV396" s="105"/>
      <c r="AW396" s="105"/>
      <c r="AX396" s="105"/>
      <c r="AY396" s="105"/>
      <c r="AZ396" s="105"/>
      <c r="BA396" s="105"/>
    </row>
    <row r="397">
      <c r="A397" s="105" t="str">
        <f>IFERROR(__xludf.DUMMYFUNCTION("""COMPUTED_VALUE"""),"CLSD CLAIMS")</f>
        <v>CLSD CLAIMS</v>
      </c>
      <c r="B397" s="105" t="str">
        <f>IFERROR(__xludf.DUMMYFUNCTION("""COMPUTED_VALUE"""),"Joshua")</f>
        <v>Joshua</v>
      </c>
      <c r="C397" s="506" t="str">
        <f>IFERROR(__xludf.DUMMYFUNCTION("""COMPUTED_VALUE"""),"Jessica Paul and Joseph Metellus")</f>
        <v>Jessica Paul and Joseph Metellus</v>
      </c>
      <c r="D397" s="506" t="str">
        <f>IFERROR(__xludf.DUMMYFUNCTION("""COMPUTED_VALUE"""),"941-681-6231")</f>
        <v>941-681-6231</v>
      </c>
      <c r="E397" s="506" t="str">
        <f>IFERROR(__xludf.DUMMYFUNCTION("""COMPUTED_VALUE"""),"josephmetellus@yahoo.com")</f>
        <v>josephmetellus@yahoo.com</v>
      </c>
      <c r="F397" s="506" t="str">
        <f>IFERROR(__xludf.DUMMYFUNCTION("""COMPUTED_VALUE"""),"418 Vine Cliff St Ruskin, FL 33570")</f>
        <v>418 Vine Cliff St Ruskin, FL 33570</v>
      </c>
      <c r="G397" s="506" t="str">
        <f>IFERROR(__xludf.DUMMYFUNCTION("""COMPUTED_VALUE"""),"AWD")</f>
        <v>AWD</v>
      </c>
      <c r="H397" s="105" t="str">
        <f>IFERROR(__xludf.DUMMYFUNCTION("""COMPUTED_VALUE"""),"New Claim")</f>
        <v>New Claim</v>
      </c>
      <c r="I397" s="505" t="b">
        <v>0</v>
      </c>
      <c r="J397" s="507" t="b">
        <v>0</v>
      </c>
      <c r="K397" s="112"/>
      <c r="L397" s="505" t="b">
        <v>0</v>
      </c>
      <c r="M397" s="504" t="b">
        <v>0</v>
      </c>
      <c r="N397" s="112"/>
      <c r="O397" s="505" t="b">
        <v>0</v>
      </c>
      <c r="P397" s="504" t="b">
        <v>0</v>
      </c>
      <c r="Q397" s="116"/>
      <c r="R397" s="505" t="b">
        <v>0</v>
      </c>
      <c r="S397" s="504" t="b">
        <v>0</v>
      </c>
      <c r="T397" s="117"/>
      <c r="U397" s="505" t="b">
        <v>0</v>
      </c>
      <c r="V397" s="504" t="b">
        <v>0</v>
      </c>
      <c r="W397" s="118"/>
      <c r="X397" s="505" t="b">
        <v>0</v>
      </c>
      <c r="Y397" s="504" t="b">
        <v>0</v>
      </c>
      <c r="Z397" s="119"/>
      <c r="AA397" s="505" t="b">
        <v>0</v>
      </c>
      <c r="AB397" s="504" t="b">
        <v>0</v>
      </c>
      <c r="AC397" s="121"/>
      <c r="AD397" s="505" t="b">
        <v>0</v>
      </c>
      <c r="AE397" s="504" t="b">
        <v>0</v>
      </c>
      <c r="AF397" s="125"/>
      <c r="AG397" s="505" t="b">
        <v>0</v>
      </c>
      <c r="AH397" s="504" t="b">
        <v>0</v>
      </c>
      <c r="AI397" s="105"/>
      <c r="AJ397" s="505" t="b">
        <v>0</v>
      </c>
      <c r="AK397" s="504" t="b">
        <v>0</v>
      </c>
      <c r="AL397" s="126"/>
      <c r="AM397" s="505" t="b">
        <v>0</v>
      </c>
      <c r="AN397" s="504" t="b">
        <v>0</v>
      </c>
      <c r="AO397" s="105"/>
      <c r="AP397" s="105"/>
      <c r="AQ397" s="105"/>
      <c r="AR397" s="105"/>
      <c r="AS397" s="105"/>
      <c r="AT397" s="105"/>
      <c r="AU397" s="105"/>
      <c r="AV397" s="105"/>
      <c r="AW397" s="105"/>
      <c r="AX397" s="105"/>
      <c r="AY397" s="105"/>
      <c r="AZ397" s="105"/>
      <c r="BA397" s="105"/>
    </row>
    <row r="398">
      <c r="A398" s="105" t="str">
        <f>IFERROR(__xludf.DUMMYFUNCTION("""COMPUTED_VALUE"""),"SETTLED")</f>
        <v>SETTLED</v>
      </c>
      <c r="B398" s="105" t="str">
        <f>IFERROR(__xludf.DUMMYFUNCTION("""COMPUTED_VALUE"""),"Joshua")</f>
        <v>Joshua</v>
      </c>
      <c r="C398" s="506" t="str">
        <f>IFERROR(__xludf.DUMMYFUNCTION("""COMPUTED_VALUE"""),"Thomas DeRiso")</f>
        <v>Thomas DeRiso</v>
      </c>
      <c r="D398" s="506" t="str">
        <f>IFERROR(__xludf.DUMMYFUNCTION("""COMPUTED_VALUE"""),"732-522-0350")</f>
        <v>732-522-0350</v>
      </c>
      <c r="E398" s="506" t="str">
        <f>IFERROR(__xludf.DUMMYFUNCTION("""COMPUTED_VALUE"""),"jb2canapa@aol.com")</f>
        <v>jb2canapa@aol.com</v>
      </c>
      <c r="F398" s="506" t="str">
        <f>IFERROR(__xludf.DUMMYFUNCTION("""COMPUTED_VALUE"""),"4462 SW Bemini Cir N, Palm City, FL 34990")</f>
        <v>4462 SW Bemini Cir N, Palm City, FL 34990</v>
      </c>
      <c r="G398" s="506" t="str">
        <f>IFERROR(__xludf.DUMMYFUNCTION("""COMPUTED_VALUE"""),"AWD")</f>
        <v>AWD</v>
      </c>
      <c r="H398" s="105" t="str">
        <f>IFERROR(__xludf.DUMMYFUNCTION("""COMPUTED_VALUE"""),"New Claim")</f>
        <v>New Claim</v>
      </c>
      <c r="I398" s="505" t="b">
        <v>0</v>
      </c>
      <c r="J398" s="507" t="b">
        <v>0</v>
      </c>
      <c r="K398" s="112"/>
      <c r="L398" s="505" t="b">
        <v>0</v>
      </c>
      <c r="M398" s="504" t="b">
        <v>0</v>
      </c>
      <c r="N398" s="112"/>
      <c r="O398" s="505" t="b">
        <v>0</v>
      </c>
      <c r="P398" s="504" t="b">
        <v>0</v>
      </c>
      <c r="Q398" s="116"/>
      <c r="R398" s="505" t="b">
        <v>0</v>
      </c>
      <c r="S398" s="504" t="b">
        <v>0</v>
      </c>
      <c r="T398" s="117"/>
      <c r="U398" s="505" t="b">
        <v>0</v>
      </c>
      <c r="V398" s="504" t="b">
        <v>0</v>
      </c>
      <c r="W398" s="118"/>
      <c r="X398" s="505" t="b">
        <v>0</v>
      </c>
      <c r="Y398" s="504" t="b">
        <v>0</v>
      </c>
      <c r="Z398" s="119"/>
      <c r="AA398" s="505" t="b">
        <v>0</v>
      </c>
      <c r="AB398" s="504" t="b">
        <v>0</v>
      </c>
      <c r="AC398" s="121"/>
      <c r="AD398" s="505" t="b">
        <v>0</v>
      </c>
      <c r="AE398" s="504" t="b">
        <v>0</v>
      </c>
      <c r="AF398" s="125"/>
      <c r="AG398" s="505" t="b">
        <v>0</v>
      </c>
      <c r="AH398" s="504" t="b">
        <v>0</v>
      </c>
      <c r="AI398" s="105"/>
      <c r="AJ398" s="505" t="b">
        <v>0</v>
      </c>
      <c r="AK398" s="504" t="b">
        <v>0</v>
      </c>
      <c r="AL398" s="126"/>
      <c r="AM398" s="505" t="b">
        <v>0</v>
      </c>
      <c r="AN398" s="504" t="b">
        <v>0</v>
      </c>
      <c r="AO398" s="105"/>
      <c r="AP398" s="105"/>
      <c r="AQ398" s="105"/>
      <c r="AR398" s="105"/>
      <c r="AS398" s="105"/>
      <c r="AT398" s="105"/>
      <c r="AU398" s="105"/>
      <c r="AV398" s="105"/>
      <c r="AW398" s="105"/>
      <c r="AX398" s="105"/>
      <c r="AY398" s="105"/>
      <c r="AZ398" s="105"/>
      <c r="BA398" s="105"/>
    </row>
    <row r="399">
      <c r="A399" s="105" t="str">
        <f>IFERROR(__xludf.DUMMYFUNCTION("""COMPUTED_VALUE"""),"NOI")</f>
        <v>NOI</v>
      </c>
      <c r="B399" s="105" t="str">
        <f>IFERROR(__xludf.DUMMYFUNCTION("""COMPUTED_VALUE"""),"Joshua")</f>
        <v>Joshua</v>
      </c>
      <c r="C399" s="506" t="str">
        <f>IFERROR(__xludf.DUMMYFUNCTION("""COMPUTED_VALUE"""),"Tennison Hubbard ")</f>
        <v>Tennison Hubbard </v>
      </c>
      <c r="D399" s="506" t="str">
        <f>IFERROR(__xludf.DUMMYFUNCTION("""COMPUTED_VALUE"""),"703-362-2488")</f>
        <v>703-362-2488</v>
      </c>
      <c r="E399" s="506" t="str">
        <f>IFERROR(__xludf.DUMMYFUNCTION("""COMPUTED_VALUE"""),"Pianoman.hubbard@gmail.com")</f>
        <v>Pianoman.hubbard@gmail.com</v>
      </c>
      <c r="F399" s="506" t="str">
        <f>IFERROR(__xludf.DUMMYFUNCTION("""COMPUTED_VALUE"""),"9188 Cove Point Cir Boynton Beach FL 33472")</f>
        <v>9188 Cove Point Cir Boynton Beach FL 33472</v>
      </c>
      <c r="G399" s="506" t="str">
        <f>IFERROR(__xludf.DUMMYFUNCTION("""COMPUTED_VALUE"""),"Windstorm")</f>
        <v>Windstorm</v>
      </c>
      <c r="H399" s="105" t="str">
        <f>IFERROR(__xludf.DUMMYFUNCTION("""COMPUTED_VALUE"""),"Reopen")</f>
        <v>Reopen</v>
      </c>
      <c r="I399" s="505" t="b">
        <v>0</v>
      </c>
      <c r="J399" s="507" t="b">
        <v>0</v>
      </c>
      <c r="K399" s="112"/>
      <c r="L399" s="505" t="b">
        <v>0</v>
      </c>
      <c r="M399" s="504" t="b">
        <v>0</v>
      </c>
      <c r="N399" s="112"/>
      <c r="O399" s="505" t="b">
        <v>0</v>
      </c>
      <c r="P399" s="504" t="b">
        <v>0</v>
      </c>
      <c r="Q399" s="116"/>
      <c r="R399" s="505" t="b">
        <v>0</v>
      </c>
      <c r="S399" s="504" t="b">
        <v>0</v>
      </c>
      <c r="T399" s="117"/>
      <c r="U399" s="505" t="b">
        <v>0</v>
      </c>
      <c r="V399" s="504" t="b">
        <v>0</v>
      </c>
      <c r="W399" s="118"/>
      <c r="X399" s="505" t="b">
        <v>0</v>
      </c>
      <c r="Y399" s="504" t="b">
        <v>0</v>
      </c>
      <c r="Z399" s="119"/>
      <c r="AA399" s="505" t="b">
        <v>0</v>
      </c>
      <c r="AB399" s="504" t="b">
        <v>0</v>
      </c>
      <c r="AC399" s="121"/>
      <c r="AD399" s="505" t="b">
        <v>0</v>
      </c>
      <c r="AE399" s="504" t="b">
        <v>0</v>
      </c>
      <c r="AF399" s="125"/>
      <c r="AG399" s="505" t="b">
        <v>0</v>
      </c>
      <c r="AH399" s="504" t="b">
        <v>0</v>
      </c>
      <c r="AI399" s="105"/>
      <c r="AJ399" s="505" t="b">
        <v>0</v>
      </c>
      <c r="AK399" s="504" t="b">
        <v>0</v>
      </c>
      <c r="AL399" s="126"/>
      <c r="AM399" s="505" t="b">
        <v>0</v>
      </c>
      <c r="AN399" s="504" t="b">
        <v>0</v>
      </c>
      <c r="AO399" s="105"/>
      <c r="AP399" s="105"/>
      <c r="AQ399" s="105"/>
      <c r="AR399" s="105"/>
      <c r="AS399" s="105"/>
      <c r="AT399" s="105"/>
      <c r="AU399" s="105"/>
      <c r="AV399" s="105"/>
      <c r="AW399" s="105"/>
      <c r="AX399" s="105"/>
      <c r="AY399" s="105"/>
      <c r="AZ399" s="105"/>
      <c r="BA399" s="105"/>
    </row>
    <row r="400">
      <c r="A400" s="105" t="str">
        <f>IFERROR(__xludf.DUMMYFUNCTION("""COMPUTED_VALUE"""),"NOI")</f>
        <v>NOI</v>
      </c>
      <c r="B400" s="105" t="str">
        <f>IFERROR(__xludf.DUMMYFUNCTION("""COMPUTED_VALUE"""),"Joshua")</f>
        <v>Joshua</v>
      </c>
      <c r="C400" s="506" t="str">
        <f>IFERROR(__xludf.DUMMYFUNCTION("""COMPUTED_VALUE"""),"Tennison Hubbard ")</f>
        <v>Tennison Hubbard </v>
      </c>
      <c r="D400" s="506" t="str">
        <f>IFERROR(__xludf.DUMMYFUNCTION("""COMPUTED_VALUE"""),"703-362-2488")</f>
        <v>703-362-2488</v>
      </c>
      <c r="E400" s="506" t="str">
        <f>IFERROR(__xludf.DUMMYFUNCTION("""COMPUTED_VALUE"""),"Pianoman.hubbard@gmail.com")</f>
        <v>Pianoman.hubbard@gmail.com</v>
      </c>
      <c r="F400" s="506" t="str">
        <f>IFERROR(__xludf.DUMMYFUNCTION("""COMPUTED_VALUE"""),"9188 Cove Point Cir Boynton Beach FL 33472")</f>
        <v>9188 Cove Point Cir Boynton Beach FL 33472</v>
      </c>
      <c r="G400" s="506" t="str">
        <f>IFERROR(__xludf.DUMMYFUNCTION("""COMPUTED_VALUE"""),"Windstorm")</f>
        <v>Windstorm</v>
      </c>
      <c r="H400" s="105" t="str">
        <f>IFERROR(__xludf.DUMMYFUNCTION("""COMPUTED_VALUE"""),"Reopen")</f>
        <v>Reopen</v>
      </c>
      <c r="I400" s="505" t="b">
        <v>0</v>
      </c>
      <c r="J400" s="507" t="b">
        <v>0</v>
      </c>
      <c r="K400" s="112"/>
      <c r="L400" s="505" t="b">
        <v>0</v>
      </c>
      <c r="M400" s="504" t="b">
        <v>0</v>
      </c>
      <c r="N400" s="112"/>
      <c r="O400" s="505" t="b">
        <v>0</v>
      </c>
      <c r="P400" s="504" t="b">
        <v>0</v>
      </c>
      <c r="Q400" s="116"/>
      <c r="R400" s="505" t="b">
        <v>0</v>
      </c>
      <c r="S400" s="504" t="b">
        <v>0</v>
      </c>
      <c r="T400" s="117"/>
      <c r="U400" s="505" t="b">
        <v>0</v>
      </c>
      <c r="V400" s="504" t="b">
        <v>0</v>
      </c>
      <c r="W400" s="118"/>
      <c r="X400" s="505" t="b">
        <v>0</v>
      </c>
      <c r="Y400" s="504" t="b">
        <v>0</v>
      </c>
      <c r="Z400" s="119"/>
      <c r="AA400" s="505" t="b">
        <v>0</v>
      </c>
      <c r="AB400" s="504" t="b">
        <v>0</v>
      </c>
      <c r="AC400" s="121"/>
      <c r="AD400" s="505" t="b">
        <v>0</v>
      </c>
      <c r="AE400" s="504" t="b">
        <v>0</v>
      </c>
      <c r="AF400" s="125"/>
      <c r="AG400" s="505" t="b">
        <v>0</v>
      </c>
      <c r="AH400" s="504" t="b">
        <v>0</v>
      </c>
      <c r="AI400" s="105"/>
      <c r="AJ400" s="505" t="b">
        <v>0</v>
      </c>
      <c r="AK400" s="504" t="b">
        <v>0</v>
      </c>
      <c r="AL400" s="126"/>
      <c r="AM400" s="505" t="b">
        <v>0</v>
      </c>
      <c r="AN400" s="504" t="b">
        <v>0</v>
      </c>
      <c r="AO400" s="105"/>
      <c r="AP400" s="105"/>
      <c r="AQ400" s="105"/>
      <c r="AR400" s="105"/>
      <c r="AS400" s="105"/>
      <c r="AT400" s="105"/>
      <c r="AU400" s="105"/>
      <c r="AV400" s="105"/>
      <c r="AW400" s="105"/>
      <c r="AX400" s="105"/>
      <c r="AY400" s="105"/>
      <c r="AZ400" s="105"/>
      <c r="BA400" s="105"/>
    </row>
    <row r="401">
      <c r="A401" s="105" t="str">
        <f>IFERROR(__xludf.DUMMYFUNCTION("""COMPUTED_VALUE"""),"NOI")</f>
        <v>NOI</v>
      </c>
      <c r="B401" s="105" t="str">
        <f>IFERROR(__xludf.DUMMYFUNCTION("""COMPUTED_VALUE"""),"Ivan")</f>
        <v>Ivan</v>
      </c>
      <c r="C401" s="506" t="str">
        <f>IFERROR(__xludf.DUMMYFUNCTION("""COMPUTED_VALUE"""),"Elizabeth Lopez")</f>
        <v>Elizabeth Lopez</v>
      </c>
      <c r="D401" s="506" t="str">
        <f>IFERROR(__xludf.DUMMYFUNCTION("""COMPUTED_VALUE"""),"(305) 322-0113")</f>
        <v>(305) 322-0113</v>
      </c>
      <c r="E401" s="506" t="str">
        <f>IFERROR(__xludf.DUMMYFUNCTION("""COMPUTED_VALUE"""),"lizzylopez928@yahoo.com")</f>
        <v>lizzylopez928@yahoo.com</v>
      </c>
      <c r="F401" s="506" t="str">
        <f>IFERROR(__xludf.DUMMYFUNCTION("""COMPUTED_VALUE"""),"14451 SW 160th CT Miami, FL 33196-6432")</f>
        <v>14451 SW 160th CT Miami, FL 33196-6432</v>
      </c>
      <c r="G401" s="506" t="str">
        <f>IFERROR(__xludf.DUMMYFUNCTION("""COMPUTED_VALUE"""),"Plumbing Leak")</f>
        <v>Plumbing Leak</v>
      </c>
      <c r="H401" s="105" t="str">
        <f>IFERROR(__xludf.DUMMYFUNCTION("""COMPUTED_VALUE"""),"New Claim")</f>
        <v>New Claim</v>
      </c>
      <c r="I401" s="505" t="b">
        <v>0</v>
      </c>
      <c r="J401" s="507" t="b">
        <v>0</v>
      </c>
      <c r="K401" s="112"/>
      <c r="L401" s="505" t="b">
        <v>0</v>
      </c>
      <c r="M401" s="504" t="b">
        <v>0</v>
      </c>
      <c r="N401" s="112"/>
      <c r="O401" s="505" t="b">
        <v>0</v>
      </c>
      <c r="P401" s="504" t="b">
        <v>0</v>
      </c>
      <c r="Q401" s="116"/>
      <c r="R401" s="505" t="b">
        <v>0</v>
      </c>
      <c r="S401" s="504" t="b">
        <v>0</v>
      </c>
      <c r="T401" s="117"/>
      <c r="U401" s="505" t="b">
        <v>0</v>
      </c>
      <c r="V401" s="504" t="b">
        <v>0</v>
      </c>
      <c r="W401" s="118"/>
      <c r="X401" s="505" t="b">
        <v>0</v>
      </c>
      <c r="Y401" s="504" t="b">
        <v>0</v>
      </c>
      <c r="Z401" s="119"/>
      <c r="AA401" s="505" t="b">
        <v>0</v>
      </c>
      <c r="AB401" s="504" t="b">
        <v>0</v>
      </c>
      <c r="AC401" s="121"/>
      <c r="AD401" s="505" t="b">
        <v>0</v>
      </c>
      <c r="AE401" s="504" t="b">
        <v>0</v>
      </c>
      <c r="AF401" s="125"/>
      <c r="AG401" s="505" t="b">
        <v>0</v>
      </c>
      <c r="AH401" s="504" t="b">
        <v>0</v>
      </c>
      <c r="AI401" s="105"/>
      <c r="AJ401" s="505" t="b">
        <v>0</v>
      </c>
      <c r="AK401" s="504" t="b">
        <v>0</v>
      </c>
      <c r="AL401" s="126"/>
      <c r="AM401" s="505" t="b">
        <v>0</v>
      </c>
      <c r="AN401" s="504" t="b">
        <v>0</v>
      </c>
      <c r="AO401" s="105"/>
      <c r="AP401" s="105"/>
      <c r="AQ401" s="105"/>
      <c r="AR401" s="105"/>
      <c r="AS401" s="105"/>
      <c r="AT401" s="105"/>
      <c r="AU401" s="105"/>
      <c r="AV401" s="105"/>
      <c r="AW401" s="105"/>
      <c r="AX401" s="105"/>
      <c r="AY401" s="105"/>
      <c r="AZ401" s="105"/>
      <c r="BA401" s="105"/>
    </row>
    <row r="402">
      <c r="A402" s="105" t="str">
        <f>IFERROR(__xludf.DUMMYFUNCTION("""COMPUTED_VALUE"""),"SETTLED")</f>
        <v>SETTLED</v>
      </c>
      <c r="B402" s="105" t="str">
        <f>IFERROR(__xludf.DUMMYFUNCTION("""COMPUTED_VALUE"""),"Ivan")</f>
        <v>Ivan</v>
      </c>
      <c r="C402" s="506" t="str">
        <f>IFERROR(__xludf.DUMMYFUNCTION("""COMPUTED_VALUE"""),"Anabel Sanchez Acosta &amp; Danny Batista")</f>
        <v>Anabel Sanchez Acosta &amp; Danny Batista</v>
      </c>
      <c r="D402" s="506" t="str">
        <f>IFERROR(__xludf.DUMMYFUNCTION("""COMPUTED_VALUE"""),"210-324-9706")</f>
        <v>210-324-9706</v>
      </c>
      <c r="E402" s="506" t="str">
        <f>IFERROR(__xludf.DUMMYFUNCTION("""COMPUTED_VALUE"""),"anabel.sa95@gmail.com")</f>
        <v>anabel.sa95@gmail.com</v>
      </c>
      <c r="F402" s="506" t="str">
        <f>IFERROR(__xludf.DUMMYFUNCTION("""COMPUTED_VALUE"""),"2353 SW 130th Ter Miramar, FL 33027")</f>
        <v>2353 SW 130th Ter Miramar, FL 33027</v>
      </c>
      <c r="G402" s="506" t="str">
        <f>IFERROR(__xludf.DUMMYFUNCTION("""COMPUTED_VALUE"""),"Plumbing Leak")</f>
        <v>Plumbing Leak</v>
      </c>
      <c r="H402" s="105" t="str">
        <f>IFERROR(__xludf.DUMMYFUNCTION("""COMPUTED_VALUE"""),"New Claim")</f>
        <v>New Claim</v>
      </c>
      <c r="I402" s="505" t="b">
        <v>0</v>
      </c>
      <c r="J402" s="507" t="b">
        <v>0</v>
      </c>
      <c r="K402" s="112"/>
      <c r="L402" s="505" t="b">
        <v>0</v>
      </c>
      <c r="M402" s="504" t="b">
        <v>0</v>
      </c>
      <c r="N402" s="112"/>
      <c r="O402" s="505" t="b">
        <v>0</v>
      </c>
      <c r="P402" s="504" t="b">
        <v>0</v>
      </c>
      <c r="Q402" s="116"/>
      <c r="R402" s="505" t="b">
        <v>0</v>
      </c>
      <c r="S402" s="504" t="b">
        <v>0</v>
      </c>
      <c r="T402" s="117"/>
      <c r="U402" s="505" t="b">
        <v>0</v>
      </c>
      <c r="V402" s="504" t="b">
        <v>0</v>
      </c>
      <c r="W402" s="118"/>
      <c r="X402" s="505" t="b">
        <v>0</v>
      </c>
      <c r="Y402" s="504" t="b">
        <v>0</v>
      </c>
      <c r="Z402" s="119"/>
      <c r="AA402" s="505" t="b">
        <v>0</v>
      </c>
      <c r="AB402" s="504" t="b">
        <v>0</v>
      </c>
      <c r="AC402" s="121"/>
      <c r="AD402" s="505" t="b">
        <v>0</v>
      </c>
      <c r="AE402" s="504" t="b">
        <v>0</v>
      </c>
      <c r="AF402" s="125"/>
      <c r="AG402" s="505" t="b">
        <v>0</v>
      </c>
      <c r="AH402" s="504" t="b">
        <v>0</v>
      </c>
      <c r="AI402" s="105"/>
      <c r="AJ402" s="505" t="b">
        <v>0</v>
      </c>
      <c r="AK402" s="504" t="b">
        <v>0</v>
      </c>
      <c r="AL402" s="126"/>
      <c r="AM402" s="505" t="b">
        <v>0</v>
      </c>
      <c r="AN402" s="504" t="b">
        <v>0</v>
      </c>
      <c r="AO402" s="105"/>
      <c r="AP402" s="105"/>
      <c r="AQ402" s="105"/>
      <c r="AR402" s="105"/>
      <c r="AS402" s="105"/>
      <c r="AT402" s="105"/>
      <c r="AU402" s="105"/>
      <c r="AV402" s="105"/>
      <c r="AW402" s="105"/>
      <c r="AX402" s="105"/>
      <c r="AY402" s="105"/>
      <c r="AZ402" s="105"/>
      <c r="BA402" s="105"/>
    </row>
    <row r="403">
      <c r="A403" s="105" t="str">
        <f>IFERROR(__xludf.DUMMYFUNCTION("""COMPUTED_VALUE"""),"CLSD CLAIMS")</f>
        <v>CLSD CLAIMS</v>
      </c>
      <c r="B403" s="105" t="str">
        <f>IFERROR(__xludf.DUMMYFUNCTION("""COMPUTED_VALUE"""),"Ivan")</f>
        <v>Ivan</v>
      </c>
      <c r="C403" s="506" t="str">
        <f>IFERROR(__xludf.DUMMYFUNCTION("""COMPUTED_VALUE"""),"Jose Medina Romero &amp; Melissa Perez Rodriguez ")</f>
        <v>Jose Medina Romero &amp; Melissa Perez Rodriguez </v>
      </c>
      <c r="D403" s="506" t="str">
        <f>IFERROR(__xludf.DUMMYFUNCTION("""COMPUTED_VALUE"""),"817-703-4150")</f>
        <v>817-703-4150</v>
      </c>
      <c r="E403" s="506" t="str">
        <f>IFERROR(__xludf.DUMMYFUNCTION("""COMPUTED_VALUE"""),"jose.medina993@gmail.com")</f>
        <v>jose.medina993@gmail.com</v>
      </c>
      <c r="F403" s="506" t="str">
        <f>IFERROR(__xludf.DUMMYFUNCTION("""COMPUTED_VALUE"""),"2142 SE Holland St Port St Lucie, FL 34952 ")</f>
        <v>2142 SE Holland St Port St Lucie, FL 34952 </v>
      </c>
      <c r="G403" s="506" t="str">
        <f>IFERROR(__xludf.DUMMYFUNCTION("""COMPUTED_VALUE"""),"Plumbing Leak")</f>
        <v>Plumbing Leak</v>
      </c>
      <c r="H403" s="105" t="str">
        <f>IFERROR(__xludf.DUMMYFUNCTION("""COMPUTED_VALUE"""),"Reopen")</f>
        <v>Reopen</v>
      </c>
      <c r="I403" s="505" t="b">
        <v>0</v>
      </c>
      <c r="J403" s="507" t="b">
        <v>0</v>
      </c>
      <c r="K403" s="112"/>
      <c r="L403" s="505" t="b">
        <v>0</v>
      </c>
      <c r="M403" s="504" t="b">
        <v>0</v>
      </c>
      <c r="N403" s="112"/>
      <c r="O403" s="505" t="b">
        <v>0</v>
      </c>
      <c r="P403" s="504" t="b">
        <v>0</v>
      </c>
      <c r="Q403" s="116"/>
      <c r="R403" s="505" t="b">
        <v>0</v>
      </c>
      <c r="S403" s="504" t="b">
        <v>0</v>
      </c>
      <c r="T403" s="117"/>
      <c r="U403" s="505" t="b">
        <v>0</v>
      </c>
      <c r="V403" s="504" t="b">
        <v>0</v>
      </c>
      <c r="W403" s="118"/>
      <c r="X403" s="505" t="b">
        <v>0</v>
      </c>
      <c r="Y403" s="504" t="b">
        <v>0</v>
      </c>
      <c r="Z403" s="119"/>
      <c r="AA403" s="505" t="b">
        <v>0</v>
      </c>
      <c r="AB403" s="504" t="b">
        <v>0</v>
      </c>
      <c r="AC403" s="121"/>
      <c r="AD403" s="505" t="b">
        <v>0</v>
      </c>
      <c r="AE403" s="504" t="b">
        <v>0</v>
      </c>
      <c r="AF403" s="125"/>
      <c r="AG403" s="505" t="b">
        <v>0</v>
      </c>
      <c r="AH403" s="504" t="b">
        <v>0</v>
      </c>
      <c r="AI403" s="105"/>
      <c r="AJ403" s="505" t="b">
        <v>0</v>
      </c>
      <c r="AK403" s="504" t="b">
        <v>0</v>
      </c>
      <c r="AL403" s="126"/>
      <c r="AM403" s="505" t="b">
        <v>0</v>
      </c>
      <c r="AN403" s="504" t="b">
        <v>0</v>
      </c>
      <c r="AO403" s="105"/>
      <c r="AP403" s="105"/>
      <c r="AQ403" s="105"/>
      <c r="AR403" s="105"/>
      <c r="AS403" s="105"/>
      <c r="AT403" s="105"/>
      <c r="AU403" s="105"/>
      <c r="AV403" s="105"/>
      <c r="AW403" s="105"/>
      <c r="AX403" s="105"/>
      <c r="AY403" s="105"/>
      <c r="AZ403" s="105"/>
      <c r="BA403" s="105"/>
    </row>
    <row r="404">
      <c r="A404" s="105" t="str">
        <f>IFERROR(__xludf.DUMMYFUNCTION("""COMPUTED_VALUE"""),"SETTLED")</f>
        <v>SETTLED</v>
      </c>
      <c r="B404" s="105" t="str">
        <f>IFERROR(__xludf.DUMMYFUNCTION("""COMPUTED_VALUE"""),"Peter")</f>
        <v>Peter</v>
      </c>
      <c r="C404" s="506" t="str">
        <f>IFERROR(__xludf.DUMMYFUNCTION("""COMPUTED_VALUE"""),"Erika Betancourt &amp; Jose Montenegro")</f>
        <v>Erika Betancourt &amp; Jose Montenegro</v>
      </c>
      <c r="D404" s="506" t="str">
        <f>IFERROR(__xludf.DUMMYFUNCTION("""COMPUTED_VALUE"""),"786-282-9529")</f>
        <v>786-282-9529</v>
      </c>
      <c r="E404" s="506" t="str">
        <f>IFERROR(__xludf.DUMMYFUNCTION("""COMPUTED_VALUE"""),"ebeta@bellsouth.net ")</f>
        <v>ebeta@bellsouth.net </v>
      </c>
      <c r="F404" s="506" t="str">
        <f>IFERROR(__xludf.DUMMYFUNCTION("""COMPUTED_VALUE"""),"3541 sw 127th ave Miami, FL 33175 ")</f>
        <v>3541 sw 127th ave Miami, FL 33175 </v>
      </c>
      <c r="G404" s="506" t="str">
        <f>IFERROR(__xludf.DUMMYFUNCTION("""COMPUTED_VALUE"""),"AWD")</f>
        <v>AWD</v>
      </c>
      <c r="H404" s="105" t="str">
        <f>IFERROR(__xludf.DUMMYFUNCTION("""COMPUTED_VALUE"""),"New Claim")</f>
        <v>New Claim</v>
      </c>
      <c r="I404" s="505" t="b">
        <v>0</v>
      </c>
      <c r="J404" s="507" t="b">
        <v>0</v>
      </c>
      <c r="K404" s="112"/>
      <c r="L404" s="505" t="b">
        <v>0</v>
      </c>
      <c r="M404" s="504" t="b">
        <v>0</v>
      </c>
      <c r="N404" s="112"/>
      <c r="O404" s="505" t="b">
        <v>0</v>
      </c>
      <c r="P404" s="504" t="b">
        <v>0</v>
      </c>
      <c r="Q404" s="116"/>
      <c r="R404" s="505" t="b">
        <v>0</v>
      </c>
      <c r="S404" s="504" t="b">
        <v>0</v>
      </c>
      <c r="T404" s="117"/>
      <c r="U404" s="505" t="b">
        <v>0</v>
      </c>
      <c r="V404" s="504" t="b">
        <v>0</v>
      </c>
      <c r="W404" s="118"/>
      <c r="X404" s="505" t="b">
        <v>0</v>
      </c>
      <c r="Y404" s="504" t="b">
        <v>0</v>
      </c>
      <c r="Z404" s="119"/>
      <c r="AA404" s="505" t="b">
        <v>0</v>
      </c>
      <c r="AB404" s="504" t="b">
        <v>0</v>
      </c>
      <c r="AC404" s="121"/>
      <c r="AD404" s="505" t="b">
        <v>0</v>
      </c>
      <c r="AE404" s="504" t="b">
        <v>0</v>
      </c>
      <c r="AF404" s="125"/>
      <c r="AG404" s="505" t="b">
        <v>0</v>
      </c>
      <c r="AH404" s="504" t="b">
        <v>0</v>
      </c>
      <c r="AI404" s="105"/>
      <c r="AJ404" s="505" t="b">
        <v>0</v>
      </c>
      <c r="AK404" s="504" t="b">
        <v>0</v>
      </c>
      <c r="AL404" s="126"/>
      <c r="AM404" s="505" t="b">
        <v>0</v>
      </c>
      <c r="AN404" s="504" t="b">
        <v>0</v>
      </c>
      <c r="AO404" s="105"/>
      <c r="AP404" s="105"/>
      <c r="AQ404" s="105"/>
      <c r="AR404" s="105"/>
      <c r="AS404" s="105"/>
      <c r="AT404" s="105"/>
      <c r="AU404" s="105"/>
      <c r="AV404" s="105"/>
      <c r="AW404" s="105"/>
      <c r="AX404" s="105"/>
      <c r="AY404" s="105"/>
      <c r="AZ404" s="105"/>
      <c r="BA404" s="105"/>
    </row>
    <row r="405">
      <c r="A405" s="105" t="str">
        <f>IFERROR(__xludf.DUMMYFUNCTION("""COMPUTED_VALUE"""),"LITIGATION")</f>
        <v>LITIGATION</v>
      </c>
      <c r="B405" s="105" t="str">
        <f>IFERROR(__xludf.DUMMYFUNCTION("""COMPUTED_VALUE"""),"Ivan")</f>
        <v>Ivan</v>
      </c>
      <c r="C405" s="506" t="str">
        <f>IFERROR(__xludf.DUMMYFUNCTION("""COMPUTED_VALUE"""),"Jerry &amp; Suzy Comellas")</f>
        <v>Jerry &amp; Suzy Comellas</v>
      </c>
      <c r="D405" s="506" t="str">
        <f>IFERROR(__xludf.DUMMYFUNCTION("""COMPUTED_VALUE"""),"813-408-3996")</f>
        <v>813-408-3996</v>
      </c>
      <c r="E405" s="506" t="str">
        <f>IFERROR(__xludf.DUMMYFUNCTION("""COMPUTED_VALUE"""),"suzy1213@yahoo.com ")</f>
        <v>suzy1213@yahoo.com </v>
      </c>
      <c r="F405" s="506" t="str">
        <f>IFERROR(__xludf.DUMMYFUNCTION("""COMPUTED_VALUE"""),"18301 Timberlan DR Lutz, FL 33549")</f>
        <v>18301 Timberlan DR Lutz, FL 33549</v>
      </c>
      <c r="G405" s="506" t="str">
        <f>IFERROR(__xludf.DUMMYFUNCTION("""COMPUTED_VALUE"""),"AWD")</f>
        <v>AWD</v>
      </c>
      <c r="H405" s="105" t="str">
        <f>IFERROR(__xludf.DUMMYFUNCTION("""COMPUTED_VALUE"""),"New Claim")</f>
        <v>New Claim</v>
      </c>
      <c r="I405" s="505" t="b">
        <v>0</v>
      </c>
      <c r="J405" s="507" t="b">
        <v>0</v>
      </c>
      <c r="K405" s="112"/>
      <c r="L405" s="505" t="b">
        <v>0</v>
      </c>
      <c r="M405" s="504" t="b">
        <v>0</v>
      </c>
      <c r="N405" s="112"/>
      <c r="O405" s="505" t="b">
        <v>0</v>
      </c>
      <c r="P405" s="504" t="b">
        <v>0</v>
      </c>
      <c r="Q405" s="116"/>
      <c r="R405" s="505" t="b">
        <v>0</v>
      </c>
      <c r="S405" s="504" t="b">
        <v>0</v>
      </c>
      <c r="T405" s="117"/>
      <c r="U405" s="505" t="b">
        <v>0</v>
      </c>
      <c r="V405" s="504" t="b">
        <v>0</v>
      </c>
      <c r="W405" s="118"/>
      <c r="X405" s="505" t="b">
        <v>0</v>
      </c>
      <c r="Y405" s="504" t="b">
        <v>0</v>
      </c>
      <c r="Z405" s="119"/>
      <c r="AA405" s="505" t="b">
        <v>0</v>
      </c>
      <c r="AB405" s="504" t="b">
        <v>0</v>
      </c>
      <c r="AC405" s="121"/>
      <c r="AD405" s="505" t="b">
        <v>0</v>
      </c>
      <c r="AE405" s="504" t="b">
        <v>0</v>
      </c>
      <c r="AF405" s="125"/>
      <c r="AG405" s="505" t="b">
        <v>0</v>
      </c>
      <c r="AH405" s="504" t="b">
        <v>0</v>
      </c>
      <c r="AI405" s="105"/>
      <c r="AJ405" s="505" t="b">
        <v>0</v>
      </c>
      <c r="AK405" s="504" t="b">
        <v>0</v>
      </c>
      <c r="AL405" s="126"/>
      <c r="AM405" s="505" t="b">
        <v>0</v>
      </c>
      <c r="AN405" s="504" t="b">
        <v>0</v>
      </c>
      <c r="AO405" s="105"/>
      <c r="AP405" s="105"/>
      <c r="AQ405" s="105"/>
      <c r="AR405" s="105"/>
      <c r="AS405" s="105"/>
      <c r="AT405" s="105"/>
      <c r="AU405" s="105"/>
      <c r="AV405" s="105"/>
      <c r="AW405" s="105"/>
      <c r="AX405" s="105"/>
      <c r="AY405" s="105"/>
      <c r="AZ405" s="105"/>
      <c r="BA405" s="105"/>
    </row>
    <row r="406">
      <c r="A406" s="105" t="str">
        <f>IFERROR(__xludf.DUMMYFUNCTION("""COMPUTED_VALUE"""),"CLSD CLAIMS")</f>
        <v>CLSD CLAIMS</v>
      </c>
      <c r="B406" s="105" t="str">
        <f>IFERROR(__xludf.DUMMYFUNCTION("""COMPUTED_VALUE"""),"Joshua")</f>
        <v>Joshua</v>
      </c>
      <c r="C406" s="506" t="str">
        <f>IFERROR(__xludf.DUMMYFUNCTION("""COMPUTED_VALUE"""),"Michelle Fletcher")</f>
        <v>Michelle Fletcher</v>
      </c>
      <c r="D406" s="506" t="str">
        <f>IFERROR(__xludf.DUMMYFUNCTION("""COMPUTED_VALUE"""),"917-340-8445")</f>
        <v>917-340-8445</v>
      </c>
      <c r="E406" s="105" t="str">
        <f>IFERROR(__xludf.DUMMYFUNCTION("""COMPUTED_VALUE"""),"fletcher.92@gmail.com")</f>
        <v>fletcher.92@gmail.com</v>
      </c>
      <c r="F406" s="506" t="str">
        <f>IFERROR(__xludf.DUMMYFUNCTION("""COMPUTED_VALUE"""),"10956 Brickside Ct Riverview, FL 33579")</f>
        <v>10956 Brickside Ct Riverview, FL 33579</v>
      </c>
      <c r="G406" s="506" t="str">
        <f>IFERROR(__xludf.DUMMYFUNCTION("""COMPUTED_VALUE"""),"AWD")</f>
        <v>AWD</v>
      </c>
      <c r="H406" s="105" t="str">
        <f>IFERROR(__xludf.DUMMYFUNCTION("""COMPUTED_VALUE"""),"Reopen")</f>
        <v>Reopen</v>
      </c>
      <c r="I406" s="505" t="b">
        <v>0</v>
      </c>
      <c r="J406" s="507" t="b">
        <v>0</v>
      </c>
      <c r="K406" s="112"/>
      <c r="L406" s="505" t="b">
        <v>0</v>
      </c>
      <c r="M406" s="504" t="b">
        <v>0</v>
      </c>
      <c r="N406" s="112"/>
      <c r="O406" s="505" t="b">
        <v>0</v>
      </c>
      <c r="P406" s="504" t="b">
        <v>0</v>
      </c>
      <c r="Q406" s="116"/>
      <c r="R406" s="505" t="b">
        <v>0</v>
      </c>
      <c r="S406" s="504" t="b">
        <v>0</v>
      </c>
      <c r="T406" s="117"/>
      <c r="U406" s="505" t="b">
        <v>0</v>
      </c>
      <c r="V406" s="504" t="b">
        <v>0</v>
      </c>
      <c r="W406" s="118"/>
      <c r="X406" s="505" t="b">
        <v>0</v>
      </c>
      <c r="Y406" s="504" t="b">
        <v>0</v>
      </c>
      <c r="Z406" s="119"/>
      <c r="AA406" s="505" t="b">
        <v>0</v>
      </c>
      <c r="AB406" s="504" t="b">
        <v>0</v>
      </c>
      <c r="AC406" s="121"/>
      <c r="AD406" s="505" t="b">
        <v>0</v>
      </c>
      <c r="AE406" s="504" t="b">
        <v>0</v>
      </c>
      <c r="AF406" s="125"/>
      <c r="AG406" s="505" t="b">
        <v>0</v>
      </c>
      <c r="AH406" s="504" t="b">
        <v>0</v>
      </c>
      <c r="AI406" s="105"/>
      <c r="AJ406" s="505" t="b">
        <v>0</v>
      </c>
      <c r="AK406" s="504" t="b">
        <v>0</v>
      </c>
      <c r="AL406" s="126"/>
      <c r="AM406" s="505" t="b">
        <v>0</v>
      </c>
      <c r="AN406" s="504" t="b">
        <v>0</v>
      </c>
      <c r="AO406" s="105"/>
      <c r="AP406" s="105"/>
      <c r="AQ406" s="105"/>
      <c r="AR406" s="105"/>
      <c r="AS406" s="105"/>
      <c r="AT406" s="105"/>
      <c r="AU406" s="105"/>
      <c r="AV406" s="105"/>
      <c r="AW406" s="105"/>
      <c r="AX406" s="105"/>
      <c r="AY406" s="105"/>
      <c r="AZ406" s="105"/>
      <c r="BA406" s="105"/>
    </row>
    <row r="407">
      <c r="A407" s="105" t="str">
        <f>IFERROR(__xludf.DUMMYFUNCTION("""COMPUTED_VALUE"""),"SETTLED")</f>
        <v>SETTLED</v>
      </c>
      <c r="B407" s="105" t="str">
        <f>IFERROR(__xludf.DUMMYFUNCTION("""COMPUTED_VALUE"""),"Ivan")</f>
        <v>Ivan</v>
      </c>
      <c r="C407" s="506" t="str">
        <f>IFERROR(__xludf.DUMMYFUNCTION("""COMPUTED_VALUE"""),"Anabel Sanchez Acosta &amp; Danny Batista")</f>
        <v>Anabel Sanchez Acosta &amp; Danny Batista</v>
      </c>
      <c r="D407" s="506" t="str">
        <f>IFERROR(__xludf.DUMMYFUNCTION("""COMPUTED_VALUE"""),"210-324-9706")</f>
        <v>210-324-9706</v>
      </c>
      <c r="E407" s="506" t="str">
        <f>IFERROR(__xludf.DUMMYFUNCTION("""COMPUTED_VALUE"""),"anabel.sa95@gmail.com")</f>
        <v>anabel.sa95@gmail.com</v>
      </c>
      <c r="F407" s="506" t="str">
        <f>IFERROR(__xludf.DUMMYFUNCTION("""COMPUTED_VALUE"""),"2353 SW 130TH Ter Miramar, FL 33027")</f>
        <v>2353 SW 130TH Ter Miramar, FL 33027</v>
      </c>
      <c r="G407" s="506" t="str">
        <f>IFERROR(__xludf.DUMMYFUNCTION("""COMPUTED_VALUE"""),"AWD Kitchen")</f>
        <v>AWD Kitchen</v>
      </c>
      <c r="H407" s="105" t="str">
        <f>IFERROR(__xludf.DUMMYFUNCTION("""COMPUTED_VALUE"""),"New Claim")</f>
        <v>New Claim</v>
      </c>
      <c r="I407" s="505" t="b">
        <v>0</v>
      </c>
      <c r="J407" s="507" t="b">
        <v>0</v>
      </c>
      <c r="K407" s="112"/>
      <c r="L407" s="505" t="b">
        <v>0</v>
      </c>
      <c r="M407" s="504" t="b">
        <v>0</v>
      </c>
      <c r="N407" s="112"/>
      <c r="O407" s="505" t="b">
        <v>0</v>
      </c>
      <c r="P407" s="504" t="b">
        <v>0</v>
      </c>
      <c r="Q407" s="116"/>
      <c r="R407" s="505" t="b">
        <v>0</v>
      </c>
      <c r="S407" s="504" t="b">
        <v>0</v>
      </c>
      <c r="T407" s="117"/>
      <c r="U407" s="505" t="b">
        <v>0</v>
      </c>
      <c r="V407" s="504" t="b">
        <v>0</v>
      </c>
      <c r="W407" s="118"/>
      <c r="X407" s="505" t="b">
        <v>0</v>
      </c>
      <c r="Y407" s="504" t="b">
        <v>0</v>
      </c>
      <c r="Z407" s="119"/>
      <c r="AA407" s="505" t="b">
        <v>0</v>
      </c>
      <c r="AB407" s="504" t="b">
        <v>0</v>
      </c>
      <c r="AC407" s="121"/>
      <c r="AD407" s="505" t="b">
        <v>0</v>
      </c>
      <c r="AE407" s="504" t="b">
        <v>0</v>
      </c>
      <c r="AF407" s="125"/>
      <c r="AG407" s="505" t="b">
        <v>0</v>
      </c>
      <c r="AH407" s="504" t="b">
        <v>0</v>
      </c>
      <c r="AI407" s="105"/>
      <c r="AJ407" s="505" t="b">
        <v>0</v>
      </c>
      <c r="AK407" s="504" t="b">
        <v>0</v>
      </c>
      <c r="AL407" s="126"/>
      <c r="AM407" s="505" t="b">
        <v>0</v>
      </c>
      <c r="AN407" s="504" t="b">
        <v>0</v>
      </c>
      <c r="AO407" s="105"/>
      <c r="AP407" s="105"/>
      <c r="AQ407" s="105"/>
      <c r="AR407" s="105"/>
      <c r="AS407" s="105"/>
      <c r="AT407" s="105"/>
      <c r="AU407" s="105"/>
      <c r="AV407" s="105"/>
      <c r="AW407" s="105"/>
      <c r="AX407" s="105"/>
      <c r="AY407" s="105"/>
      <c r="AZ407" s="105"/>
      <c r="BA407" s="105"/>
    </row>
    <row r="408">
      <c r="A408" s="105" t="str">
        <f>IFERROR(__xludf.DUMMYFUNCTION("""COMPUTED_VALUE"""),"STAND BY")</f>
        <v>STAND BY</v>
      </c>
      <c r="B408" s="105" t="str">
        <f>IFERROR(__xludf.DUMMYFUNCTION("""COMPUTED_VALUE"""),"Ivan")</f>
        <v>Ivan</v>
      </c>
      <c r="C408" s="506" t="str">
        <f>IFERROR(__xludf.DUMMYFUNCTION("""COMPUTED_VALUE"""),"Larry Wilson")</f>
        <v>Larry Wilson</v>
      </c>
      <c r="D408" s="506" t="str">
        <f>IFERROR(__xludf.DUMMYFUNCTION("""COMPUTED_VALUE"""),"786-488-2417")</f>
        <v>786-488-2417</v>
      </c>
      <c r="E408" s="506" t="str">
        <f>IFERROR(__xludf.DUMMYFUNCTION("""COMPUTED_VALUE"""),"        larrywilson0617@gmail.com")</f>
        <v>        larrywilson0617@gmail.com</v>
      </c>
      <c r="F408" s="506" t="str">
        <f>IFERROR(__xludf.DUMMYFUNCTION("""COMPUTED_VALUE"""),"813 Upland Ave SE, Palm Bay, FL 32909")</f>
        <v>813 Upland Ave SE, Palm Bay, FL 32909</v>
      </c>
      <c r="G408" s="506" t="str">
        <f>IFERROR(__xludf.DUMMYFUNCTION("""COMPUTED_VALUE"""),"Hail")</f>
        <v>Hail</v>
      </c>
      <c r="H408" s="105" t="str">
        <f>IFERROR(__xludf.DUMMYFUNCTION("""COMPUTED_VALUE"""),"New Claim")</f>
        <v>New Claim</v>
      </c>
      <c r="I408" s="505" t="b">
        <v>0</v>
      </c>
      <c r="J408" s="507" t="b">
        <v>0</v>
      </c>
      <c r="K408" s="112"/>
      <c r="L408" s="505" t="b">
        <v>0</v>
      </c>
      <c r="M408" s="504" t="b">
        <v>0</v>
      </c>
      <c r="N408" s="112"/>
      <c r="O408" s="505" t="b">
        <v>0</v>
      </c>
      <c r="P408" s="504" t="b">
        <v>0</v>
      </c>
      <c r="Q408" s="116"/>
      <c r="R408" s="505" t="b">
        <v>0</v>
      </c>
      <c r="S408" s="504" t="b">
        <v>0</v>
      </c>
      <c r="T408" s="117"/>
      <c r="U408" s="505" t="b">
        <v>0</v>
      </c>
      <c r="V408" s="504" t="b">
        <v>0</v>
      </c>
      <c r="W408" s="118"/>
      <c r="X408" s="505" t="b">
        <v>0</v>
      </c>
      <c r="Y408" s="504" t="b">
        <v>0</v>
      </c>
      <c r="Z408" s="119"/>
      <c r="AA408" s="505" t="b">
        <v>0</v>
      </c>
      <c r="AB408" s="504" t="b">
        <v>0</v>
      </c>
      <c r="AC408" s="121"/>
      <c r="AD408" s="505" t="b">
        <v>0</v>
      </c>
      <c r="AE408" s="504" t="b">
        <v>0</v>
      </c>
      <c r="AF408" s="125"/>
      <c r="AG408" s="505" t="b">
        <v>0</v>
      </c>
      <c r="AH408" s="504" t="b">
        <v>0</v>
      </c>
      <c r="AI408" s="105"/>
      <c r="AJ408" s="505" t="b">
        <v>0</v>
      </c>
      <c r="AK408" s="504" t="b">
        <v>0</v>
      </c>
      <c r="AL408" s="126"/>
      <c r="AM408" s="505" t="b">
        <v>0</v>
      </c>
      <c r="AN408" s="504" t="b">
        <v>0</v>
      </c>
      <c r="AO408" s="105"/>
      <c r="AP408" s="105"/>
      <c r="AQ408" s="105"/>
      <c r="AR408" s="105"/>
      <c r="AS408" s="105"/>
      <c r="AT408" s="105"/>
      <c r="AU408" s="105"/>
      <c r="AV408" s="105"/>
      <c r="AW408" s="105"/>
      <c r="AX408" s="105"/>
      <c r="AY408" s="105"/>
      <c r="AZ408" s="105"/>
      <c r="BA408" s="105"/>
    </row>
    <row r="409">
      <c r="A409" s="105" t="str">
        <f>IFERROR(__xludf.DUMMYFUNCTION("""COMPUTED_VALUE"""),"SETTLED")</f>
        <v>SETTLED</v>
      </c>
      <c r="B409" s="105" t="str">
        <f>IFERROR(__xludf.DUMMYFUNCTION("""COMPUTED_VALUE"""),"Ivan")</f>
        <v>Ivan</v>
      </c>
      <c r="C409" s="506" t="str">
        <f>IFERROR(__xludf.DUMMYFUNCTION("""COMPUTED_VALUE"""),"Dulivert Mauricette &amp; Cezilia Pierre")</f>
        <v>Dulivert Mauricette &amp; Cezilia Pierre</v>
      </c>
      <c r="D409" s="506" t="str">
        <f>IFERROR(__xludf.DUMMYFUNCTION("""COMPUTED_VALUE"""),"754-245-1140")</f>
        <v>754-245-1140</v>
      </c>
      <c r="E409" s="506" t="str">
        <f>IFERROR(__xludf.DUMMYFUNCTION("""COMPUTED_VALUE"""),"Pbocaille@gmail.com / dazipierre@icloud.com")</f>
        <v>Pbocaille@gmail.com / dazipierre@icloud.com</v>
      </c>
      <c r="F409" s="506" t="str">
        <f>IFERROR(__xludf.DUMMYFUNCTION("""COMPUTED_VALUE"""),"931 SW 70th Way North Lauderdale, FL 33068")</f>
        <v>931 SW 70th Way North Lauderdale, FL 33068</v>
      </c>
      <c r="G409" s="506" t="str">
        <f>IFERROR(__xludf.DUMMYFUNCTION("""COMPUTED_VALUE"""),"AWD")</f>
        <v>AWD</v>
      </c>
      <c r="H409" s="105" t="str">
        <f>IFERROR(__xludf.DUMMYFUNCTION("""COMPUTED_VALUE"""),"New Claim")</f>
        <v>New Claim</v>
      </c>
      <c r="I409" s="505" t="b">
        <v>0</v>
      </c>
      <c r="J409" s="507" t="b">
        <v>0</v>
      </c>
      <c r="K409" s="112"/>
      <c r="L409" s="505" t="b">
        <v>0</v>
      </c>
      <c r="M409" s="504" t="b">
        <v>0</v>
      </c>
      <c r="N409" s="112"/>
      <c r="O409" s="505" t="b">
        <v>0</v>
      </c>
      <c r="P409" s="504" t="b">
        <v>0</v>
      </c>
      <c r="Q409" s="116"/>
      <c r="R409" s="505" t="b">
        <v>0</v>
      </c>
      <c r="S409" s="504" t="b">
        <v>0</v>
      </c>
      <c r="T409" s="117"/>
      <c r="U409" s="505" t="b">
        <v>0</v>
      </c>
      <c r="V409" s="504" t="b">
        <v>0</v>
      </c>
      <c r="W409" s="118"/>
      <c r="X409" s="505" t="b">
        <v>0</v>
      </c>
      <c r="Y409" s="504" t="b">
        <v>0</v>
      </c>
      <c r="Z409" s="119"/>
      <c r="AA409" s="505" t="b">
        <v>0</v>
      </c>
      <c r="AB409" s="504" t="b">
        <v>0</v>
      </c>
      <c r="AC409" s="121"/>
      <c r="AD409" s="505" t="b">
        <v>0</v>
      </c>
      <c r="AE409" s="504" t="b">
        <v>0</v>
      </c>
      <c r="AF409" s="125"/>
      <c r="AG409" s="505" t="b">
        <v>0</v>
      </c>
      <c r="AH409" s="504" t="b">
        <v>0</v>
      </c>
      <c r="AI409" s="105"/>
      <c r="AJ409" s="505" t="b">
        <v>0</v>
      </c>
      <c r="AK409" s="504" t="b">
        <v>0</v>
      </c>
      <c r="AL409" s="126"/>
      <c r="AM409" s="505" t="b">
        <v>0</v>
      </c>
      <c r="AN409" s="504" t="b">
        <v>0</v>
      </c>
      <c r="AO409" s="105"/>
      <c r="AP409" s="105"/>
      <c r="AQ409" s="105"/>
      <c r="AR409" s="105"/>
      <c r="AS409" s="105"/>
      <c r="AT409" s="105"/>
      <c r="AU409" s="105"/>
      <c r="AV409" s="105"/>
      <c r="AW409" s="105"/>
      <c r="AX409" s="105"/>
      <c r="AY409" s="105"/>
      <c r="AZ409" s="105"/>
      <c r="BA409" s="105"/>
    </row>
    <row r="410">
      <c r="A410" s="105" t="str">
        <f>IFERROR(__xludf.DUMMYFUNCTION("""COMPUTED_VALUE"""),"LITIGATION")</f>
        <v>LITIGATION</v>
      </c>
      <c r="B410" s="105" t="str">
        <f>IFERROR(__xludf.DUMMYFUNCTION("""COMPUTED_VALUE"""),"Ivan")</f>
        <v>Ivan</v>
      </c>
      <c r="C410" s="506" t="str">
        <f>IFERROR(__xludf.DUMMYFUNCTION("""COMPUTED_VALUE"""),"Dulivert Mauricette &amp; Cezilia Pierre")</f>
        <v>Dulivert Mauricette &amp; Cezilia Pierre</v>
      </c>
      <c r="D410" s="506" t="str">
        <f>IFERROR(__xludf.DUMMYFUNCTION("""COMPUTED_VALUE"""),"754-245-1140")</f>
        <v>754-245-1140</v>
      </c>
      <c r="E410" s="506" t="str">
        <f>IFERROR(__xludf.DUMMYFUNCTION("""COMPUTED_VALUE"""),"Pbocaille@gmail.com / dulivertm@gmail.com")</f>
        <v>Pbocaille@gmail.com / dulivertm@gmail.com</v>
      </c>
      <c r="F410" s="506" t="str">
        <f>IFERROR(__xludf.DUMMYFUNCTION("""COMPUTED_VALUE"""),"931 SW 70th Way North Lauderdale, FL 33068")</f>
        <v>931 SW 70th Way North Lauderdale, FL 33068</v>
      </c>
      <c r="G410" s="506" t="str">
        <f>IFERROR(__xludf.DUMMYFUNCTION("""COMPUTED_VALUE"""),"Windstorm")</f>
        <v>Windstorm</v>
      </c>
      <c r="H410" s="105" t="str">
        <f>IFERROR(__xludf.DUMMYFUNCTION("""COMPUTED_VALUE"""),"New Claim")</f>
        <v>New Claim</v>
      </c>
      <c r="I410" s="505" t="b">
        <v>0</v>
      </c>
      <c r="J410" s="507" t="b">
        <v>0</v>
      </c>
      <c r="K410" s="112"/>
      <c r="L410" s="505" t="b">
        <v>0</v>
      </c>
      <c r="M410" s="504" t="b">
        <v>0</v>
      </c>
      <c r="N410" s="112"/>
      <c r="O410" s="505" t="b">
        <v>0</v>
      </c>
      <c r="P410" s="504" t="b">
        <v>0</v>
      </c>
      <c r="Q410" s="116"/>
      <c r="R410" s="505" t="b">
        <v>0</v>
      </c>
      <c r="S410" s="504" t="b">
        <v>0</v>
      </c>
      <c r="T410" s="117"/>
      <c r="U410" s="505" t="b">
        <v>0</v>
      </c>
      <c r="V410" s="504" t="b">
        <v>0</v>
      </c>
      <c r="W410" s="118"/>
      <c r="X410" s="505" t="b">
        <v>0</v>
      </c>
      <c r="Y410" s="504" t="b">
        <v>0</v>
      </c>
      <c r="Z410" s="119"/>
      <c r="AA410" s="505" t="b">
        <v>0</v>
      </c>
      <c r="AB410" s="504" t="b">
        <v>0</v>
      </c>
      <c r="AC410" s="121"/>
      <c r="AD410" s="505" t="b">
        <v>0</v>
      </c>
      <c r="AE410" s="504" t="b">
        <v>0</v>
      </c>
      <c r="AF410" s="125"/>
      <c r="AG410" s="505" t="b">
        <v>0</v>
      </c>
      <c r="AH410" s="504" t="b">
        <v>0</v>
      </c>
      <c r="AI410" s="105"/>
      <c r="AJ410" s="505" t="b">
        <v>0</v>
      </c>
      <c r="AK410" s="504" t="b">
        <v>0</v>
      </c>
      <c r="AL410" s="126"/>
      <c r="AM410" s="505" t="b">
        <v>0</v>
      </c>
      <c r="AN410" s="504" t="b">
        <v>0</v>
      </c>
      <c r="AO410" s="105"/>
      <c r="AP410" s="105"/>
      <c r="AQ410" s="105"/>
      <c r="AR410" s="105"/>
      <c r="AS410" s="105"/>
      <c r="AT410" s="105"/>
      <c r="AU410" s="105"/>
      <c r="AV410" s="105"/>
      <c r="AW410" s="105"/>
      <c r="AX410" s="105"/>
      <c r="AY410" s="105"/>
      <c r="AZ410" s="105"/>
      <c r="BA410" s="105"/>
    </row>
    <row r="411">
      <c r="A411" s="105" t="str">
        <f>IFERROR(__xludf.DUMMYFUNCTION("""COMPUTED_VALUE"""),"SETTLED")</f>
        <v>SETTLED</v>
      </c>
      <c r="B411" s="105" t="str">
        <f>IFERROR(__xludf.DUMMYFUNCTION("""COMPUTED_VALUE"""),"Ivan")</f>
        <v>Ivan</v>
      </c>
      <c r="C411" s="506" t="str">
        <f>IFERROR(__xludf.DUMMYFUNCTION("""COMPUTED_VALUE"""),"Dulivert Mauricette &amp; Cezilia Pierre")</f>
        <v>Dulivert Mauricette &amp; Cezilia Pierre</v>
      </c>
      <c r="D411" s="506" t="str">
        <f>IFERROR(__xludf.DUMMYFUNCTION("""COMPUTED_VALUE"""),"754-245-1140")</f>
        <v>754-245-1140</v>
      </c>
      <c r="E411" s="506" t="str">
        <f>IFERROR(__xludf.DUMMYFUNCTION("""COMPUTED_VALUE"""),"Pbocaille@gmail.com")</f>
        <v>Pbocaille@gmail.com</v>
      </c>
      <c r="F411" s="506" t="str">
        <f>IFERROR(__xludf.DUMMYFUNCTION("""COMPUTED_VALUE"""),"931 SW 70th Way North Lauderdale, FL 33068")</f>
        <v>931 SW 70th Way North Lauderdale, FL 33068</v>
      </c>
      <c r="G411" s="506" t="str">
        <f>IFERROR(__xludf.DUMMYFUNCTION("""COMPUTED_VALUE"""),"AWD")</f>
        <v>AWD</v>
      </c>
      <c r="H411" s="105" t="str">
        <f>IFERROR(__xludf.DUMMYFUNCTION("""COMPUTED_VALUE"""),"New Claim")</f>
        <v>New Claim</v>
      </c>
      <c r="I411" s="505" t="b">
        <v>0</v>
      </c>
      <c r="J411" s="507" t="b">
        <v>0</v>
      </c>
      <c r="K411" s="112"/>
      <c r="L411" s="505" t="b">
        <v>0</v>
      </c>
      <c r="M411" s="504" t="b">
        <v>0</v>
      </c>
      <c r="N411" s="112"/>
      <c r="O411" s="505" t="b">
        <v>0</v>
      </c>
      <c r="P411" s="504" t="b">
        <v>0</v>
      </c>
      <c r="Q411" s="116"/>
      <c r="R411" s="505" t="b">
        <v>0</v>
      </c>
      <c r="S411" s="504" t="b">
        <v>0</v>
      </c>
      <c r="T411" s="117"/>
      <c r="U411" s="505" t="b">
        <v>0</v>
      </c>
      <c r="V411" s="504" t="b">
        <v>0</v>
      </c>
      <c r="W411" s="118"/>
      <c r="X411" s="505" t="b">
        <v>0</v>
      </c>
      <c r="Y411" s="504" t="b">
        <v>0</v>
      </c>
      <c r="Z411" s="119"/>
      <c r="AA411" s="505" t="b">
        <v>0</v>
      </c>
      <c r="AB411" s="504" t="b">
        <v>0</v>
      </c>
      <c r="AC411" s="121"/>
      <c r="AD411" s="505" t="b">
        <v>0</v>
      </c>
      <c r="AE411" s="504" t="b">
        <v>0</v>
      </c>
      <c r="AF411" s="125"/>
      <c r="AG411" s="505" t="b">
        <v>0</v>
      </c>
      <c r="AH411" s="504" t="b">
        <v>0</v>
      </c>
      <c r="AI411" s="105"/>
      <c r="AJ411" s="505" t="b">
        <v>0</v>
      </c>
      <c r="AK411" s="504" t="b">
        <v>0</v>
      </c>
      <c r="AL411" s="126"/>
      <c r="AM411" s="505" t="b">
        <v>0</v>
      </c>
      <c r="AN411" s="504" t="b">
        <v>0</v>
      </c>
      <c r="AO411" s="105"/>
      <c r="AP411" s="105"/>
      <c r="AQ411" s="105"/>
      <c r="AR411" s="105"/>
      <c r="AS411" s="105"/>
      <c r="AT411" s="105"/>
      <c r="AU411" s="105"/>
      <c r="AV411" s="105"/>
      <c r="AW411" s="105"/>
      <c r="AX411" s="105"/>
      <c r="AY411" s="105"/>
      <c r="AZ411" s="105"/>
      <c r="BA411" s="105"/>
    </row>
    <row r="412">
      <c r="A412" s="105" t="str">
        <f>IFERROR(__xludf.DUMMYFUNCTION("""COMPUTED_VALUE"""),"APPRAISAL")</f>
        <v>APPRAISAL</v>
      </c>
      <c r="B412" s="105" t="str">
        <f>IFERROR(__xludf.DUMMYFUNCTION("""COMPUTED_VALUE"""),"Ivan")</f>
        <v>Ivan</v>
      </c>
      <c r="C412" s="506" t="str">
        <f>IFERROR(__xludf.DUMMYFUNCTION("""COMPUTED_VALUE"""),"Flor Gaviria")</f>
        <v>Flor Gaviria</v>
      </c>
      <c r="D412" s="506" t="str">
        <f>IFERROR(__xludf.DUMMYFUNCTION("""COMPUTED_VALUE"""),"786-295-8775")</f>
        <v>786-295-8775</v>
      </c>
      <c r="E412" s="506" t="str">
        <f>IFERROR(__xludf.DUMMYFUNCTION("""COMPUTED_VALUE"""),"fwgc2@yahoo.com")</f>
        <v>fwgc2@yahoo.com</v>
      </c>
      <c r="F412" s="506" t="str">
        <f>IFERROR(__xludf.DUMMYFUNCTION("""COMPUTED_VALUE"""),"​17620 NW 77TH CT HIALEAH, FL 33015")</f>
        <v>​17620 NW 77TH CT HIALEAH, FL 33015</v>
      </c>
      <c r="G412" s="506" t="str">
        <f>IFERROR(__xludf.DUMMYFUNCTION("""COMPUTED_VALUE"""),"Windstorm")</f>
        <v>Windstorm</v>
      </c>
      <c r="H412" s="105" t="str">
        <f>IFERROR(__xludf.DUMMYFUNCTION("""COMPUTED_VALUE"""),"New Claim")</f>
        <v>New Claim</v>
      </c>
      <c r="I412" s="505" t="b">
        <v>0</v>
      </c>
      <c r="J412" s="507" t="b">
        <v>0</v>
      </c>
      <c r="K412" s="112"/>
      <c r="L412" s="505" t="b">
        <v>0</v>
      </c>
      <c r="M412" s="504" t="b">
        <v>0</v>
      </c>
      <c r="N412" s="112"/>
      <c r="O412" s="505" t="b">
        <v>0</v>
      </c>
      <c r="P412" s="504" t="b">
        <v>0</v>
      </c>
      <c r="Q412" s="116"/>
      <c r="R412" s="505" t="b">
        <v>0</v>
      </c>
      <c r="S412" s="504" t="b">
        <v>0</v>
      </c>
      <c r="T412" s="117"/>
      <c r="U412" s="505" t="b">
        <v>0</v>
      </c>
      <c r="V412" s="504" t="b">
        <v>0</v>
      </c>
      <c r="W412" s="118"/>
      <c r="X412" s="505" t="b">
        <v>0</v>
      </c>
      <c r="Y412" s="504" t="b">
        <v>0</v>
      </c>
      <c r="Z412" s="119"/>
      <c r="AA412" s="505" t="b">
        <v>0</v>
      </c>
      <c r="AB412" s="504" t="b">
        <v>0</v>
      </c>
      <c r="AC412" s="121"/>
      <c r="AD412" s="505" t="b">
        <v>0</v>
      </c>
      <c r="AE412" s="504" t="b">
        <v>0</v>
      </c>
      <c r="AF412" s="125"/>
      <c r="AG412" s="505" t="b">
        <v>0</v>
      </c>
      <c r="AH412" s="504" t="b">
        <v>0</v>
      </c>
      <c r="AI412" s="105"/>
      <c r="AJ412" s="505" t="b">
        <v>0</v>
      </c>
      <c r="AK412" s="504" t="b">
        <v>0</v>
      </c>
      <c r="AL412" s="126"/>
      <c r="AM412" s="505" t="b">
        <v>0</v>
      </c>
      <c r="AN412" s="504" t="b">
        <v>0</v>
      </c>
      <c r="AO412" s="105"/>
      <c r="AP412" s="105"/>
      <c r="AQ412" s="105"/>
      <c r="AR412" s="105"/>
      <c r="AS412" s="105"/>
      <c r="AT412" s="105"/>
      <c r="AU412" s="105"/>
      <c r="AV412" s="105"/>
      <c r="AW412" s="105"/>
      <c r="AX412" s="105"/>
      <c r="AY412" s="105"/>
      <c r="AZ412" s="105"/>
      <c r="BA412" s="105"/>
    </row>
    <row r="413">
      <c r="A413" s="105" t="str">
        <f>IFERROR(__xludf.DUMMYFUNCTION("""COMPUTED_VALUE"""),"CLSD CLAIMS")</f>
        <v>CLSD CLAIMS</v>
      </c>
      <c r="B413" s="105" t="str">
        <f>IFERROR(__xludf.DUMMYFUNCTION("""COMPUTED_VALUE"""),"Ivan")</f>
        <v>Ivan</v>
      </c>
      <c r="C413" s="506" t="str">
        <f>IFERROR(__xludf.DUMMYFUNCTION("""COMPUTED_VALUE"""),"Miriam Trimarchi")</f>
        <v>Miriam Trimarchi</v>
      </c>
      <c r="D413" s="506" t="str">
        <f>IFERROR(__xludf.DUMMYFUNCTION("""COMPUTED_VALUE"""),"786-356-1590")</f>
        <v>786-356-1590</v>
      </c>
      <c r="E413" s="506" t="str">
        <f>IFERROR(__xludf.DUMMYFUNCTION("""COMPUTED_VALUE"""),"Wonderfulbeauty77@gmail.com")</f>
        <v>Wonderfulbeauty77@gmail.com</v>
      </c>
      <c r="F413" s="506" t="str">
        <f>IFERROR(__xludf.DUMMYFUNCTION("""COMPUTED_VALUE"""),"11760 SW 171ST TER MIAMI, FL 33177")</f>
        <v>11760 SW 171ST TER MIAMI, FL 33177</v>
      </c>
      <c r="G413" s="506" t="str">
        <f>IFERROR(__xludf.DUMMYFUNCTION("""COMPUTED_VALUE"""),"AWD")</f>
        <v>AWD</v>
      </c>
      <c r="H413" s="105" t="str">
        <f>IFERROR(__xludf.DUMMYFUNCTION("""COMPUTED_VALUE"""),"New Claim")</f>
        <v>New Claim</v>
      </c>
      <c r="I413" s="505" t="b">
        <v>0</v>
      </c>
      <c r="J413" s="507" t="b">
        <v>0</v>
      </c>
      <c r="K413" s="112"/>
      <c r="L413" s="505" t="b">
        <v>0</v>
      </c>
      <c r="M413" s="504" t="b">
        <v>0</v>
      </c>
      <c r="N413" s="112"/>
      <c r="O413" s="505" t="b">
        <v>0</v>
      </c>
      <c r="P413" s="504" t="b">
        <v>0</v>
      </c>
      <c r="Q413" s="116"/>
      <c r="R413" s="505" t="b">
        <v>0</v>
      </c>
      <c r="S413" s="504" t="b">
        <v>0</v>
      </c>
      <c r="T413" s="117"/>
      <c r="U413" s="505" t="b">
        <v>0</v>
      </c>
      <c r="V413" s="504" t="b">
        <v>0</v>
      </c>
      <c r="W413" s="118"/>
      <c r="X413" s="505" t="b">
        <v>0</v>
      </c>
      <c r="Y413" s="504" t="b">
        <v>0</v>
      </c>
      <c r="Z413" s="119"/>
      <c r="AA413" s="505" t="b">
        <v>0</v>
      </c>
      <c r="AB413" s="504" t="b">
        <v>0</v>
      </c>
      <c r="AC413" s="121"/>
      <c r="AD413" s="505" t="b">
        <v>0</v>
      </c>
      <c r="AE413" s="504" t="b">
        <v>0</v>
      </c>
      <c r="AF413" s="125"/>
      <c r="AG413" s="505" t="b">
        <v>0</v>
      </c>
      <c r="AH413" s="504" t="b">
        <v>0</v>
      </c>
      <c r="AI413" s="105"/>
      <c r="AJ413" s="505" t="b">
        <v>0</v>
      </c>
      <c r="AK413" s="504" t="b">
        <v>0</v>
      </c>
      <c r="AL413" s="126"/>
      <c r="AM413" s="505" t="b">
        <v>0</v>
      </c>
      <c r="AN413" s="504" t="b">
        <v>0</v>
      </c>
      <c r="AO413" s="105"/>
      <c r="AP413" s="105"/>
      <c r="AQ413" s="105"/>
      <c r="AR413" s="105"/>
      <c r="AS413" s="105"/>
      <c r="AT413" s="105"/>
      <c r="AU413" s="105"/>
      <c r="AV413" s="105"/>
      <c r="AW413" s="105"/>
      <c r="AX413" s="105"/>
      <c r="AY413" s="105"/>
      <c r="AZ413" s="105"/>
      <c r="BA413" s="105"/>
    </row>
    <row r="414">
      <c r="A414" s="105" t="str">
        <f>IFERROR(__xludf.DUMMYFUNCTION("""COMPUTED_VALUE"""),"STAND BY")</f>
        <v>STAND BY</v>
      </c>
      <c r="B414" s="105" t="str">
        <f>IFERROR(__xludf.DUMMYFUNCTION("""COMPUTED_VALUE"""),"Peter")</f>
        <v>Peter</v>
      </c>
      <c r="C414" s="506" t="str">
        <f>IFERROR(__xludf.DUMMYFUNCTION("""COMPUTED_VALUE"""),"Kelsey &amp; Bernardo Cardenal")</f>
        <v>Kelsey &amp; Bernardo Cardenal</v>
      </c>
      <c r="D414" s="506" t="str">
        <f>IFERROR(__xludf.DUMMYFUNCTION("""COMPUTED_VALUE"""),"561-884-0384 ")</f>
        <v>561-884-0384 </v>
      </c>
      <c r="E414" s="506" t="str">
        <f>IFERROR(__xludf.DUMMYFUNCTION("""COMPUTED_VALUE"""),"kelsey.cardenal@gmail.com")</f>
        <v>kelsey.cardenal@gmail.com</v>
      </c>
      <c r="F414" s="506" t="str">
        <f>IFERROR(__xludf.DUMMYFUNCTION("""COMPUTED_VALUE"""),"660 Arambola Cir N Apt 106B Coconut Creek, FL 33066")</f>
        <v>660 Arambola Cir N Apt 106B Coconut Creek, FL 33066</v>
      </c>
      <c r="G414" s="506" t="str">
        <f>IFERROR(__xludf.DUMMYFUNCTION("""COMPUTED_VALUE"""),"Plumbing Failure")</f>
        <v>Plumbing Failure</v>
      </c>
      <c r="H414" s="105"/>
      <c r="I414" s="505" t="b">
        <v>0</v>
      </c>
      <c r="J414" s="507" t="b">
        <v>0</v>
      </c>
      <c r="K414" s="112"/>
      <c r="L414" s="505" t="b">
        <v>0</v>
      </c>
      <c r="M414" s="504" t="b">
        <v>0</v>
      </c>
      <c r="N414" s="112"/>
      <c r="O414" s="505" t="b">
        <v>0</v>
      </c>
      <c r="P414" s="504" t="b">
        <v>0</v>
      </c>
      <c r="Q414" s="116"/>
      <c r="R414" s="505" t="b">
        <v>0</v>
      </c>
      <c r="S414" s="504" t="b">
        <v>0</v>
      </c>
      <c r="T414" s="117"/>
      <c r="U414" s="505" t="b">
        <v>0</v>
      </c>
      <c r="V414" s="504" t="b">
        <v>0</v>
      </c>
      <c r="W414" s="118"/>
      <c r="X414" s="505" t="b">
        <v>0</v>
      </c>
      <c r="Y414" s="504" t="b">
        <v>0</v>
      </c>
      <c r="Z414" s="119"/>
      <c r="AA414" s="505" t="b">
        <v>0</v>
      </c>
      <c r="AB414" s="504" t="b">
        <v>0</v>
      </c>
      <c r="AC414" s="121"/>
      <c r="AD414" s="505" t="b">
        <v>0</v>
      </c>
      <c r="AE414" s="504" t="b">
        <v>0</v>
      </c>
      <c r="AF414" s="125"/>
      <c r="AG414" s="505" t="b">
        <v>0</v>
      </c>
      <c r="AH414" s="504" t="b">
        <v>0</v>
      </c>
      <c r="AI414" s="105"/>
      <c r="AJ414" s="505" t="b">
        <v>0</v>
      </c>
      <c r="AK414" s="504" t="b">
        <v>0</v>
      </c>
      <c r="AL414" s="126"/>
      <c r="AM414" s="505" t="b">
        <v>0</v>
      </c>
      <c r="AN414" s="504" t="b">
        <v>0</v>
      </c>
      <c r="AO414" s="105"/>
      <c r="AP414" s="105"/>
      <c r="AQ414" s="105"/>
      <c r="AR414" s="105"/>
      <c r="AS414" s="105"/>
      <c r="AT414" s="105"/>
      <c r="AU414" s="105"/>
      <c r="AV414" s="105"/>
      <c r="AW414" s="105"/>
      <c r="AX414" s="105"/>
      <c r="AY414" s="105"/>
      <c r="AZ414" s="105"/>
      <c r="BA414" s="105"/>
    </row>
    <row r="415">
      <c r="A415" s="105" t="str">
        <f>IFERROR(__xludf.DUMMYFUNCTION("""COMPUTED_VALUE"""),"FEES PENDING")</f>
        <v>FEES PENDING</v>
      </c>
      <c r="B415" s="105" t="str">
        <f>IFERROR(__xludf.DUMMYFUNCTION("""COMPUTED_VALUE"""),"Joshua")</f>
        <v>Joshua</v>
      </c>
      <c r="C415" s="506" t="str">
        <f>IFERROR(__xludf.DUMMYFUNCTION("""COMPUTED_VALUE"""),"Jose Ossa &amp; Edilma Arroyave ")</f>
        <v>Jose Ossa &amp; Edilma Arroyave </v>
      </c>
      <c r="D415" s="506" t="str">
        <f>IFERROR(__xludf.DUMMYFUNCTION("""COMPUTED_VALUE"""),"786-838-2135")</f>
        <v>786-838-2135</v>
      </c>
      <c r="E415" s="506" t="str">
        <f>IFERROR(__xludf.DUMMYFUNCTION("""COMPUTED_VALUE"""),"Jessicaossa@live.com")</f>
        <v>Jessicaossa@live.com</v>
      </c>
      <c r="F415" s="506" t="str">
        <f>IFERROR(__xludf.DUMMYFUNCTION("""COMPUTED_VALUE"""),"6705 SW 27th Ct Miramar, FL 33023")</f>
        <v>6705 SW 27th Ct Miramar, FL 33023</v>
      </c>
      <c r="G415" s="506" t="str">
        <f>IFERROR(__xludf.DUMMYFUNCTION("""COMPUTED_VALUE"""),"Earthquake")</f>
        <v>Earthquake</v>
      </c>
      <c r="H415" s="105"/>
      <c r="I415" s="505" t="b">
        <v>0</v>
      </c>
      <c r="J415" s="507" t="b">
        <v>0</v>
      </c>
      <c r="K415" s="112"/>
      <c r="L415" s="505" t="b">
        <v>0</v>
      </c>
      <c r="M415" s="504" t="b">
        <v>0</v>
      </c>
      <c r="N415" s="112"/>
      <c r="O415" s="505" t="b">
        <v>0</v>
      </c>
      <c r="P415" s="504" t="b">
        <v>0</v>
      </c>
      <c r="Q415" s="116"/>
      <c r="R415" s="505" t="b">
        <v>0</v>
      </c>
      <c r="S415" s="504" t="b">
        <v>0</v>
      </c>
      <c r="T415" s="117"/>
      <c r="U415" s="505" t="b">
        <v>0</v>
      </c>
      <c r="V415" s="504" t="b">
        <v>0</v>
      </c>
      <c r="W415" s="118"/>
      <c r="X415" s="505" t="b">
        <v>0</v>
      </c>
      <c r="Y415" s="504" t="b">
        <v>0</v>
      </c>
      <c r="Z415" s="119"/>
      <c r="AA415" s="505" t="b">
        <v>0</v>
      </c>
      <c r="AB415" s="504" t="b">
        <v>0</v>
      </c>
      <c r="AC415" s="121"/>
      <c r="AD415" s="505" t="b">
        <v>0</v>
      </c>
      <c r="AE415" s="504" t="b">
        <v>0</v>
      </c>
      <c r="AF415" s="125"/>
      <c r="AG415" s="505" t="b">
        <v>0</v>
      </c>
      <c r="AH415" s="504" t="b">
        <v>0</v>
      </c>
      <c r="AI415" s="105"/>
      <c r="AJ415" s="505" t="b">
        <v>0</v>
      </c>
      <c r="AK415" s="504" t="b">
        <v>0</v>
      </c>
      <c r="AL415" s="126"/>
      <c r="AM415" s="505" t="b">
        <v>0</v>
      </c>
      <c r="AN415" s="504" t="b">
        <v>0</v>
      </c>
      <c r="AO415" s="105"/>
      <c r="AP415" s="105"/>
      <c r="AQ415" s="105"/>
      <c r="AR415" s="105"/>
      <c r="AS415" s="105"/>
      <c r="AT415" s="105"/>
      <c r="AU415" s="105"/>
      <c r="AV415" s="105"/>
      <c r="AW415" s="105"/>
      <c r="AX415" s="105"/>
      <c r="AY415" s="105"/>
      <c r="AZ415" s="105"/>
      <c r="BA415" s="105"/>
    </row>
    <row r="416">
      <c r="A416" s="105"/>
      <c r="B416" s="105" t="str">
        <f>IFERROR(__xludf.DUMMYFUNCTION("""COMPUTED_VALUE"""),"Ivan, Peter")</f>
        <v>Ivan, Peter</v>
      </c>
      <c r="C416" s="506" t="str">
        <f>IFERROR(__xludf.DUMMYFUNCTION("""COMPUTED_VALUE"""),"Claridad Valverde / Jose Garcia")</f>
        <v>Claridad Valverde / Jose Garcia</v>
      </c>
      <c r="D416" s="506" t="str">
        <f>IFERROR(__xludf.DUMMYFUNCTION("""COMPUTED_VALUE"""),"786-346-7167")</f>
        <v>786-346-7167</v>
      </c>
      <c r="E416" s="506" t="str">
        <f>IFERROR(__xludf.DUMMYFUNCTION("""COMPUTED_VALUE"""),"CValverde17@aol.com")</f>
        <v>CValverde17@aol.com</v>
      </c>
      <c r="F416" s="506" t="str">
        <f>IFERROR(__xludf.DUMMYFUNCTION("""COMPUTED_VALUE"""),"10100 E Calusa Club Dr Miami, FL 33186")</f>
        <v>10100 E Calusa Club Dr Miami, FL 33186</v>
      </c>
      <c r="G416" s="506" t="str">
        <f>IFERROR(__xludf.DUMMYFUNCTION("""COMPUTED_VALUE"""),"Windstorm")</f>
        <v>Windstorm</v>
      </c>
      <c r="H416" s="105" t="str">
        <f>IFERROR(__xludf.DUMMYFUNCTION("""COMPUTED_VALUE"""),"Reopen")</f>
        <v>Reopen</v>
      </c>
      <c r="I416" s="505" t="b">
        <v>0</v>
      </c>
      <c r="J416" s="507" t="b">
        <v>0</v>
      </c>
      <c r="K416" s="112"/>
      <c r="L416" s="505" t="b">
        <v>0</v>
      </c>
      <c r="M416" s="504" t="b">
        <v>0</v>
      </c>
      <c r="N416" s="112"/>
      <c r="O416" s="505" t="b">
        <v>0</v>
      </c>
      <c r="P416" s="504" t="b">
        <v>0</v>
      </c>
      <c r="Q416" s="116"/>
      <c r="R416" s="505" t="b">
        <v>0</v>
      </c>
      <c r="S416" s="504" t="b">
        <v>0</v>
      </c>
      <c r="T416" s="117"/>
      <c r="U416" s="505" t="b">
        <v>0</v>
      </c>
      <c r="V416" s="504" t="b">
        <v>0</v>
      </c>
      <c r="W416" s="118"/>
      <c r="X416" s="505" t="b">
        <v>0</v>
      </c>
      <c r="Y416" s="504" t="b">
        <v>0</v>
      </c>
      <c r="Z416" s="119"/>
      <c r="AA416" s="505" t="b">
        <v>0</v>
      </c>
      <c r="AB416" s="504" t="b">
        <v>0</v>
      </c>
      <c r="AC416" s="121"/>
      <c r="AD416" s="505" t="b">
        <v>0</v>
      </c>
      <c r="AE416" s="504" t="b">
        <v>0</v>
      </c>
      <c r="AF416" s="125"/>
      <c r="AG416" s="505" t="b">
        <v>0</v>
      </c>
      <c r="AH416" s="504" t="b">
        <v>0</v>
      </c>
      <c r="AI416" s="105"/>
      <c r="AJ416" s="505" t="b">
        <v>0</v>
      </c>
      <c r="AK416" s="504" t="b">
        <v>0</v>
      </c>
      <c r="AL416" s="126"/>
      <c r="AM416" s="505" t="b">
        <v>0</v>
      </c>
      <c r="AN416" s="504" t="b">
        <v>0</v>
      </c>
      <c r="AO416" s="105"/>
      <c r="AP416" s="105"/>
      <c r="AQ416" s="105"/>
      <c r="AR416" s="105"/>
      <c r="AS416" s="105"/>
      <c r="AT416" s="105"/>
      <c r="AU416" s="105"/>
      <c r="AV416" s="105"/>
      <c r="AW416" s="105"/>
      <c r="AX416" s="105"/>
      <c r="AY416" s="105"/>
      <c r="AZ416" s="105"/>
      <c r="BA416" s="105"/>
    </row>
    <row r="417">
      <c r="A417" s="105" t="str">
        <f>IFERROR(__xludf.DUMMYFUNCTION("""COMPUTED_VALUE"""),"CLSD CLAIMS")</f>
        <v>CLSD CLAIMS</v>
      </c>
      <c r="B417" s="105" t="str">
        <f>IFERROR(__xludf.DUMMYFUNCTION("""COMPUTED_VALUE"""),"Ivan")</f>
        <v>Ivan</v>
      </c>
      <c r="C417" s="506" t="str">
        <f>IFERROR(__xludf.DUMMYFUNCTION("""COMPUTED_VALUE"""),"Jude &amp; Marie Mentor")</f>
        <v>Jude &amp; Marie Mentor</v>
      </c>
      <c r="D417" s="506" t="str">
        <f>IFERROR(__xludf.DUMMYFUNCTION("""COMPUTED_VALUE"""),"561-932-2868")</f>
        <v>561-932-2868</v>
      </c>
      <c r="E417" s="506" t="str">
        <f>IFERROR(__xludf.DUMMYFUNCTION("""COMPUTED_VALUE"""),"rachmentor@hotmail.com")</f>
        <v>rachmentor@hotmail.com</v>
      </c>
      <c r="F417" s="506" t="str">
        <f>IFERROR(__xludf.DUMMYFUNCTION("""COMPUTED_VALUE"""),"17725 61st PL N Loxahatchee, FL 33470")</f>
        <v>17725 61st PL N Loxahatchee, FL 33470</v>
      </c>
      <c r="G417" s="506" t="str">
        <f>IFERROR(__xludf.DUMMYFUNCTION("""COMPUTED_VALUE"""),"Wind/Hail")</f>
        <v>Wind/Hail</v>
      </c>
      <c r="H417" s="105" t="str">
        <f>IFERROR(__xludf.DUMMYFUNCTION("""COMPUTED_VALUE"""),"New Claim")</f>
        <v>New Claim</v>
      </c>
      <c r="I417" s="505" t="b">
        <v>0</v>
      </c>
      <c r="J417" s="507" t="b">
        <v>0</v>
      </c>
      <c r="K417" s="112"/>
      <c r="L417" s="505" t="b">
        <v>0</v>
      </c>
      <c r="M417" s="504" t="b">
        <v>0</v>
      </c>
      <c r="N417" s="112"/>
      <c r="O417" s="505" t="b">
        <v>0</v>
      </c>
      <c r="P417" s="504" t="b">
        <v>0</v>
      </c>
      <c r="Q417" s="116"/>
      <c r="R417" s="505" t="b">
        <v>0</v>
      </c>
      <c r="S417" s="504" t="b">
        <v>0</v>
      </c>
      <c r="T417" s="117"/>
      <c r="U417" s="505" t="b">
        <v>0</v>
      </c>
      <c r="V417" s="504" t="b">
        <v>0</v>
      </c>
      <c r="W417" s="118"/>
      <c r="X417" s="505" t="b">
        <v>0</v>
      </c>
      <c r="Y417" s="504" t="b">
        <v>0</v>
      </c>
      <c r="Z417" s="119"/>
      <c r="AA417" s="505" t="b">
        <v>0</v>
      </c>
      <c r="AB417" s="504" t="b">
        <v>0</v>
      </c>
      <c r="AC417" s="121"/>
      <c r="AD417" s="505" t="b">
        <v>0</v>
      </c>
      <c r="AE417" s="504" t="b">
        <v>0</v>
      </c>
      <c r="AF417" s="125"/>
      <c r="AG417" s="505" t="b">
        <v>0</v>
      </c>
      <c r="AH417" s="504" t="b">
        <v>0</v>
      </c>
      <c r="AI417" s="105"/>
      <c r="AJ417" s="505" t="b">
        <v>0</v>
      </c>
      <c r="AK417" s="504" t="b">
        <v>0</v>
      </c>
      <c r="AL417" s="126"/>
      <c r="AM417" s="505" t="b">
        <v>0</v>
      </c>
      <c r="AN417" s="504" t="b">
        <v>0</v>
      </c>
      <c r="AO417" s="105"/>
      <c r="AP417" s="105"/>
      <c r="AQ417" s="105"/>
      <c r="AR417" s="105"/>
      <c r="AS417" s="105"/>
      <c r="AT417" s="105"/>
      <c r="AU417" s="105"/>
      <c r="AV417" s="105"/>
      <c r="AW417" s="105"/>
      <c r="AX417" s="105"/>
      <c r="AY417" s="105"/>
      <c r="AZ417" s="105"/>
      <c r="BA417" s="105"/>
    </row>
    <row r="418">
      <c r="A418" s="105" t="str">
        <f>IFERROR(__xludf.DUMMYFUNCTION("""COMPUTED_VALUE"""),"FEES PENDING")</f>
        <v>FEES PENDING</v>
      </c>
      <c r="B418" s="105" t="str">
        <f>IFERROR(__xludf.DUMMYFUNCTION("""COMPUTED_VALUE"""),"Ivan")</f>
        <v>Ivan</v>
      </c>
      <c r="C418" s="506" t="str">
        <f>IFERROR(__xludf.DUMMYFUNCTION("""COMPUTED_VALUE"""),"Mary Ellen Mieras")</f>
        <v>Mary Ellen Mieras</v>
      </c>
      <c r="D418" s="506" t="str">
        <f>IFERROR(__xludf.DUMMYFUNCTION("""COMPUTED_VALUE"""),"5617921660 / 5613711864")</f>
        <v>5617921660 / 5613711864</v>
      </c>
      <c r="E418" s="506" t="str">
        <f>IFERROR(__xludf.DUMMYFUNCTION("""COMPUTED_VALUE"""),"Waterbiz@bellsouth.net")</f>
        <v>Waterbiz@bellsouth.net</v>
      </c>
      <c r="F418" s="506" t="str">
        <f>IFERROR(__xludf.DUMMYFUNCTION("""COMPUTED_VALUE"""),"7161 Mandarin Blvd. Loxahatchee FL, 33470")</f>
        <v>7161 Mandarin Blvd. Loxahatchee FL, 33470</v>
      </c>
      <c r="G418" s="506" t="str">
        <f>IFERROR(__xludf.DUMMYFUNCTION("""COMPUTED_VALUE"""),"Wind/Hail")</f>
        <v>Wind/Hail</v>
      </c>
      <c r="H418" s="105" t="str">
        <f>IFERROR(__xludf.DUMMYFUNCTION("""COMPUTED_VALUE"""),"New Claim")</f>
        <v>New Claim</v>
      </c>
      <c r="I418" s="505" t="b">
        <v>0</v>
      </c>
      <c r="J418" s="507" t="b">
        <v>0</v>
      </c>
      <c r="K418" s="112"/>
      <c r="L418" s="505" t="b">
        <v>0</v>
      </c>
      <c r="M418" s="504" t="b">
        <v>0</v>
      </c>
      <c r="N418" s="112"/>
      <c r="O418" s="505" t="b">
        <v>0</v>
      </c>
      <c r="P418" s="504" t="b">
        <v>0</v>
      </c>
      <c r="Q418" s="116"/>
      <c r="R418" s="505" t="b">
        <v>0</v>
      </c>
      <c r="S418" s="504" t="b">
        <v>0</v>
      </c>
      <c r="T418" s="117"/>
      <c r="U418" s="505" t="b">
        <v>0</v>
      </c>
      <c r="V418" s="504" t="b">
        <v>0</v>
      </c>
      <c r="W418" s="118"/>
      <c r="X418" s="505" t="b">
        <v>0</v>
      </c>
      <c r="Y418" s="504" t="b">
        <v>0</v>
      </c>
      <c r="Z418" s="119"/>
      <c r="AA418" s="505" t="b">
        <v>0</v>
      </c>
      <c r="AB418" s="504" t="b">
        <v>0</v>
      </c>
      <c r="AC418" s="121"/>
      <c r="AD418" s="505" t="b">
        <v>0</v>
      </c>
      <c r="AE418" s="504" t="b">
        <v>0</v>
      </c>
      <c r="AF418" s="125"/>
      <c r="AG418" s="505" t="b">
        <v>0</v>
      </c>
      <c r="AH418" s="504" t="b">
        <v>0</v>
      </c>
      <c r="AI418" s="105"/>
      <c r="AJ418" s="505" t="b">
        <v>0</v>
      </c>
      <c r="AK418" s="504" t="b">
        <v>0</v>
      </c>
      <c r="AL418" s="126"/>
      <c r="AM418" s="505" t="b">
        <v>0</v>
      </c>
      <c r="AN418" s="504" t="b">
        <v>0</v>
      </c>
      <c r="AO418" s="105"/>
      <c r="AP418" s="105"/>
      <c r="AQ418" s="105"/>
      <c r="AR418" s="105"/>
      <c r="AS418" s="105"/>
      <c r="AT418" s="105"/>
      <c r="AU418" s="105"/>
      <c r="AV418" s="105"/>
      <c r="AW418" s="105"/>
      <c r="AX418" s="105"/>
      <c r="AY418" s="105"/>
      <c r="AZ418" s="105"/>
      <c r="BA418" s="105"/>
    </row>
    <row r="419">
      <c r="A419" s="105" t="str">
        <f>IFERROR(__xludf.DUMMYFUNCTION("""COMPUTED_VALUE"""),"MEDIATION")</f>
        <v>MEDIATION</v>
      </c>
      <c r="B419" s="105" t="str">
        <f>IFERROR(__xludf.DUMMYFUNCTION("""COMPUTED_VALUE"""),"Ivan")</f>
        <v>Ivan</v>
      </c>
      <c r="C419" s="506" t="str">
        <f>IFERROR(__xludf.DUMMYFUNCTION("""COMPUTED_VALUE"""),"Tommy &amp; Bettye Kuhn")</f>
        <v>Tommy &amp; Bettye Kuhn</v>
      </c>
      <c r="D419" s="506" t="str">
        <f>IFERROR(__xludf.DUMMYFUNCTION("""COMPUTED_VALUE"""),"561-792-1737")</f>
        <v>561-792-1737</v>
      </c>
      <c r="E419" s="506" t="str">
        <f>IFERROR(__xludf.DUMMYFUNCTION("""COMPUTED_VALUE"""),"BETTYEKUHN16@gmail.com")</f>
        <v>BETTYEKUHN16@gmail.com</v>
      </c>
      <c r="F419" s="506" t="str">
        <f>IFERROR(__xludf.DUMMYFUNCTION("""COMPUTED_VALUE"""),"17562 68th St N Loxahatchee, FL 33470")</f>
        <v>17562 68th St N Loxahatchee, FL 33470</v>
      </c>
      <c r="G419" s="506" t="str">
        <f>IFERROR(__xludf.DUMMYFUNCTION("""COMPUTED_VALUE"""),"Wind/Hail")</f>
        <v>Wind/Hail</v>
      </c>
      <c r="H419" s="105" t="str">
        <f>IFERROR(__xludf.DUMMYFUNCTION("""COMPUTED_VALUE"""),"New Claim")</f>
        <v>New Claim</v>
      </c>
      <c r="I419" s="505" t="b">
        <v>0</v>
      </c>
      <c r="J419" s="507" t="b">
        <v>0</v>
      </c>
      <c r="K419" s="112"/>
      <c r="L419" s="505" t="b">
        <v>0</v>
      </c>
      <c r="M419" s="504" t="b">
        <v>0</v>
      </c>
      <c r="N419" s="112"/>
      <c r="O419" s="505" t="b">
        <v>0</v>
      </c>
      <c r="P419" s="504" t="b">
        <v>0</v>
      </c>
      <c r="Q419" s="116"/>
      <c r="R419" s="505" t="b">
        <v>0</v>
      </c>
      <c r="S419" s="504" t="b">
        <v>0</v>
      </c>
      <c r="T419" s="117"/>
      <c r="U419" s="505" t="b">
        <v>0</v>
      </c>
      <c r="V419" s="504" t="b">
        <v>0</v>
      </c>
      <c r="W419" s="118"/>
      <c r="X419" s="505" t="b">
        <v>0</v>
      </c>
      <c r="Y419" s="504" t="b">
        <v>0</v>
      </c>
      <c r="Z419" s="119"/>
      <c r="AA419" s="505" t="b">
        <v>0</v>
      </c>
      <c r="AB419" s="504" t="b">
        <v>0</v>
      </c>
      <c r="AC419" s="121"/>
      <c r="AD419" s="505" t="b">
        <v>0</v>
      </c>
      <c r="AE419" s="504" t="b">
        <v>0</v>
      </c>
      <c r="AF419" s="125"/>
      <c r="AG419" s="505" t="b">
        <v>0</v>
      </c>
      <c r="AH419" s="504" t="b">
        <v>0</v>
      </c>
      <c r="AI419" s="105"/>
      <c r="AJ419" s="505" t="b">
        <v>0</v>
      </c>
      <c r="AK419" s="504" t="b">
        <v>0</v>
      </c>
      <c r="AL419" s="126"/>
      <c r="AM419" s="505" t="b">
        <v>0</v>
      </c>
      <c r="AN419" s="504" t="b">
        <v>0</v>
      </c>
      <c r="AO419" s="105"/>
      <c r="AP419" s="105"/>
      <c r="AQ419" s="105"/>
      <c r="AR419" s="105"/>
      <c r="AS419" s="105"/>
      <c r="AT419" s="105"/>
      <c r="AU419" s="105"/>
      <c r="AV419" s="105"/>
      <c r="AW419" s="105"/>
      <c r="AX419" s="105"/>
      <c r="AY419" s="105"/>
      <c r="AZ419" s="105"/>
      <c r="BA419" s="105"/>
    </row>
    <row r="420">
      <c r="A420" s="105" t="str">
        <f>IFERROR(__xludf.DUMMYFUNCTION("""COMPUTED_VALUE"""),"PEN PAY")</f>
        <v>PEN PAY</v>
      </c>
      <c r="B420" s="105" t="str">
        <f>IFERROR(__xludf.DUMMYFUNCTION("""COMPUTED_VALUE"""),"Peter")</f>
        <v>Peter</v>
      </c>
      <c r="C420" s="506" t="str">
        <f>IFERROR(__xludf.DUMMYFUNCTION("""COMPUTED_VALUE"""),"Kelsey &amp; Bernardo Cardenal")</f>
        <v>Kelsey &amp; Bernardo Cardenal</v>
      </c>
      <c r="D420" s="506" t="str">
        <f>IFERROR(__xludf.DUMMYFUNCTION("""COMPUTED_VALUE"""),"561-884-0384 / 561-302-7275 (mom)")</f>
        <v>561-884-0384 / 561-302-7275 (mom)</v>
      </c>
      <c r="E420" s="506" t="str">
        <f>IFERROR(__xludf.DUMMYFUNCTION("""COMPUTED_VALUE"""),"kelsey.cardenal@gmail.com")</f>
        <v>kelsey.cardenal@gmail.com</v>
      </c>
      <c r="F420" s="506" t="str">
        <f>IFERROR(__xludf.DUMMYFUNCTION("""COMPUTED_VALUE"""),"660 Arambola Cir N Apt 106B Coconut Creek, FL 33066")</f>
        <v>660 Arambola Cir N Apt 106B Coconut Creek, FL 33066</v>
      </c>
      <c r="G420" s="506" t="str">
        <f>IFERROR(__xludf.DUMMYFUNCTION("""COMPUTED_VALUE"""),"AWD")</f>
        <v>AWD</v>
      </c>
      <c r="H420" s="105" t="str">
        <f>IFERROR(__xludf.DUMMYFUNCTION("""COMPUTED_VALUE"""),"New Claim")</f>
        <v>New Claim</v>
      </c>
      <c r="I420" s="505" t="b">
        <v>0</v>
      </c>
      <c r="J420" s="507" t="b">
        <v>0</v>
      </c>
      <c r="K420" s="112"/>
      <c r="L420" s="505" t="b">
        <v>0</v>
      </c>
      <c r="M420" s="504" t="b">
        <v>0</v>
      </c>
      <c r="N420" s="112"/>
      <c r="O420" s="505" t="b">
        <v>0</v>
      </c>
      <c r="P420" s="504" t="b">
        <v>0</v>
      </c>
      <c r="Q420" s="116"/>
      <c r="R420" s="505" t="b">
        <v>0</v>
      </c>
      <c r="S420" s="504" t="b">
        <v>0</v>
      </c>
      <c r="T420" s="117"/>
      <c r="U420" s="505" t="b">
        <v>0</v>
      </c>
      <c r="V420" s="504" t="b">
        <v>0</v>
      </c>
      <c r="W420" s="118"/>
      <c r="X420" s="505" t="b">
        <v>0</v>
      </c>
      <c r="Y420" s="504" t="b">
        <v>0</v>
      </c>
      <c r="Z420" s="119"/>
      <c r="AA420" s="505" t="b">
        <v>0</v>
      </c>
      <c r="AB420" s="504" t="b">
        <v>0</v>
      </c>
      <c r="AC420" s="121"/>
      <c r="AD420" s="505" t="b">
        <v>0</v>
      </c>
      <c r="AE420" s="504" t="b">
        <v>0</v>
      </c>
      <c r="AF420" s="125"/>
      <c r="AG420" s="505" t="b">
        <v>0</v>
      </c>
      <c r="AH420" s="504" t="b">
        <v>0</v>
      </c>
      <c r="AI420" s="105"/>
      <c r="AJ420" s="505" t="b">
        <v>0</v>
      </c>
      <c r="AK420" s="504" t="b">
        <v>0</v>
      </c>
      <c r="AL420" s="126"/>
      <c r="AM420" s="505" t="b">
        <v>0</v>
      </c>
      <c r="AN420" s="504" t="b">
        <v>0</v>
      </c>
      <c r="AO420" s="105"/>
      <c r="AP420" s="105"/>
      <c r="AQ420" s="105"/>
      <c r="AR420" s="105"/>
      <c r="AS420" s="105"/>
      <c r="AT420" s="105"/>
      <c r="AU420" s="105"/>
      <c r="AV420" s="105"/>
      <c r="AW420" s="105"/>
      <c r="AX420" s="105"/>
      <c r="AY420" s="105"/>
      <c r="AZ420" s="105"/>
      <c r="BA420" s="105"/>
    </row>
    <row r="421">
      <c r="A421" s="105"/>
      <c r="B421" s="105" t="str">
        <f>IFERROR(__xludf.DUMMYFUNCTION("""COMPUTED_VALUE"""),"Peter")</f>
        <v>Peter</v>
      </c>
      <c r="C421" s="506" t="str">
        <f>IFERROR(__xludf.DUMMYFUNCTION("""COMPUTED_VALUE"""),"Christian Aguirre")</f>
        <v>Christian Aguirre</v>
      </c>
      <c r="D421" s="506" t="str">
        <f>IFERROR(__xludf.DUMMYFUNCTION("""COMPUTED_VALUE"""),"305-720-0931")</f>
        <v>305-720-0931</v>
      </c>
      <c r="E421" s="506" t="str">
        <f>IFERROR(__xludf.DUMMYFUNCTION("""COMPUTED_VALUE"""),"aguirre.christian07@gmail.com")</f>
        <v>aguirre.christian07@gmail.com</v>
      </c>
      <c r="F421" s="506" t="str">
        <f>IFERROR(__xludf.DUMMYFUNCTION("""COMPUTED_VALUE"""),"5201 SW 31ST AVE APT 245 Fort Lauderdale, FL 33312")</f>
        <v>5201 SW 31ST AVE APT 245 Fort Lauderdale, FL 33312</v>
      </c>
      <c r="G421" s="506" t="str">
        <f>IFERROR(__xludf.DUMMYFUNCTION("""COMPUTED_VALUE"""),"AWD")</f>
        <v>AWD</v>
      </c>
      <c r="H421" s="105" t="str">
        <f>IFERROR(__xludf.DUMMYFUNCTION("""COMPUTED_VALUE"""),"New Claim")</f>
        <v>New Claim</v>
      </c>
      <c r="I421" s="505" t="b">
        <v>0</v>
      </c>
      <c r="J421" s="507" t="b">
        <v>0</v>
      </c>
      <c r="K421" s="112"/>
      <c r="L421" s="505" t="b">
        <v>0</v>
      </c>
      <c r="M421" s="504" t="b">
        <v>0</v>
      </c>
      <c r="N421" s="112"/>
      <c r="O421" s="505" t="b">
        <v>0</v>
      </c>
      <c r="P421" s="504" t="b">
        <v>0</v>
      </c>
      <c r="Q421" s="116"/>
      <c r="R421" s="505" t="b">
        <v>0</v>
      </c>
      <c r="S421" s="504" t="b">
        <v>0</v>
      </c>
      <c r="T421" s="117"/>
      <c r="U421" s="505" t="b">
        <v>0</v>
      </c>
      <c r="V421" s="504" t="b">
        <v>0</v>
      </c>
      <c r="W421" s="118"/>
      <c r="X421" s="505" t="b">
        <v>0</v>
      </c>
      <c r="Y421" s="504" t="b">
        <v>0</v>
      </c>
      <c r="Z421" s="119"/>
      <c r="AA421" s="505" t="b">
        <v>0</v>
      </c>
      <c r="AB421" s="504" t="b">
        <v>0</v>
      </c>
      <c r="AC421" s="121"/>
      <c r="AD421" s="505" t="b">
        <v>0</v>
      </c>
      <c r="AE421" s="504" t="b">
        <v>0</v>
      </c>
      <c r="AF421" s="125"/>
      <c r="AG421" s="505" t="b">
        <v>0</v>
      </c>
      <c r="AH421" s="504" t="b">
        <v>0</v>
      </c>
      <c r="AI421" s="105"/>
      <c r="AJ421" s="505" t="b">
        <v>0</v>
      </c>
      <c r="AK421" s="504" t="b">
        <v>0</v>
      </c>
      <c r="AL421" s="126"/>
      <c r="AM421" s="505" t="b">
        <v>0</v>
      </c>
      <c r="AN421" s="504" t="b">
        <v>0</v>
      </c>
      <c r="AO421" s="105"/>
      <c r="AP421" s="105"/>
      <c r="AQ421" s="105"/>
      <c r="AR421" s="105"/>
      <c r="AS421" s="105"/>
      <c r="AT421" s="105"/>
      <c r="AU421" s="105"/>
      <c r="AV421" s="105"/>
      <c r="AW421" s="105"/>
      <c r="AX421" s="105"/>
      <c r="AY421" s="105"/>
      <c r="AZ421" s="105"/>
      <c r="BA421" s="105"/>
    </row>
    <row r="422">
      <c r="A422" s="105"/>
      <c r="B422" s="105" t="str">
        <f>IFERROR(__xludf.DUMMYFUNCTION("""COMPUTED_VALUE"""),"Peter")</f>
        <v>Peter</v>
      </c>
      <c r="C422" s="506" t="str">
        <f>IFERROR(__xludf.DUMMYFUNCTION("""COMPUTED_VALUE"""),"Tina Johnson ")</f>
        <v>Tina Johnson </v>
      </c>
      <c r="D422" s="506" t="str">
        <f>IFERROR(__xludf.DUMMYFUNCTION("""COMPUTED_VALUE"""),"(850) 554-6538")</f>
        <v>(850) 554-6538</v>
      </c>
      <c r="E422" s="506" t="str">
        <f>IFERROR(__xludf.DUMMYFUNCTION("""COMPUTED_VALUE"""),"tina.johnson1774@gmail.com")</f>
        <v>tina.johnson1774@gmail.com</v>
      </c>
      <c r="F422" s="506" t="str">
        <f>IFERROR(__xludf.DUMMYFUNCTION("""COMPUTED_VALUE"""),"5755 Ml Strm Wy, Milton, FL 32571")</f>
        <v>5755 Ml Strm Wy, Milton, FL 32571</v>
      </c>
      <c r="G422" s="506" t="str">
        <f>IFERROR(__xludf.DUMMYFUNCTION("""COMPUTED_VALUE"""),"Lightning Strike")</f>
        <v>Lightning Strike</v>
      </c>
      <c r="H422" s="105" t="str">
        <f>IFERROR(__xludf.DUMMYFUNCTION("""COMPUTED_VALUE"""),"New Claim")</f>
        <v>New Claim</v>
      </c>
      <c r="I422" s="505" t="b">
        <v>0</v>
      </c>
      <c r="J422" s="507" t="b">
        <v>0</v>
      </c>
      <c r="K422" s="112"/>
      <c r="L422" s="505" t="b">
        <v>0</v>
      </c>
      <c r="M422" s="504" t="b">
        <v>0</v>
      </c>
      <c r="N422" s="112"/>
      <c r="O422" s="505" t="b">
        <v>0</v>
      </c>
      <c r="P422" s="504" t="b">
        <v>0</v>
      </c>
      <c r="Q422" s="116"/>
      <c r="R422" s="505" t="b">
        <v>0</v>
      </c>
      <c r="S422" s="504" t="b">
        <v>0</v>
      </c>
      <c r="T422" s="117"/>
      <c r="U422" s="505" t="b">
        <v>0</v>
      </c>
      <c r="V422" s="504" t="b">
        <v>0</v>
      </c>
      <c r="W422" s="118"/>
      <c r="X422" s="505" t="b">
        <v>0</v>
      </c>
      <c r="Y422" s="504" t="b">
        <v>0</v>
      </c>
      <c r="Z422" s="119"/>
      <c r="AA422" s="505" t="b">
        <v>0</v>
      </c>
      <c r="AB422" s="504" t="b">
        <v>0</v>
      </c>
      <c r="AC422" s="121"/>
      <c r="AD422" s="505" t="b">
        <v>0</v>
      </c>
      <c r="AE422" s="504" t="b">
        <v>0</v>
      </c>
      <c r="AF422" s="125"/>
      <c r="AG422" s="505" t="b">
        <v>0</v>
      </c>
      <c r="AH422" s="504" t="b">
        <v>0</v>
      </c>
      <c r="AI422" s="105"/>
      <c r="AJ422" s="505" t="b">
        <v>0</v>
      </c>
      <c r="AK422" s="504" t="b">
        <v>0</v>
      </c>
      <c r="AL422" s="126"/>
      <c r="AM422" s="505" t="b">
        <v>0</v>
      </c>
      <c r="AN422" s="504" t="b">
        <v>0</v>
      </c>
      <c r="AO422" s="105"/>
      <c r="AP422" s="105"/>
      <c r="AQ422" s="105"/>
      <c r="AR422" s="105"/>
      <c r="AS422" s="105"/>
      <c r="AT422" s="105"/>
      <c r="AU422" s="105"/>
      <c r="AV422" s="105"/>
      <c r="AW422" s="105"/>
      <c r="AX422" s="105"/>
      <c r="AY422" s="105"/>
      <c r="AZ422" s="105"/>
      <c r="BA422" s="105"/>
    </row>
    <row r="423">
      <c r="A423" s="105"/>
      <c r="B423" s="105" t="str">
        <f>IFERROR(__xludf.DUMMYFUNCTION("""COMPUTED_VALUE"""),"Ivan, Peter")</f>
        <v>Ivan, Peter</v>
      </c>
      <c r="C423" s="506" t="str">
        <f>IFERROR(__xludf.DUMMYFUNCTION("""COMPUTED_VALUE"""),"Claridad Valverde / Jose Garcia")</f>
        <v>Claridad Valverde / Jose Garcia</v>
      </c>
      <c r="D423" s="506" t="str">
        <f>IFERROR(__xludf.DUMMYFUNCTION("""COMPUTED_VALUE"""),"786-346-7167")</f>
        <v>786-346-7167</v>
      </c>
      <c r="E423" s="506" t="str">
        <f>IFERROR(__xludf.DUMMYFUNCTION("""COMPUTED_VALUE"""),"CValverde17@aol.com")</f>
        <v>CValverde17@aol.com</v>
      </c>
      <c r="F423" s="506" t="str">
        <f>IFERROR(__xludf.DUMMYFUNCTION("""COMPUTED_VALUE"""),"10100 E Calusa Club Dr Miami, FL 33186")</f>
        <v>10100 E Calusa Club Dr Miami, FL 33186</v>
      </c>
      <c r="G423" s="506" t="str">
        <f>IFERROR(__xludf.DUMMYFUNCTION("""COMPUTED_VALUE"""),"Windstorm")</f>
        <v>Windstorm</v>
      </c>
      <c r="H423" s="105" t="str">
        <f>IFERROR(__xludf.DUMMYFUNCTION("""COMPUTED_VALUE"""),"New Claim")</f>
        <v>New Claim</v>
      </c>
      <c r="I423" s="505" t="b">
        <v>0</v>
      </c>
      <c r="J423" s="507" t="b">
        <v>0</v>
      </c>
      <c r="K423" s="112"/>
      <c r="L423" s="505" t="b">
        <v>0</v>
      </c>
      <c r="M423" s="504" t="b">
        <v>0</v>
      </c>
      <c r="N423" s="112"/>
      <c r="O423" s="505" t="b">
        <v>0</v>
      </c>
      <c r="P423" s="504" t="b">
        <v>0</v>
      </c>
      <c r="Q423" s="116"/>
      <c r="R423" s="505" t="b">
        <v>0</v>
      </c>
      <c r="S423" s="504" t="b">
        <v>0</v>
      </c>
      <c r="T423" s="117"/>
      <c r="U423" s="505" t="b">
        <v>0</v>
      </c>
      <c r="V423" s="504" t="b">
        <v>0</v>
      </c>
      <c r="W423" s="118"/>
      <c r="X423" s="505" t="b">
        <v>0</v>
      </c>
      <c r="Y423" s="504" t="b">
        <v>0</v>
      </c>
      <c r="Z423" s="119"/>
      <c r="AA423" s="505" t="b">
        <v>0</v>
      </c>
      <c r="AB423" s="504" t="b">
        <v>0</v>
      </c>
      <c r="AC423" s="121"/>
      <c r="AD423" s="505" t="b">
        <v>0</v>
      </c>
      <c r="AE423" s="504" t="b">
        <v>0</v>
      </c>
      <c r="AF423" s="125"/>
      <c r="AG423" s="505" t="b">
        <v>0</v>
      </c>
      <c r="AH423" s="504" t="b">
        <v>0</v>
      </c>
      <c r="AI423" s="105"/>
      <c r="AJ423" s="505" t="b">
        <v>0</v>
      </c>
      <c r="AK423" s="504" t="b">
        <v>0</v>
      </c>
      <c r="AL423" s="126"/>
      <c r="AM423" s="505" t="b">
        <v>0</v>
      </c>
      <c r="AN423" s="504" t="b">
        <v>0</v>
      </c>
      <c r="AO423" s="105"/>
      <c r="AP423" s="105"/>
      <c r="AQ423" s="105"/>
      <c r="AR423" s="105"/>
      <c r="AS423" s="105"/>
      <c r="AT423" s="105"/>
      <c r="AU423" s="105"/>
      <c r="AV423" s="105"/>
      <c r="AW423" s="105"/>
      <c r="AX423" s="105"/>
      <c r="AY423" s="105"/>
      <c r="AZ423" s="105"/>
      <c r="BA423" s="105"/>
    </row>
    <row r="424">
      <c r="A424" s="105"/>
      <c r="B424" s="105" t="str">
        <f>IFERROR(__xludf.DUMMYFUNCTION("""COMPUTED_VALUE"""),"Ivan")</f>
        <v>Ivan</v>
      </c>
      <c r="C424" s="506" t="str">
        <f>IFERROR(__xludf.DUMMYFUNCTION("""COMPUTED_VALUE"""),"Ryan Fogel")</f>
        <v>Ryan Fogel</v>
      </c>
      <c r="D424" s="506" t="str">
        <f>IFERROR(__xludf.DUMMYFUNCTION("""COMPUTED_VALUE"""),"954-242-6609")</f>
        <v>954-242-6609</v>
      </c>
      <c r="E424" s="506" t="str">
        <f>IFERROR(__xludf.DUMMYFUNCTION("""COMPUTED_VALUE"""),"R_fogel14@yahoo.com")</f>
        <v>R_fogel14@yahoo.com</v>
      </c>
      <c r="F424" s="506" t="str">
        <f>IFERROR(__xludf.DUMMYFUNCTION("""COMPUTED_VALUE"""),"17523 71ST LN N LOXAHATCHEE, FL 33470")</f>
        <v>17523 71ST LN N LOXAHATCHEE, FL 33470</v>
      </c>
      <c r="G424" s="506" t="str">
        <f>IFERROR(__xludf.DUMMYFUNCTION("""COMPUTED_VALUE"""),"Wind/Hail")</f>
        <v>Wind/Hail</v>
      </c>
      <c r="H424" s="105" t="str">
        <f>IFERROR(__xludf.DUMMYFUNCTION("""COMPUTED_VALUE"""),"New Claim")</f>
        <v>New Claim</v>
      </c>
      <c r="I424" s="505" t="b">
        <v>0</v>
      </c>
      <c r="J424" s="507" t="b">
        <v>0</v>
      </c>
      <c r="K424" s="112"/>
      <c r="L424" s="505" t="b">
        <v>0</v>
      </c>
      <c r="M424" s="504" t="b">
        <v>0</v>
      </c>
      <c r="N424" s="112"/>
      <c r="O424" s="505" t="b">
        <v>0</v>
      </c>
      <c r="P424" s="504" t="b">
        <v>0</v>
      </c>
      <c r="Q424" s="116"/>
      <c r="R424" s="505" t="b">
        <v>0</v>
      </c>
      <c r="S424" s="504" t="b">
        <v>0</v>
      </c>
      <c r="T424" s="117"/>
      <c r="U424" s="505" t="b">
        <v>0</v>
      </c>
      <c r="V424" s="504" t="b">
        <v>0</v>
      </c>
      <c r="W424" s="118"/>
      <c r="X424" s="505" t="b">
        <v>0</v>
      </c>
      <c r="Y424" s="504" t="b">
        <v>0</v>
      </c>
      <c r="Z424" s="119"/>
      <c r="AA424" s="505" t="b">
        <v>0</v>
      </c>
      <c r="AB424" s="504" t="b">
        <v>0</v>
      </c>
      <c r="AC424" s="121"/>
      <c r="AD424" s="505" t="b">
        <v>0</v>
      </c>
      <c r="AE424" s="504" t="b">
        <v>0</v>
      </c>
      <c r="AF424" s="125"/>
      <c r="AG424" s="505" t="b">
        <v>0</v>
      </c>
      <c r="AH424" s="504" t="b">
        <v>0</v>
      </c>
      <c r="AI424" s="105"/>
      <c r="AJ424" s="505" t="b">
        <v>0</v>
      </c>
      <c r="AK424" s="504" t="b">
        <v>0</v>
      </c>
      <c r="AL424" s="126"/>
      <c r="AM424" s="505" t="b">
        <v>0</v>
      </c>
      <c r="AN424" s="504" t="b">
        <v>0</v>
      </c>
      <c r="AO424" s="105"/>
      <c r="AP424" s="105"/>
      <c r="AQ424" s="105"/>
      <c r="AR424" s="105"/>
      <c r="AS424" s="105"/>
      <c r="AT424" s="105"/>
      <c r="AU424" s="105"/>
      <c r="AV424" s="105"/>
      <c r="AW424" s="105"/>
      <c r="AX424" s="105"/>
      <c r="AY424" s="105"/>
      <c r="AZ424" s="105"/>
      <c r="BA424" s="105"/>
    </row>
    <row r="425">
      <c r="A425" s="105"/>
      <c r="B425" s="105"/>
      <c r="C425" s="506"/>
      <c r="D425" s="506"/>
      <c r="E425" s="506"/>
      <c r="F425" s="506"/>
      <c r="G425" s="506"/>
      <c r="H425" s="105"/>
      <c r="I425" s="505" t="b">
        <v>0</v>
      </c>
      <c r="J425" s="507" t="b">
        <v>0</v>
      </c>
      <c r="K425" s="112"/>
      <c r="L425" s="505" t="b">
        <v>0</v>
      </c>
      <c r="M425" s="504" t="b">
        <v>0</v>
      </c>
      <c r="N425" s="112"/>
      <c r="O425" s="505" t="b">
        <v>0</v>
      </c>
      <c r="P425" s="504" t="b">
        <v>0</v>
      </c>
      <c r="Q425" s="116"/>
      <c r="R425" s="505" t="b">
        <v>0</v>
      </c>
      <c r="S425" s="504" t="b">
        <v>0</v>
      </c>
      <c r="T425" s="117"/>
      <c r="U425" s="505" t="b">
        <v>0</v>
      </c>
      <c r="V425" s="504" t="b">
        <v>0</v>
      </c>
      <c r="W425" s="118"/>
      <c r="X425" s="505" t="b">
        <v>0</v>
      </c>
      <c r="Y425" s="504" t="b">
        <v>0</v>
      </c>
      <c r="Z425" s="119"/>
      <c r="AA425" s="505" t="b">
        <v>0</v>
      </c>
      <c r="AB425" s="504" t="b">
        <v>0</v>
      </c>
      <c r="AC425" s="121"/>
      <c r="AD425" s="505" t="b">
        <v>0</v>
      </c>
      <c r="AE425" s="504" t="b">
        <v>0</v>
      </c>
      <c r="AF425" s="125"/>
      <c r="AG425" s="505" t="b">
        <v>0</v>
      </c>
      <c r="AH425" s="504" t="b">
        <v>0</v>
      </c>
      <c r="AI425" s="105"/>
      <c r="AJ425" s="505" t="b">
        <v>0</v>
      </c>
      <c r="AK425" s="504" t="b">
        <v>0</v>
      </c>
      <c r="AL425" s="126"/>
      <c r="AM425" s="505" t="b">
        <v>0</v>
      </c>
      <c r="AN425" s="504" t="b">
        <v>0</v>
      </c>
      <c r="AO425" s="105"/>
      <c r="AP425" s="105"/>
      <c r="AQ425" s="105"/>
      <c r="AR425" s="105"/>
      <c r="AS425" s="105"/>
      <c r="AT425" s="105"/>
      <c r="AU425" s="105"/>
      <c r="AV425" s="105"/>
      <c r="AW425" s="105"/>
      <c r="AX425" s="105"/>
      <c r="AY425" s="105"/>
      <c r="AZ425" s="105"/>
      <c r="BA425" s="105"/>
    </row>
    <row r="426">
      <c r="A426" s="506"/>
      <c r="B426" s="506"/>
      <c r="C426" s="506"/>
      <c r="D426" s="506"/>
      <c r="E426" s="506"/>
      <c r="F426" s="506"/>
      <c r="G426" s="506"/>
      <c r="H426" s="506"/>
      <c r="I426" s="505" t="b">
        <v>0</v>
      </c>
      <c r="J426" s="507" t="b">
        <v>0</v>
      </c>
      <c r="K426" s="112"/>
      <c r="L426" s="505" t="b">
        <v>0</v>
      </c>
      <c r="M426" s="504" t="b">
        <v>0</v>
      </c>
      <c r="N426" s="112"/>
      <c r="O426" s="505" t="b">
        <v>0</v>
      </c>
      <c r="P426" s="504" t="b">
        <v>0</v>
      </c>
      <c r="Q426" s="116"/>
      <c r="R426" s="505" t="b">
        <v>0</v>
      </c>
      <c r="S426" s="504" t="b">
        <v>0</v>
      </c>
      <c r="T426" s="117"/>
      <c r="U426" s="505" t="b">
        <v>0</v>
      </c>
      <c r="V426" s="504" t="b">
        <v>0</v>
      </c>
      <c r="W426" s="118"/>
      <c r="X426" s="505" t="b">
        <v>0</v>
      </c>
      <c r="Y426" s="504" t="b">
        <v>0</v>
      </c>
      <c r="Z426" s="119"/>
      <c r="AA426" s="505" t="b">
        <v>0</v>
      </c>
      <c r="AB426" s="504" t="b">
        <v>0</v>
      </c>
      <c r="AC426" s="121"/>
      <c r="AD426" s="505" t="b">
        <v>0</v>
      </c>
      <c r="AE426" s="504" t="b">
        <v>0</v>
      </c>
      <c r="AF426" s="125"/>
      <c r="AG426" s="505" t="b">
        <v>0</v>
      </c>
      <c r="AH426" s="504" t="b">
        <v>0</v>
      </c>
      <c r="AI426" s="105"/>
      <c r="AJ426" s="505" t="b">
        <v>0</v>
      </c>
      <c r="AK426" s="504" t="b">
        <v>0</v>
      </c>
      <c r="AL426" s="126"/>
      <c r="AM426" s="505" t="b">
        <v>0</v>
      </c>
      <c r="AN426" s="504" t="b">
        <v>0</v>
      </c>
      <c r="AO426" s="105"/>
      <c r="AP426" s="105"/>
      <c r="AQ426" s="105"/>
      <c r="AR426" s="105"/>
      <c r="AS426" s="105"/>
      <c r="AT426" s="105"/>
      <c r="AU426" s="105"/>
      <c r="AV426" s="105"/>
      <c r="AW426" s="105"/>
      <c r="AX426" s="105"/>
      <c r="AY426" s="105"/>
      <c r="AZ426" s="105"/>
      <c r="BA426" s="105"/>
    </row>
    <row r="427">
      <c r="A427" s="506"/>
      <c r="B427" s="506"/>
      <c r="C427" s="506"/>
      <c r="D427" s="506"/>
      <c r="E427" s="506"/>
      <c r="F427" s="506"/>
      <c r="G427" s="506"/>
      <c r="H427" s="506"/>
      <c r="I427" s="505" t="b">
        <v>0</v>
      </c>
      <c r="J427" s="507" t="b">
        <v>0</v>
      </c>
      <c r="K427" s="112"/>
      <c r="L427" s="505" t="b">
        <v>0</v>
      </c>
      <c r="M427" s="504" t="b">
        <v>0</v>
      </c>
      <c r="N427" s="112"/>
      <c r="O427" s="505" t="b">
        <v>0</v>
      </c>
      <c r="P427" s="504" t="b">
        <v>0</v>
      </c>
      <c r="Q427" s="116"/>
      <c r="R427" s="505" t="b">
        <v>0</v>
      </c>
      <c r="S427" s="504" t="b">
        <v>0</v>
      </c>
      <c r="T427" s="117"/>
      <c r="U427" s="505" t="b">
        <v>0</v>
      </c>
      <c r="V427" s="504" t="b">
        <v>0</v>
      </c>
      <c r="W427" s="118"/>
      <c r="X427" s="505" t="b">
        <v>0</v>
      </c>
      <c r="Y427" s="504" t="b">
        <v>0</v>
      </c>
      <c r="Z427" s="119"/>
      <c r="AA427" s="505" t="b">
        <v>0</v>
      </c>
      <c r="AB427" s="504" t="b">
        <v>0</v>
      </c>
      <c r="AC427" s="121"/>
      <c r="AD427" s="505" t="b">
        <v>0</v>
      </c>
      <c r="AE427" s="504" t="b">
        <v>0</v>
      </c>
      <c r="AF427" s="125"/>
      <c r="AG427" s="505" t="b">
        <v>0</v>
      </c>
      <c r="AH427" s="504" t="b">
        <v>0</v>
      </c>
      <c r="AI427" s="105"/>
      <c r="AJ427" s="505" t="b">
        <v>0</v>
      </c>
      <c r="AK427" s="504" t="b">
        <v>0</v>
      </c>
      <c r="AL427" s="126"/>
      <c r="AM427" s="505" t="b">
        <v>0</v>
      </c>
      <c r="AN427" s="504" t="b">
        <v>0</v>
      </c>
      <c r="AO427" s="105"/>
      <c r="AP427" s="105"/>
      <c r="AQ427" s="105"/>
      <c r="AR427" s="105"/>
      <c r="AS427" s="105"/>
      <c r="AT427" s="105"/>
      <c r="AU427" s="105"/>
      <c r="AV427" s="105"/>
      <c r="AW427" s="105"/>
      <c r="AX427" s="105"/>
      <c r="AY427" s="105"/>
      <c r="AZ427" s="105"/>
      <c r="BA427" s="105"/>
    </row>
    <row r="428">
      <c r="A428" s="506"/>
      <c r="B428" s="506"/>
      <c r="C428" s="506"/>
      <c r="D428" s="506"/>
      <c r="E428" s="506"/>
      <c r="F428" s="506"/>
      <c r="G428" s="506"/>
      <c r="H428" s="506"/>
      <c r="I428" s="505" t="b">
        <v>0</v>
      </c>
      <c r="J428" s="507" t="b">
        <v>0</v>
      </c>
      <c r="K428" s="112"/>
      <c r="L428" s="505" t="b">
        <v>0</v>
      </c>
      <c r="M428" s="504" t="b">
        <v>0</v>
      </c>
      <c r="N428" s="112"/>
      <c r="O428" s="505" t="b">
        <v>0</v>
      </c>
      <c r="P428" s="504" t="b">
        <v>0</v>
      </c>
      <c r="Q428" s="116"/>
      <c r="R428" s="505" t="b">
        <v>0</v>
      </c>
      <c r="S428" s="504" t="b">
        <v>0</v>
      </c>
      <c r="T428" s="117"/>
      <c r="U428" s="505" t="b">
        <v>0</v>
      </c>
      <c r="V428" s="504" t="b">
        <v>0</v>
      </c>
      <c r="W428" s="118"/>
      <c r="X428" s="505" t="b">
        <v>0</v>
      </c>
      <c r="Y428" s="504" t="b">
        <v>0</v>
      </c>
      <c r="Z428" s="119"/>
      <c r="AA428" s="505" t="b">
        <v>0</v>
      </c>
      <c r="AB428" s="504" t="b">
        <v>0</v>
      </c>
      <c r="AC428" s="121"/>
      <c r="AD428" s="505" t="b">
        <v>0</v>
      </c>
      <c r="AE428" s="504" t="b">
        <v>0</v>
      </c>
      <c r="AF428" s="125"/>
      <c r="AG428" s="505" t="b">
        <v>0</v>
      </c>
      <c r="AH428" s="504" t="b">
        <v>0</v>
      </c>
      <c r="AI428" s="105"/>
      <c r="AJ428" s="505" t="b">
        <v>0</v>
      </c>
      <c r="AK428" s="504" t="b">
        <v>0</v>
      </c>
      <c r="AL428" s="126"/>
      <c r="AM428" s="505" t="b">
        <v>0</v>
      </c>
      <c r="AN428" s="504" t="b">
        <v>0</v>
      </c>
      <c r="AO428" s="105"/>
      <c r="AP428" s="105"/>
      <c r="AQ428" s="105"/>
      <c r="AR428" s="105"/>
      <c r="AS428" s="105"/>
      <c r="AT428" s="105"/>
      <c r="AU428" s="105"/>
      <c r="AV428" s="105"/>
      <c r="AW428" s="105"/>
      <c r="AX428" s="105"/>
      <c r="AY428" s="105"/>
      <c r="AZ428" s="105"/>
      <c r="BA428" s="105"/>
    </row>
    <row r="429">
      <c r="A429" s="506"/>
      <c r="B429" s="506"/>
      <c r="C429" s="506"/>
      <c r="D429" s="506"/>
      <c r="E429" s="506"/>
      <c r="F429" s="506"/>
      <c r="G429" s="506"/>
      <c r="H429" s="506"/>
      <c r="I429" s="505" t="b">
        <v>0</v>
      </c>
      <c r="J429" s="507" t="b">
        <v>0</v>
      </c>
      <c r="K429" s="112"/>
      <c r="L429" s="505" t="b">
        <v>0</v>
      </c>
      <c r="M429" s="504" t="b">
        <v>0</v>
      </c>
      <c r="N429" s="112"/>
      <c r="O429" s="505" t="b">
        <v>0</v>
      </c>
      <c r="P429" s="504" t="b">
        <v>0</v>
      </c>
      <c r="Q429" s="116"/>
      <c r="R429" s="505" t="b">
        <v>0</v>
      </c>
      <c r="S429" s="504" t="b">
        <v>0</v>
      </c>
      <c r="T429" s="117"/>
      <c r="U429" s="505" t="b">
        <v>0</v>
      </c>
      <c r="V429" s="504" t="b">
        <v>0</v>
      </c>
      <c r="W429" s="118"/>
      <c r="X429" s="505" t="b">
        <v>0</v>
      </c>
      <c r="Y429" s="504" t="b">
        <v>0</v>
      </c>
      <c r="Z429" s="119"/>
      <c r="AA429" s="505" t="b">
        <v>0</v>
      </c>
      <c r="AB429" s="504" t="b">
        <v>0</v>
      </c>
      <c r="AC429" s="121"/>
      <c r="AD429" s="505" t="b">
        <v>0</v>
      </c>
      <c r="AE429" s="504" t="b">
        <v>0</v>
      </c>
      <c r="AF429" s="125"/>
      <c r="AG429" s="505" t="b">
        <v>0</v>
      </c>
      <c r="AH429" s="504" t="b">
        <v>0</v>
      </c>
      <c r="AI429" s="105"/>
      <c r="AJ429" s="505" t="b">
        <v>0</v>
      </c>
      <c r="AK429" s="504" t="b">
        <v>0</v>
      </c>
      <c r="AL429" s="126"/>
      <c r="AM429" s="505" t="b">
        <v>0</v>
      </c>
      <c r="AN429" s="504" t="b">
        <v>0</v>
      </c>
      <c r="AO429" s="105"/>
      <c r="AP429" s="105"/>
      <c r="AQ429" s="105"/>
      <c r="AR429" s="105"/>
      <c r="AS429" s="105"/>
      <c r="AT429" s="105"/>
      <c r="AU429" s="105"/>
      <c r="AV429" s="105"/>
      <c r="AW429" s="105"/>
      <c r="AX429" s="105"/>
      <c r="AY429" s="105"/>
      <c r="AZ429" s="105"/>
      <c r="BA429" s="105"/>
    </row>
    <row r="430">
      <c r="A430" s="506"/>
      <c r="B430" s="506"/>
      <c r="C430" s="506"/>
      <c r="D430" s="506"/>
      <c r="E430" s="506"/>
      <c r="F430" s="506"/>
      <c r="G430" s="506"/>
      <c r="H430" s="506"/>
      <c r="I430" s="505" t="b">
        <v>0</v>
      </c>
      <c r="J430" s="507" t="b">
        <v>0</v>
      </c>
      <c r="K430" s="112"/>
      <c r="L430" s="505" t="b">
        <v>0</v>
      </c>
      <c r="M430" s="504" t="b">
        <v>0</v>
      </c>
      <c r="N430" s="112"/>
      <c r="O430" s="505" t="b">
        <v>0</v>
      </c>
      <c r="P430" s="504" t="b">
        <v>0</v>
      </c>
      <c r="Q430" s="116"/>
      <c r="R430" s="505" t="b">
        <v>0</v>
      </c>
      <c r="S430" s="504" t="b">
        <v>0</v>
      </c>
      <c r="T430" s="117"/>
      <c r="U430" s="505" t="b">
        <v>0</v>
      </c>
      <c r="V430" s="504" t="b">
        <v>0</v>
      </c>
      <c r="W430" s="118"/>
      <c r="X430" s="505" t="b">
        <v>0</v>
      </c>
      <c r="Y430" s="504" t="b">
        <v>0</v>
      </c>
      <c r="Z430" s="119"/>
      <c r="AA430" s="505" t="b">
        <v>0</v>
      </c>
      <c r="AB430" s="504" t="b">
        <v>0</v>
      </c>
      <c r="AC430" s="121"/>
      <c r="AD430" s="505" t="b">
        <v>0</v>
      </c>
      <c r="AE430" s="504" t="b">
        <v>0</v>
      </c>
      <c r="AF430" s="125"/>
      <c r="AG430" s="505" t="b">
        <v>0</v>
      </c>
      <c r="AH430" s="504" t="b">
        <v>0</v>
      </c>
      <c r="AI430" s="105"/>
      <c r="AJ430" s="505" t="b">
        <v>0</v>
      </c>
      <c r="AK430" s="504" t="b">
        <v>0</v>
      </c>
      <c r="AL430" s="126"/>
      <c r="AM430" s="505" t="b">
        <v>0</v>
      </c>
      <c r="AN430" s="504" t="b">
        <v>0</v>
      </c>
      <c r="AO430" s="105"/>
      <c r="AP430" s="105"/>
      <c r="AQ430" s="105"/>
      <c r="AR430" s="105"/>
      <c r="AS430" s="105"/>
      <c r="AT430" s="105"/>
      <c r="AU430" s="105"/>
      <c r="AV430" s="105"/>
      <c r="AW430" s="105"/>
      <c r="AX430" s="105"/>
      <c r="AY430" s="105"/>
      <c r="AZ430" s="105"/>
      <c r="BA430" s="105"/>
    </row>
    <row r="431">
      <c r="A431" s="506"/>
      <c r="B431" s="506"/>
      <c r="C431" s="506"/>
      <c r="D431" s="506"/>
      <c r="E431" s="506"/>
      <c r="F431" s="506"/>
      <c r="G431" s="506"/>
      <c r="H431" s="506"/>
      <c r="I431" s="505" t="b">
        <v>0</v>
      </c>
      <c r="J431" s="507" t="b">
        <v>0</v>
      </c>
      <c r="K431" s="112"/>
      <c r="L431" s="505" t="b">
        <v>0</v>
      </c>
      <c r="M431" s="504" t="b">
        <v>0</v>
      </c>
      <c r="N431" s="112"/>
      <c r="O431" s="505" t="b">
        <v>0</v>
      </c>
      <c r="P431" s="504" t="b">
        <v>0</v>
      </c>
      <c r="Q431" s="116"/>
      <c r="R431" s="505" t="b">
        <v>0</v>
      </c>
      <c r="S431" s="504" t="b">
        <v>0</v>
      </c>
      <c r="T431" s="117"/>
      <c r="U431" s="505" t="b">
        <v>0</v>
      </c>
      <c r="V431" s="504" t="b">
        <v>0</v>
      </c>
      <c r="W431" s="118"/>
      <c r="X431" s="505" t="b">
        <v>0</v>
      </c>
      <c r="Y431" s="504" t="b">
        <v>0</v>
      </c>
      <c r="Z431" s="119"/>
      <c r="AA431" s="505" t="b">
        <v>0</v>
      </c>
      <c r="AB431" s="504" t="b">
        <v>0</v>
      </c>
      <c r="AC431" s="121"/>
      <c r="AD431" s="505" t="b">
        <v>0</v>
      </c>
      <c r="AE431" s="504" t="b">
        <v>0</v>
      </c>
      <c r="AF431" s="125"/>
      <c r="AG431" s="505" t="b">
        <v>0</v>
      </c>
      <c r="AH431" s="504" t="b">
        <v>0</v>
      </c>
      <c r="AI431" s="105"/>
      <c r="AJ431" s="505" t="b">
        <v>0</v>
      </c>
      <c r="AK431" s="504" t="b">
        <v>0</v>
      </c>
      <c r="AL431" s="126"/>
      <c r="AM431" s="505" t="b">
        <v>0</v>
      </c>
      <c r="AN431" s="504" t="b">
        <v>0</v>
      </c>
      <c r="AO431" s="105"/>
      <c r="AP431" s="105"/>
      <c r="AQ431" s="105"/>
      <c r="AR431" s="105"/>
      <c r="AS431" s="105"/>
      <c r="AT431" s="105"/>
      <c r="AU431" s="105"/>
      <c r="AV431" s="105"/>
      <c r="AW431" s="105"/>
      <c r="AX431" s="105"/>
      <c r="AY431" s="105"/>
      <c r="AZ431" s="105"/>
      <c r="BA431" s="105"/>
    </row>
    <row r="432">
      <c r="A432" s="506"/>
      <c r="B432" s="506"/>
      <c r="C432" s="506"/>
      <c r="D432" s="506"/>
      <c r="E432" s="506"/>
      <c r="F432" s="506"/>
      <c r="G432" s="506"/>
      <c r="H432" s="506"/>
      <c r="I432" s="505" t="b">
        <v>0</v>
      </c>
      <c r="J432" s="507" t="b">
        <v>0</v>
      </c>
      <c r="K432" s="112"/>
      <c r="L432" s="505" t="b">
        <v>0</v>
      </c>
      <c r="M432" s="504" t="b">
        <v>0</v>
      </c>
      <c r="N432" s="112"/>
      <c r="O432" s="505" t="b">
        <v>0</v>
      </c>
      <c r="P432" s="504" t="b">
        <v>0</v>
      </c>
      <c r="Q432" s="116"/>
      <c r="R432" s="505" t="b">
        <v>0</v>
      </c>
      <c r="S432" s="504" t="b">
        <v>0</v>
      </c>
      <c r="T432" s="117"/>
      <c r="U432" s="505" t="b">
        <v>0</v>
      </c>
      <c r="V432" s="504" t="b">
        <v>0</v>
      </c>
      <c r="W432" s="118"/>
      <c r="X432" s="505" t="b">
        <v>0</v>
      </c>
      <c r="Y432" s="504" t="b">
        <v>0</v>
      </c>
      <c r="Z432" s="119"/>
      <c r="AA432" s="505" t="b">
        <v>0</v>
      </c>
      <c r="AB432" s="504" t="b">
        <v>0</v>
      </c>
      <c r="AC432" s="121"/>
      <c r="AD432" s="505" t="b">
        <v>0</v>
      </c>
      <c r="AE432" s="504" t="b">
        <v>0</v>
      </c>
      <c r="AF432" s="125"/>
      <c r="AG432" s="505" t="b">
        <v>0</v>
      </c>
      <c r="AH432" s="504" t="b">
        <v>0</v>
      </c>
      <c r="AI432" s="105"/>
      <c r="AJ432" s="505" t="b">
        <v>0</v>
      </c>
      <c r="AK432" s="504" t="b">
        <v>0</v>
      </c>
      <c r="AL432" s="126"/>
      <c r="AM432" s="505" t="b">
        <v>0</v>
      </c>
      <c r="AN432" s="504" t="b">
        <v>0</v>
      </c>
      <c r="AO432" s="105"/>
      <c r="AP432" s="105"/>
      <c r="AQ432" s="105"/>
      <c r="AR432" s="105"/>
      <c r="AS432" s="105"/>
      <c r="AT432" s="105"/>
      <c r="AU432" s="105"/>
      <c r="AV432" s="105"/>
      <c r="AW432" s="105"/>
      <c r="AX432" s="105"/>
      <c r="AY432" s="105"/>
      <c r="AZ432" s="105"/>
      <c r="BA432" s="105"/>
    </row>
    <row r="433">
      <c r="A433" s="506"/>
      <c r="B433" s="506"/>
      <c r="C433" s="506"/>
      <c r="D433" s="506"/>
      <c r="E433" s="506"/>
      <c r="F433" s="506"/>
      <c r="G433" s="506"/>
      <c r="H433" s="506"/>
      <c r="I433" s="505" t="b">
        <v>0</v>
      </c>
      <c r="J433" s="507" t="b">
        <v>0</v>
      </c>
      <c r="K433" s="112"/>
      <c r="L433" s="505" t="b">
        <v>0</v>
      </c>
      <c r="M433" s="504" t="b">
        <v>0</v>
      </c>
      <c r="N433" s="112"/>
      <c r="O433" s="505" t="b">
        <v>0</v>
      </c>
      <c r="P433" s="504" t="b">
        <v>0</v>
      </c>
      <c r="Q433" s="116"/>
      <c r="R433" s="505" t="b">
        <v>0</v>
      </c>
      <c r="S433" s="504" t="b">
        <v>0</v>
      </c>
      <c r="T433" s="117"/>
      <c r="U433" s="505" t="b">
        <v>0</v>
      </c>
      <c r="V433" s="504" t="b">
        <v>0</v>
      </c>
      <c r="W433" s="118"/>
      <c r="X433" s="505" t="b">
        <v>0</v>
      </c>
      <c r="Y433" s="504" t="b">
        <v>0</v>
      </c>
      <c r="Z433" s="119"/>
      <c r="AA433" s="505" t="b">
        <v>0</v>
      </c>
      <c r="AB433" s="504" t="b">
        <v>0</v>
      </c>
      <c r="AC433" s="121"/>
      <c r="AD433" s="505" t="b">
        <v>0</v>
      </c>
      <c r="AE433" s="504" t="b">
        <v>0</v>
      </c>
      <c r="AF433" s="125"/>
      <c r="AG433" s="505" t="b">
        <v>0</v>
      </c>
      <c r="AH433" s="504" t="b">
        <v>0</v>
      </c>
      <c r="AI433" s="105"/>
      <c r="AJ433" s="505" t="b">
        <v>0</v>
      </c>
      <c r="AK433" s="504" t="b">
        <v>0</v>
      </c>
      <c r="AL433" s="126"/>
      <c r="AM433" s="505" t="b">
        <v>0</v>
      </c>
      <c r="AN433" s="504" t="b">
        <v>0</v>
      </c>
      <c r="AO433" s="105"/>
      <c r="AP433" s="105"/>
      <c r="AQ433" s="105"/>
      <c r="AR433" s="105"/>
      <c r="AS433" s="105"/>
      <c r="AT433" s="105"/>
      <c r="AU433" s="105"/>
      <c r="AV433" s="105"/>
      <c r="AW433" s="105"/>
      <c r="AX433" s="105"/>
      <c r="AY433" s="105"/>
      <c r="AZ433" s="105"/>
      <c r="BA433" s="105"/>
    </row>
    <row r="434">
      <c r="A434" s="506"/>
      <c r="B434" s="506"/>
      <c r="C434" s="506"/>
      <c r="D434" s="506"/>
      <c r="E434" s="506"/>
      <c r="F434" s="506"/>
      <c r="G434" s="506"/>
      <c r="H434" s="506"/>
      <c r="I434" s="505" t="b">
        <v>0</v>
      </c>
      <c r="J434" s="507" t="b">
        <v>0</v>
      </c>
      <c r="K434" s="112"/>
      <c r="L434" s="505" t="b">
        <v>0</v>
      </c>
      <c r="M434" s="504" t="b">
        <v>0</v>
      </c>
      <c r="N434" s="112"/>
      <c r="O434" s="505" t="b">
        <v>0</v>
      </c>
      <c r="P434" s="504" t="b">
        <v>0</v>
      </c>
      <c r="Q434" s="116"/>
      <c r="R434" s="505" t="b">
        <v>0</v>
      </c>
      <c r="S434" s="504" t="b">
        <v>0</v>
      </c>
      <c r="T434" s="117"/>
      <c r="U434" s="505" t="b">
        <v>0</v>
      </c>
      <c r="V434" s="504" t="b">
        <v>0</v>
      </c>
      <c r="W434" s="118"/>
      <c r="X434" s="505" t="b">
        <v>0</v>
      </c>
      <c r="Y434" s="504" t="b">
        <v>0</v>
      </c>
      <c r="Z434" s="119"/>
      <c r="AA434" s="505" t="b">
        <v>0</v>
      </c>
      <c r="AB434" s="504" t="b">
        <v>0</v>
      </c>
      <c r="AC434" s="121"/>
      <c r="AD434" s="505" t="b">
        <v>0</v>
      </c>
      <c r="AE434" s="504" t="b">
        <v>0</v>
      </c>
      <c r="AF434" s="125"/>
      <c r="AG434" s="505" t="b">
        <v>0</v>
      </c>
      <c r="AH434" s="504" t="b">
        <v>0</v>
      </c>
      <c r="AI434" s="105"/>
      <c r="AJ434" s="505" t="b">
        <v>0</v>
      </c>
      <c r="AK434" s="504" t="b">
        <v>0</v>
      </c>
      <c r="AL434" s="126"/>
      <c r="AM434" s="505" t="b">
        <v>0</v>
      </c>
      <c r="AN434" s="504" t="b">
        <v>0</v>
      </c>
      <c r="AO434" s="105"/>
      <c r="AP434" s="105"/>
      <c r="AQ434" s="105"/>
      <c r="AR434" s="105"/>
      <c r="AS434" s="105"/>
      <c r="AT434" s="105"/>
      <c r="AU434" s="105"/>
      <c r="AV434" s="105"/>
      <c r="AW434" s="105"/>
      <c r="AX434" s="105"/>
      <c r="AY434" s="105"/>
      <c r="AZ434" s="105"/>
      <c r="BA434" s="105"/>
    </row>
    <row r="435">
      <c r="A435" s="506"/>
      <c r="B435" s="506"/>
      <c r="C435" s="506"/>
      <c r="D435" s="506"/>
      <c r="E435" s="506"/>
      <c r="F435" s="506"/>
      <c r="G435" s="506"/>
      <c r="H435" s="506"/>
      <c r="I435" s="505" t="b">
        <v>0</v>
      </c>
      <c r="J435" s="507" t="b">
        <v>0</v>
      </c>
      <c r="K435" s="112"/>
      <c r="L435" s="505" t="b">
        <v>0</v>
      </c>
      <c r="M435" s="504" t="b">
        <v>0</v>
      </c>
      <c r="N435" s="112"/>
      <c r="O435" s="505" t="b">
        <v>0</v>
      </c>
      <c r="P435" s="504" t="b">
        <v>0</v>
      </c>
      <c r="Q435" s="116"/>
      <c r="R435" s="505" t="b">
        <v>0</v>
      </c>
      <c r="S435" s="504" t="b">
        <v>0</v>
      </c>
      <c r="T435" s="117"/>
      <c r="U435" s="505" t="b">
        <v>0</v>
      </c>
      <c r="V435" s="504" t="b">
        <v>0</v>
      </c>
      <c r="W435" s="118"/>
      <c r="X435" s="505" t="b">
        <v>0</v>
      </c>
      <c r="Y435" s="504" t="b">
        <v>0</v>
      </c>
      <c r="Z435" s="119"/>
      <c r="AA435" s="505" t="b">
        <v>0</v>
      </c>
      <c r="AB435" s="504" t="b">
        <v>0</v>
      </c>
      <c r="AC435" s="121"/>
      <c r="AD435" s="505" t="b">
        <v>0</v>
      </c>
      <c r="AE435" s="504" t="b">
        <v>0</v>
      </c>
      <c r="AF435" s="125"/>
      <c r="AG435" s="505" t="b">
        <v>0</v>
      </c>
      <c r="AH435" s="504" t="b">
        <v>0</v>
      </c>
      <c r="AI435" s="105"/>
      <c r="AJ435" s="505" t="b">
        <v>0</v>
      </c>
      <c r="AK435" s="504" t="b">
        <v>0</v>
      </c>
      <c r="AL435" s="126"/>
      <c r="AM435" s="505" t="b">
        <v>0</v>
      </c>
      <c r="AN435" s="504" t="b">
        <v>0</v>
      </c>
      <c r="AO435" s="105"/>
      <c r="AP435" s="105"/>
      <c r="AQ435" s="105"/>
      <c r="AR435" s="105"/>
      <c r="AS435" s="105"/>
      <c r="AT435" s="105"/>
      <c r="AU435" s="105"/>
      <c r="AV435" s="105"/>
      <c r="AW435" s="105"/>
      <c r="AX435" s="105"/>
      <c r="AY435" s="105"/>
      <c r="AZ435" s="105"/>
      <c r="BA435" s="105"/>
    </row>
    <row r="436">
      <c r="A436" s="506"/>
      <c r="B436" s="506"/>
      <c r="C436" s="506"/>
      <c r="D436" s="506"/>
      <c r="E436" s="506"/>
      <c r="F436" s="506"/>
      <c r="G436" s="506"/>
      <c r="H436" s="506"/>
      <c r="I436" s="505" t="b">
        <v>0</v>
      </c>
      <c r="J436" s="507" t="b">
        <v>0</v>
      </c>
      <c r="K436" s="112"/>
      <c r="L436" s="505" t="b">
        <v>0</v>
      </c>
      <c r="M436" s="504" t="b">
        <v>0</v>
      </c>
      <c r="N436" s="112"/>
      <c r="O436" s="505" t="b">
        <v>0</v>
      </c>
      <c r="P436" s="504" t="b">
        <v>0</v>
      </c>
      <c r="Q436" s="116"/>
      <c r="R436" s="505" t="b">
        <v>0</v>
      </c>
      <c r="S436" s="504" t="b">
        <v>0</v>
      </c>
      <c r="T436" s="117"/>
      <c r="U436" s="505" t="b">
        <v>0</v>
      </c>
      <c r="V436" s="504" t="b">
        <v>0</v>
      </c>
      <c r="W436" s="118"/>
      <c r="X436" s="505" t="b">
        <v>0</v>
      </c>
      <c r="Y436" s="504" t="b">
        <v>0</v>
      </c>
      <c r="Z436" s="119"/>
      <c r="AA436" s="505" t="b">
        <v>0</v>
      </c>
      <c r="AB436" s="504" t="b">
        <v>0</v>
      </c>
      <c r="AC436" s="121"/>
      <c r="AD436" s="505" t="b">
        <v>0</v>
      </c>
      <c r="AE436" s="504" t="b">
        <v>0</v>
      </c>
      <c r="AF436" s="125"/>
      <c r="AG436" s="505" t="b">
        <v>0</v>
      </c>
      <c r="AH436" s="504" t="b">
        <v>0</v>
      </c>
      <c r="AI436" s="105"/>
      <c r="AJ436" s="505" t="b">
        <v>0</v>
      </c>
      <c r="AK436" s="504" t="b">
        <v>0</v>
      </c>
      <c r="AL436" s="126"/>
      <c r="AM436" s="505" t="b">
        <v>0</v>
      </c>
      <c r="AN436" s="504" t="b">
        <v>0</v>
      </c>
      <c r="AO436" s="105"/>
      <c r="AP436" s="105"/>
      <c r="AQ436" s="105"/>
      <c r="AR436" s="105"/>
      <c r="AS436" s="105"/>
      <c r="AT436" s="105"/>
      <c r="AU436" s="105"/>
      <c r="AV436" s="105"/>
      <c r="AW436" s="105"/>
      <c r="AX436" s="105"/>
      <c r="AY436" s="105"/>
      <c r="AZ436" s="105"/>
      <c r="BA436" s="105"/>
    </row>
    <row r="437">
      <c r="A437" s="506"/>
      <c r="B437" s="506"/>
      <c r="C437" s="506"/>
      <c r="D437" s="506"/>
      <c r="E437" s="506"/>
      <c r="F437" s="506"/>
      <c r="G437" s="506"/>
      <c r="H437" s="506"/>
      <c r="I437" s="505" t="b">
        <v>0</v>
      </c>
      <c r="J437" s="507" t="b">
        <v>0</v>
      </c>
      <c r="K437" s="112"/>
      <c r="L437" s="505" t="b">
        <v>0</v>
      </c>
      <c r="M437" s="504" t="b">
        <v>0</v>
      </c>
      <c r="N437" s="112"/>
      <c r="O437" s="505" t="b">
        <v>0</v>
      </c>
      <c r="P437" s="504" t="b">
        <v>0</v>
      </c>
      <c r="Q437" s="116"/>
      <c r="R437" s="505" t="b">
        <v>0</v>
      </c>
      <c r="S437" s="504" t="b">
        <v>0</v>
      </c>
      <c r="T437" s="117"/>
      <c r="U437" s="505" t="b">
        <v>0</v>
      </c>
      <c r="V437" s="504" t="b">
        <v>0</v>
      </c>
      <c r="W437" s="118"/>
      <c r="X437" s="505" t="b">
        <v>0</v>
      </c>
      <c r="Y437" s="504" t="b">
        <v>0</v>
      </c>
      <c r="Z437" s="119"/>
      <c r="AA437" s="505" t="b">
        <v>0</v>
      </c>
      <c r="AB437" s="504" t="b">
        <v>0</v>
      </c>
      <c r="AC437" s="121"/>
      <c r="AD437" s="505" t="b">
        <v>0</v>
      </c>
      <c r="AE437" s="504" t="b">
        <v>0</v>
      </c>
      <c r="AF437" s="125"/>
      <c r="AG437" s="505" t="b">
        <v>0</v>
      </c>
      <c r="AH437" s="504" t="b">
        <v>0</v>
      </c>
      <c r="AI437" s="105"/>
      <c r="AJ437" s="505" t="b">
        <v>0</v>
      </c>
      <c r="AK437" s="504" t="b">
        <v>0</v>
      </c>
      <c r="AL437" s="126"/>
      <c r="AM437" s="505" t="b">
        <v>0</v>
      </c>
      <c r="AN437" s="504" t="b">
        <v>0</v>
      </c>
      <c r="AO437" s="105"/>
      <c r="AP437" s="105"/>
      <c r="AQ437" s="105"/>
      <c r="AR437" s="105"/>
      <c r="AS437" s="105"/>
      <c r="AT437" s="105"/>
      <c r="AU437" s="105"/>
      <c r="AV437" s="105"/>
      <c r="AW437" s="105"/>
      <c r="AX437" s="105"/>
      <c r="AY437" s="105"/>
      <c r="AZ437" s="105"/>
      <c r="BA437" s="105"/>
    </row>
    <row r="438">
      <c r="A438" s="506"/>
      <c r="B438" s="506"/>
      <c r="C438" s="506"/>
      <c r="D438" s="506"/>
      <c r="E438" s="506"/>
      <c r="F438" s="506"/>
      <c r="G438" s="506"/>
      <c r="H438" s="506"/>
      <c r="I438" s="505" t="b">
        <v>0</v>
      </c>
      <c r="J438" s="507" t="b">
        <v>0</v>
      </c>
      <c r="K438" s="112"/>
      <c r="L438" s="505" t="b">
        <v>0</v>
      </c>
      <c r="M438" s="504" t="b">
        <v>0</v>
      </c>
      <c r="N438" s="112"/>
      <c r="O438" s="505" t="b">
        <v>0</v>
      </c>
      <c r="P438" s="504" t="b">
        <v>0</v>
      </c>
      <c r="Q438" s="116"/>
      <c r="R438" s="505" t="b">
        <v>0</v>
      </c>
      <c r="S438" s="504" t="b">
        <v>0</v>
      </c>
      <c r="T438" s="117"/>
      <c r="U438" s="505" t="b">
        <v>0</v>
      </c>
      <c r="V438" s="504" t="b">
        <v>0</v>
      </c>
      <c r="W438" s="118"/>
      <c r="X438" s="505" t="b">
        <v>0</v>
      </c>
      <c r="Y438" s="504" t="b">
        <v>0</v>
      </c>
      <c r="Z438" s="119"/>
      <c r="AA438" s="505" t="b">
        <v>0</v>
      </c>
      <c r="AB438" s="504" t="b">
        <v>0</v>
      </c>
      <c r="AC438" s="121"/>
      <c r="AD438" s="505" t="b">
        <v>0</v>
      </c>
      <c r="AE438" s="504" t="b">
        <v>0</v>
      </c>
      <c r="AF438" s="125"/>
      <c r="AG438" s="505" t="b">
        <v>0</v>
      </c>
      <c r="AH438" s="504" t="b">
        <v>0</v>
      </c>
      <c r="AI438" s="105"/>
      <c r="AJ438" s="505" t="b">
        <v>0</v>
      </c>
      <c r="AK438" s="504" t="b">
        <v>0</v>
      </c>
      <c r="AL438" s="126"/>
      <c r="AM438" s="505" t="b">
        <v>0</v>
      </c>
      <c r="AN438" s="504" t="b">
        <v>0</v>
      </c>
      <c r="AO438" s="105"/>
      <c r="AP438" s="105"/>
      <c r="AQ438" s="105"/>
      <c r="AR438" s="105"/>
      <c r="AS438" s="105"/>
      <c r="AT438" s="105"/>
      <c r="AU438" s="105"/>
      <c r="AV438" s="105"/>
      <c r="AW438" s="105"/>
      <c r="AX438" s="105"/>
      <c r="AY438" s="105"/>
      <c r="AZ438" s="105"/>
      <c r="BA438" s="105"/>
    </row>
    <row r="439">
      <c r="A439" s="506"/>
      <c r="B439" s="506"/>
      <c r="C439" s="506"/>
      <c r="D439" s="506"/>
      <c r="E439" s="506"/>
      <c r="F439" s="506"/>
      <c r="G439" s="506"/>
      <c r="H439" s="506"/>
      <c r="I439" s="505" t="b">
        <v>0</v>
      </c>
      <c r="J439" s="507" t="b">
        <v>0</v>
      </c>
      <c r="K439" s="112"/>
      <c r="L439" s="505" t="b">
        <v>0</v>
      </c>
      <c r="M439" s="504" t="b">
        <v>0</v>
      </c>
      <c r="N439" s="112"/>
      <c r="O439" s="505" t="b">
        <v>0</v>
      </c>
      <c r="P439" s="504" t="b">
        <v>0</v>
      </c>
      <c r="Q439" s="116"/>
      <c r="R439" s="505" t="b">
        <v>0</v>
      </c>
      <c r="S439" s="504" t="b">
        <v>0</v>
      </c>
      <c r="T439" s="117"/>
      <c r="U439" s="505" t="b">
        <v>0</v>
      </c>
      <c r="V439" s="504" t="b">
        <v>0</v>
      </c>
      <c r="W439" s="118"/>
      <c r="X439" s="505" t="b">
        <v>0</v>
      </c>
      <c r="Y439" s="504" t="b">
        <v>0</v>
      </c>
      <c r="Z439" s="119"/>
      <c r="AA439" s="505" t="b">
        <v>0</v>
      </c>
      <c r="AB439" s="504" t="b">
        <v>0</v>
      </c>
      <c r="AC439" s="121"/>
      <c r="AD439" s="505" t="b">
        <v>0</v>
      </c>
      <c r="AE439" s="504" t="b">
        <v>0</v>
      </c>
      <c r="AF439" s="125"/>
      <c r="AG439" s="505" t="b">
        <v>0</v>
      </c>
      <c r="AH439" s="504" t="b">
        <v>0</v>
      </c>
      <c r="AI439" s="105"/>
      <c r="AJ439" s="505" t="b">
        <v>0</v>
      </c>
      <c r="AK439" s="504" t="b">
        <v>0</v>
      </c>
      <c r="AL439" s="126"/>
      <c r="AM439" s="505" t="b">
        <v>0</v>
      </c>
      <c r="AN439" s="504" t="b">
        <v>0</v>
      </c>
      <c r="AO439" s="105"/>
      <c r="AP439" s="105"/>
      <c r="AQ439" s="105"/>
      <c r="AR439" s="105"/>
      <c r="AS439" s="105"/>
      <c r="AT439" s="105"/>
      <c r="AU439" s="105"/>
      <c r="AV439" s="105"/>
      <c r="AW439" s="105"/>
      <c r="AX439" s="105"/>
      <c r="AY439" s="105"/>
      <c r="AZ439" s="105"/>
      <c r="BA439" s="105"/>
    </row>
    <row r="440">
      <c r="A440" s="506"/>
      <c r="B440" s="506"/>
      <c r="C440" s="506"/>
      <c r="D440" s="506"/>
      <c r="E440" s="506"/>
      <c r="F440" s="506"/>
      <c r="G440" s="506"/>
      <c r="H440" s="506"/>
      <c r="I440" s="505" t="b">
        <v>0</v>
      </c>
      <c r="J440" s="507" t="b">
        <v>0</v>
      </c>
      <c r="K440" s="112"/>
      <c r="L440" s="505" t="b">
        <v>0</v>
      </c>
      <c r="M440" s="504" t="b">
        <v>0</v>
      </c>
      <c r="N440" s="112"/>
      <c r="O440" s="505" t="b">
        <v>0</v>
      </c>
      <c r="P440" s="504" t="b">
        <v>0</v>
      </c>
      <c r="Q440" s="116"/>
      <c r="R440" s="505" t="b">
        <v>0</v>
      </c>
      <c r="S440" s="504" t="b">
        <v>0</v>
      </c>
      <c r="T440" s="117"/>
      <c r="U440" s="505" t="b">
        <v>0</v>
      </c>
      <c r="V440" s="504" t="b">
        <v>0</v>
      </c>
      <c r="W440" s="118"/>
      <c r="X440" s="505" t="b">
        <v>0</v>
      </c>
      <c r="Y440" s="504" t="b">
        <v>0</v>
      </c>
      <c r="Z440" s="119"/>
      <c r="AA440" s="505" t="b">
        <v>0</v>
      </c>
      <c r="AB440" s="504" t="b">
        <v>0</v>
      </c>
      <c r="AC440" s="121"/>
      <c r="AD440" s="505" t="b">
        <v>0</v>
      </c>
      <c r="AE440" s="504" t="b">
        <v>0</v>
      </c>
      <c r="AF440" s="125"/>
      <c r="AG440" s="505" t="b">
        <v>0</v>
      </c>
      <c r="AH440" s="504" t="b">
        <v>0</v>
      </c>
      <c r="AI440" s="105"/>
      <c r="AJ440" s="505" t="b">
        <v>0</v>
      </c>
      <c r="AK440" s="504" t="b">
        <v>0</v>
      </c>
      <c r="AL440" s="126"/>
      <c r="AM440" s="505" t="b">
        <v>0</v>
      </c>
      <c r="AN440" s="504" t="b">
        <v>0</v>
      </c>
      <c r="AO440" s="105"/>
      <c r="AP440" s="105"/>
      <c r="AQ440" s="105"/>
      <c r="AR440" s="105"/>
      <c r="AS440" s="105"/>
      <c r="AT440" s="105"/>
      <c r="AU440" s="105"/>
      <c r="AV440" s="105"/>
      <c r="AW440" s="105"/>
      <c r="AX440" s="105"/>
      <c r="AY440" s="105"/>
      <c r="AZ440" s="105"/>
      <c r="BA440" s="105"/>
    </row>
    <row r="441">
      <c r="A441" s="506"/>
      <c r="B441" s="506"/>
      <c r="C441" s="506"/>
      <c r="D441" s="506"/>
      <c r="E441" s="506"/>
      <c r="F441" s="506"/>
      <c r="G441" s="506"/>
      <c r="H441" s="506"/>
      <c r="I441" s="505" t="b">
        <v>0</v>
      </c>
      <c r="J441" s="507" t="b">
        <v>0</v>
      </c>
      <c r="K441" s="112"/>
      <c r="L441" s="505" t="b">
        <v>0</v>
      </c>
      <c r="M441" s="504" t="b">
        <v>0</v>
      </c>
      <c r="N441" s="112"/>
      <c r="O441" s="505" t="b">
        <v>0</v>
      </c>
      <c r="P441" s="504" t="b">
        <v>0</v>
      </c>
      <c r="Q441" s="116"/>
      <c r="R441" s="505" t="b">
        <v>0</v>
      </c>
      <c r="S441" s="504" t="b">
        <v>0</v>
      </c>
      <c r="T441" s="117"/>
      <c r="U441" s="505" t="b">
        <v>0</v>
      </c>
      <c r="V441" s="504" t="b">
        <v>0</v>
      </c>
      <c r="W441" s="118"/>
      <c r="X441" s="505" t="b">
        <v>0</v>
      </c>
      <c r="Y441" s="504" t="b">
        <v>0</v>
      </c>
      <c r="Z441" s="119"/>
      <c r="AA441" s="505" t="b">
        <v>0</v>
      </c>
      <c r="AB441" s="504" t="b">
        <v>0</v>
      </c>
      <c r="AC441" s="121"/>
      <c r="AD441" s="505" t="b">
        <v>0</v>
      </c>
      <c r="AE441" s="504" t="b">
        <v>0</v>
      </c>
      <c r="AF441" s="125"/>
      <c r="AG441" s="505" t="b">
        <v>0</v>
      </c>
      <c r="AH441" s="504" t="b">
        <v>0</v>
      </c>
      <c r="AI441" s="105"/>
      <c r="AJ441" s="505" t="b">
        <v>0</v>
      </c>
      <c r="AK441" s="504" t="b">
        <v>0</v>
      </c>
      <c r="AL441" s="126"/>
      <c r="AM441" s="505" t="b">
        <v>0</v>
      </c>
      <c r="AN441" s="504" t="b">
        <v>0</v>
      </c>
      <c r="AO441" s="105"/>
      <c r="AP441" s="105"/>
      <c r="AQ441" s="105"/>
      <c r="AR441" s="105"/>
      <c r="AS441" s="105"/>
      <c r="AT441" s="105"/>
      <c r="AU441" s="105"/>
      <c r="AV441" s="105"/>
      <c r="AW441" s="105"/>
      <c r="AX441" s="105"/>
      <c r="AY441" s="105"/>
      <c r="AZ441" s="105"/>
      <c r="BA441" s="105"/>
    </row>
    <row r="442">
      <c r="A442" s="506"/>
      <c r="B442" s="506"/>
      <c r="C442" s="506"/>
      <c r="D442" s="506"/>
      <c r="E442" s="506"/>
      <c r="F442" s="506"/>
      <c r="G442" s="506"/>
      <c r="H442" s="506"/>
      <c r="I442" s="505" t="b">
        <v>0</v>
      </c>
      <c r="J442" s="507" t="b">
        <v>0</v>
      </c>
      <c r="K442" s="112"/>
      <c r="L442" s="505" t="b">
        <v>0</v>
      </c>
      <c r="M442" s="504" t="b">
        <v>0</v>
      </c>
      <c r="N442" s="112"/>
      <c r="O442" s="505" t="b">
        <v>0</v>
      </c>
      <c r="P442" s="504" t="b">
        <v>0</v>
      </c>
      <c r="Q442" s="116"/>
      <c r="R442" s="505" t="b">
        <v>0</v>
      </c>
      <c r="S442" s="504" t="b">
        <v>0</v>
      </c>
      <c r="T442" s="117"/>
      <c r="U442" s="505" t="b">
        <v>0</v>
      </c>
      <c r="V442" s="504" t="b">
        <v>0</v>
      </c>
      <c r="W442" s="118"/>
      <c r="X442" s="505" t="b">
        <v>0</v>
      </c>
      <c r="Y442" s="504" t="b">
        <v>0</v>
      </c>
      <c r="Z442" s="119"/>
      <c r="AA442" s="505" t="b">
        <v>0</v>
      </c>
      <c r="AB442" s="504" t="b">
        <v>0</v>
      </c>
      <c r="AC442" s="121"/>
      <c r="AD442" s="505" t="b">
        <v>0</v>
      </c>
      <c r="AE442" s="504" t="b">
        <v>0</v>
      </c>
      <c r="AF442" s="125"/>
      <c r="AG442" s="505" t="b">
        <v>0</v>
      </c>
      <c r="AH442" s="504" t="b">
        <v>0</v>
      </c>
      <c r="AI442" s="105"/>
      <c r="AJ442" s="505" t="b">
        <v>0</v>
      </c>
      <c r="AK442" s="504" t="b">
        <v>0</v>
      </c>
      <c r="AL442" s="126"/>
      <c r="AM442" s="505" t="b">
        <v>0</v>
      </c>
      <c r="AN442" s="504" t="b">
        <v>0</v>
      </c>
      <c r="AO442" s="105"/>
      <c r="AP442" s="105"/>
      <c r="AQ442" s="105"/>
      <c r="AR442" s="105"/>
      <c r="AS442" s="105"/>
      <c r="AT442" s="105"/>
      <c r="AU442" s="105"/>
      <c r="AV442" s="105"/>
      <c r="AW442" s="105"/>
      <c r="AX442" s="105"/>
      <c r="AY442" s="105"/>
      <c r="AZ442" s="105"/>
      <c r="BA442" s="105"/>
    </row>
    <row r="443">
      <c r="A443" s="506"/>
      <c r="B443" s="506"/>
      <c r="C443" s="506"/>
      <c r="D443" s="506"/>
      <c r="E443" s="506"/>
      <c r="F443" s="506"/>
      <c r="G443" s="506"/>
      <c r="H443" s="506"/>
      <c r="I443" s="505" t="b">
        <v>0</v>
      </c>
      <c r="J443" s="507" t="b">
        <v>0</v>
      </c>
      <c r="K443" s="112"/>
      <c r="L443" s="505" t="b">
        <v>0</v>
      </c>
      <c r="M443" s="504" t="b">
        <v>0</v>
      </c>
      <c r="N443" s="112"/>
      <c r="O443" s="505" t="b">
        <v>0</v>
      </c>
      <c r="P443" s="504" t="b">
        <v>0</v>
      </c>
      <c r="Q443" s="116"/>
      <c r="R443" s="505" t="b">
        <v>0</v>
      </c>
      <c r="S443" s="504" t="b">
        <v>0</v>
      </c>
      <c r="T443" s="117"/>
      <c r="U443" s="505" t="b">
        <v>0</v>
      </c>
      <c r="V443" s="504" t="b">
        <v>0</v>
      </c>
      <c r="W443" s="118"/>
      <c r="X443" s="505" t="b">
        <v>0</v>
      </c>
      <c r="Y443" s="504" t="b">
        <v>0</v>
      </c>
      <c r="Z443" s="119"/>
      <c r="AA443" s="505" t="b">
        <v>0</v>
      </c>
      <c r="AB443" s="504" t="b">
        <v>0</v>
      </c>
      <c r="AC443" s="121"/>
      <c r="AD443" s="505" t="b">
        <v>0</v>
      </c>
      <c r="AE443" s="504" t="b">
        <v>0</v>
      </c>
      <c r="AF443" s="125"/>
      <c r="AG443" s="505" t="b">
        <v>0</v>
      </c>
      <c r="AH443" s="504" t="b">
        <v>0</v>
      </c>
      <c r="AI443" s="105"/>
      <c r="AJ443" s="505" t="b">
        <v>0</v>
      </c>
      <c r="AK443" s="504" t="b">
        <v>0</v>
      </c>
      <c r="AL443" s="126"/>
      <c r="AM443" s="505" t="b">
        <v>0</v>
      </c>
      <c r="AN443" s="504" t="b">
        <v>0</v>
      </c>
      <c r="AO443" s="105"/>
      <c r="AP443" s="105"/>
      <c r="AQ443" s="105"/>
      <c r="AR443" s="105"/>
      <c r="AS443" s="105"/>
      <c r="AT443" s="105"/>
      <c r="AU443" s="105"/>
      <c r="AV443" s="105"/>
      <c r="AW443" s="105"/>
      <c r="AX443" s="105"/>
      <c r="AY443" s="105"/>
      <c r="AZ443" s="105"/>
      <c r="BA443" s="105"/>
    </row>
    <row r="444">
      <c r="A444" s="506"/>
      <c r="B444" s="506"/>
      <c r="C444" s="506"/>
      <c r="D444" s="506"/>
      <c r="E444" s="506"/>
      <c r="F444" s="506"/>
      <c r="G444" s="506"/>
      <c r="H444" s="506"/>
      <c r="I444" s="505" t="b">
        <v>0</v>
      </c>
      <c r="J444" s="507" t="b">
        <v>0</v>
      </c>
      <c r="K444" s="112"/>
      <c r="L444" s="505" t="b">
        <v>0</v>
      </c>
      <c r="M444" s="504" t="b">
        <v>0</v>
      </c>
      <c r="N444" s="112"/>
      <c r="O444" s="505" t="b">
        <v>0</v>
      </c>
      <c r="P444" s="504" t="b">
        <v>0</v>
      </c>
      <c r="Q444" s="116"/>
      <c r="R444" s="505" t="b">
        <v>0</v>
      </c>
      <c r="S444" s="504" t="b">
        <v>0</v>
      </c>
      <c r="T444" s="117"/>
      <c r="U444" s="505" t="b">
        <v>0</v>
      </c>
      <c r="V444" s="504" t="b">
        <v>0</v>
      </c>
      <c r="W444" s="118"/>
      <c r="X444" s="505" t="b">
        <v>0</v>
      </c>
      <c r="Y444" s="504" t="b">
        <v>0</v>
      </c>
      <c r="Z444" s="119"/>
      <c r="AA444" s="505" t="b">
        <v>0</v>
      </c>
      <c r="AB444" s="504" t="b">
        <v>0</v>
      </c>
      <c r="AC444" s="121"/>
      <c r="AD444" s="505" t="b">
        <v>0</v>
      </c>
      <c r="AE444" s="504" t="b">
        <v>0</v>
      </c>
      <c r="AF444" s="125"/>
      <c r="AG444" s="505" t="b">
        <v>0</v>
      </c>
      <c r="AH444" s="504" t="b">
        <v>0</v>
      </c>
      <c r="AI444" s="105"/>
      <c r="AJ444" s="505" t="b">
        <v>0</v>
      </c>
      <c r="AK444" s="504" t="b">
        <v>0</v>
      </c>
      <c r="AL444" s="126"/>
      <c r="AM444" s="505" t="b">
        <v>0</v>
      </c>
      <c r="AN444" s="504" t="b">
        <v>0</v>
      </c>
      <c r="AO444" s="105"/>
      <c r="AP444" s="105"/>
      <c r="AQ444" s="105"/>
      <c r="AR444" s="105"/>
      <c r="AS444" s="105"/>
      <c r="AT444" s="105"/>
      <c r="AU444" s="105"/>
      <c r="AV444" s="105"/>
      <c r="AW444" s="105"/>
      <c r="AX444" s="105"/>
      <c r="AY444" s="105"/>
      <c r="AZ444" s="105"/>
      <c r="BA444" s="105"/>
    </row>
    <row r="445">
      <c r="A445" s="506"/>
      <c r="B445" s="506"/>
      <c r="C445" s="506"/>
      <c r="D445" s="506"/>
      <c r="E445" s="506"/>
      <c r="F445" s="506"/>
      <c r="G445" s="506"/>
      <c r="H445" s="506"/>
      <c r="I445" s="505" t="b">
        <v>0</v>
      </c>
      <c r="J445" s="507" t="b">
        <v>0</v>
      </c>
      <c r="K445" s="112"/>
      <c r="L445" s="505" t="b">
        <v>0</v>
      </c>
      <c r="M445" s="504" t="b">
        <v>0</v>
      </c>
      <c r="N445" s="112"/>
      <c r="O445" s="505" t="b">
        <v>0</v>
      </c>
      <c r="P445" s="504" t="b">
        <v>0</v>
      </c>
      <c r="Q445" s="116"/>
      <c r="R445" s="505" t="b">
        <v>0</v>
      </c>
      <c r="S445" s="504" t="b">
        <v>0</v>
      </c>
      <c r="T445" s="117"/>
      <c r="U445" s="505" t="b">
        <v>0</v>
      </c>
      <c r="V445" s="504" t="b">
        <v>0</v>
      </c>
      <c r="W445" s="118"/>
      <c r="X445" s="505" t="b">
        <v>0</v>
      </c>
      <c r="Y445" s="504" t="b">
        <v>0</v>
      </c>
      <c r="Z445" s="119"/>
      <c r="AA445" s="505" t="b">
        <v>0</v>
      </c>
      <c r="AB445" s="504" t="b">
        <v>0</v>
      </c>
      <c r="AC445" s="121"/>
      <c r="AD445" s="505" t="b">
        <v>0</v>
      </c>
      <c r="AE445" s="504" t="b">
        <v>0</v>
      </c>
      <c r="AF445" s="125"/>
      <c r="AG445" s="505" t="b">
        <v>0</v>
      </c>
      <c r="AH445" s="504" t="b">
        <v>0</v>
      </c>
      <c r="AI445" s="105"/>
      <c r="AJ445" s="505" t="b">
        <v>0</v>
      </c>
      <c r="AK445" s="504" t="b">
        <v>0</v>
      </c>
      <c r="AL445" s="126"/>
      <c r="AM445" s="505" t="b">
        <v>0</v>
      </c>
      <c r="AN445" s="504" t="b">
        <v>0</v>
      </c>
      <c r="AO445" s="105"/>
      <c r="AP445" s="105"/>
      <c r="AQ445" s="105"/>
      <c r="AR445" s="105"/>
      <c r="AS445" s="105"/>
      <c r="AT445" s="105"/>
      <c r="AU445" s="105"/>
      <c r="AV445" s="105"/>
      <c r="AW445" s="105"/>
      <c r="AX445" s="105"/>
      <c r="AY445" s="105"/>
      <c r="AZ445" s="105"/>
      <c r="BA445" s="105"/>
    </row>
    <row r="446">
      <c r="A446" s="506"/>
      <c r="B446" s="506"/>
      <c r="C446" s="506"/>
      <c r="D446" s="506"/>
      <c r="E446" s="506"/>
      <c r="F446" s="506"/>
      <c r="G446" s="506"/>
      <c r="H446" s="506"/>
      <c r="I446" s="505" t="b">
        <v>0</v>
      </c>
      <c r="J446" s="507" t="b">
        <v>0</v>
      </c>
      <c r="K446" s="112"/>
      <c r="L446" s="505" t="b">
        <v>0</v>
      </c>
      <c r="M446" s="504" t="b">
        <v>0</v>
      </c>
      <c r="N446" s="112"/>
      <c r="O446" s="505" t="b">
        <v>0</v>
      </c>
      <c r="P446" s="504" t="b">
        <v>0</v>
      </c>
      <c r="Q446" s="116"/>
      <c r="R446" s="505" t="b">
        <v>0</v>
      </c>
      <c r="S446" s="504" t="b">
        <v>0</v>
      </c>
      <c r="T446" s="117"/>
      <c r="U446" s="505" t="b">
        <v>0</v>
      </c>
      <c r="V446" s="504" t="b">
        <v>0</v>
      </c>
      <c r="W446" s="118"/>
      <c r="X446" s="505" t="b">
        <v>0</v>
      </c>
      <c r="Y446" s="504" t="b">
        <v>0</v>
      </c>
      <c r="Z446" s="119"/>
      <c r="AA446" s="505" t="b">
        <v>0</v>
      </c>
      <c r="AB446" s="504" t="b">
        <v>0</v>
      </c>
      <c r="AC446" s="121"/>
      <c r="AD446" s="505" t="b">
        <v>0</v>
      </c>
      <c r="AE446" s="504" t="b">
        <v>0</v>
      </c>
      <c r="AF446" s="125"/>
      <c r="AG446" s="505" t="b">
        <v>0</v>
      </c>
      <c r="AH446" s="504" t="b">
        <v>0</v>
      </c>
      <c r="AI446" s="105"/>
      <c r="AJ446" s="505" t="b">
        <v>0</v>
      </c>
      <c r="AK446" s="504" t="b">
        <v>0</v>
      </c>
      <c r="AL446" s="126"/>
      <c r="AM446" s="505" t="b">
        <v>0</v>
      </c>
      <c r="AN446" s="504" t="b">
        <v>0</v>
      </c>
      <c r="AO446" s="105"/>
      <c r="AP446" s="105"/>
      <c r="AQ446" s="105"/>
      <c r="AR446" s="105"/>
      <c r="AS446" s="105"/>
      <c r="AT446" s="105"/>
      <c r="AU446" s="105"/>
      <c r="AV446" s="105"/>
      <c r="AW446" s="105"/>
      <c r="AX446" s="105"/>
      <c r="AY446" s="105"/>
      <c r="AZ446" s="105"/>
      <c r="BA446" s="105"/>
    </row>
    <row r="447">
      <c r="A447" s="105"/>
      <c r="B447" s="105"/>
      <c r="C447" s="105"/>
      <c r="D447" s="105"/>
      <c r="E447" s="105"/>
      <c r="F447" s="105"/>
      <c r="G447" s="105"/>
      <c r="H447" s="105"/>
      <c r="I447" s="505" t="b">
        <v>0</v>
      </c>
      <c r="J447" s="507" t="b">
        <v>0</v>
      </c>
      <c r="K447" s="112"/>
      <c r="L447" s="505" t="b">
        <v>0</v>
      </c>
      <c r="M447" s="504" t="b">
        <v>0</v>
      </c>
      <c r="N447" s="112"/>
      <c r="O447" s="505" t="b">
        <v>0</v>
      </c>
      <c r="P447" s="504" t="b">
        <v>0</v>
      </c>
      <c r="Q447" s="116"/>
      <c r="R447" s="505" t="b">
        <v>0</v>
      </c>
      <c r="S447" s="504" t="b">
        <v>0</v>
      </c>
      <c r="T447" s="117"/>
      <c r="U447" s="505" t="b">
        <v>0</v>
      </c>
      <c r="V447" s="504" t="b">
        <v>0</v>
      </c>
      <c r="W447" s="118"/>
      <c r="X447" s="505" t="b">
        <v>0</v>
      </c>
      <c r="Y447" s="504" t="b">
        <v>0</v>
      </c>
      <c r="Z447" s="119"/>
      <c r="AA447" s="505" t="b">
        <v>0</v>
      </c>
      <c r="AB447" s="504" t="b">
        <v>0</v>
      </c>
      <c r="AC447" s="121"/>
      <c r="AD447" s="505" t="b">
        <v>0</v>
      </c>
      <c r="AE447" s="504" t="b">
        <v>0</v>
      </c>
      <c r="AF447" s="125"/>
      <c r="AG447" s="505" t="b">
        <v>0</v>
      </c>
      <c r="AH447" s="504" t="b">
        <v>0</v>
      </c>
      <c r="AI447" s="105"/>
      <c r="AJ447" s="505" t="b">
        <v>0</v>
      </c>
      <c r="AK447" s="504" t="b">
        <v>0</v>
      </c>
      <c r="AL447" s="126"/>
      <c r="AM447" s="505" t="b">
        <v>0</v>
      </c>
      <c r="AN447" s="504" t="b">
        <v>0</v>
      </c>
      <c r="AO447" s="105"/>
      <c r="AP447" s="105"/>
      <c r="AQ447" s="105"/>
      <c r="AR447" s="105"/>
      <c r="AS447" s="105"/>
      <c r="AT447" s="105"/>
      <c r="AU447" s="105"/>
      <c r="AV447" s="105"/>
      <c r="AW447" s="105"/>
      <c r="AX447" s="105"/>
      <c r="AY447" s="105"/>
      <c r="AZ447" s="105"/>
      <c r="BA447" s="105"/>
    </row>
    <row r="448">
      <c r="A448" s="105"/>
      <c r="B448" s="105"/>
      <c r="C448" s="105"/>
      <c r="D448" s="105"/>
      <c r="E448" s="105"/>
      <c r="F448" s="105"/>
      <c r="G448" s="105"/>
      <c r="H448" s="105"/>
      <c r="I448" s="505" t="b">
        <v>0</v>
      </c>
      <c r="J448" s="507" t="b">
        <v>0</v>
      </c>
      <c r="K448" s="112"/>
      <c r="L448" s="505" t="b">
        <v>0</v>
      </c>
      <c r="M448" s="504" t="b">
        <v>0</v>
      </c>
      <c r="N448" s="112"/>
      <c r="O448" s="505" t="b">
        <v>0</v>
      </c>
      <c r="P448" s="504" t="b">
        <v>0</v>
      </c>
      <c r="Q448" s="116"/>
      <c r="R448" s="505" t="b">
        <v>0</v>
      </c>
      <c r="S448" s="504" t="b">
        <v>0</v>
      </c>
      <c r="T448" s="117"/>
      <c r="U448" s="505" t="b">
        <v>0</v>
      </c>
      <c r="V448" s="504" t="b">
        <v>0</v>
      </c>
      <c r="W448" s="118"/>
      <c r="X448" s="505" t="b">
        <v>0</v>
      </c>
      <c r="Y448" s="504" t="b">
        <v>0</v>
      </c>
      <c r="Z448" s="119"/>
      <c r="AA448" s="505" t="b">
        <v>0</v>
      </c>
      <c r="AB448" s="504" t="b">
        <v>0</v>
      </c>
      <c r="AC448" s="121"/>
      <c r="AD448" s="505" t="b">
        <v>0</v>
      </c>
      <c r="AE448" s="504" t="b">
        <v>0</v>
      </c>
      <c r="AF448" s="125"/>
      <c r="AG448" s="505" t="b">
        <v>0</v>
      </c>
      <c r="AH448" s="504" t="b">
        <v>0</v>
      </c>
      <c r="AI448" s="105"/>
      <c r="AJ448" s="505" t="b">
        <v>0</v>
      </c>
      <c r="AK448" s="504" t="b">
        <v>0</v>
      </c>
      <c r="AL448" s="126"/>
      <c r="AM448" s="505" t="b">
        <v>0</v>
      </c>
      <c r="AN448" s="504" t="b">
        <v>0</v>
      </c>
      <c r="AO448" s="105"/>
      <c r="AP448" s="105"/>
      <c r="AQ448" s="105"/>
      <c r="AR448" s="105"/>
      <c r="AS448" s="105"/>
      <c r="AT448" s="105"/>
      <c r="AU448" s="105"/>
      <c r="AV448" s="105"/>
      <c r="AW448" s="105"/>
      <c r="AX448" s="105"/>
      <c r="AY448" s="105"/>
      <c r="AZ448" s="105"/>
      <c r="BA448" s="105"/>
    </row>
    <row r="449">
      <c r="A449" s="105"/>
      <c r="B449" s="105"/>
      <c r="C449" s="105"/>
      <c r="D449" s="105"/>
      <c r="E449" s="105"/>
      <c r="F449" s="105"/>
      <c r="G449" s="105"/>
      <c r="H449" s="105"/>
      <c r="I449" s="505" t="b">
        <v>0</v>
      </c>
      <c r="J449" s="507" t="b">
        <v>0</v>
      </c>
      <c r="K449" s="112"/>
      <c r="L449" s="505" t="b">
        <v>0</v>
      </c>
      <c r="M449" s="504" t="b">
        <v>0</v>
      </c>
      <c r="N449" s="112"/>
      <c r="O449" s="505" t="b">
        <v>0</v>
      </c>
      <c r="P449" s="504" t="b">
        <v>0</v>
      </c>
      <c r="Q449" s="116"/>
      <c r="R449" s="505" t="b">
        <v>0</v>
      </c>
      <c r="S449" s="504" t="b">
        <v>0</v>
      </c>
      <c r="T449" s="117"/>
      <c r="U449" s="505" t="b">
        <v>0</v>
      </c>
      <c r="V449" s="504" t="b">
        <v>0</v>
      </c>
      <c r="W449" s="118"/>
      <c r="X449" s="505" t="b">
        <v>0</v>
      </c>
      <c r="Y449" s="504" t="b">
        <v>0</v>
      </c>
      <c r="Z449" s="119"/>
      <c r="AA449" s="505" t="b">
        <v>0</v>
      </c>
      <c r="AB449" s="504" t="b">
        <v>0</v>
      </c>
      <c r="AC449" s="121"/>
      <c r="AD449" s="505" t="b">
        <v>0</v>
      </c>
      <c r="AE449" s="504" t="b">
        <v>0</v>
      </c>
      <c r="AF449" s="125"/>
      <c r="AG449" s="505" t="b">
        <v>0</v>
      </c>
      <c r="AH449" s="504" t="b">
        <v>0</v>
      </c>
      <c r="AI449" s="105"/>
      <c r="AJ449" s="505" t="b">
        <v>0</v>
      </c>
      <c r="AK449" s="504" t="b">
        <v>0</v>
      </c>
      <c r="AL449" s="126"/>
      <c r="AM449" s="505" t="b">
        <v>0</v>
      </c>
      <c r="AN449" s="504" t="b">
        <v>0</v>
      </c>
      <c r="AO449" s="105"/>
      <c r="AP449" s="105"/>
      <c r="AQ449" s="105"/>
      <c r="AR449" s="105"/>
      <c r="AS449" s="105"/>
      <c r="AT449" s="105"/>
      <c r="AU449" s="105"/>
      <c r="AV449" s="105"/>
      <c r="AW449" s="105"/>
      <c r="AX449" s="105"/>
      <c r="AY449" s="105"/>
      <c r="AZ449" s="105"/>
      <c r="BA449" s="105"/>
    </row>
    <row r="450">
      <c r="A450" s="105"/>
      <c r="B450" s="105"/>
      <c r="C450" s="105"/>
      <c r="D450" s="105"/>
      <c r="E450" s="105"/>
      <c r="F450" s="105"/>
      <c r="G450" s="105"/>
      <c r="H450" s="105"/>
      <c r="I450" s="505" t="b">
        <v>0</v>
      </c>
      <c r="J450" s="507" t="b">
        <v>0</v>
      </c>
      <c r="K450" s="112"/>
      <c r="L450" s="505" t="b">
        <v>0</v>
      </c>
      <c r="M450" s="504" t="b">
        <v>0</v>
      </c>
      <c r="N450" s="112"/>
      <c r="O450" s="505" t="b">
        <v>0</v>
      </c>
      <c r="P450" s="504" t="b">
        <v>0</v>
      </c>
      <c r="Q450" s="116"/>
      <c r="R450" s="505" t="b">
        <v>0</v>
      </c>
      <c r="S450" s="504" t="b">
        <v>0</v>
      </c>
      <c r="T450" s="117"/>
      <c r="U450" s="505" t="b">
        <v>0</v>
      </c>
      <c r="V450" s="504" t="b">
        <v>0</v>
      </c>
      <c r="W450" s="118"/>
      <c r="X450" s="505" t="b">
        <v>0</v>
      </c>
      <c r="Y450" s="504" t="b">
        <v>0</v>
      </c>
      <c r="Z450" s="119"/>
      <c r="AA450" s="505" t="b">
        <v>0</v>
      </c>
      <c r="AB450" s="504" t="b">
        <v>0</v>
      </c>
      <c r="AC450" s="121"/>
      <c r="AD450" s="505" t="b">
        <v>0</v>
      </c>
      <c r="AE450" s="504" t="b">
        <v>0</v>
      </c>
      <c r="AF450" s="125"/>
      <c r="AG450" s="505" t="b">
        <v>0</v>
      </c>
      <c r="AH450" s="504" t="b">
        <v>0</v>
      </c>
      <c r="AI450" s="105"/>
      <c r="AJ450" s="505" t="b">
        <v>0</v>
      </c>
      <c r="AK450" s="504" t="b">
        <v>0</v>
      </c>
      <c r="AL450" s="126"/>
      <c r="AM450" s="505" t="b">
        <v>0</v>
      </c>
      <c r="AN450" s="504" t="b">
        <v>0</v>
      </c>
      <c r="AO450" s="105"/>
      <c r="AP450" s="105"/>
      <c r="AQ450" s="105"/>
      <c r="AR450" s="105"/>
      <c r="AS450" s="105"/>
      <c r="AT450" s="105"/>
      <c r="AU450" s="105"/>
      <c r="AV450" s="105"/>
      <c r="AW450" s="105"/>
      <c r="AX450" s="105"/>
      <c r="AY450" s="105"/>
      <c r="AZ450" s="105"/>
      <c r="BA450" s="105"/>
    </row>
    <row r="451">
      <c r="A451" s="105"/>
      <c r="B451" s="105"/>
      <c r="C451" s="105"/>
      <c r="D451" s="105"/>
      <c r="E451" s="105"/>
      <c r="F451" s="105"/>
      <c r="G451" s="105"/>
      <c r="H451" s="105"/>
      <c r="I451" s="505" t="b">
        <v>0</v>
      </c>
      <c r="J451" s="507" t="b">
        <v>0</v>
      </c>
      <c r="K451" s="112"/>
      <c r="L451" s="505" t="b">
        <v>0</v>
      </c>
      <c r="M451" s="504" t="b">
        <v>0</v>
      </c>
      <c r="N451" s="112"/>
      <c r="O451" s="505" t="b">
        <v>0</v>
      </c>
      <c r="P451" s="504" t="b">
        <v>0</v>
      </c>
      <c r="Q451" s="116"/>
      <c r="R451" s="505" t="b">
        <v>0</v>
      </c>
      <c r="S451" s="504" t="b">
        <v>0</v>
      </c>
      <c r="T451" s="117"/>
      <c r="U451" s="505" t="b">
        <v>0</v>
      </c>
      <c r="V451" s="504" t="b">
        <v>0</v>
      </c>
      <c r="W451" s="118"/>
      <c r="X451" s="505" t="b">
        <v>0</v>
      </c>
      <c r="Y451" s="504" t="b">
        <v>0</v>
      </c>
      <c r="Z451" s="119"/>
      <c r="AA451" s="505" t="b">
        <v>0</v>
      </c>
      <c r="AB451" s="504" t="b">
        <v>0</v>
      </c>
      <c r="AC451" s="121"/>
      <c r="AD451" s="505" t="b">
        <v>0</v>
      </c>
      <c r="AE451" s="504" t="b">
        <v>0</v>
      </c>
      <c r="AF451" s="125"/>
      <c r="AG451" s="505" t="b">
        <v>0</v>
      </c>
      <c r="AH451" s="504" t="b">
        <v>0</v>
      </c>
      <c r="AI451" s="105"/>
      <c r="AJ451" s="505" t="b">
        <v>0</v>
      </c>
      <c r="AK451" s="504" t="b">
        <v>0</v>
      </c>
      <c r="AL451" s="126"/>
      <c r="AM451" s="505" t="b">
        <v>0</v>
      </c>
      <c r="AN451" s="504" t="b">
        <v>0</v>
      </c>
      <c r="AO451" s="105"/>
      <c r="AP451" s="105"/>
      <c r="AQ451" s="105"/>
      <c r="AR451" s="105"/>
      <c r="AS451" s="105"/>
      <c r="AT451" s="105"/>
      <c r="AU451" s="105"/>
      <c r="AV451" s="105"/>
      <c r="AW451" s="105"/>
      <c r="AX451" s="105"/>
      <c r="AY451" s="105"/>
      <c r="AZ451" s="105"/>
      <c r="BA451" s="105"/>
    </row>
    <row r="452">
      <c r="A452" s="105"/>
      <c r="B452" s="105"/>
      <c r="C452" s="105"/>
      <c r="D452" s="105"/>
      <c r="E452" s="105"/>
      <c r="F452" s="105"/>
      <c r="G452" s="105"/>
      <c r="H452" s="105"/>
      <c r="I452" s="505" t="b">
        <v>0</v>
      </c>
      <c r="J452" s="507" t="b">
        <v>0</v>
      </c>
      <c r="K452" s="112"/>
      <c r="L452" s="505" t="b">
        <v>0</v>
      </c>
      <c r="M452" s="504" t="b">
        <v>0</v>
      </c>
      <c r="N452" s="112"/>
      <c r="O452" s="505" t="b">
        <v>0</v>
      </c>
      <c r="P452" s="504" t="b">
        <v>0</v>
      </c>
      <c r="Q452" s="116"/>
      <c r="R452" s="505" t="b">
        <v>0</v>
      </c>
      <c r="S452" s="504" t="b">
        <v>0</v>
      </c>
      <c r="T452" s="117"/>
      <c r="U452" s="505" t="b">
        <v>0</v>
      </c>
      <c r="V452" s="504" t="b">
        <v>0</v>
      </c>
      <c r="W452" s="118"/>
      <c r="X452" s="505" t="b">
        <v>0</v>
      </c>
      <c r="Y452" s="504" t="b">
        <v>0</v>
      </c>
      <c r="Z452" s="119"/>
      <c r="AA452" s="505" t="b">
        <v>0</v>
      </c>
      <c r="AB452" s="504" t="b">
        <v>0</v>
      </c>
      <c r="AC452" s="121"/>
      <c r="AD452" s="505" t="b">
        <v>0</v>
      </c>
      <c r="AE452" s="504" t="b">
        <v>0</v>
      </c>
      <c r="AF452" s="125"/>
      <c r="AG452" s="505" t="b">
        <v>0</v>
      </c>
      <c r="AH452" s="504" t="b">
        <v>0</v>
      </c>
      <c r="AI452" s="105"/>
      <c r="AJ452" s="505" t="b">
        <v>0</v>
      </c>
      <c r="AK452" s="504" t="b">
        <v>0</v>
      </c>
      <c r="AL452" s="126"/>
      <c r="AM452" s="505" t="b">
        <v>0</v>
      </c>
      <c r="AN452" s="504" t="b">
        <v>0</v>
      </c>
      <c r="AO452" s="105"/>
      <c r="AP452" s="105"/>
      <c r="AQ452" s="105"/>
      <c r="AR452" s="105"/>
      <c r="AS452" s="105"/>
      <c r="AT452" s="105"/>
      <c r="AU452" s="105"/>
      <c r="AV452" s="105"/>
      <c r="AW452" s="105"/>
      <c r="AX452" s="105"/>
      <c r="AY452" s="105"/>
      <c r="AZ452" s="105"/>
      <c r="BA452" s="105"/>
    </row>
    <row r="453">
      <c r="A453" s="105"/>
      <c r="B453" s="105"/>
      <c r="C453" s="105"/>
      <c r="D453" s="105"/>
      <c r="E453" s="105"/>
      <c r="F453" s="105"/>
      <c r="G453" s="105"/>
      <c r="H453" s="105"/>
      <c r="I453" s="505" t="b">
        <v>0</v>
      </c>
      <c r="J453" s="507" t="b">
        <v>0</v>
      </c>
      <c r="K453" s="112"/>
      <c r="L453" s="505" t="b">
        <v>0</v>
      </c>
      <c r="M453" s="504" t="b">
        <v>0</v>
      </c>
      <c r="N453" s="112"/>
      <c r="O453" s="505" t="b">
        <v>0</v>
      </c>
      <c r="P453" s="504" t="b">
        <v>0</v>
      </c>
      <c r="Q453" s="116"/>
      <c r="R453" s="505" t="b">
        <v>0</v>
      </c>
      <c r="S453" s="504" t="b">
        <v>0</v>
      </c>
      <c r="T453" s="117"/>
      <c r="U453" s="505" t="b">
        <v>0</v>
      </c>
      <c r="V453" s="504" t="b">
        <v>0</v>
      </c>
      <c r="W453" s="118"/>
      <c r="X453" s="505" t="b">
        <v>0</v>
      </c>
      <c r="Y453" s="504" t="b">
        <v>0</v>
      </c>
      <c r="Z453" s="119"/>
      <c r="AA453" s="505" t="b">
        <v>0</v>
      </c>
      <c r="AB453" s="504" t="b">
        <v>0</v>
      </c>
      <c r="AC453" s="121"/>
      <c r="AD453" s="505" t="b">
        <v>0</v>
      </c>
      <c r="AE453" s="504" t="b">
        <v>0</v>
      </c>
      <c r="AF453" s="125"/>
      <c r="AG453" s="505" t="b">
        <v>0</v>
      </c>
      <c r="AH453" s="504" t="b">
        <v>0</v>
      </c>
      <c r="AI453" s="105"/>
      <c r="AJ453" s="505" t="b">
        <v>0</v>
      </c>
      <c r="AK453" s="504" t="b">
        <v>0</v>
      </c>
      <c r="AL453" s="126"/>
      <c r="AM453" s="505" t="b">
        <v>0</v>
      </c>
      <c r="AN453" s="504" t="b">
        <v>0</v>
      </c>
      <c r="AO453" s="105"/>
      <c r="AP453" s="105"/>
      <c r="AQ453" s="105"/>
      <c r="AR453" s="105"/>
      <c r="AS453" s="105"/>
      <c r="AT453" s="105"/>
      <c r="AU453" s="105"/>
      <c r="AV453" s="105"/>
      <c r="AW453" s="105"/>
      <c r="AX453" s="105"/>
      <c r="AY453" s="105"/>
      <c r="AZ453" s="105"/>
      <c r="BA453" s="105"/>
    </row>
    <row r="454">
      <c r="A454" s="105"/>
      <c r="B454" s="105"/>
      <c r="C454" s="105"/>
      <c r="D454" s="105"/>
      <c r="E454" s="105"/>
      <c r="F454" s="105"/>
      <c r="G454" s="105"/>
      <c r="H454" s="105"/>
      <c r="I454" s="505" t="b">
        <v>0</v>
      </c>
      <c r="J454" s="507" t="b">
        <v>0</v>
      </c>
      <c r="K454" s="112"/>
      <c r="L454" s="505" t="b">
        <v>0</v>
      </c>
      <c r="M454" s="504" t="b">
        <v>0</v>
      </c>
      <c r="N454" s="112"/>
      <c r="O454" s="505" t="b">
        <v>0</v>
      </c>
      <c r="P454" s="504" t="b">
        <v>0</v>
      </c>
      <c r="Q454" s="116"/>
      <c r="R454" s="505" t="b">
        <v>0</v>
      </c>
      <c r="S454" s="504" t="b">
        <v>0</v>
      </c>
      <c r="T454" s="117"/>
      <c r="U454" s="505" t="b">
        <v>0</v>
      </c>
      <c r="V454" s="504" t="b">
        <v>0</v>
      </c>
      <c r="W454" s="118"/>
      <c r="X454" s="505" t="b">
        <v>0</v>
      </c>
      <c r="Y454" s="504" t="b">
        <v>0</v>
      </c>
      <c r="Z454" s="119"/>
      <c r="AA454" s="505" t="b">
        <v>0</v>
      </c>
      <c r="AB454" s="504" t="b">
        <v>0</v>
      </c>
      <c r="AC454" s="121"/>
      <c r="AD454" s="505" t="b">
        <v>0</v>
      </c>
      <c r="AE454" s="504" t="b">
        <v>0</v>
      </c>
      <c r="AF454" s="125"/>
      <c r="AG454" s="505" t="b">
        <v>0</v>
      </c>
      <c r="AH454" s="504" t="b">
        <v>0</v>
      </c>
      <c r="AI454" s="105"/>
      <c r="AJ454" s="505" t="b">
        <v>0</v>
      </c>
      <c r="AK454" s="504" t="b">
        <v>0</v>
      </c>
      <c r="AL454" s="126"/>
      <c r="AM454" s="505" t="b">
        <v>0</v>
      </c>
      <c r="AN454" s="504" t="b">
        <v>0</v>
      </c>
      <c r="AO454" s="105"/>
      <c r="AP454" s="105"/>
      <c r="AQ454" s="105"/>
      <c r="AR454" s="105"/>
      <c r="AS454" s="105"/>
      <c r="AT454" s="105"/>
      <c r="AU454" s="105"/>
      <c r="AV454" s="105"/>
      <c r="AW454" s="105"/>
      <c r="AX454" s="105"/>
      <c r="AY454" s="105"/>
      <c r="AZ454" s="105"/>
      <c r="BA454" s="105"/>
    </row>
    <row r="455">
      <c r="A455" s="105"/>
      <c r="B455" s="105"/>
      <c r="C455" s="105"/>
      <c r="D455" s="105"/>
      <c r="E455" s="105"/>
      <c r="F455" s="105"/>
      <c r="G455" s="105"/>
      <c r="H455" s="105"/>
      <c r="I455" s="505" t="b">
        <v>0</v>
      </c>
      <c r="J455" s="507" t="b">
        <v>0</v>
      </c>
      <c r="K455" s="112"/>
      <c r="L455" s="505" t="b">
        <v>0</v>
      </c>
      <c r="M455" s="504" t="b">
        <v>0</v>
      </c>
      <c r="N455" s="112"/>
      <c r="O455" s="505" t="b">
        <v>0</v>
      </c>
      <c r="P455" s="504" t="b">
        <v>0</v>
      </c>
      <c r="Q455" s="116"/>
      <c r="R455" s="505" t="b">
        <v>0</v>
      </c>
      <c r="S455" s="504" t="b">
        <v>0</v>
      </c>
      <c r="T455" s="117"/>
      <c r="U455" s="505" t="b">
        <v>0</v>
      </c>
      <c r="V455" s="504" t="b">
        <v>0</v>
      </c>
      <c r="W455" s="118"/>
      <c r="X455" s="505" t="b">
        <v>0</v>
      </c>
      <c r="Y455" s="504" t="b">
        <v>0</v>
      </c>
      <c r="Z455" s="119"/>
      <c r="AA455" s="505" t="b">
        <v>0</v>
      </c>
      <c r="AB455" s="504" t="b">
        <v>0</v>
      </c>
      <c r="AC455" s="121"/>
      <c r="AD455" s="505" t="b">
        <v>0</v>
      </c>
      <c r="AE455" s="504" t="b">
        <v>0</v>
      </c>
      <c r="AF455" s="125"/>
      <c r="AG455" s="505" t="b">
        <v>0</v>
      </c>
      <c r="AH455" s="504" t="b">
        <v>0</v>
      </c>
      <c r="AI455" s="105"/>
      <c r="AJ455" s="505" t="b">
        <v>0</v>
      </c>
      <c r="AK455" s="504" t="b">
        <v>0</v>
      </c>
      <c r="AL455" s="126"/>
      <c r="AM455" s="505" t="b">
        <v>0</v>
      </c>
      <c r="AN455" s="504" t="b">
        <v>0</v>
      </c>
      <c r="AO455" s="105"/>
      <c r="AP455" s="105"/>
      <c r="AQ455" s="105"/>
      <c r="AR455" s="105"/>
      <c r="AS455" s="105"/>
      <c r="AT455" s="105"/>
      <c r="AU455" s="105"/>
      <c r="AV455" s="105"/>
      <c r="AW455" s="105"/>
      <c r="AX455" s="105"/>
      <c r="AY455" s="105"/>
      <c r="AZ455" s="105"/>
      <c r="BA455" s="105"/>
    </row>
    <row r="456">
      <c r="A456" s="105"/>
      <c r="B456" s="105"/>
      <c r="C456" s="105"/>
      <c r="D456" s="105"/>
      <c r="E456" s="105"/>
      <c r="F456" s="105"/>
      <c r="G456" s="105"/>
      <c r="H456" s="105"/>
      <c r="I456" s="505" t="b">
        <v>0</v>
      </c>
      <c r="J456" s="507" t="b">
        <v>0</v>
      </c>
      <c r="K456" s="112"/>
      <c r="L456" s="505" t="b">
        <v>0</v>
      </c>
      <c r="M456" s="504" t="b">
        <v>0</v>
      </c>
      <c r="N456" s="112"/>
      <c r="O456" s="505" t="b">
        <v>0</v>
      </c>
      <c r="P456" s="504" t="b">
        <v>0</v>
      </c>
      <c r="Q456" s="116"/>
      <c r="R456" s="505" t="b">
        <v>0</v>
      </c>
      <c r="S456" s="504" t="b">
        <v>0</v>
      </c>
      <c r="T456" s="117"/>
      <c r="U456" s="505" t="b">
        <v>0</v>
      </c>
      <c r="V456" s="504" t="b">
        <v>0</v>
      </c>
      <c r="W456" s="118"/>
      <c r="X456" s="505" t="b">
        <v>0</v>
      </c>
      <c r="Y456" s="504" t="b">
        <v>0</v>
      </c>
      <c r="Z456" s="119"/>
      <c r="AA456" s="505" t="b">
        <v>0</v>
      </c>
      <c r="AB456" s="504" t="b">
        <v>0</v>
      </c>
      <c r="AC456" s="121"/>
      <c r="AD456" s="505" t="b">
        <v>0</v>
      </c>
      <c r="AE456" s="504" t="b">
        <v>0</v>
      </c>
      <c r="AF456" s="125"/>
      <c r="AG456" s="505" t="b">
        <v>0</v>
      </c>
      <c r="AH456" s="504" t="b">
        <v>0</v>
      </c>
      <c r="AI456" s="105"/>
      <c r="AJ456" s="505" t="b">
        <v>0</v>
      </c>
      <c r="AK456" s="504" t="b">
        <v>0</v>
      </c>
      <c r="AL456" s="126"/>
      <c r="AM456" s="505" t="b">
        <v>0</v>
      </c>
      <c r="AN456" s="504" t="b">
        <v>0</v>
      </c>
      <c r="AO456" s="105"/>
      <c r="AP456" s="105"/>
      <c r="AQ456" s="105"/>
      <c r="AR456" s="105"/>
      <c r="AS456" s="105"/>
      <c r="AT456" s="105"/>
      <c r="AU456" s="105"/>
      <c r="AV456" s="105"/>
      <c r="AW456" s="105"/>
      <c r="AX456" s="105"/>
      <c r="AY456" s="105"/>
      <c r="AZ456" s="105"/>
      <c r="BA456" s="105"/>
    </row>
    <row r="457">
      <c r="A457" s="105"/>
      <c r="B457" s="105"/>
      <c r="C457" s="105"/>
      <c r="D457" s="105"/>
      <c r="E457" s="105"/>
      <c r="F457" s="105"/>
      <c r="G457" s="105"/>
      <c r="H457" s="105"/>
      <c r="I457" s="505" t="b">
        <v>0</v>
      </c>
      <c r="J457" s="507" t="b">
        <v>0</v>
      </c>
      <c r="K457" s="112"/>
      <c r="L457" s="505" t="b">
        <v>0</v>
      </c>
      <c r="M457" s="504" t="b">
        <v>0</v>
      </c>
      <c r="N457" s="112"/>
      <c r="O457" s="505" t="b">
        <v>0</v>
      </c>
      <c r="P457" s="504" t="b">
        <v>0</v>
      </c>
      <c r="Q457" s="116"/>
      <c r="R457" s="505" t="b">
        <v>0</v>
      </c>
      <c r="S457" s="504" t="b">
        <v>0</v>
      </c>
      <c r="T457" s="117"/>
      <c r="U457" s="505" t="b">
        <v>0</v>
      </c>
      <c r="V457" s="504" t="b">
        <v>0</v>
      </c>
      <c r="W457" s="118"/>
      <c r="X457" s="505" t="b">
        <v>0</v>
      </c>
      <c r="Y457" s="504" t="b">
        <v>0</v>
      </c>
      <c r="Z457" s="119"/>
      <c r="AA457" s="505" t="b">
        <v>0</v>
      </c>
      <c r="AB457" s="504" t="b">
        <v>0</v>
      </c>
      <c r="AC457" s="121"/>
      <c r="AD457" s="505" t="b">
        <v>0</v>
      </c>
      <c r="AE457" s="504" t="b">
        <v>0</v>
      </c>
      <c r="AF457" s="125"/>
      <c r="AG457" s="505" t="b">
        <v>0</v>
      </c>
      <c r="AH457" s="504" t="b">
        <v>0</v>
      </c>
      <c r="AI457" s="105"/>
      <c r="AJ457" s="505" t="b">
        <v>0</v>
      </c>
      <c r="AK457" s="504" t="b">
        <v>0</v>
      </c>
      <c r="AL457" s="126"/>
      <c r="AM457" s="505" t="b">
        <v>0</v>
      </c>
      <c r="AN457" s="504" t="b">
        <v>0</v>
      </c>
      <c r="AO457" s="105"/>
      <c r="AP457" s="105"/>
      <c r="AQ457" s="105"/>
      <c r="AR457" s="105"/>
      <c r="AS457" s="105"/>
      <c r="AT457" s="105"/>
      <c r="AU457" s="105"/>
      <c r="AV457" s="105"/>
      <c r="AW457" s="105"/>
      <c r="AX457" s="105"/>
      <c r="AY457" s="105"/>
      <c r="AZ457" s="105"/>
      <c r="BA457" s="105"/>
    </row>
    <row r="458">
      <c r="A458" s="105"/>
      <c r="B458" s="105"/>
      <c r="C458" s="105"/>
      <c r="D458" s="105"/>
      <c r="E458" s="105"/>
      <c r="F458" s="105"/>
      <c r="G458" s="105"/>
      <c r="H458" s="105"/>
      <c r="I458" s="505" t="b">
        <v>0</v>
      </c>
      <c r="J458" s="507" t="b">
        <v>0</v>
      </c>
      <c r="K458" s="112"/>
      <c r="L458" s="505" t="b">
        <v>0</v>
      </c>
      <c r="M458" s="504" t="b">
        <v>0</v>
      </c>
      <c r="N458" s="112"/>
      <c r="O458" s="505" t="b">
        <v>0</v>
      </c>
      <c r="P458" s="504" t="b">
        <v>0</v>
      </c>
      <c r="Q458" s="116"/>
      <c r="R458" s="505" t="b">
        <v>0</v>
      </c>
      <c r="S458" s="504" t="b">
        <v>0</v>
      </c>
      <c r="T458" s="117"/>
      <c r="U458" s="505" t="b">
        <v>0</v>
      </c>
      <c r="V458" s="504" t="b">
        <v>0</v>
      </c>
      <c r="W458" s="118"/>
      <c r="X458" s="505" t="b">
        <v>0</v>
      </c>
      <c r="Y458" s="504" t="b">
        <v>0</v>
      </c>
      <c r="Z458" s="119"/>
      <c r="AA458" s="505" t="b">
        <v>0</v>
      </c>
      <c r="AB458" s="504" t="b">
        <v>0</v>
      </c>
      <c r="AC458" s="121"/>
      <c r="AD458" s="505" t="b">
        <v>0</v>
      </c>
      <c r="AE458" s="504" t="b">
        <v>0</v>
      </c>
      <c r="AF458" s="125"/>
      <c r="AG458" s="505" t="b">
        <v>0</v>
      </c>
      <c r="AH458" s="504" t="b">
        <v>0</v>
      </c>
      <c r="AI458" s="105"/>
      <c r="AJ458" s="505" t="b">
        <v>0</v>
      </c>
      <c r="AK458" s="504" t="b">
        <v>0</v>
      </c>
      <c r="AL458" s="126"/>
      <c r="AM458" s="505" t="b">
        <v>0</v>
      </c>
      <c r="AN458" s="504" t="b">
        <v>0</v>
      </c>
      <c r="AO458" s="105"/>
      <c r="AP458" s="105"/>
      <c r="AQ458" s="105"/>
      <c r="AR458" s="105"/>
      <c r="AS458" s="105"/>
      <c r="AT458" s="105"/>
      <c r="AU458" s="105"/>
      <c r="AV458" s="105"/>
      <c r="AW458" s="105"/>
      <c r="AX458" s="105"/>
      <c r="AY458" s="105"/>
      <c r="AZ458" s="105"/>
      <c r="BA458" s="105"/>
    </row>
    <row r="459">
      <c r="A459" s="105"/>
      <c r="B459" s="105"/>
      <c r="C459" s="105"/>
      <c r="D459" s="105"/>
      <c r="E459" s="105"/>
      <c r="F459" s="105"/>
      <c r="G459" s="105"/>
      <c r="H459" s="105"/>
      <c r="I459" s="505" t="b">
        <v>0</v>
      </c>
      <c r="J459" s="507" t="b">
        <v>0</v>
      </c>
      <c r="K459" s="112"/>
      <c r="L459" s="505" t="b">
        <v>0</v>
      </c>
      <c r="M459" s="504" t="b">
        <v>0</v>
      </c>
      <c r="N459" s="112"/>
      <c r="O459" s="505" t="b">
        <v>0</v>
      </c>
      <c r="P459" s="504" t="b">
        <v>0</v>
      </c>
      <c r="Q459" s="116"/>
      <c r="R459" s="505" t="b">
        <v>0</v>
      </c>
      <c r="S459" s="504" t="b">
        <v>0</v>
      </c>
      <c r="T459" s="117"/>
      <c r="U459" s="505" t="b">
        <v>0</v>
      </c>
      <c r="V459" s="504" t="b">
        <v>0</v>
      </c>
      <c r="W459" s="118"/>
      <c r="X459" s="505" t="b">
        <v>0</v>
      </c>
      <c r="Y459" s="504" t="b">
        <v>0</v>
      </c>
      <c r="Z459" s="119"/>
      <c r="AA459" s="505" t="b">
        <v>0</v>
      </c>
      <c r="AB459" s="504" t="b">
        <v>0</v>
      </c>
      <c r="AC459" s="121"/>
      <c r="AD459" s="505" t="b">
        <v>0</v>
      </c>
      <c r="AE459" s="504" t="b">
        <v>0</v>
      </c>
      <c r="AF459" s="125"/>
      <c r="AG459" s="505" t="b">
        <v>0</v>
      </c>
      <c r="AH459" s="504" t="b">
        <v>0</v>
      </c>
      <c r="AI459" s="105"/>
      <c r="AJ459" s="505" t="b">
        <v>0</v>
      </c>
      <c r="AK459" s="504" t="b">
        <v>0</v>
      </c>
      <c r="AL459" s="126"/>
      <c r="AM459" s="505" t="b">
        <v>0</v>
      </c>
      <c r="AN459" s="504" t="b">
        <v>0</v>
      </c>
      <c r="AO459" s="105"/>
      <c r="AP459" s="105"/>
      <c r="AQ459" s="105"/>
      <c r="AR459" s="105"/>
      <c r="AS459" s="105"/>
      <c r="AT459" s="105"/>
      <c r="AU459" s="105"/>
      <c r="AV459" s="105"/>
      <c r="AW459" s="105"/>
      <c r="AX459" s="105"/>
      <c r="AY459" s="105"/>
      <c r="AZ459" s="105"/>
      <c r="BA459" s="105"/>
    </row>
    <row r="460">
      <c r="A460" s="105"/>
      <c r="B460" s="105"/>
      <c r="C460" s="105"/>
      <c r="D460" s="105"/>
      <c r="E460" s="105"/>
      <c r="F460" s="105"/>
      <c r="G460" s="105"/>
      <c r="H460" s="105"/>
      <c r="I460" s="505" t="b">
        <v>0</v>
      </c>
      <c r="J460" s="507" t="b">
        <v>0</v>
      </c>
      <c r="K460" s="112"/>
      <c r="L460" s="505" t="b">
        <v>0</v>
      </c>
      <c r="M460" s="504" t="b">
        <v>0</v>
      </c>
      <c r="N460" s="112"/>
      <c r="O460" s="505" t="b">
        <v>0</v>
      </c>
      <c r="P460" s="504" t="b">
        <v>0</v>
      </c>
      <c r="Q460" s="116"/>
      <c r="R460" s="505" t="b">
        <v>0</v>
      </c>
      <c r="S460" s="504" t="b">
        <v>0</v>
      </c>
      <c r="T460" s="117"/>
      <c r="U460" s="505" t="b">
        <v>0</v>
      </c>
      <c r="V460" s="504" t="b">
        <v>0</v>
      </c>
      <c r="W460" s="118"/>
      <c r="X460" s="505" t="b">
        <v>0</v>
      </c>
      <c r="Y460" s="504" t="b">
        <v>0</v>
      </c>
      <c r="Z460" s="119"/>
      <c r="AA460" s="505" t="b">
        <v>0</v>
      </c>
      <c r="AB460" s="504" t="b">
        <v>0</v>
      </c>
      <c r="AC460" s="121"/>
      <c r="AD460" s="505" t="b">
        <v>0</v>
      </c>
      <c r="AE460" s="504" t="b">
        <v>0</v>
      </c>
      <c r="AF460" s="125"/>
      <c r="AG460" s="505" t="b">
        <v>0</v>
      </c>
      <c r="AH460" s="504" t="b">
        <v>0</v>
      </c>
      <c r="AI460" s="105"/>
      <c r="AJ460" s="505" t="b">
        <v>0</v>
      </c>
      <c r="AK460" s="504" t="b">
        <v>0</v>
      </c>
      <c r="AL460" s="126"/>
      <c r="AM460" s="505" t="b">
        <v>0</v>
      </c>
      <c r="AN460" s="504" t="b">
        <v>0</v>
      </c>
      <c r="AO460" s="105"/>
      <c r="AP460" s="105"/>
      <c r="AQ460" s="105"/>
      <c r="AR460" s="105"/>
      <c r="AS460" s="105"/>
      <c r="AT460" s="105"/>
      <c r="AU460" s="105"/>
      <c r="AV460" s="105"/>
      <c r="AW460" s="105"/>
      <c r="AX460" s="105"/>
      <c r="AY460" s="105"/>
      <c r="AZ460" s="105"/>
      <c r="BA460" s="105"/>
    </row>
    <row r="461">
      <c r="A461" s="105"/>
      <c r="B461" s="105"/>
      <c r="C461" s="105"/>
      <c r="D461" s="105"/>
      <c r="E461" s="105"/>
      <c r="F461" s="105"/>
      <c r="G461" s="105"/>
      <c r="H461" s="105"/>
      <c r="I461" s="505" t="b">
        <v>0</v>
      </c>
      <c r="J461" s="507" t="b">
        <v>0</v>
      </c>
      <c r="K461" s="112"/>
      <c r="L461" s="505" t="b">
        <v>0</v>
      </c>
      <c r="M461" s="504" t="b">
        <v>0</v>
      </c>
      <c r="N461" s="112"/>
      <c r="O461" s="505" t="b">
        <v>0</v>
      </c>
      <c r="P461" s="504" t="b">
        <v>0</v>
      </c>
      <c r="Q461" s="116"/>
      <c r="R461" s="505" t="b">
        <v>0</v>
      </c>
      <c r="S461" s="504" t="b">
        <v>0</v>
      </c>
      <c r="T461" s="117"/>
      <c r="U461" s="505" t="b">
        <v>0</v>
      </c>
      <c r="V461" s="504" t="b">
        <v>0</v>
      </c>
      <c r="W461" s="118"/>
      <c r="X461" s="505" t="b">
        <v>0</v>
      </c>
      <c r="Y461" s="504" t="b">
        <v>0</v>
      </c>
      <c r="Z461" s="119"/>
      <c r="AA461" s="505" t="b">
        <v>0</v>
      </c>
      <c r="AB461" s="504" t="b">
        <v>0</v>
      </c>
      <c r="AC461" s="121"/>
      <c r="AD461" s="505" t="b">
        <v>0</v>
      </c>
      <c r="AE461" s="504" t="b">
        <v>0</v>
      </c>
      <c r="AF461" s="125"/>
      <c r="AG461" s="505" t="b">
        <v>0</v>
      </c>
      <c r="AH461" s="504" t="b">
        <v>0</v>
      </c>
      <c r="AI461" s="105"/>
      <c r="AJ461" s="505" t="b">
        <v>0</v>
      </c>
      <c r="AK461" s="504" t="b">
        <v>0</v>
      </c>
      <c r="AL461" s="126"/>
      <c r="AM461" s="505" t="b">
        <v>0</v>
      </c>
      <c r="AN461" s="504" t="b">
        <v>0</v>
      </c>
      <c r="AO461" s="105"/>
      <c r="AP461" s="105"/>
      <c r="AQ461" s="105"/>
      <c r="AR461" s="105"/>
      <c r="AS461" s="105"/>
      <c r="AT461" s="105"/>
      <c r="AU461" s="105"/>
      <c r="AV461" s="105"/>
      <c r="AW461" s="105"/>
      <c r="AX461" s="105"/>
      <c r="AY461" s="105"/>
      <c r="AZ461" s="105"/>
      <c r="BA461" s="105"/>
    </row>
    <row r="462">
      <c r="A462" s="105"/>
      <c r="B462" s="105"/>
      <c r="C462" s="105"/>
      <c r="D462" s="105"/>
      <c r="E462" s="105"/>
      <c r="F462" s="105"/>
      <c r="G462" s="105"/>
      <c r="H462" s="105"/>
      <c r="I462" s="505" t="b">
        <v>0</v>
      </c>
      <c r="J462" s="507" t="b">
        <v>0</v>
      </c>
      <c r="K462" s="112"/>
      <c r="L462" s="505" t="b">
        <v>0</v>
      </c>
      <c r="M462" s="504" t="b">
        <v>0</v>
      </c>
      <c r="N462" s="112"/>
      <c r="O462" s="505" t="b">
        <v>0</v>
      </c>
      <c r="P462" s="504" t="b">
        <v>0</v>
      </c>
      <c r="Q462" s="116"/>
      <c r="R462" s="505" t="b">
        <v>0</v>
      </c>
      <c r="S462" s="504" t="b">
        <v>0</v>
      </c>
      <c r="T462" s="117"/>
      <c r="U462" s="505" t="b">
        <v>0</v>
      </c>
      <c r="V462" s="504" t="b">
        <v>0</v>
      </c>
      <c r="W462" s="118"/>
      <c r="X462" s="505" t="b">
        <v>0</v>
      </c>
      <c r="Y462" s="504" t="b">
        <v>0</v>
      </c>
      <c r="Z462" s="119"/>
      <c r="AA462" s="505" t="b">
        <v>0</v>
      </c>
      <c r="AB462" s="504" t="b">
        <v>0</v>
      </c>
      <c r="AC462" s="121"/>
      <c r="AD462" s="505" t="b">
        <v>0</v>
      </c>
      <c r="AE462" s="504" t="b">
        <v>0</v>
      </c>
      <c r="AF462" s="125"/>
      <c r="AG462" s="505" t="b">
        <v>0</v>
      </c>
      <c r="AH462" s="504" t="b">
        <v>0</v>
      </c>
      <c r="AI462" s="105"/>
      <c r="AJ462" s="505" t="b">
        <v>0</v>
      </c>
      <c r="AK462" s="504" t="b">
        <v>0</v>
      </c>
      <c r="AL462" s="126"/>
      <c r="AM462" s="505" t="b">
        <v>0</v>
      </c>
      <c r="AN462" s="504" t="b">
        <v>0</v>
      </c>
      <c r="AO462" s="105"/>
      <c r="AP462" s="105"/>
      <c r="AQ462" s="105"/>
      <c r="AR462" s="105"/>
      <c r="AS462" s="105"/>
      <c r="AT462" s="105"/>
      <c r="AU462" s="105"/>
      <c r="AV462" s="105"/>
      <c r="AW462" s="105"/>
      <c r="AX462" s="105"/>
      <c r="AY462" s="105"/>
      <c r="AZ462" s="105"/>
      <c r="BA462" s="105"/>
    </row>
    <row r="463">
      <c r="A463" s="105"/>
      <c r="B463" s="105"/>
      <c r="C463" s="105"/>
      <c r="D463" s="105"/>
      <c r="E463" s="105"/>
      <c r="F463" s="105"/>
      <c r="G463" s="105"/>
      <c r="H463" s="105"/>
      <c r="I463" s="505" t="b">
        <v>0</v>
      </c>
      <c r="J463" s="507" t="b">
        <v>0</v>
      </c>
      <c r="K463" s="112"/>
      <c r="L463" s="505" t="b">
        <v>0</v>
      </c>
      <c r="M463" s="504" t="b">
        <v>0</v>
      </c>
      <c r="N463" s="112"/>
      <c r="O463" s="505" t="b">
        <v>0</v>
      </c>
      <c r="P463" s="504" t="b">
        <v>0</v>
      </c>
      <c r="Q463" s="116"/>
      <c r="R463" s="505" t="b">
        <v>0</v>
      </c>
      <c r="S463" s="504" t="b">
        <v>0</v>
      </c>
      <c r="T463" s="117"/>
      <c r="U463" s="505" t="b">
        <v>0</v>
      </c>
      <c r="V463" s="504" t="b">
        <v>0</v>
      </c>
      <c r="W463" s="118"/>
      <c r="X463" s="505" t="b">
        <v>0</v>
      </c>
      <c r="Y463" s="504" t="b">
        <v>0</v>
      </c>
      <c r="Z463" s="119"/>
      <c r="AA463" s="505" t="b">
        <v>0</v>
      </c>
      <c r="AB463" s="504" t="b">
        <v>0</v>
      </c>
      <c r="AC463" s="121"/>
      <c r="AD463" s="505" t="b">
        <v>0</v>
      </c>
      <c r="AE463" s="504" t="b">
        <v>0</v>
      </c>
      <c r="AF463" s="125"/>
      <c r="AG463" s="505" t="b">
        <v>0</v>
      </c>
      <c r="AH463" s="504" t="b">
        <v>0</v>
      </c>
      <c r="AI463" s="105"/>
      <c r="AJ463" s="505" t="b">
        <v>0</v>
      </c>
      <c r="AK463" s="504" t="b">
        <v>0</v>
      </c>
      <c r="AL463" s="126"/>
      <c r="AM463" s="505" t="b">
        <v>0</v>
      </c>
      <c r="AN463" s="504" t="b">
        <v>0</v>
      </c>
      <c r="AO463" s="105"/>
      <c r="AP463" s="105"/>
      <c r="AQ463" s="105"/>
      <c r="AR463" s="105"/>
      <c r="AS463" s="105"/>
      <c r="AT463" s="105"/>
      <c r="AU463" s="105"/>
      <c r="AV463" s="105"/>
      <c r="AW463" s="105"/>
      <c r="AX463" s="105"/>
      <c r="AY463" s="105"/>
      <c r="AZ463" s="105"/>
      <c r="BA463" s="105"/>
    </row>
    <row r="464">
      <c r="A464" s="105"/>
      <c r="B464" s="105"/>
      <c r="C464" s="105"/>
      <c r="D464" s="105"/>
      <c r="E464" s="105"/>
      <c r="F464" s="105"/>
      <c r="G464" s="105"/>
      <c r="H464" s="105"/>
      <c r="I464" s="505" t="b">
        <v>0</v>
      </c>
      <c r="J464" s="507" t="b">
        <v>0</v>
      </c>
      <c r="K464" s="112"/>
      <c r="L464" s="505" t="b">
        <v>0</v>
      </c>
      <c r="M464" s="504" t="b">
        <v>0</v>
      </c>
      <c r="N464" s="112"/>
      <c r="O464" s="505" t="b">
        <v>0</v>
      </c>
      <c r="P464" s="504" t="b">
        <v>0</v>
      </c>
      <c r="Q464" s="116"/>
      <c r="R464" s="505" t="b">
        <v>0</v>
      </c>
      <c r="S464" s="504" t="b">
        <v>0</v>
      </c>
      <c r="T464" s="117"/>
      <c r="U464" s="505" t="b">
        <v>0</v>
      </c>
      <c r="V464" s="504" t="b">
        <v>0</v>
      </c>
      <c r="W464" s="118"/>
      <c r="X464" s="505" t="b">
        <v>0</v>
      </c>
      <c r="Y464" s="504" t="b">
        <v>0</v>
      </c>
      <c r="Z464" s="119"/>
      <c r="AA464" s="505" t="b">
        <v>0</v>
      </c>
      <c r="AB464" s="504" t="b">
        <v>0</v>
      </c>
      <c r="AC464" s="121"/>
      <c r="AD464" s="505" t="b">
        <v>0</v>
      </c>
      <c r="AE464" s="504" t="b">
        <v>0</v>
      </c>
      <c r="AF464" s="125"/>
      <c r="AG464" s="505" t="b">
        <v>0</v>
      </c>
      <c r="AH464" s="504" t="b">
        <v>0</v>
      </c>
      <c r="AI464" s="105"/>
      <c r="AJ464" s="505" t="b">
        <v>0</v>
      </c>
      <c r="AK464" s="504" t="b">
        <v>0</v>
      </c>
      <c r="AL464" s="126"/>
      <c r="AM464" s="505" t="b">
        <v>0</v>
      </c>
      <c r="AN464" s="504" t="b">
        <v>0</v>
      </c>
      <c r="AO464" s="105"/>
      <c r="AP464" s="105"/>
      <c r="AQ464" s="105"/>
      <c r="AR464" s="105"/>
      <c r="AS464" s="105"/>
      <c r="AT464" s="105"/>
      <c r="AU464" s="105"/>
      <c r="AV464" s="105"/>
      <c r="AW464" s="105"/>
      <c r="AX464" s="105"/>
      <c r="AY464" s="105"/>
      <c r="AZ464" s="105"/>
      <c r="BA464" s="105"/>
    </row>
    <row r="465">
      <c r="A465" s="105"/>
      <c r="B465" s="105"/>
      <c r="C465" s="105"/>
      <c r="D465" s="105"/>
      <c r="E465" s="105"/>
      <c r="F465" s="105"/>
      <c r="G465" s="105"/>
      <c r="H465" s="105"/>
      <c r="I465" s="505" t="b">
        <v>0</v>
      </c>
      <c r="J465" s="507" t="b">
        <v>0</v>
      </c>
      <c r="K465" s="112"/>
      <c r="L465" s="505" t="b">
        <v>0</v>
      </c>
      <c r="M465" s="504" t="b">
        <v>0</v>
      </c>
      <c r="N465" s="112"/>
      <c r="O465" s="505" t="b">
        <v>0</v>
      </c>
      <c r="P465" s="504" t="b">
        <v>0</v>
      </c>
      <c r="Q465" s="116"/>
      <c r="R465" s="505" t="b">
        <v>0</v>
      </c>
      <c r="S465" s="504" t="b">
        <v>0</v>
      </c>
      <c r="T465" s="117"/>
      <c r="U465" s="505" t="b">
        <v>0</v>
      </c>
      <c r="V465" s="504" t="b">
        <v>0</v>
      </c>
      <c r="W465" s="118"/>
      <c r="X465" s="505" t="b">
        <v>0</v>
      </c>
      <c r="Y465" s="504" t="b">
        <v>0</v>
      </c>
      <c r="Z465" s="119"/>
      <c r="AA465" s="505" t="b">
        <v>0</v>
      </c>
      <c r="AB465" s="504" t="b">
        <v>0</v>
      </c>
      <c r="AC465" s="121"/>
      <c r="AD465" s="505" t="b">
        <v>0</v>
      </c>
      <c r="AE465" s="504" t="b">
        <v>0</v>
      </c>
      <c r="AF465" s="125"/>
      <c r="AG465" s="505" t="b">
        <v>0</v>
      </c>
      <c r="AH465" s="504" t="b">
        <v>0</v>
      </c>
      <c r="AI465" s="105"/>
      <c r="AJ465" s="505" t="b">
        <v>0</v>
      </c>
      <c r="AK465" s="504" t="b">
        <v>0</v>
      </c>
      <c r="AL465" s="126"/>
      <c r="AM465" s="505" t="b">
        <v>0</v>
      </c>
      <c r="AN465" s="504" t="b">
        <v>0</v>
      </c>
      <c r="AO465" s="105"/>
      <c r="AP465" s="105"/>
      <c r="AQ465" s="105"/>
      <c r="AR465" s="105"/>
      <c r="AS465" s="105"/>
      <c r="AT465" s="105"/>
      <c r="AU465" s="105"/>
      <c r="AV465" s="105"/>
      <c r="AW465" s="105"/>
      <c r="AX465" s="105"/>
      <c r="AY465" s="105"/>
      <c r="AZ465" s="105"/>
      <c r="BA465" s="105"/>
    </row>
    <row r="466">
      <c r="A466" s="105"/>
      <c r="B466" s="105"/>
      <c r="C466" s="105"/>
      <c r="D466" s="105"/>
      <c r="E466" s="105"/>
      <c r="F466" s="105"/>
      <c r="G466" s="105"/>
      <c r="H466" s="105"/>
      <c r="I466" s="505" t="b">
        <v>0</v>
      </c>
      <c r="J466" s="507" t="b">
        <v>0</v>
      </c>
      <c r="K466" s="112"/>
      <c r="L466" s="505" t="b">
        <v>0</v>
      </c>
      <c r="M466" s="504" t="b">
        <v>0</v>
      </c>
      <c r="N466" s="112"/>
      <c r="O466" s="505" t="b">
        <v>0</v>
      </c>
      <c r="P466" s="504" t="b">
        <v>0</v>
      </c>
      <c r="Q466" s="116"/>
      <c r="R466" s="505" t="b">
        <v>0</v>
      </c>
      <c r="S466" s="504" t="b">
        <v>0</v>
      </c>
      <c r="T466" s="117"/>
      <c r="U466" s="505" t="b">
        <v>0</v>
      </c>
      <c r="V466" s="504" t="b">
        <v>0</v>
      </c>
      <c r="W466" s="118"/>
      <c r="X466" s="505" t="b">
        <v>0</v>
      </c>
      <c r="Y466" s="504" t="b">
        <v>0</v>
      </c>
      <c r="Z466" s="119"/>
      <c r="AA466" s="505" t="b">
        <v>0</v>
      </c>
      <c r="AB466" s="504" t="b">
        <v>0</v>
      </c>
      <c r="AC466" s="121"/>
      <c r="AD466" s="505" t="b">
        <v>0</v>
      </c>
      <c r="AE466" s="504" t="b">
        <v>0</v>
      </c>
      <c r="AF466" s="125"/>
      <c r="AG466" s="505" t="b">
        <v>0</v>
      </c>
      <c r="AH466" s="504" t="b">
        <v>0</v>
      </c>
      <c r="AI466" s="105"/>
      <c r="AJ466" s="505" t="b">
        <v>0</v>
      </c>
      <c r="AK466" s="504" t="b">
        <v>0</v>
      </c>
      <c r="AL466" s="126"/>
      <c r="AM466" s="505" t="b">
        <v>0</v>
      </c>
      <c r="AN466" s="504" t="b">
        <v>0</v>
      </c>
      <c r="AO466" s="105"/>
      <c r="AP466" s="105"/>
      <c r="AQ466" s="105"/>
      <c r="AR466" s="105"/>
      <c r="AS466" s="105"/>
      <c r="AT466" s="105"/>
      <c r="AU466" s="105"/>
      <c r="AV466" s="105"/>
      <c r="AW466" s="105"/>
      <c r="AX466" s="105"/>
      <c r="AY466" s="105"/>
      <c r="AZ466" s="105"/>
      <c r="BA466" s="105"/>
    </row>
    <row r="467">
      <c r="A467" s="105"/>
      <c r="B467" s="105"/>
      <c r="C467" s="105"/>
      <c r="D467" s="105"/>
      <c r="E467" s="105"/>
      <c r="F467" s="105"/>
      <c r="G467" s="105"/>
      <c r="H467" s="105"/>
      <c r="I467" s="505" t="b">
        <v>0</v>
      </c>
      <c r="J467" s="507" t="b">
        <v>0</v>
      </c>
      <c r="K467" s="112"/>
      <c r="L467" s="505" t="b">
        <v>0</v>
      </c>
      <c r="M467" s="504" t="b">
        <v>0</v>
      </c>
      <c r="N467" s="112"/>
      <c r="O467" s="505" t="b">
        <v>0</v>
      </c>
      <c r="P467" s="504" t="b">
        <v>0</v>
      </c>
      <c r="Q467" s="116"/>
      <c r="R467" s="505" t="b">
        <v>0</v>
      </c>
      <c r="S467" s="504" t="b">
        <v>0</v>
      </c>
      <c r="T467" s="117"/>
      <c r="U467" s="505" t="b">
        <v>0</v>
      </c>
      <c r="V467" s="504" t="b">
        <v>0</v>
      </c>
      <c r="W467" s="118"/>
      <c r="X467" s="505" t="b">
        <v>0</v>
      </c>
      <c r="Y467" s="504" t="b">
        <v>0</v>
      </c>
      <c r="Z467" s="119"/>
      <c r="AA467" s="505" t="b">
        <v>0</v>
      </c>
      <c r="AB467" s="504" t="b">
        <v>0</v>
      </c>
      <c r="AC467" s="121"/>
      <c r="AD467" s="505" t="b">
        <v>0</v>
      </c>
      <c r="AE467" s="504" t="b">
        <v>0</v>
      </c>
      <c r="AF467" s="125"/>
      <c r="AG467" s="505" t="b">
        <v>0</v>
      </c>
      <c r="AH467" s="504" t="b">
        <v>0</v>
      </c>
      <c r="AI467" s="105"/>
      <c r="AJ467" s="505" t="b">
        <v>0</v>
      </c>
      <c r="AK467" s="504" t="b">
        <v>0</v>
      </c>
      <c r="AL467" s="126"/>
      <c r="AM467" s="505" t="b">
        <v>0</v>
      </c>
      <c r="AN467" s="504" t="b">
        <v>0</v>
      </c>
      <c r="AO467" s="105"/>
      <c r="AP467" s="105"/>
      <c r="AQ467" s="105"/>
      <c r="AR467" s="105"/>
      <c r="AS467" s="105"/>
      <c r="AT467" s="105"/>
      <c r="AU467" s="105"/>
      <c r="AV467" s="105"/>
      <c r="AW467" s="105"/>
      <c r="AX467" s="105"/>
      <c r="AY467" s="105"/>
      <c r="AZ467" s="105"/>
      <c r="BA467" s="105"/>
    </row>
    <row r="468">
      <c r="A468" s="105"/>
      <c r="B468" s="105"/>
      <c r="C468" s="105"/>
      <c r="D468" s="105"/>
      <c r="E468" s="105"/>
      <c r="F468" s="105"/>
      <c r="G468" s="105"/>
      <c r="H468" s="105"/>
      <c r="I468" s="505" t="b">
        <v>0</v>
      </c>
      <c r="J468" s="507" t="b">
        <v>0</v>
      </c>
      <c r="K468" s="112"/>
      <c r="L468" s="505" t="b">
        <v>0</v>
      </c>
      <c r="M468" s="504" t="b">
        <v>0</v>
      </c>
      <c r="N468" s="112"/>
      <c r="O468" s="505" t="b">
        <v>0</v>
      </c>
      <c r="P468" s="504" t="b">
        <v>0</v>
      </c>
      <c r="Q468" s="116"/>
      <c r="R468" s="505" t="b">
        <v>0</v>
      </c>
      <c r="S468" s="504" t="b">
        <v>0</v>
      </c>
      <c r="T468" s="117"/>
      <c r="U468" s="505" t="b">
        <v>0</v>
      </c>
      <c r="V468" s="504" t="b">
        <v>0</v>
      </c>
      <c r="W468" s="118"/>
      <c r="X468" s="505" t="b">
        <v>0</v>
      </c>
      <c r="Y468" s="504" t="b">
        <v>0</v>
      </c>
      <c r="Z468" s="119"/>
      <c r="AA468" s="505" t="b">
        <v>0</v>
      </c>
      <c r="AB468" s="504" t="b">
        <v>0</v>
      </c>
      <c r="AC468" s="121"/>
      <c r="AD468" s="505" t="b">
        <v>0</v>
      </c>
      <c r="AE468" s="504" t="b">
        <v>0</v>
      </c>
      <c r="AF468" s="125"/>
      <c r="AG468" s="505" t="b">
        <v>0</v>
      </c>
      <c r="AH468" s="504" t="b">
        <v>0</v>
      </c>
      <c r="AI468" s="105"/>
      <c r="AJ468" s="505" t="b">
        <v>0</v>
      </c>
      <c r="AK468" s="504" t="b">
        <v>0</v>
      </c>
      <c r="AL468" s="126"/>
      <c r="AM468" s="505" t="b">
        <v>0</v>
      </c>
      <c r="AN468" s="504" t="b">
        <v>0</v>
      </c>
      <c r="AO468" s="105"/>
      <c r="AP468" s="105"/>
      <c r="AQ468" s="105"/>
      <c r="AR468" s="105"/>
      <c r="AS468" s="105"/>
      <c r="AT468" s="105"/>
      <c r="AU468" s="105"/>
      <c r="AV468" s="105"/>
      <c r="AW468" s="105"/>
      <c r="AX468" s="105"/>
      <c r="AY468" s="105"/>
      <c r="AZ468" s="105"/>
      <c r="BA468" s="105"/>
    </row>
    <row r="469">
      <c r="A469" s="105"/>
      <c r="B469" s="105"/>
      <c r="C469" s="105"/>
      <c r="D469" s="105"/>
      <c r="E469" s="105"/>
      <c r="F469" s="105"/>
      <c r="G469" s="105"/>
      <c r="H469" s="105"/>
      <c r="I469" s="505" t="b">
        <v>0</v>
      </c>
      <c r="J469" s="507" t="b">
        <v>0</v>
      </c>
      <c r="K469" s="112"/>
      <c r="L469" s="505" t="b">
        <v>0</v>
      </c>
      <c r="M469" s="504" t="b">
        <v>0</v>
      </c>
      <c r="N469" s="112"/>
      <c r="O469" s="505" t="b">
        <v>0</v>
      </c>
      <c r="P469" s="504" t="b">
        <v>0</v>
      </c>
      <c r="Q469" s="116"/>
      <c r="R469" s="505" t="b">
        <v>0</v>
      </c>
      <c r="S469" s="504" t="b">
        <v>0</v>
      </c>
      <c r="T469" s="117"/>
      <c r="U469" s="505" t="b">
        <v>0</v>
      </c>
      <c r="V469" s="504" t="b">
        <v>0</v>
      </c>
      <c r="W469" s="118"/>
      <c r="X469" s="505" t="b">
        <v>0</v>
      </c>
      <c r="Y469" s="504" t="b">
        <v>0</v>
      </c>
      <c r="Z469" s="119"/>
      <c r="AA469" s="505" t="b">
        <v>0</v>
      </c>
      <c r="AB469" s="504" t="b">
        <v>0</v>
      </c>
      <c r="AC469" s="121"/>
      <c r="AD469" s="505" t="b">
        <v>0</v>
      </c>
      <c r="AE469" s="504" t="b">
        <v>0</v>
      </c>
      <c r="AF469" s="125"/>
      <c r="AG469" s="505" t="b">
        <v>0</v>
      </c>
      <c r="AH469" s="504" t="b">
        <v>0</v>
      </c>
      <c r="AI469" s="105"/>
      <c r="AJ469" s="505" t="b">
        <v>0</v>
      </c>
      <c r="AK469" s="504" t="b">
        <v>0</v>
      </c>
      <c r="AL469" s="126"/>
      <c r="AM469" s="505" t="b">
        <v>0</v>
      </c>
      <c r="AN469" s="504" t="b">
        <v>0</v>
      </c>
      <c r="AO469" s="105"/>
      <c r="AP469" s="105"/>
      <c r="AQ469" s="105"/>
      <c r="AR469" s="105"/>
      <c r="AS469" s="105"/>
      <c r="AT469" s="105"/>
      <c r="AU469" s="105"/>
      <c r="AV469" s="105"/>
      <c r="AW469" s="105"/>
      <c r="AX469" s="105"/>
      <c r="AY469" s="105"/>
      <c r="AZ469" s="105"/>
      <c r="BA469" s="105"/>
    </row>
    <row r="470">
      <c r="A470" s="105"/>
      <c r="B470" s="105"/>
      <c r="C470" s="105"/>
      <c r="D470" s="105"/>
      <c r="E470" s="105"/>
      <c r="F470" s="105"/>
      <c r="G470" s="105"/>
      <c r="H470" s="105"/>
      <c r="I470" s="505" t="b">
        <v>0</v>
      </c>
      <c r="J470" s="507" t="b">
        <v>0</v>
      </c>
      <c r="K470" s="112"/>
      <c r="L470" s="505" t="b">
        <v>0</v>
      </c>
      <c r="M470" s="504" t="b">
        <v>0</v>
      </c>
      <c r="N470" s="112"/>
      <c r="O470" s="505" t="b">
        <v>0</v>
      </c>
      <c r="P470" s="504" t="b">
        <v>0</v>
      </c>
      <c r="Q470" s="116"/>
      <c r="R470" s="505" t="b">
        <v>0</v>
      </c>
      <c r="S470" s="504" t="b">
        <v>0</v>
      </c>
      <c r="T470" s="117"/>
      <c r="U470" s="505" t="b">
        <v>0</v>
      </c>
      <c r="V470" s="504" t="b">
        <v>0</v>
      </c>
      <c r="W470" s="118"/>
      <c r="X470" s="505" t="b">
        <v>0</v>
      </c>
      <c r="Y470" s="504" t="b">
        <v>0</v>
      </c>
      <c r="Z470" s="119"/>
      <c r="AA470" s="505" t="b">
        <v>0</v>
      </c>
      <c r="AB470" s="504" t="b">
        <v>0</v>
      </c>
      <c r="AC470" s="121"/>
      <c r="AD470" s="505" t="b">
        <v>0</v>
      </c>
      <c r="AE470" s="504" t="b">
        <v>0</v>
      </c>
      <c r="AF470" s="125"/>
      <c r="AG470" s="505" t="b">
        <v>0</v>
      </c>
      <c r="AH470" s="504" t="b">
        <v>0</v>
      </c>
      <c r="AI470" s="105"/>
      <c r="AJ470" s="505" t="b">
        <v>0</v>
      </c>
      <c r="AK470" s="504" t="b">
        <v>0</v>
      </c>
      <c r="AL470" s="126"/>
      <c r="AM470" s="505" t="b">
        <v>0</v>
      </c>
      <c r="AN470" s="504" t="b">
        <v>0</v>
      </c>
      <c r="AO470" s="105"/>
      <c r="AP470" s="105"/>
      <c r="AQ470" s="105"/>
      <c r="AR470" s="105"/>
      <c r="AS470" s="105"/>
      <c r="AT470" s="105"/>
      <c r="AU470" s="105"/>
      <c r="AV470" s="105"/>
      <c r="AW470" s="105"/>
      <c r="AX470" s="105"/>
      <c r="AY470" s="105"/>
      <c r="AZ470" s="105"/>
      <c r="BA470" s="105"/>
    </row>
    <row r="471">
      <c r="A471" s="105"/>
      <c r="B471" s="105"/>
      <c r="C471" s="105"/>
      <c r="D471" s="105"/>
      <c r="E471" s="105"/>
      <c r="F471" s="105"/>
      <c r="G471" s="105"/>
      <c r="H471" s="105"/>
      <c r="I471" s="505" t="b">
        <v>0</v>
      </c>
      <c r="J471" s="507" t="b">
        <v>0</v>
      </c>
      <c r="K471" s="112"/>
      <c r="L471" s="505" t="b">
        <v>0</v>
      </c>
      <c r="M471" s="504" t="b">
        <v>0</v>
      </c>
      <c r="N471" s="112"/>
      <c r="O471" s="505" t="b">
        <v>0</v>
      </c>
      <c r="P471" s="504" t="b">
        <v>0</v>
      </c>
      <c r="Q471" s="116"/>
      <c r="R471" s="505" t="b">
        <v>0</v>
      </c>
      <c r="S471" s="504" t="b">
        <v>0</v>
      </c>
      <c r="T471" s="117"/>
      <c r="U471" s="505" t="b">
        <v>0</v>
      </c>
      <c r="V471" s="504" t="b">
        <v>0</v>
      </c>
      <c r="W471" s="118"/>
      <c r="X471" s="505" t="b">
        <v>0</v>
      </c>
      <c r="Y471" s="504" t="b">
        <v>0</v>
      </c>
      <c r="Z471" s="119"/>
      <c r="AA471" s="505" t="b">
        <v>0</v>
      </c>
      <c r="AB471" s="504" t="b">
        <v>0</v>
      </c>
      <c r="AC471" s="121"/>
      <c r="AD471" s="505" t="b">
        <v>0</v>
      </c>
      <c r="AE471" s="504" t="b">
        <v>0</v>
      </c>
      <c r="AF471" s="125"/>
      <c r="AG471" s="505" t="b">
        <v>0</v>
      </c>
      <c r="AH471" s="504" t="b">
        <v>0</v>
      </c>
      <c r="AI471" s="105"/>
      <c r="AJ471" s="505" t="b">
        <v>0</v>
      </c>
      <c r="AK471" s="504" t="b">
        <v>0</v>
      </c>
      <c r="AL471" s="126"/>
      <c r="AM471" s="505" t="b">
        <v>0</v>
      </c>
      <c r="AN471" s="504" t="b">
        <v>0</v>
      </c>
      <c r="AO471" s="105"/>
      <c r="AP471" s="105"/>
      <c r="AQ471" s="105"/>
      <c r="AR471" s="105"/>
      <c r="AS471" s="105"/>
      <c r="AT471" s="105"/>
      <c r="AU471" s="105"/>
      <c r="AV471" s="105"/>
      <c r="AW471" s="105"/>
      <c r="AX471" s="105"/>
      <c r="AY471" s="105"/>
      <c r="AZ471" s="105"/>
      <c r="BA471" s="105"/>
    </row>
    <row r="472">
      <c r="A472" s="105"/>
      <c r="B472" s="105"/>
      <c r="C472" s="105"/>
      <c r="D472" s="105"/>
      <c r="E472" s="105"/>
      <c r="F472" s="105"/>
      <c r="G472" s="105"/>
      <c r="H472" s="105"/>
      <c r="I472" s="505" t="b">
        <v>0</v>
      </c>
      <c r="J472" s="507" t="b">
        <v>0</v>
      </c>
      <c r="K472" s="112"/>
      <c r="L472" s="505" t="b">
        <v>0</v>
      </c>
      <c r="M472" s="504" t="b">
        <v>0</v>
      </c>
      <c r="N472" s="112"/>
      <c r="O472" s="505" t="b">
        <v>0</v>
      </c>
      <c r="P472" s="504" t="b">
        <v>0</v>
      </c>
      <c r="Q472" s="116"/>
      <c r="R472" s="505" t="b">
        <v>0</v>
      </c>
      <c r="S472" s="504" t="b">
        <v>0</v>
      </c>
      <c r="T472" s="117"/>
      <c r="U472" s="505" t="b">
        <v>0</v>
      </c>
      <c r="V472" s="504" t="b">
        <v>0</v>
      </c>
      <c r="W472" s="118"/>
      <c r="X472" s="505" t="b">
        <v>0</v>
      </c>
      <c r="Y472" s="504" t="b">
        <v>0</v>
      </c>
      <c r="Z472" s="119"/>
      <c r="AA472" s="505" t="b">
        <v>0</v>
      </c>
      <c r="AB472" s="504" t="b">
        <v>0</v>
      </c>
      <c r="AC472" s="121"/>
      <c r="AD472" s="505" t="b">
        <v>0</v>
      </c>
      <c r="AE472" s="504" t="b">
        <v>0</v>
      </c>
      <c r="AF472" s="125"/>
      <c r="AG472" s="505" t="b">
        <v>0</v>
      </c>
      <c r="AH472" s="504" t="b">
        <v>0</v>
      </c>
      <c r="AI472" s="105"/>
      <c r="AJ472" s="505" t="b">
        <v>0</v>
      </c>
      <c r="AK472" s="504" t="b">
        <v>0</v>
      </c>
      <c r="AL472" s="126"/>
      <c r="AM472" s="505" t="b">
        <v>0</v>
      </c>
      <c r="AN472" s="504" t="b">
        <v>0</v>
      </c>
      <c r="AO472" s="105"/>
      <c r="AP472" s="105"/>
      <c r="AQ472" s="105"/>
      <c r="AR472" s="105"/>
      <c r="AS472" s="105"/>
      <c r="AT472" s="105"/>
      <c r="AU472" s="105"/>
      <c r="AV472" s="105"/>
      <c r="AW472" s="105"/>
      <c r="AX472" s="105"/>
      <c r="AY472" s="105"/>
      <c r="AZ472" s="105"/>
      <c r="BA472" s="105"/>
    </row>
    <row r="473">
      <c r="A473" s="105"/>
      <c r="B473" s="105"/>
      <c r="C473" s="105"/>
      <c r="D473" s="105"/>
      <c r="E473" s="105"/>
      <c r="F473" s="105"/>
      <c r="G473" s="105"/>
      <c r="H473" s="105"/>
      <c r="I473" s="505" t="b">
        <v>0</v>
      </c>
      <c r="J473" s="507" t="b">
        <v>0</v>
      </c>
      <c r="K473" s="112"/>
      <c r="L473" s="505" t="b">
        <v>0</v>
      </c>
      <c r="M473" s="504" t="b">
        <v>0</v>
      </c>
      <c r="N473" s="112"/>
      <c r="O473" s="505" t="b">
        <v>0</v>
      </c>
      <c r="P473" s="504" t="b">
        <v>0</v>
      </c>
      <c r="Q473" s="116"/>
      <c r="R473" s="505" t="b">
        <v>0</v>
      </c>
      <c r="S473" s="504" t="b">
        <v>0</v>
      </c>
      <c r="T473" s="117"/>
      <c r="U473" s="505" t="b">
        <v>0</v>
      </c>
      <c r="V473" s="504" t="b">
        <v>0</v>
      </c>
      <c r="W473" s="118"/>
      <c r="X473" s="505" t="b">
        <v>0</v>
      </c>
      <c r="Y473" s="504" t="b">
        <v>0</v>
      </c>
      <c r="Z473" s="119"/>
      <c r="AA473" s="505" t="b">
        <v>0</v>
      </c>
      <c r="AB473" s="504" t="b">
        <v>0</v>
      </c>
      <c r="AC473" s="121"/>
      <c r="AD473" s="505" t="b">
        <v>0</v>
      </c>
      <c r="AE473" s="504" t="b">
        <v>0</v>
      </c>
      <c r="AF473" s="125"/>
      <c r="AG473" s="505" t="b">
        <v>0</v>
      </c>
      <c r="AH473" s="504" t="b">
        <v>0</v>
      </c>
      <c r="AI473" s="105"/>
      <c r="AJ473" s="505" t="b">
        <v>0</v>
      </c>
      <c r="AK473" s="504" t="b">
        <v>0</v>
      </c>
      <c r="AL473" s="126"/>
      <c r="AM473" s="505" t="b">
        <v>0</v>
      </c>
      <c r="AN473" s="504" t="b">
        <v>0</v>
      </c>
      <c r="AO473" s="105"/>
      <c r="AP473" s="105"/>
      <c r="AQ473" s="105"/>
      <c r="AR473" s="105"/>
      <c r="AS473" s="105"/>
      <c r="AT473" s="105"/>
      <c r="AU473" s="105"/>
      <c r="AV473" s="105"/>
      <c r="AW473" s="105"/>
      <c r="AX473" s="105"/>
      <c r="AY473" s="105"/>
      <c r="AZ473" s="105"/>
      <c r="BA473" s="105"/>
    </row>
    <row r="474">
      <c r="A474" s="105"/>
      <c r="B474" s="105"/>
      <c r="C474" s="105"/>
      <c r="D474" s="105"/>
      <c r="E474" s="105"/>
      <c r="F474" s="105"/>
      <c r="G474" s="105"/>
      <c r="H474" s="105"/>
      <c r="I474" s="505" t="b">
        <v>0</v>
      </c>
      <c r="J474" s="507" t="b">
        <v>0</v>
      </c>
      <c r="K474" s="112"/>
      <c r="L474" s="505" t="b">
        <v>0</v>
      </c>
      <c r="M474" s="504" t="b">
        <v>0</v>
      </c>
      <c r="N474" s="112"/>
      <c r="O474" s="505" t="b">
        <v>0</v>
      </c>
      <c r="P474" s="504" t="b">
        <v>0</v>
      </c>
      <c r="Q474" s="116"/>
      <c r="R474" s="505" t="b">
        <v>0</v>
      </c>
      <c r="S474" s="504" t="b">
        <v>0</v>
      </c>
      <c r="T474" s="117"/>
      <c r="U474" s="505" t="b">
        <v>0</v>
      </c>
      <c r="V474" s="504" t="b">
        <v>0</v>
      </c>
      <c r="W474" s="118"/>
      <c r="X474" s="505" t="b">
        <v>0</v>
      </c>
      <c r="Y474" s="504" t="b">
        <v>0</v>
      </c>
      <c r="Z474" s="119"/>
      <c r="AA474" s="505" t="b">
        <v>0</v>
      </c>
      <c r="AB474" s="504" t="b">
        <v>0</v>
      </c>
      <c r="AC474" s="121"/>
      <c r="AD474" s="505" t="b">
        <v>0</v>
      </c>
      <c r="AE474" s="504" t="b">
        <v>0</v>
      </c>
      <c r="AF474" s="125"/>
      <c r="AG474" s="505" t="b">
        <v>0</v>
      </c>
      <c r="AH474" s="504" t="b">
        <v>0</v>
      </c>
      <c r="AI474" s="105"/>
      <c r="AJ474" s="505" t="b">
        <v>0</v>
      </c>
      <c r="AK474" s="504" t="b">
        <v>0</v>
      </c>
      <c r="AL474" s="126"/>
      <c r="AM474" s="505" t="b">
        <v>0</v>
      </c>
      <c r="AN474" s="504" t="b">
        <v>0</v>
      </c>
      <c r="AO474" s="105"/>
      <c r="AP474" s="105"/>
      <c r="AQ474" s="105"/>
      <c r="AR474" s="105"/>
      <c r="AS474" s="105"/>
      <c r="AT474" s="105"/>
      <c r="AU474" s="105"/>
      <c r="AV474" s="105"/>
      <c r="AW474" s="105"/>
      <c r="AX474" s="105"/>
      <c r="AY474" s="105"/>
      <c r="AZ474" s="105"/>
      <c r="BA474" s="105"/>
    </row>
    <row r="475">
      <c r="A475" s="105"/>
      <c r="B475" s="105"/>
      <c r="C475" s="105"/>
      <c r="D475" s="105"/>
      <c r="E475" s="105"/>
      <c r="F475" s="105"/>
      <c r="G475" s="105"/>
      <c r="H475" s="105"/>
      <c r="I475" s="505" t="b">
        <v>0</v>
      </c>
      <c r="J475" s="507" t="b">
        <v>0</v>
      </c>
      <c r="K475" s="112"/>
      <c r="L475" s="505" t="b">
        <v>0</v>
      </c>
      <c r="M475" s="504" t="b">
        <v>0</v>
      </c>
      <c r="N475" s="112"/>
      <c r="O475" s="505" t="b">
        <v>0</v>
      </c>
      <c r="P475" s="504" t="b">
        <v>0</v>
      </c>
      <c r="Q475" s="116"/>
      <c r="R475" s="505" t="b">
        <v>0</v>
      </c>
      <c r="S475" s="504" t="b">
        <v>0</v>
      </c>
      <c r="T475" s="117"/>
      <c r="U475" s="505" t="b">
        <v>0</v>
      </c>
      <c r="V475" s="504" t="b">
        <v>0</v>
      </c>
      <c r="W475" s="118"/>
      <c r="X475" s="505" t="b">
        <v>0</v>
      </c>
      <c r="Y475" s="504" t="b">
        <v>0</v>
      </c>
      <c r="Z475" s="119"/>
      <c r="AA475" s="505" t="b">
        <v>0</v>
      </c>
      <c r="AB475" s="504" t="b">
        <v>0</v>
      </c>
      <c r="AC475" s="121"/>
      <c r="AD475" s="505" t="b">
        <v>0</v>
      </c>
      <c r="AE475" s="504" t="b">
        <v>0</v>
      </c>
      <c r="AF475" s="125"/>
      <c r="AG475" s="505" t="b">
        <v>0</v>
      </c>
      <c r="AH475" s="504" t="b">
        <v>0</v>
      </c>
      <c r="AI475" s="105"/>
      <c r="AJ475" s="505" t="b">
        <v>0</v>
      </c>
      <c r="AK475" s="504" t="b">
        <v>0</v>
      </c>
      <c r="AL475" s="126"/>
      <c r="AM475" s="505" t="b">
        <v>0</v>
      </c>
      <c r="AN475" s="504" t="b">
        <v>0</v>
      </c>
      <c r="AO475" s="105"/>
      <c r="AP475" s="105"/>
      <c r="AQ475" s="105"/>
      <c r="AR475" s="105"/>
      <c r="AS475" s="105"/>
      <c r="AT475" s="105"/>
      <c r="AU475" s="105"/>
      <c r="AV475" s="105"/>
      <c r="AW475" s="105"/>
      <c r="AX475" s="105"/>
      <c r="AY475" s="105"/>
      <c r="AZ475" s="105"/>
      <c r="BA475" s="105"/>
    </row>
    <row r="476">
      <c r="A476" s="105"/>
      <c r="B476" s="105"/>
      <c r="C476" s="105"/>
      <c r="D476" s="105"/>
      <c r="E476" s="105"/>
      <c r="F476" s="105"/>
      <c r="G476" s="105"/>
      <c r="H476" s="105"/>
      <c r="I476" s="505" t="b">
        <v>0</v>
      </c>
      <c r="J476" s="507" t="b">
        <v>0</v>
      </c>
      <c r="K476" s="112"/>
      <c r="L476" s="505" t="b">
        <v>0</v>
      </c>
      <c r="M476" s="504" t="b">
        <v>0</v>
      </c>
      <c r="N476" s="112"/>
      <c r="O476" s="505" t="b">
        <v>0</v>
      </c>
      <c r="P476" s="504" t="b">
        <v>0</v>
      </c>
      <c r="Q476" s="116"/>
      <c r="R476" s="505" t="b">
        <v>0</v>
      </c>
      <c r="S476" s="504" t="b">
        <v>0</v>
      </c>
      <c r="T476" s="117"/>
      <c r="U476" s="505" t="b">
        <v>0</v>
      </c>
      <c r="V476" s="504" t="b">
        <v>0</v>
      </c>
      <c r="W476" s="118"/>
      <c r="X476" s="505" t="b">
        <v>0</v>
      </c>
      <c r="Y476" s="504" t="b">
        <v>0</v>
      </c>
      <c r="Z476" s="119"/>
      <c r="AA476" s="505" t="b">
        <v>0</v>
      </c>
      <c r="AB476" s="504" t="b">
        <v>0</v>
      </c>
      <c r="AC476" s="121"/>
      <c r="AD476" s="505" t="b">
        <v>0</v>
      </c>
      <c r="AE476" s="504" t="b">
        <v>0</v>
      </c>
      <c r="AF476" s="125"/>
      <c r="AG476" s="505" t="b">
        <v>0</v>
      </c>
      <c r="AH476" s="504" t="b">
        <v>0</v>
      </c>
      <c r="AI476" s="105"/>
      <c r="AJ476" s="505" t="b">
        <v>0</v>
      </c>
      <c r="AK476" s="504" t="b">
        <v>0</v>
      </c>
      <c r="AL476" s="126"/>
      <c r="AM476" s="505" t="b">
        <v>0</v>
      </c>
      <c r="AN476" s="504" t="b">
        <v>0</v>
      </c>
      <c r="AO476" s="105"/>
      <c r="AP476" s="105"/>
      <c r="AQ476" s="105"/>
      <c r="AR476" s="105"/>
      <c r="AS476" s="105"/>
      <c r="AT476" s="105"/>
      <c r="AU476" s="105"/>
      <c r="AV476" s="105"/>
      <c r="AW476" s="105"/>
      <c r="AX476" s="105"/>
      <c r="AY476" s="105"/>
      <c r="AZ476" s="105"/>
      <c r="BA476" s="105"/>
    </row>
    <row r="477">
      <c r="A477" s="105"/>
      <c r="B477" s="105"/>
      <c r="C477" s="105"/>
      <c r="D477" s="105"/>
      <c r="E477" s="105"/>
      <c r="F477" s="105"/>
      <c r="G477" s="105"/>
      <c r="H477" s="105"/>
      <c r="I477" s="505" t="b">
        <v>0</v>
      </c>
      <c r="J477" s="507" t="b">
        <v>0</v>
      </c>
      <c r="K477" s="112"/>
      <c r="L477" s="505" t="b">
        <v>0</v>
      </c>
      <c r="M477" s="504" t="b">
        <v>0</v>
      </c>
      <c r="N477" s="112"/>
      <c r="O477" s="505" t="b">
        <v>0</v>
      </c>
      <c r="P477" s="504" t="b">
        <v>0</v>
      </c>
      <c r="Q477" s="116"/>
      <c r="R477" s="505" t="b">
        <v>0</v>
      </c>
      <c r="S477" s="504" t="b">
        <v>0</v>
      </c>
      <c r="T477" s="117"/>
      <c r="U477" s="505" t="b">
        <v>0</v>
      </c>
      <c r="V477" s="504" t="b">
        <v>0</v>
      </c>
      <c r="W477" s="118"/>
      <c r="X477" s="505" t="b">
        <v>0</v>
      </c>
      <c r="Y477" s="504" t="b">
        <v>0</v>
      </c>
      <c r="Z477" s="119"/>
      <c r="AA477" s="505" t="b">
        <v>0</v>
      </c>
      <c r="AB477" s="504" t="b">
        <v>0</v>
      </c>
      <c r="AC477" s="121"/>
      <c r="AD477" s="505" t="b">
        <v>0</v>
      </c>
      <c r="AE477" s="504" t="b">
        <v>0</v>
      </c>
      <c r="AF477" s="125"/>
      <c r="AG477" s="505" t="b">
        <v>0</v>
      </c>
      <c r="AH477" s="504" t="b">
        <v>0</v>
      </c>
      <c r="AI477" s="105"/>
      <c r="AJ477" s="505" t="b">
        <v>0</v>
      </c>
      <c r="AK477" s="504" t="b">
        <v>0</v>
      </c>
      <c r="AL477" s="126"/>
      <c r="AM477" s="505" t="b">
        <v>0</v>
      </c>
      <c r="AN477" s="504" t="b">
        <v>0</v>
      </c>
      <c r="AO477" s="105"/>
      <c r="AP477" s="105"/>
      <c r="AQ477" s="105"/>
      <c r="AR477" s="105"/>
      <c r="AS477" s="105"/>
      <c r="AT477" s="105"/>
      <c r="AU477" s="105"/>
      <c r="AV477" s="105"/>
      <c r="AW477" s="105"/>
      <c r="AX477" s="105"/>
      <c r="AY477" s="105"/>
      <c r="AZ477" s="105"/>
      <c r="BA477" s="105"/>
    </row>
    <row r="478">
      <c r="A478" s="105"/>
      <c r="B478" s="105"/>
      <c r="C478" s="105"/>
      <c r="D478" s="105"/>
      <c r="E478" s="105"/>
      <c r="F478" s="105"/>
      <c r="G478" s="105"/>
      <c r="H478" s="105"/>
      <c r="I478" s="505" t="b">
        <v>0</v>
      </c>
      <c r="J478" s="507" t="b">
        <v>0</v>
      </c>
      <c r="K478" s="112"/>
      <c r="L478" s="505" t="b">
        <v>0</v>
      </c>
      <c r="M478" s="504" t="b">
        <v>0</v>
      </c>
      <c r="N478" s="112"/>
      <c r="O478" s="505" t="b">
        <v>0</v>
      </c>
      <c r="P478" s="504" t="b">
        <v>0</v>
      </c>
      <c r="Q478" s="116"/>
      <c r="R478" s="505" t="b">
        <v>0</v>
      </c>
      <c r="S478" s="504" t="b">
        <v>0</v>
      </c>
      <c r="T478" s="117"/>
      <c r="U478" s="505" t="b">
        <v>0</v>
      </c>
      <c r="V478" s="504" t="b">
        <v>0</v>
      </c>
      <c r="W478" s="118"/>
      <c r="X478" s="505" t="b">
        <v>0</v>
      </c>
      <c r="Y478" s="504" t="b">
        <v>0</v>
      </c>
      <c r="Z478" s="119"/>
      <c r="AA478" s="505" t="b">
        <v>0</v>
      </c>
      <c r="AB478" s="504" t="b">
        <v>0</v>
      </c>
      <c r="AC478" s="121"/>
      <c r="AD478" s="505" t="b">
        <v>0</v>
      </c>
      <c r="AE478" s="504" t="b">
        <v>0</v>
      </c>
      <c r="AF478" s="125"/>
      <c r="AG478" s="505" t="b">
        <v>0</v>
      </c>
      <c r="AH478" s="504" t="b">
        <v>0</v>
      </c>
      <c r="AI478" s="105"/>
      <c r="AJ478" s="505" t="b">
        <v>0</v>
      </c>
      <c r="AK478" s="504" t="b">
        <v>0</v>
      </c>
      <c r="AL478" s="126"/>
      <c r="AM478" s="505" t="b">
        <v>0</v>
      </c>
      <c r="AN478" s="504" t="b">
        <v>0</v>
      </c>
      <c r="AO478" s="105"/>
      <c r="AP478" s="105"/>
      <c r="AQ478" s="105"/>
      <c r="AR478" s="105"/>
      <c r="AS478" s="105"/>
      <c r="AT478" s="105"/>
      <c r="AU478" s="105"/>
      <c r="AV478" s="105"/>
      <c r="AW478" s="105"/>
      <c r="AX478" s="105"/>
      <c r="AY478" s="105"/>
      <c r="AZ478" s="105"/>
      <c r="BA478" s="105"/>
    </row>
    <row r="479">
      <c r="A479" s="105"/>
      <c r="B479" s="105"/>
      <c r="C479" s="105"/>
      <c r="D479" s="105"/>
      <c r="E479" s="105"/>
      <c r="F479" s="105"/>
      <c r="G479" s="105"/>
      <c r="H479" s="105"/>
      <c r="I479" s="505" t="b">
        <v>0</v>
      </c>
      <c r="J479" s="507" t="b">
        <v>0</v>
      </c>
      <c r="K479" s="112"/>
      <c r="L479" s="505" t="b">
        <v>0</v>
      </c>
      <c r="M479" s="504" t="b">
        <v>0</v>
      </c>
      <c r="N479" s="112"/>
      <c r="O479" s="505" t="b">
        <v>0</v>
      </c>
      <c r="P479" s="504" t="b">
        <v>0</v>
      </c>
      <c r="Q479" s="116"/>
      <c r="R479" s="505" t="b">
        <v>0</v>
      </c>
      <c r="S479" s="504" t="b">
        <v>0</v>
      </c>
      <c r="T479" s="117"/>
      <c r="U479" s="505" t="b">
        <v>0</v>
      </c>
      <c r="V479" s="504" t="b">
        <v>0</v>
      </c>
      <c r="W479" s="118"/>
      <c r="X479" s="505" t="b">
        <v>0</v>
      </c>
      <c r="Y479" s="504" t="b">
        <v>0</v>
      </c>
      <c r="Z479" s="119"/>
      <c r="AA479" s="505" t="b">
        <v>0</v>
      </c>
      <c r="AB479" s="504" t="b">
        <v>0</v>
      </c>
      <c r="AC479" s="121"/>
      <c r="AD479" s="505" t="b">
        <v>0</v>
      </c>
      <c r="AE479" s="504" t="b">
        <v>0</v>
      </c>
      <c r="AF479" s="125"/>
      <c r="AG479" s="505" t="b">
        <v>0</v>
      </c>
      <c r="AH479" s="504" t="b">
        <v>0</v>
      </c>
      <c r="AI479" s="105"/>
      <c r="AJ479" s="505" t="b">
        <v>0</v>
      </c>
      <c r="AK479" s="504" t="b">
        <v>0</v>
      </c>
      <c r="AL479" s="126"/>
      <c r="AM479" s="505" t="b">
        <v>0</v>
      </c>
      <c r="AN479" s="504" t="b">
        <v>0</v>
      </c>
      <c r="AO479" s="105"/>
      <c r="AP479" s="105"/>
      <c r="AQ479" s="105"/>
      <c r="AR479" s="105"/>
      <c r="AS479" s="105"/>
      <c r="AT479" s="105"/>
      <c r="AU479" s="105"/>
      <c r="AV479" s="105"/>
      <c r="AW479" s="105"/>
      <c r="AX479" s="105"/>
      <c r="AY479" s="105"/>
      <c r="AZ479" s="105"/>
      <c r="BA479" s="105"/>
    </row>
    <row r="480">
      <c r="A480" s="105"/>
      <c r="B480" s="105"/>
      <c r="C480" s="105"/>
      <c r="D480" s="105"/>
      <c r="E480" s="105"/>
      <c r="F480" s="105"/>
      <c r="G480" s="105"/>
      <c r="H480" s="105"/>
      <c r="I480" s="505" t="b">
        <v>0</v>
      </c>
      <c r="J480" s="507" t="b">
        <v>0</v>
      </c>
      <c r="K480" s="112"/>
      <c r="L480" s="505" t="b">
        <v>0</v>
      </c>
      <c r="M480" s="504" t="b">
        <v>0</v>
      </c>
      <c r="N480" s="112"/>
      <c r="O480" s="505" t="b">
        <v>0</v>
      </c>
      <c r="P480" s="504" t="b">
        <v>0</v>
      </c>
      <c r="Q480" s="116"/>
      <c r="R480" s="505" t="b">
        <v>0</v>
      </c>
      <c r="S480" s="504" t="b">
        <v>0</v>
      </c>
      <c r="T480" s="117"/>
      <c r="U480" s="505" t="b">
        <v>0</v>
      </c>
      <c r="V480" s="504" t="b">
        <v>0</v>
      </c>
      <c r="W480" s="118"/>
      <c r="X480" s="505" t="b">
        <v>0</v>
      </c>
      <c r="Y480" s="504" t="b">
        <v>0</v>
      </c>
      <c r="Z480" s="119"/>
      <c r="AA480" s="505" t="b">
        <v>0</v>
      </c>
      <c r="AB480" s="504" t="b">
        <v>0</v>
      </c>
      <c r="AC480" s="121"/>
      <c r="AD480" s="505" t="b">
        <v>0</v>
      </c>
      <c r="AE480" s="504" t="b">
        <v>0</v>
      </c>
      <c r="AF480" s="125"/>
      <c r="AG480" s="505" t="b">
        <v>0</v>
      </c>
      <c r="AH480" s="504" t="b">
        <v>0</v>
      </c>
      <c r="AI480" s="105"/>
      <c r="AJ480" s="505" t="b">
        <v>0</v>
      </c>
      <c r="AK480" s="504" t="b">
        <v>0</v>
      </c>
      <c r="AL480" s="126"/>
      <c r="AM480" s="505" t="b">
        <v>0</v>
      </c>
      <c r="AN480" s="504" t="b">
        <v>0</v>
      </c>
      <c r="AO480" s="105"/>
      <c r="AP480" s="105"/>
      <c r="AQ480" s="105"/>
      <c r="AR480" s="105"/>
      <c r="AS480" s="105"/>
      <c r="AT480" s="105"/>
      <c r="AU480" s="105"/>
      <c r="AV480" s="105"/>
      <c r="AW480" s="105"/>
      <c r="AX480" s="105"/>
      <c r="AY480" s="105"/>
      <c r="AZ480" s="105"/>
      <c r="BA480" s="105"/>
    </row>
    <row r="481">
      <c r="A481" s="105"/>
      <c r="B481" s="105"/>
      <c r="C481" s="105"/>
      <c r="D481" s="105"/>
      <c r="E481" s="105"/>
      <c r="F481" s="105"/>
      <c r="G481" s="105"/>
      <c r="H481" s="105"/>
      <c r="I481" s="505" t="b">
        <v>0</v>
      </c>
      <c r="J481" s="507" t="b">
        <v>0</v>
      </c>
      <c r="K481" s="112"/>
      <c r="L481" s="505" t="b">
        <v>0</v>
      </c>
      <c r="M481" s="504" t="b">
        <v>0</v>
      </c>
      <c r="N481" s="112"/>
      <c r="O481" s="505" t="b">
        <v>0</v>
      </c>
      <c r="P481" s="504" t="b">
        <v>0</v>
      </c>
      <c r="Q481" s="116"/>
      <c r="R481" s="505" t="b">
        <v>0</v>
      </c>
      <c r="S481" s="504" t="b">
        <v>0</v>
      </c>
      <c r="T481" s="117"/>
      <c r="U481" s="505" t="b">
        <v>0</v>
      </c>
      <c r="V481" s="504" t="b">
        <v>0</v>
      </c>
      <c r="W481" s="118"/>
      <c r="X481" s="505" t="b">
        <v>0</v>
      </c>
      <c r="Y481" s="504" t="b">
        <v>0</v>
      </c>
      <c r="Z481" s="119"/>
      <c r="AA481" s="505" t="b">
        <v>0</v>
      </c>
      <c r="AB481" s="504" t="b">
        <v>0</v>
      </c>
      <c r="AC481" s="121"/>
      <c r="AD481" s="505" t="b">
        <v>0</v>
      </c>
      <c r="AE481" s="504" t="b">
        <v>0</v>
      </c>
      <c r="AF481" s="125"/>
      <c r="AG481" s="505" t="b">
        <v>0</v>
      </c>
      <c r="AH481" s="504" t="b">
        <v>0</v>
      </c>
      <c r="AI481" s="105"/>
      <c r="AJ481" s="505" t="b">
        <v>0</v>
      </c>
      <c r="AK481" s="504" t="b">
        <v>0</v>
      </c>
      <c r="AL481" s="126"/>
      <c r="AM481" s="505" t="b">
        <v>0</v>
      </c>
      <c r="AN481" s="504" t="b">
        <v>0</v>
      </c>
      <c r="AO481" s="105"/>
      <c r="AP481" s="105"/>
      <c r="AQ481" s="105"/>
      <c r="AR481" s="105"/>
      <c r="AS481" s="105"/>
      <c r="AT481" s="105"/>
      <c r="AU481" s="105"/>
      <c r="AV481" s="105"/>
      <c r="AW481" s="105"/>
      <c r="AX481" s="105"/>
      <c r="AY481" s="105"/>
      <c r="AZ481" s="105"/>
      <c r="BA481" s="105"/>
    </row>
    <row r="482">
      <c r="A482" s="105"/>
      <c r="B482" s="105"/>
      <c r="C482" s="105"/>
      <c r="D482" s="105"/>
      <c r="E482" s="105"/>
      <c r="F482" s="105"/>
      <c r="G482" s="105"/>
      <c r="H482" s="105"/>
      <c r="I482" s="505" t="b">
        <v>0</v>
      </c>
      <c r="J482" s="507" t="b">
        <v>0</v>
      </c>
      <c r="K482" s="112"/>
      <c r="L482" s="505" t="b">
        <v>0</v>
      </c>
      <c r="M482" s="504" t="b">
        <v>0</v>
      </c>
      <c r="N482" s="112"/>
      <c r="O482" s="505" t="b">
        <v>0</v>
      </c>
      <c r="P482" s="504" t="b">
        <v>0</v>
      </c>
      <c r="Q482" s="116"/>
      <c r="R482" s="505" t="b">
        <v>0</v>
      </c>
      <c r="S482" s="504" t="b">
        <v>0</v>
      </c>
      <c r="T482" s="117"/>
      <c r="U482" s="505" t="b">
        <v>0</v>
      </c>
      <c r="V482" s="504" t="b">
        <v>0</v>
      </c>
      <c r="W482" s="118"/>
      <c r="X482" s="505" t="b">
        <v>0</v>
      </c>
      <c r="Y482" s="504" t="b">
        <v>0</v>
      </c>
      <c r="Z482" s="119"/>
      <c r="AA482" s="505" t="b">
        <v>0</v>
      </c>
      <c r="AB482" s="504" t="b">
        <v>0</v>
      </c>
      <c r="AC482" s="121"/>
      <c r="AD482" s="505" t="b">
        <v>0</v>
      </c>
      <c r="AE482" s="504" t="b">
        <v>0</v>
      </c>
      <c r="AF482" s="125"/>
      <c r="AG482" s="505" t="b">
        <v>0</v>
      </c>
      <c r="AH482" s="504" t="b">
        <v>0</v>
      </c>
      <c r="AI482" s="105"/>
      <c r="AJ482" s="505" t="b">
        <v>0</v>
      </c>
      <c r="AK482" s="504" t="b">
        <v>0</v>
      </c>
      <c r="AL482" s="126"/>
      <c r="AM482" s="505" t="b">
        <v>0</v>
      </c>
      <c r="AN482" s="504" t="b">
        <v>0</v>
      </c>
      <c r="AO482" s="105"/>
      <c r="AP482" s="105"/>
      <c r="AQ482" s="105"/>
      <c r="AR482" s="105"/>
      <c r="AS482" s="105"/>
      <c r="AT482" s="105"/>
      <c r="AU482" s="105"/>
      <c r="AV482" s="105"/>
      <c r="AW482" s="105"/>
      <c r="AX482" s="105"/>
      <c r="AY482" s="105"/>
      <c r="AZ482" s="105"/>
      <c r="BA482" s="105"/>
    </row>
    <row r="483">
      <c r="A483" s="105"/>
      <c r="B483" s="105"/>
      <c r="C483" s="105"/>
      <c r="D483" s="105"/>
      <c r="E483" s="105"/>
      <c r="F483" s="105"/>
      <c r="G483" s="105"/>
      <c r="H483" s="105"/>
      <c r="I483" s="505" t="b">
        <v>0</v>
      </c>
      <c r="J483" s="507" t="b">
        <v>0</v>
      </c>
      <c r="K483" s="112"/>
      <c r="L483" s="505" t="b">
        <v>0</v>
      </c>
      <c r="M483" s="504" t="b">
        <v>0</v>
      </c>
      <c r="N483" s="112"/>
      <c r="O483" s="505" t="b">
        <v>0</v>
      </c>
      <c r="P483" s="504" t="b">
        <v>0</v>
      </c>
      <c r="Q483" s="116"/>
      <c r="R483" s="505" t="b">
        <v>0</v>
      </c>
      <c r="S483" s="504" t="b">
        <v>0</v>
      </c>
      <c r="T483" s="117"/>
      <c r="U483" s="505" t="b">
        <v>0</v>
      </c>
      <c r="V483" s="504" t="b">
        <v>0</v>
      </c>
      <c r="W483" s="118"/>
      <c r="X483" s="505" t="b">
        <v>0</v>
      </c>
      <c r="Y483" s="504" t="b">
        <v>0</v>
      </c>
      <c r="Z483" s="119"/>
      <c r="AA483" s="505" t="b">
        <v>0</v>
      </c>
      <c r="AB483" s="504" t="b">
        <v>0</v>
      </c>
      <c r="AC483" s="121"/>
      <c r="AD483" s="505" t="b">
        <v>0</v>
      </c>
      <c r="AE483" s="504" t="b">
        <v>0</v>
      </c>
      <c r="AF483" s="125"/>
      <c r="AG483" s="505" t="b">
        <v>0</v>
      </c>
      <c r="AH483" s="504" t="b">
        <v>0</v>
      </c>
      <c r="AI483" s="105"/>
      <c r="AJ483" s="505" t="b">
        <v>0</v>
      </c>
      <c r="AK483" s="504" t="b">
        <v>0</v>
      </c>
      <c r="AL483" s="126"/>
      <c r="AM483" s="505" t="b">
        <v>0</v>
      </c>
      <c r="AN483" s="504" t="b">
        <v>0</v>
      </c>
      <c r="AO483" s="105"/>
      <c r="AP483" s="105"/>
      <c r="AQ483" s="105"/>
      <c r="AR483" s="105"/>
      <c r="AS483" s="105"/>
      <c r="AT483" s="105"/>
      <c r="AU483" s="105"/>
      <c r="AV483" s="105"/>
      <c r="AW483" s="105"/>
      <c r="AX483" s="105"/>
      <c r="AY483" s="105"/>
      <c r="AZ483" s="105"/>
      <c r="BA483" s="105"/>
    </row>
    <row r="484">
      <c r="A484" s="105"/>
      <c r="B484" s="105"/>
      <c r="C484" s="105"/>
      <c r="D484" s="105"/>
      <c r="E484" s="105"/>
      <c r="F484" s="105"/>
      <c r="G484" s="105"/>
      <c r="H484" s="105"/>
      <c r="I484" s="505" t="b">
        <v>0</v>
      </c>
      <c r="J484" s="507" t="b">
        <v>0</v>
      </c>
      <c r="K484" s="112"/>
      <c r="L484" s="505" t="b">
        <v>0</v>
      </c>
      <c r="M484" s="504" t="b">
        <v>0</v>
      </c>
      <c r="N484" s="112"/>
      <c r="O484" s="505" t="b">
        <v>0</v>
      </c>
      <c r="P484" s="504" t="b">
        <v>0</v>
      </c>
      <c r="Q484" s="116"/>
      <c r="R484" s="505" t="b">
        <v>0</v>
      </c>
      <c r="S484" s="504" t="b">
        <v>0</v>
      </c>
      <c r="T484" s="117"/>
      <c r="U484" s="505" t="b">
        <v>0</v>
      </c>
      <c r="V484" s="504" t="b">
        <v>0</v>
      </c>
      <c r="W484" s="118"/>
      <c r="X484" s="505" t="b">
        <v>0</v>
      </c>
      <c r="Y484" s="504" t="b">
        <v>0</v>
      </c>
      <c r="Z484" s="119"/>
      <c r="AA484" s="505" t="b">
        <v>0</v>
      </c>
      <c r="AB484" s="504" t="b">
        <v>0</v>
      </c>
      <c r="AC484" s="121"/>
      <c r="AD484" s="505" t="b">
        <v>0</v>
      </c>
      <c r="AE484" s="504" t="b">
        <v>0</v>
      </c>
      <c r="AF484" s="125"/>
      <c r="AG484" s="505" t="b">
        <v>0</v>
      </c>
      <c r="AH484" s="504" t="b">
        <v>0</v>
      </c>
      <c r="AI484" s="105"/>
      <c r="AJ484" s="505" t="b">
        <v>0</v>
      </c>
      <c r="AK484" s="504" t="b">
        <v>0</v>
      </c>
      <c r="AL484" s="126"/>
      <c r="AM484" s="505" t="b">
        <v>0</v>
      </c>
      <c r="AN484" s="504" t="b">
        <v>0</v>
      </c>
      <c r="AO484" s="105"/>
      <c r="AP484" s="105"/>
      <c r="AQ484" s="105"/>
      <c r="AR484" s="105"/>
      <c r="AS484" s="105"/>
      <c r="AT484" s="105"/>
      <c r="AU484" s="105"/>
      <c r="AV484" s="105"/>
      <c r="AW484" s="105"/>
      <c r="AX484" s="105"/>
      <c r="AY484" s="105"/>
      <c r="AZ484" s="105"/>
      <c r="BA484" s="105"/>
    </row>
    <row r="485">
      <c r="A485" s="105"/>
      <c r="B485" s="105"/>
      <c r="C485" s="105"/>
      <c r="D485" s="105"/>
      <c r="E485" s="105"/>
      <c r="F485" s="105"/>
      <c r="G485" s="105"/>
      <c r="H485" s="105"/>
      <c r="I485" s="505" t="b">
        <v>0</v>
      </c>
      <c r="J485" s="507" t="b">
        <v>0</v>
      </c>
      <c r="K485" s="112"/>
      <c r="L485" s="505" t="b">
        <v>0</v>
      </c>
      <c r="M485" s="504" t="b">
        <v>0</v>
      </c>
      <c r="N485" s="112"/>
      <c r="O485" s="505" t="b">
        <v>0</v>
      </c>
      <c r="P485" s="504" t="b">
        <v>0</v>
      </c>
      <c r="Q485" s="116"/>
      <c r="R485" s="505" t="b">
        <v>0</v>
      </c>
      <c r="S485" s="504" t="b">
        <v>0</v>
      </c>
      <c r="T485" s="117"/>
      <c r="U485" s="505" t="b">
        <v>0</v>
      </c>
      <c r="V485" s="504" t="b">
        <v>0</v>
      </c>
      <c r="W485" s="118"/>
      <c r="X485" s="505" t="b">
        <v>0</v>
      </c>
      <c r="Y485" s="504" t="b">
        <v>0</v>
      </c>
      <c r="Z485" s="119"/>
      <c r="AA485" s="505" t="b">
        <v>0</v>
      </c>
      <c r="AB485" s="504" t="b">
        <v>0</v>
      </c>
      <c r="AC485" s="121"/>
      <c r="AD485" s="505" t="b">
        <v>0</v>
      </c>
      <c r="AE485" s="504" t="b">
        <v>0</v>
      </c>
      <c r="AF485" s="125"/>
      <c r="AG485" s="505" t="b">
        <v>0</v>
      </c>
      <c r="AH485" s="504" t="b">
        <v>0</v>
      </c>
      <c r="AI485" s="105"/>
      <c r="AJ485" s="505" t="b">
        <v>0</v>
      </c>
      <c r="AK485" s="504" t="b">
        <v>0</v>
      </c>
      <c r="AL485" s="126"/>
      <c r="AM485" s="505" t="b">
        <v>0</v>
      </c>
      <c r="AN485" s="504" t="b">
        <v>0</v>
      </c>
      <c r="AO485" s="105"/>
      <c r="AP485" s="105"/>
      <c r="AQ485" s="105"/>
      <c r="AR485" s="105"/>
      <c r="AS485" s="105"/>
      <c r="AT485" s="105"/>
      <c r="AU485" s="105"/>
      <c r="AV485" s="105"/>
      <c r="AW485" s="105"/>
      <c r="AX485" s="105"/>
      <c r="AY485" s="105"/>
      <c r="AZ485" s="105"/>
      <c r="BA485" s="105"/>
    </row>
    <row r="486">
      <c r="A486" s="105"/>
      <c r="B486" s="105"/>
      <c r="C486" s="105"/>
      <c r="D486" s="105"/>
      <c r="E486" s="105"/>
      <c r="F486" s="105"/>
      <c r="G486" s="105"/>
      <c r="H486" s="105"/>
      <c r="I486" s="505" t="b">
        <v>0</v>
      </c>
      <c r="J486" s="507" t="b">
        <v>0</v>
      </c>
      <c r="K486" s="112"/>
      <c r="L486" s="505" t="b">
        <v>0</v>
      </c>
      <c r="M486" s="504" t="b">
        <v>0</v>
      </c>
      <c r="N486" s="112"/>
      <c r="O486" s="505" t="b">
        <v>0</v>
      </c>
      <c r="P486" s="504" t="b">
        <v>0</v>
      </c>
      <c r="Q486" s="116"/>
      <c r="R486" s="505" t="b">
        <v>0</v>
      </c>
      <c r="S486" s="504" t="b">
        <v>0</v>
      </c>
      <c r="T486" s="117"/>
      <c r="U486" s="505" t="b">
        <v>0</v>
      </c>
      <c r="V486" s="504" t="b">
        <v>0</v>
      </c>
      <c r="W486" s="118"/>
      <c r="X486" s="505" t="b">
        <v>0</v>
      </c>
      <c r="Y486" s="504" t="b">
        <v>0</v>
      </c>
      <c r="Z486" s="119"/>
      <c r="AA486" s="505" t="b">
        <v>0</v>
      </c>
      <c r="AB486" s="504" t="b">
        <v>0</v>
      </c>
      <c r="AC486" s="121"/>
      <c r="AD486" s="505" t="b">
        <v>0</v>
      </c>
      <c r="AE486" s="504" t="b">
        <v>0</v>
      </c>
      <c r="AF486" s="125"/>
      <c r="AG486" s="505" t="b">
        <v>0</v>
      </c>
      <c r="AH486" s="504" t="b">
        <v>0</v>
      </c>
      <c r="AI486" s="105"/>
      <c r="AJ486" s="505" t="b">
        <v>0</v>
      </c>
      <c r="AK486" s="504" t="b">
        <v>0</v>
      </c>
      <c r="AL486" s="126"/>
      <c r="AM486" s="505" t="b">
        <v>0</v>
      </c>
      <c r="AN486" s="504" t="b">
        <v>0</v>
      </c>
      <c r="AO486" s="105"/>
      <c r="AP486" s="105"/>
      <c r="AQ486" s="105"/>
      <c r="AR486" s="105"/>
      <c r="AS486" s="105"/>
      <c r="AT486" s="105"/>
      <c r="AU486" s="105"/>
      <c r="AV486" s="105"/>
      <c r="AW486" s="105"/>
      <c r="AX486" s="105"/>
      <c r="AY486" s="105"/>
      <c r="AZ486" s="105"/>
      <c r="BA486" s="105"/>
    </row>
    <row r="487">
      <c r="A487" s="105"/>
      <c r="B487" s="105"/>
      <c r="C487" s="105"/>
      <c r="D487" s="105"/>
      <c r="E487" s="105"/>
      <c r="F487" s="105"/>
      <c r="G487" s="105"/>
      <c r="H487" s="105"/>
      <c r="I487" s="505" t="b">
        <v>0</v>
      </c>
      <c r="J487" s="507" t="b">
        <v>0</v>
      </c>
      <c r="K487" s="112"/>
      <c r="L487" s="505" t="b">
        <v>0</v>
      </c>
      <c r="M487" s="504" t="b">
        <v>0</v>
      </c>
      <c r="N487" s="112"/>
      <c r="O487" s="505" t="b">
        <v>0</v>
      </c>
      <c r="P487" s="504" t="b">
        <v>0</v>
      </c>
      <c r="Q487" s="116"/>
      <c r="R487" s="505" t="b">
        <v>0</v>
      </c>
      <c r="S487" s="504" t="b">
        <v>0</v>
      </c>
      <c r="T487" s="117"/>
      <c r="U487" s="505" t="b">
        <v>0</v>
      </c>
      <c r="V487" s="504" t="b">
        <v>0</v>
      </c>
      <c r="W487" s="118"/>
      <c r="X487" s="505" t="b">
        <v>0</v>
      </c>
      <c r="Y487" s="504" t="b">
        <v>0</v>
      </c>
      <c r="Z487" s="119"/>
      <c r="AA487" s="505" t="b">
        <v>0</v>
      </c>
      <c r="AB487" s="504" t="b">
        <v>0</v>
      </c>
      <c r="AC487" s="121"/>
      <c r="AD487" s="505" t="b">
        <v>0</v>
      </c>
      <c r="AE487" s="504" t="b">
        <v>0</v>
      </c>
      <c r="AF487" s="125"/>
      <c r="AG487" s="505" t="b">
        <v>0</v>
      </c>
      <c r="AH487" s="504" t="b">
        <v>0</v>
      </c>
      <c r="AI487" s="105"/>
      <c r="AJ487" s="505" t="b">
        <v>0</v>
      </c>
      <c r="AK487" s="504" t="b">
        <v>0</v>
      </c>
      <c r="AL487" s="126"/>
      <c r="AM487" s="505" t="b">
        <v>0</v>
      </c>
      <c r="AN487" s="504" t="b">
        <v>0</v>
      </c>
      <c r="AO487" s="105"/>
      <c r="AP487" s="105"/>
      <c r="AQ487" s="105"/>
      <c r="AR487" s="105"/>
      <c r="AS487" s="105"/>
      <c r="AT487" s="105"/>
      <c r="AU487" s="105"/>
      <c r="AV487" s="105"/>
      <c r="AW487" s="105"/>
      <c r="AX487" s="105"/>
      <c r="AY487" s="105"/>
      <c r="AZ487" s="105"/>
      <c r="BA487" s="105"/>
    </row>
    <row r="488">
      <c r="A488" s="105"/>
      <c r="B488" s="105"/>
      <c r="C488" s="105"/>
      <c r="D488" s="105"/>
      <c r="E488" s="105"/>
      <c r="F488" s="105"/>
      <c r="G488" s="105"/>
      <c r="H488" s="105"/>
      <c r="I488" s="505" t="b">
        <v>0</v>
      </c>
      <c r="J488" s="507" t="b">
        <v>0</v>
      </c>
      <c r="K488" s="112"/>
      <c r="L488" s="505" t="b">
        <v>0</v>
      </c>
      <c r="M488" s="504" t="b">
        <v>0</v>
      </c>
      <c r="N488" s="112"/>
      <c r="O488" s="505" t="b">
        <v>0</v>
      </c>
      <c r="P488" s="504" t="b">
        <v>0</v>
      </c>
      <c r="Q488" s="116"/>
      <c r="R488" s="505" t="b">
        <v>0</v>
      </c>
      <c r="S488" s="504" t="b">
        <v>0</v>
      </c>
      <c r="T488" s="117"/>
      <c r="U488" s="505" t="b">
        <v>0</v>
      </c>
      <c r="V488" s="504" t="b">
        <v>0</v>
      </c>
      <c r="W488" s="118"/>
      <c r="X488" s="505" t="b">
        <v>0</v>
      </c>
      <c r="Y488" s="504" t="b">
        <v>0</v>
      </c>
      <c r="Z488" s="119"/>
      <c r="AA488" s="505" t="b">
        <v>0</v>
      </c>
      <c r="AB488" s="504" t="b">
        <v>0</v>
      </c>
      <c r="AC488" s="121"/>
      <c r="AD488" s="505" t="b">
        <v>0</v>
      </c>
      <c r="AE488" s="504" t="b">
        <v>0</v>
      </c>
      <c r="AF488" s="125"/>
      <c r="AG488" s="505" t="b">
        <v>0</v>
      </c>
      <c r="AH488" s="504" t="b">
        <v>0</v>
      </c>
      <c r="AI488" s="105"/>
      <c r="AJ488" s="505" t="b">
        <v>0</v>
      </c>
      <c r="AK488" s="504" t="b">
        <v>0</v>
      </c>
      <c r="AL488" s="126"/>
      <c r="AM488" s="505" t="b">
        <v>0</v>
      </c>
      <c r="AN488" s="504" t="b">
        <v>0</v>
      </c>
      <c r="AO488" s="105"/>
      <c r="AP488" s="105"/>
      <c r="AQ488" s="105"/>
      <c r="AR488" s="105"/>
      <c r="AS488" s="105"/>
      <c r="AT488" s="105"/>
      <c r="AU488" s="105"/>
      <c r="AV488" s="105"/>
      <c r="AW488" s="105"/>
      <c r="AX488" s="105"/>
      <c r="AY488" s="105"/>
      <c r="AZ488" s="105"/>
      <c r="BA488" s="105"/>
    </row>
    <row r="489">
      <c r="A489" s="105"/>
      <c r="B489" s="105"/>
      <c r="C489" s="105"/>
      <c r="D489" s="105"/>
      <c r="E489" s="105"/>
      <c r="F489" s="105"/>
      <c r="G489" s="105"/>
      <c r="H489" s="105"/>
      <c r="I489" s="505" t="b">
        <v>0</v>
      </c>
      <c r="J489" s="507" t="b">
        <v>0</v>
      </c>
      <c r="K489" s="112"/>
      <c r="L489" s="505" t="b">
        <v>0</v>
      </c>
      <c r="M489" s="504" t="b">
        <v>0</v>
      </c>
      <c r="N489" s="112"/>
      <c r="O489" s="505" t="b">
        <v>0</v>
      </c>
      <c r="P489" s="504" t="b">
        <v>0</v>
      </c>
      <c r="Q489" s="116"/>
      <c r="R489" s="505" t="b">
        <v>0</v>
      </c>
      <c r="S489" s="504" t="b">
        <v>0</v>
      </c>
      <c r="T489" s="117"/>
      <c r="U489" s="505" t="b">
        <v>0</v>
      </c>
      <c r="V489" s="504" t="b">
        <v>0</v>
      </c>
      <c r="W489" s="118"/>
      <c r="X489" s="505" t="b">
        <v>0</v>
      </c>
      <c r="Y489" s="504" t="b">
        <v>0</v>
      </c>
      <c r="Z489" s="119"/>
      <c r="AA489" s="505" t="b">
        <v>0</v>
      </c>
      <c r="AB489" s="504" t="b">
        <v>0</v>
      </c>
      <c r="AC489" s="121"/>
      <c r="AD489" s="505" t="b">
        <v>0</v>
      </c>
      <c r="AE489" s="504" t="b">
        <v>0</v>
      </c>
      <c r="AF489" s="125"/>
      <c r="AG489" s="505" t="b">
        <v>0</v>
      </c>
      <c r="AH489" s="504" t="b">
        <v>0</v>
      </c>
      <c r="AI489" s="105"/>
      <c r="AJ489" s="505" t="b">
        <v>0</v>
      </c>
      <c r="AK489" s="504" t="b">
        <v>0</v>
      </c>
      <c r="AL489" s="126"/>
      <c r="AM489" s="505" t="b">
        <v>0</v>
      </c>
      <c r="AN489" s="504" t="b">
        <v>0</v>
      </c>
      <c r="AO489" s="105"/>
      <c r="AP489" s="105"/>
      <c r="AQ489" s="105"/>
      <c r="AR489" s="105"/>
      <c r="AS489" s="105"/>
      <c r="AT489" s="105"/>
      <c r="AU489" s="105"/>
      <c r="AV489" s="105"/>
      <c r="AW489" s="105"/>
      <c r="AX489" s="105"/>
      <c r="AY489" s="105"/>
      <c r="AZ489" s="105"/>
      <c r="BA489" s="105"/>
    </row>
    <row r="490">
      <c r="A490" s="105"/>
      <c r="B490" s="105"/>
      <c r="C490" s="105"/>
      <c r="D490" s="105"/>
      <c r="E490" s="105"/>
      <c r="F490" s="105"/>
      <c r="G490" s="105"/>
      <c r="H490" s="105"/>
      <c r="I490" s="505" t="b">
        <v>0</v>
      </c>
      <c r="J490" s="507" t="b">
        <v>0</v>
      </c>
      <c r="K490" s="112"/>
      <c r="L490" s="505" t="b">
        <v>0</v>
      </c>
      <c r="M490" s="504" t="b">
        <v>0</v>
      </c>
      <c r="N490" s="112"/>
      <c r="O490" s="505" t="b">
        <v>0</v>
      </c>
      <c r="P490" s="504" t="b">
        <v>0</v>
      </c>
      <c r="Q490" s="116"/>
      <c r="R490" s="505" t="b">
        <v>0</v>
      </c>
      <c r="S490" s="504" t="b">
        <v>0</v>
      </c>
      <c r="T490" s="117"/>
      <c r="U490" s="505" t="b">
        <v>0</v>
      </c>
      <c r="V490" s="504" t="b">
        <v>0</v>
      </c>
      <c r="W490" s="118"/>
      <c r="X490" s="505" t="b">
        <v>0</v>
      </c>
      <c r="Y490" s="504" t="b">
        <v>0</v>
      </c>
      <c r="Z490" s="119"/>
      <c r="AA490" s="505" t="b">
        <v>0</v>
      </c>
      <c r="AB490" s="504" t="b">
        <v>0</v>
      </c>
      <c r="AC490" s="121"/>
      <c r="AD490" s="505" t="b">
        <v>0</v>
      </c>
      <c r="AE490" s="504" t="b">
        <v>0</v>
      </c>
      <c r="AF490" s="125"/>
      <c r="AG490" s="505" t="b">
        <v>0</v>
      </c>
      <c r="AH490" s="504" t="b">
        <v>0</v>
      </c>
      <c r="AI490" s="105"/>
      <c r="AJ490" s="505" t="b">
        <v>0</v>
      </c>
      <c r="AK490" s="504" t="b">
        <v>0</v>
      </c>
      <c r="AL490" s="126"/>
      <c r="AM490" s="505" t="b">
        <v>0</v>
      </c>
      <c r="AN490" s="504" t="b">
        <v>0</v>
      </c>
      <c r="AO490" s="105"/>
      <c r="AP490" s="105"/>
      <c r="AQ490" s="105"/>
      <c r="AR490" s="105"/>
      <c r="AS490" s="105"/>
      <c r="AT490" s="105"/>
      <c r="AU490" s="105"/>
      <c r="AV490" s="105"/>
      <c r="AW490" s="105"/>
      <c r="AX490" s="105"/>
      <c r="AY490" s="105"/>
      <c r="AZ490" s="105"/>
      <c r="BA490" s="105"/>
    </row>
    <row r="491">
      <c r="A491" s="105"/>
      <c r="B491" s="105"/>
      <c r="C491" s="105"/>
      <c r="D491" s="105"/>
      <c r="E491" s="105"/>
      <c r="F491" s="105"/>
      <c r="G491" s="105"/>
      <c r="H491" s="105"/>
      <c r="I491" s="505" t="b">
        <v>0</v>
      </c>
      <c r="J491" s="507" t="b">
        <v>0</v>
      </c>
      <c r="K491" s="112"/>
      <c r="L491" s="505" t="b">
        <v>0</v>
      </c>
      <c r="M491" s="504" t="b">
        <v>0</v>
      </c>
      <c r="N491" s="112"/>
      <c r="O491" s="505" t="b">
        <v>0</v>
      </c>
      <c r="P491" s="504" t="b">
        <v>0</v>
      </c>
      <c r="Q491" s="116"/>
      <c r="R491" s="505" t="b">
        <v>0</v>
      </c>
      <c r="S491" s="504" t="b">
        <v>0</v>
      </c>
      <c r="T491" s="117"/>
      <c r="U491" s="505" t="b">
        <v>0</v>
      </c>
      <c r="V491" s="504" t="b">
        <v>0</v>
      </c>
      <c r="W491" s="118"/>
      <c r="X491" s="505" t="b">
        <v>0</v>
      </c>
      <c r="Y491" s="504" t="b">
        <v>0</v>
      </c>
      <c r="Z491" s="119"/>
      <c r="AA491" s="505" t="b">
        <v>0</v>
      </c>
      <c r="AB491" s="504" t="b">
        <v>0</v>
      </c>
      <c r="AC491" s="121"/>
      <c r="AD491" s="505" t="b">
        <v>0</v>
      </c>
      <c r="AE491" s="504" t="b">
        <v>0</v>
      </c>
      <c r="AF491" s="125"/>
      <c r="AG491" s="505" t="b">
        <v>0</v>
      </c>
      <c r="AH491" s="504" t="b">
        <v>0</v>
      </c>
      <c r="AI491" s="105"/>
      <c r="AJ491" s="505" t="b">
        <v>0</v>
      </c>
      <c r="AK491" s="504" t="b">
        <v>0</v>
      </c>
      <c r="AL491" s="126"/>
      <c r="AM491" s="505" t="b">
        <v>0</v>
      </c>
      <c r="AN491" s="504" t="b">
        <v>0</v>
      </c>
      <c r="AO491" s="105"/>
      <c r="AP491" s="105"/>
      <c r="AQ491" s="105"/>
      <c r="AR491" s="105"/>
      <c r="AS491" s="105"/>
      <c r="AT491" s="105"/>
      <c r="AU491" s="105"/>
      <c r="AV491" s="105"/>
      <c r="AW491" s="105"/>
      <c r="AX491" s="105"/>
      <c r="AY491" s="105"/>
      <c r="AZ491" s="105"/>
      <c r="BA491" s="105"/>
    </row>
    <row r="492">
      <c r="A492" s="105"/>
      <c r="B492" s="105"/>
      <c r="C492" s="105"/>
      <c r="D492" s="105"/>
      <c r="E492" s="105"/>
      <c r="F492" s="105"/>
      <c r="G492" s="105"/>
      <c r="H492" s="105"/>
      <c r="I492" s="505" t="b">
        <v>0</v>
      </c>
      <c r="J492" s="507" t="b">
        <v>0</v>
      </c>
      <c r="K492" s="112"/>
      <c r="L492" s="505" t="b">
        <v>0</v>
      </c>
      <c r="M492" s="504" t="b">
        <v>0</v>
      </c>
      <c r="N492" s="112"/>
      <c r="O492" s="505" t="b">
        <v>0</v>
      </c>
      <c r="P492" s="504" t="b">
        <v>0</v>
      </c>
      <c r="Q492" s="116"/>
      <c r="R492" s="505" t="b">
        <v>0</v>
      </c>
      <c r="S492" s="504" t="b">
        <v>0</v>
      </c>
      <c r="T492" s="117"/>
      <c r="U492" s="505" t="b">
        <v>0</v>
      </c>
      <c r="V492" s="504" t="b">
        <v>0</v>
      </c>
      <c r="W492" s="118"/>
      <c r="X492" s="505" t="b">
        <v>0</v>
      </c>
      <c r="Y492" s="504" t="b">
        <v>0</v>
      </c>
      <c r="Z492" s="119"/>
      <c r="AA492" s="505" t="b">
        <v>0</v>
      </c>
      <c r="AB492" s="504" t="b">
        <v>0</v>
      </c>
      <c r="AC492" s="121"/>
      <c r="AD492" s="505" t="b">
        <v>0</v>
      </c>
      <c r="AE492" s="504" t="b">
        <v>0</v>
      </c>
      <c r="AF492" s="125"/>
      <c r="AG492" s="505" t="b">
        <v>0</v>
      </c>
      <c r="AH492" s="504" t="b">
        <v>0</v>
      </c>
      <c r="AI492" s="105"/>
      <c r="AJ492" s="505" t="b">
        <v>0</v>
      </c>
      <c r="AK492" s="504" t="b">
        <v>0</v>
      </c>
      <c r="AL492" s="126"/>
      <c r="AM492" s="505" t="b">
        <v>0</v>
      </c>
      <c r="AN492" s="504" t="b">
        <v>0</v>
      </c>
      <c r="AO492" s="105"/>
      <c r="AP492" s="105"/>
      <c r="AQ492" s="105"/>
      <c r="AR492" s="105"/>
      <c r="AS492" s="105"/>
      <c r="AT492" s="105"/>
      <c r="AU492" s="105"/>
      <c r="AV492" s="105"/>
      <c r="AW492" s="105"/>
      <c r="AX492" s="105"/>
      <c r="AY492" s="105"/>
      <c r="AZ492" s="105"/>
      <c r="BA492" s="105"/>
    </row>
    <row r="493">
      <c r="A493" s="105"/>
      <c r="B493" s="105"/>
      <c r="C493" s="105"/>
      <c r="D493" s="105"/>
      <c r="E493" s="105"/>
      <c r="F493" s="105"/>
      <c r="G493" s="105"/>
      <c r="H493" s="105"/>
      <c r="I493" s="505" t="b">
        <v>0</v>
      </c>
      <c r="J493" s="507" t="b">
        <v>0</v>
      </c>
      <c r="K493" s="112"/>
      <c r="L493" s="505" t="b">
        <v>0</v>
      </c>
      <c r="M493" s="504" t="b">
        <v>0</v>
      </c>
      <c r="N493" s="112"/>
      <c r="O493" s="505" t="b">
        <v>0</v>
      </c>
      <c r="P493" s="504" t="b">
        <v>0</v>
      </c>
      <c r="Q493" s="116"/>
      <c r="R493" s="505" t="b">
        <v>0</v>
      </c>
      <c r="S493" s="504" t="b">
        <v>0</v>
      </c>
      <c r="T493" s="117"/>
      <c r="U493" s="505" t="b">
        <v>0</v>
      </c>
      <c r="V493" s="504" t="b">
        <v>0</v>
      </c>
      <c r="W493" s="118"/>
      <c r="X493" s="505" t="b">
        <v>0</v>
      </c>
      <c r="Y493" s="504" t="b">
        <v>0</v>
      </c>
      <c r="Z493" s="119"/>
      <c r="AA493" s="505" t="b">
        <v>0</v>
      </c>
      <c r="AB493" s="504" t="b">
        <v>0</v>
      </c>
      <c r="AC493" s="121"/>
      <c r="AD493" s="505" t="b">
        <v>0</v>
      </c>
      <c r="AE493" s="504" t="b">
        <v>0</v>
      </c>
      <c r="AF493" s="125"/>
      <c r="AG493" s="505" t="b">
        <v>0</v>
      </c>
      <c r="AH493" s="504" t="b">
        <v>0</v>
      </c>
      <c r="AI493" s="105"/>
      <c r="AJ493" s="505" t="b">
        <v>0</v>
      </c>
      <c r="AK493" s="504" t="b">
        <v>0</v>
      </c>
      <c r="AL493" s="126"/>
      <c r="AM493" s="505" t="b">
        <v>0</v>
      </c>
      <c r="AN493" s="504" t="b">
        <v>0</v>
      </c>
      <c r="AO493" s="105"/>
      <c r="AP493" s="105"/>
      <c r="AQ493" s="105"/>
      <c r="AR493" s="105"/>
      <c r="AS493" s="105"/>
      <c r="AT493" s="105"/>
      <c r="AU493" s="105"/>
      <c r="AV493" s="105"/>
      <c r="AW493" s="105"/>
      <c r="AX493" s="105"/>
      <c r="AY493" s="105"/>
      <c r="AZ493" s="105"/>
      <c r="BA493" s="105"/>
    </row>
    <row r="494">
      <c r="A494" s="105"/>
      <c r="B494" s="105"/>
      <c r="C494" s="105"/>
      <c r="D494" s="105"/>
      <c r="E494" s="105"/>
      <c r="F494" s="105"/>
      <c r="G494" s="105"/>
      <c r="H494" s="105"/>
      <c r="I494" s="505" t="b">
        <v>0</v>
      </c>
      <c r="J494" s="507" t="b">
        <v>0</v>
      </c>
      <c r="K494" s="112"/>
      <c r="L494" s="505" t="b">
        <v>0</v>
      </c>
      <c r="M494" s="504" t="b">
        <v>0</v>
      </c>
      <c r="N494" s="112"/>
      <c r="O494" s="505" t="b">
        <v>0</v>
      </c>
      <c r="P494" s="504" t="b">
        <v>0</v>
      </c>
      <c r="Q494" s="116"/>
      <c r="R494" s="505" t="b">
        <v>0</v>
      </c>
      <c r="S494" s="504" t="b">
        <v>0</v>
      </c>
      <c r="T494" s="117"/>
      <c r="U494" s="505" t="b">
        <v>0</v>
      </c>
      <c r="V494" s="504" t="b">
        <v>0</v>
      </c>
      <c r="W494" s="118"/>
      <c r="X494" s="505" t="b">
        <v>0</v>
      </c>
      <c r="Y494" s="504" t="b">
        <v>0</v>
      </c>
      <c r="Z494" s="119"/>
      <c r="AA494" s="505" t="b">
        <v>0</v>
      </c>
      <c r="AB494" s="504" t="b">
        <v>0</v>
      </c>
      <c r="AC494" s="121"/>
      <c r="AD494" s="505" t="b">
        <v>0</v>
      </c>
      <c r="AE494" s="504" t="b">
        <v>0</v>
      </c>
      <c r="AF494" s="125"/>
      <c r="AG494" s="505" t="b">
        <v>0</v>
      </c>
      <c r="AH494" s="504" t="b">
        <v>0</v>
      </c>
      <c r="AI494" s="105"/>
      <c r="AJ494" s="505" t="b">
        <v>0</v>
      </c>
      <c r="AK494" s="504" t="b">
        <v>0</v>
      </c>
      <c r="AL494" s="126"/>
      <c r="AM494" s="505" t="b">
        <v>0</v>
      </c>
      <c r="AN494" s="504" t="b">
        <v>0</v>
      </c>
      <c r="AO494" s="105"/>
      <c r="AP494" s="105"/>
      <c r="AQ494" s="105"/>
      <c r="AR494" s="105"/>
      <c r="AS494" s="105"/>
      <c r="AT494" s="105"/>
      <c r="AU494" s="105"/>
      <c r="AV494" s="105"/>
      <c r="AW494" s="105"/>
      <c r="AX494" s="105"/>
      <c r="AY494" s="105"/>
      <c r="AZ494" s="105"/>
      <c r="BA494" s="105"/>
    </row>
    <row r="495">
      <c r="A495" s="105"/>
      <c r="B495" s="105"/>
      <c r="C495" s="105"/>
      <c r="D495" s="105"/>
      <c r="E495" s="105"/>
      <c r="F495" s="105"/>
      <c r="G495" s="105"/>
      <c r="H495" s="105"/>
      <c r="I495" s="505" t="b">
        <v>0</v>
      </c>
      <c r="J495" s="507" t="b">
        <v>0</v>
      </c>
      <c r="K495" s="112"/>
      <c r="L495" s="505" t="b">
        <v>0</v>
      </c>
      <c r="M495" s="504" t="b">
        <v>0</v>
      </c>
      <c r="N495" s="112"/>
      <c r="O495" s="505" t="b">
        <v>0</v>
      </c>
      <c r="P495" s="504" t="b">
        <v>0</v>
      </c>
      <c r="Q495" s="116"/>
      <c r="R495" s="505" t="b">
        <v>0</v>
      </c>
      <c r="S495" s="504" t="b">
        <v>0</v>
      </c>
      <c r="T495" s="117"/>
      <c r="U495" s="505" t="b">
        <v>0</v>
      </c>
      <c r="V495" s="504" t="b">
        <v>0</v>
      </c>
      <c r="W495" s="118"/>
      <c r="X495" s="505" t="b">
        <v>0</v>
      </c>
      <c r="Y495" s="504" t="b">
        <v>0</v>
      </c>
      <c r="Z495" s="119"/>
      <c r="AA495" s="505" t="b">
        <v>0</v>
      </c>
      <c r="AB495" s="504" t="b">
        <v>0</v>
      </c>
      <c r="AC495" s="121"/>
      <c r="AD495" s="505" t="b">
        <v>0</v>
      </c>
      <c r="AE495" s="504" t="b">
        <v>0</v>
      </c>
      <c r="AF495" s="125"/>
      <c r="AG495" s="505" t="b">
        <v>0</v>
      </c>
      <c r="AH495" s="504" t="b">
        <v>0</v>
      </c>
      <c r="AI495" s="105"/>
      <c r="AJ495" s="505" t="b">
        <v>0</v>
      </c>
      <c r="AK495" s="504" t="b">
        <v>0</v>
      </c>
      <c r="AL495" s="126"/>
      <c r="AM495" s="505" t="b">
        <v>0</v>
      </c>
      <c r="AN495" s="504" t="b">
        <v>0</v>
      </c>
      <c r="AO495" s="105"/>
      <c r="AP495" s="105"/>
      <c r="AQ495" s="105"/>
      <c r="AR495" s="105"/>
      <c r="AS495" s="105"/>
      <c r="AT495" s="105"/>
      <c r="AU495" s="105"/>
      <c r="AV495" s="105"/>
      <c r="AW495" s="105"/>
      <c r="AX495" s="105"/>
      <c r="AY495" s="105"/>
      <c r="AZ495" s="105"/>
      <c r="BA495" s="105"/>
    </row>
    <row r="496">
      <c r="A496" s="105"/>
      <c r="B496" s="105"/>
      <c r="C496" s="105"/>
      <c r="D496" s="105"/>
      <c r="E496" s="105"/>
      <c r="F496" s="105"/>
      <c r="G496" s="105"/>
      <c r="H496" s="105"/>
      <c r="I496" s="505" t="b">
        <v>0</v>
      </c>
      <c r="J496" s="507" t="b">
        <v>0</v>
      </c>
      <c r="K496" s="112"/>
      <c r="L496" s="505" t="b">
        <v>0</v>
      </c>
      <c r="M496" s="504" t="b">
        <v>0</v>
      </c>
      <c r="N496" s="112"/>
      <c r="O496" s="505" t="b">
        <v>0</v>
      </c>
      <c r="P496" s="504" t="b">
        <v>0</v>
      </c>
      <c r="Q496" s="116"/>
      <c r="R496" s="505" t="b">
        <v>0</v>
      </c>
      <c r="S496" s="504" t="b">
        <v>0</v>
      </c>
      <c r="T496" s="117"/>
      <c r="U496" s="505" t="b">
        <v>0</v>
      </c>
      <c r="V496" s="504" t="b">
        <v>0</v>
      </c>
      <c r="W496" s="118"/>
      <c r="X496" s="505" t="b">
        <v>0</v>
      </c>
      <c r="Y496" s="504" t="b">
        <v>0</v>
      </c>
      <c r="Z496" s="119"/>
      <c r="AA496" s="505" t="b">
        <v>0</v>
      </c>
      <c r="AB496" s="504" t="b">
        <v>0</v>
      </c>
      <c r="AC496" s="121"/>
      <c r="AD496" s="505" t="b">
        <v>0</v>
      </c>
      <c r="AE496" s="504" t="b">
        <v>0</v>
      </c>
      <c r="AF496" s="125"/>
      <c r="AG496" s="505" t="b">
        <v>0</v>
      </c>
      <c r="AH496" s="504" t="b">
        <v>0</v>
      </c>
      <c r="AI496" s="105"/>
      <c r="AJ496" s="505" t="b">
        <v>0</v>
      </c>
      <c r="AK496" s="504" t="b">
        <v>0</v>
      </c>
      <c r="AL496" s="126"/>
      <c r="AM496" s="505" t="b">
        <v>0</v>
      </c>
      <c r="AN496" s="504" t="b">
        <v>0</v>
      </c>
      <c r="AO496" s="105"/>
      <c r="AP496" s="105"/>
      <c r="AQ496" s="105"/>
      <c r="AR496" s="105"/>
      <c r="AS496" s="105"/>
      <c r="AT496" s="105"/>
      <c r="AU496" s="105"/>
      <c r="AV496" s="105"/>
      <c r="AW496" s="105"/>
      <c r="AX496" s="105"/>
      <c r="AY496" s="105"/>
      <c r="AZ496" s="105"/>
      <c r="BA496" s="105"/>
    </row>
    <row r="497">
      <c r="A497" s="105"/>
      <c r="B497" s="105"/>
      <c r="C497" s="105"/>
      <c r="D497" s="105"/>
      <c r="E497" s="105"/>
      <c r="F497" s="105"/>
      <c r="G497" s="105"/>
      <c r="H497" s="105"/>
      <c r="I497" s="505" t="b">
        <v>0</v>
      </c>
      <c r="J497" s="507" t="b">
        <v>0</v>
      </c>
      <c r="K497" s="112"/>
      <c r="L497" s="505" t="b">
        <v>0</v>
      </c>
      <c r="M497" s="504" t="b">
        <v>0</v>
      </c>
      <c r="N497" s="112"/>
      <c r="O497" s="505" t="b">
        <v>0</v>
      </c>
      <c r="P497" s="504" t="b">
        <v>0</v>
      </c>
      <c r="Q497" s="116"/>
      <c r="R497" s="505" t="b">
        <v>0</v>
      </c>
      <c r="S497" s="504" t="b">
        <v>0</v>
      </c>
      <c r="T497" s="117"/>
      <c r="U497" s="505" t="b">
        <v>0</v>
      </c>
      <c r="V497" s="504" t="b">
        <v>0</v>
      </c>
      <c r="W497" s="118"/>
      <c r="X497" s="505" t="b">
        <v>0</v>
      </c>
      <c r="Y497" s="504" t="b">
        <v>0</v>
      </c>
      <c r="Z497" s="119"/>
      <c r="AA497" s="505" t="b">
        <v>0</v>
      </c>
      <c r="AB497" s="504" t="b">
        <v>0</v>
      </c>
      <c r="AC497" s="121"/>
      <c r="AD497" s="505" t="b">
        <v>0</v>
      </c>
      <c r="AE497" s="504" t="b">
        <v>0</v>
      </c>
      <c r="AF497" s="125"/>
      <c r="AG497" s="505" t="b">
        <v>0</v>
      </c>
      <c r="AH497" s="504" t="b">
        <v>0</v>
      </c>
      <c r="AI497" s="105"/>
      <c r="AJ497" s="505" t="b">
        <v>0</v>
      </c>
      <c r="AK497" s="504" t="b">
        <v>0</v>
      </c>
      <c r="AL497" s="126"/>
      <c r="AM497" s="505" t="b">
        <v>0</v>
      </c>
      <c r="AN497" s="504" t="b">
        <v>0</v>
      </c>
      <c r="AO497" s="105"/>
      <c r="AP497" s="105"/>
      <c r="AQ497" s="105"/>
      <c r="AR497" s="105"/>
      <c r="AS497" s="105"/>
      <c r="AT497" s="105"/>
      <c r="AU497" s="105"/>
      <c r="AV497" s="105"/>
      <c r="AW497" s="105"/>
      <c r="AX497" s="105"/>
      <c r="AY497" s="105"/>
      <c r="AZ497" s="105"/>
      <c r="BA497" s="105"/>
    </row>
    <row r="498">
      <c r="A498" s="105"/>
      <c r="B498" s="105"/>
      <c r="C498" s="105"/>
      <c r="D498" s="105"/>
      <c r="E498" s="105"/>
      <c r="F498" s="105"/>
      <c r="G498" s="105"/>
      <c r="H498" s="105"/>
      <c r="I498" s="505" t="b">
        <v>0</v>
      </c>
      <c r="J498" s="507" t="b">
        <v>0</v>
      </c>
      <c r="K498" s="112"/>
      <c r="L498" s="505" t="b">
        <v>0</v>
      </c>
      <c r="M498" s="504" t="b">
        <v>0</v>
      </c>
      <c r="N498" s="112"/>
      <c r="O498" s="505" t="b">
        <v>0</v>
      </c>
      <c r="P498" s="504" t="b">
        <v>0</v>
      </c>
      <c r="Q498" s="116"/>
      <c r="R498" s="505" t="b">
        <v>0</v>
      </c>
      <c r="S498" s="504" t="b">
        <v>0</v>
      </c>
      <c r="T498" s="117"/>
      <c r="U498" s="505" t="b">
        <v>0</v>
      </c>
      <c r="V498" s="504" t="b">
        <v>0</v>
      </c>
      <c r="W498" s="118"/>
      <c r="X498" s="505" t="b">
        <v>0</v>
      </c>
      <c r="Y498" s="504" t="b">
        <v>0</v>
      </c>
      <c r="Z498" s="119"/>
      <c r="AA498" s="505" t="b">
        <v>0</v>
      </c>
      <c r="AB498" s="504" t="b">
        <v>0</v>
      </c>
      <c r="AC498" s="121"/>
      <c r="AD498" s="505" t="b">
        <v>0</v>
      </c>
      <c r="AE498" s="504" t="b">
        <v>0</v>
      </c>
      <c r="AF498" s="125"/>
      <c r="AG498" s="505" t="b">
        <v>0</v>
      </c>
      <c r="AH498" s="504" t="b">
        <v>0</v>
      </c>
      <c r="AI498" s="105"/>
      <c r="AJ498" s="505" t="b">
        <v>0</v>
      </c>
      <c r="AK498" s="504" t="b">
        <v>0</v>
      </c>
      <c r="AL498" s="126"/>
      <c r="AM498" s="505" t="b">
        <v>0</v>
      </c>
      <c r="AN498" s="504" t="b">
        <v>0</v>
      </c>
      <c r="AO498" s="105"/>
      <c r="AP498" s="105"/>
      <c r="AQ498" s="105"/>
      <c r="AR498" s="105"/>
      <c r="AS498" s="105"/>
      <c r="AT498" s="105"/>
      <c r="AU498" s="105"/>
      <c r="AV498" s="105"/>
      <c r="AW498" s="105"/>
      <c r="AX498" s="105"/>
      <c r="AY498" s="105"/>
      <c r="AZ498" s="105"/>
      <c r="BA498" s="105"/>
    </row>
    <row r="499">
      <c r="A499" s="105"/>
      <c r="B499" s="105"/>
      <c r="C499" s="105"/>
      <c r="D499" s="105"/>
      <c r="E499" s="105"/>
      <c r="F499" s="105"/>
      <c r="G499" s="105"/>
      <c r="H499" s="105"/>
      <c r="I499" s="505" t="b">
        <v>0</v>
      </c>
      <c r="J499" s="507" t="b">
        <v>0</v>
      </c>
      <c r="K499" s="112"/>
      <c r="L499" s="505" t="b">
        <v>0</v>
      </c>
      <c r="M499" s="504" t="b">
        <v>0</v>
      </c>
      <c r="N499" s="112"/>
      <c r="O499" s="505" t="b">
        <v>0</v>
      </c>
      <c r="P499" s="504" t="b">
        <v>0</v>
      </c>
      <c r="Q499" s="116"/>
      <c r="R499" s="505" t="b">
        <v>0</v>
      </c>
      <c r="S499" s="504" t="b">
        <v>0</v>
      </c>
      <c r="T499" s="117"/>
      <c r="U499" s="505" t="b">
        <v>0</v>
      </c>
      <c r="V499" s="504" t="b">
        <v>0</v>
      </c>
      <c r="W499" s="118"/>
      <c r="X499" s="505" t="b">
        <v>0</v>
      </c>
      <c r="Y499" s="504" t="b">
        <v>0</v>
      </c>
      <c r="Z499" s="119"/>
      <c r="AA499" s="505" t="b">
        <v>0</v>
      </c>
      <c r="AB499" s="504" t="b">
        <v>0</v>
      </c>
      <c r="AC499" s="121"/>
      <c r="AD499" s="505" t="b">
        <v>0</v>
      </c>
      <c r="AE499" s="504" t="b">
        <v>0</v>
      </c>
      <c r="AF499" s="125"/>
      <c r="AG499" s="505" t="b">
        <v>0</v>
      </c>
      <c r="AH499" s="504" t="b">
        <v>0</v>
      </c>
      <c r="AI499" s="105"/>
      <c r="AJ499" s="505" t="b">
        <v>0</v>
      </c>
      <c r="AK499" s="504" t="b">
        <v>0</v>
      </c>
      <c r="AL499" s="126"/>
      <c r="AM499" s="505" t="b">
        <v>0</v>
      </c>
      <c r="AN499" s="504" t="b">
        <v>0</v>
      </c>
      <c r="AO499" s="105"/>
      <c r="AP499" s="105"/>
      <c r="AQ499" s="105"/>
      <c r="AR499" s="105"/>
      <c r="AS499" s="105"/>
      <c r="AT499" s="105"/>
      <c r="AU499" s="105"/>
      <c r="AV499" s="105"/>
      <c r="AW499" s="105"/>
      <c r="AX499" s="105"/>
      <c r="AY499" s="105"/>
      <c r="AZ499" s="105"/>
      <c r="BA499" s="105"/>
    </row>
    <row r="500">
      <c r="A500" s="105"/>
      <c r="B500" s="105"/>
      <c r="C500" s="105"/>
      <c r="D500" s="105"/>
      <c r="E500" s="105"/>
      <c r="F500" s="105"/>
      <c r="G500" s="105"/>
      <c r="H500" s="105"/>
      <c r="I500" s="505" t="b">
        <v>0</v>
      </c>
      <c r="J500" s="507" t="b">
        <v>0</v>
      </c>
      <c r="K500" s="112"/>
      <c r="L500" s="505" t="b">
        <v>0</v>
      </c>
      <c r="M500" s="504" t="b">
        <v>0</v>
      </c>
      <c r="N500" s="112"/>
      <c r="O500" s="505" t="b">
        <v>0</v>
      </c>
      <c r="P500" s="504" t="b">
        <v>0</v>
      </c>
      <c r="Q500" s="116"/>
      <c r="R500" s="505" t="b">
        <v>0</v>
      </c>
      <c r="S500" s="504" t="b">
        <v>0</v>
      </c>
      <c r="T500" s="117"/>
      <c r="U500" s="505" t="b">
        <v>0</v>
      </c>
      <c r="V500" s="504" t="b">
        <v>0</v>
      </c>
      <c r="W500" s="118"/>
      <c r="X500" s="505" t="b">
        <v>0</v>
      </c>
      <c r="Y500" s="504" t="b">
        <v>0</v>
      </c>
      <c r="Z500" s="119"/>
      <c r="AA500" s="505" t="b">
        <v>0</v>
      </c>
      <c r="AB500" s="504" t="b">
        <v>0</v>
      </c>
      <c r="AC500" s="121"/>
      <c r="AD500" s="505" t="b">
        <v>0</v>
      </c>
      <c r="AE500" s="504" t="b">
        <v>0</v>
      </c>
      <c r="AF500" s="125"/>
      <c r="AG500" s="505" t="b">
        <v>0</v>
      </c>
      <c r="AH500" s="504" t="b">
        <v>0</v>
      </c>
      <c r="AI500" s="105"/>
      <c r="AJ500" s="505" t="b">
        <v>0</v>
      </c>
      <c r="AK500" s="504" t="b">
        <v>0</v>
      </c>
      <c r="AL500" s="126"/>
      <c r="AM500" s="505" t="b">
        <v>0</v>
      </c>
      <c r="AN500" s="504" t="b">
        <v>0</v>
      </c>
      <c r="AO500" s="105"/>
      <c r="AP500" s="105"/>
      <c r="AQ500" s="105"/>
      <c r="AR500" s="105"/>
      <c r="AS500" s="105"/>
      <c r="AT500" s="105"/>
      <c r="AU500" s="105"/>
      <c r="AV500" s="105"/>
      <c r="AW500" s="105"/>
      <c r="AX500" s="105"/>
      <c r="AY500" s="105"/>
      <c r="AZ500" s="105"/>
      <c r="BA500" s="105"/>
    </row>
    <row r="501">
      <c r="A501" s="105"/>
      <c r="B501" s="105"/>
      <c r="C501" s="105"/>
      <c r="D501" s="105"/>
      <c r="E501" s="105"/>
      <c r="F501" s="105"/>
      <c r="G501" s="105"/>
      <c r="H501" s="105"/>
      <c r="I501" s="505" t="b">
        <v>0</v>
      </c>
      <c r="J501" s="507" t="b">
        <v>0</v>
      </c>
      <c r="K501" s="112"/>
      <c r="L501" s="505" t="b">
        <v>0</v>
      </c>
      <c r="M501" s="504" t="b">
        <v>0</v>
      </c>
      <c r="N501" s="112"/>
      <c r="O501" s="505" t="b">
        <v>0</v>
      </c>
      <c r="P501" s="504" t="b">
        <v>0</v>
      </c>
      <c r="Q501" s="116"/>
      <c r="R501" s="505" t="b">
        <v>0</v>
      </c>
      <c r="S501" s="504" t="b">
        <v>0</v>
      </c>
      <c r="T501" s="117"/>
      <c r="U501" s="505" t="b">
        <v>0</v>
      </c>
      <c r="V501" s="504" t="b">
        <v>0</v>
      </c>
      <c r="W501" s="118"/>
      <c r="X501" s="505" t="b">
        <v>0</v>
      </c>
      <c r="Y501" s="504" t="b">
        <v>0</v>
      </c>
      <c r="Z501" s="119"/>
      <c r="AA501" s="505" t="b">
        <v>0</v>
      </c>
      <c r="AB501" s="504" t="b">
        <v>0</v>
      </c>
      <c r="AC501" s="121"/>
      <c r="AD501" s="505" t="b">
        <v>0</v>
      </c>
      <c r="AE501" s="504" t="b">
        <v>0</v>
      </c>
      <c r="AF501" s="125"/>
      <c r="AG501" s="505" t="b">
        <v>0</v>
      </c>
      <c r="AH501" s="504" t="b">
        <v>0</v>
      </c>
      <c r="AI501" s="105"/>
      <c r="AJ501" s="505" t="b">
        <v>0</v>
      </c>
      <c r="AK501" s="504" t="b">
        <v>0</v>
      </c>
      <c r="AL501" s="126"/>
      <c r="AM501" s="505" t="b">
        <v>0</v>
      </c>
      <c r="AN501" s="504" t="b">
        <v>0</v>
      </c>
      <c r="AO501" s="105"/>
      <c r="AP501" s="105"/>
      <c r="AQ501" s="105"/>
      <c r="AR501" s="105"/>
      <c r="AS501" s="105"/>
      <c r="AT501" s="105"/>
      <c r="AU501" s="105"/>
      <c r="AV501" s="105"/>
      <c r="AW501" s="105"/>
      <c r="AX501" s="105"/>
      <c r="AY501" s="105"/>
      <c r="AZ501" s="105"/>
      <c r="BA501" s="105"/>
    </row>
    <row r="502">
      <c r="A502" s="105"/>
      <c r="B502" s="105"/>
      <c r="C502" s="105"/>
      <c r="D502" s="105"/>
      <c r="E502" s="105"/>
      <c r="F502" s="105"/>
      <c r="G502" s="105"/>
      <c r="H502" s="105"/>
      <c r="I502" s="505" t="b">
        <v>0</v>
      </c>
      <c r="J502" s="507" t="b">
        <v>0</v>
      </c>
      <c r="K502" s="112"/>
      <c r="L502" s="505" t="b">
        <v>0</v>
      </c>
      <c r="M502" s="504" t="b">
        <v>0</v>
      </c>
      <c r="N502" s="112"/>
      <c r="O502" s="505" t="b">
        <v>0</v>
      </c>
      <c r="P502" s="504" t="b">
        <v>0</v>
      </c>
      <c r="Q502" s="116"/>
      <c r="R502" s="505" t="b">
        <v>0</v>
      </c>
      <c r="S502" s="504" t="b">
        <v>0</v>
      </c>
      <c r="T502" s="117"/>
      <c r="U502" s="505" t="b">
        <v>0</v>
      </c>
      <c r="V502" s="504" t="b">
        <v>0</v>
      </c>
      <c r="W502" s="118"/>
      <c r="X502" s="505" t="b">
        <v>0</v>
      </c>
      <c r="Y502" s="504" t="b">
        <v>0</v>
      </c>
      <c r="Z502" s="119"/>
      <c r="AA502" s="505" t="b">
        <v>0</v>
      </c>
      <c r="AB502" s="504" t="b">
        <v>0</v>
      </c>
      <c r="AC502" s="121"/>
      <c r="AD502" s="505" t="b">
        <v>0</v>
      </c>
      <c r="AE502" s="504" t="b">
        <v>0</v>
      </c>
      <c r="AF502" s="125"/>
      <c r="AG502" s="505" t="b">
        <v>0</v>
      </c>
      <c r="AH502" s="504" t="b">
        <v>0</v>
      </c>
      <c r="AI502" s="105"/>
      <c r="AJ502" s="505" t="b">
        <v>0</v>
      </c>
      <c r="AK502" s="504" t="b">
        <v>0</v>
      </c>
      <c r="AL502" s="126"/>
      <c r="AM502" s="505" t="b">
        <v>0</v>
      </c>
      <c r="AN502" s="504" t="b">
        <v>0</v>
      </c>
      <c r="AO502" s="105"/>
      <c r="AP502" s="105"/>
      <c r="AQ502" s="105"/>
      <c r="AR502" s="105"/>
      <c r="AS502" s="105"/>
      <c r="AT502" s="105"/>
      <c r="AU502" s="105"/>
      <c r="AV502" s="105"/>
      <c r="AW502" s="105"/>
      <c r="AX502" s="105"/>
      <c r="AY502" s="105"/>
      <c r="AZ502" s="105"/>
      <c r="BA502" s="105"/>
    </row>
    <row r="503">
      <c r="A503" s="105"/>
      <c r="B503" s="105"/>
      <c r="C503" s="105"/>
      <c r="D503" s="105"/>
      <c r="E503" s="105"/>
      <c r="F503" s="105"/>
      <c r="G503" s="105"/>
      <c r="H503" s="105"/>
      <c r="I503" s="505" t="b">
        <v>0</v>
      </c>
      <c r="J503" s="507" t="b">
        <v>0</v>
      </c>
      <c r="K503" s="112"/>
      <c r="L503" s="505" t="b">
        <v>0</v>
      </c>
      <c r="M503" s="504" t="b">
        <v>0</v>
      </c>
      <c r="N503" s="112"/>
      <c r="O503" s="505" t="b">
        <v>0</v>
      </c>
      <c r="P503" s="504" t="b">
        <v>0</v>
      </c>
      <c r="Q503" s="116"/>
      <c r="R503" s="505" t="b">
        <v>0</v>
      </c>
      <c r="S503" s="504" t="b">
        <v>0</v>
      </c>
      <c r="T503" s="117"/>
      <c r="U503" s="505" t="b">
        <v>0</v>
      </c>
      <c r="V503" s="504" t="b">
        <v>0</v>
      </c>
      <c r="W503" s="118"/>
      <c r="X503" s="505" t="b">
        <v>0</v>
      </c>
      <c r="Y503" s="504" t="b">
        <v>0</v>
      </c>
      <c r="Z503" s="119"/>
      <c r="AA503" s="505" t="b">
        <v>0</v>
      </c>
      <c r="AB503" s="504" t="b">
        <v>0</v>
      </c>
      <c r="AC503" s="121"/>
      <c r="AD503" s="505" t="b">
        <v>0</v>
      </c>
      <c r="AE503" s="504" t="b">
        <v>0</v>
      </c>
      <c r="AF503" s="125"/>
      <c r="AG503" s="505" t="b">
        <v>0</v>
      </c>
      <c r="AH503" s="504" t="b">
        <v>0</v>
      </c>
      <c r="AI503" s="105"/>
      <c r="AJ503" s="505" t="b">
        <v>0</v>
      </c>
      <c r="AK503" s="504" t="b">
        <v>0</v>
      </c>
      <c r="AL503" s="126"/>
      <c r="AM503" s="505" t="b">
        <v>0</v>
      </c>
      <c r="AN503" s="504" t="b">
        <v>0</v>
      </c>
      <c r="AO503" s="105"/>
      <c r="AP503" s="105"/>
      <c r="AQ503" s="105"/>
      <c r="AR503" s="105"/>
      <c r="AS503" s="105"/>
      <c r="AT503" s="105"/>
      <c r="AU503" s="105"/>
      <c r="AV503" s="105"/>
      <c r="AW503" s="105"/>
      <c r="AX503" s="105"/>
      <c r="AY503" s="105"/>
      <c r="AZ503" s="105"/>
      <c r="BA503" s="105"/>
    </row>
    <row r="504">
      <c r="A504" s="105"/>
      <c r="B504" s="105"/>
      <c r="C504" s="105"/>
      <c r="D504" s="105"/>
      <c r="E504" s="105"/>
      <c r="F504" s="105"/>
      <c r="G504" s="105"/>
      <c r="H504" s="105"/>
      <c r="I504" s="505" t="b">
        <v>0</v>
      </c>
      <c r="J504" s="507" t="b">
        <v>0</v>
      </c>
      <c r="K504" s="112"/>
      <c r="L504" s="505" t="b">
        <v>0</v>
      </c>
      <c r="M504" s="504" t="b">
        <v>0</v>
      </c>
      <c r="N504" s="112"/>
      <c r="O504" s="505" t="b">
        <v>0</v>
      </c>
      <c r="P504" s="504" t="b">
        <v>0</v>
      </c>
      <c r="Q504" s="116"/>
      <c r="R504" s="505" t="b">
        <v>0</v>
      </c>
      <c r="S504" s="504" t="b">
        <v>0</v>
      </c>
      <c r="T504" s="117"/>
      <c r="U504" s="505" t="b">
        <v>0</v>
      </c>
      <c r="V504" s="504" t="b">
        <v>0</v>
      </c>
      <c r="W504" s="118"/>
      <c r="X504" s="505" t="b">
        <v>0</v>
      </c>
      <c r="Y504" s="504" t="b">
        <v>0</v>
      </c>
      <c r="Z504" s="119"/>
      <c r="AA504" s="505" t="b">
        <v>0</v>
      </c>
      <c r="AB504" s="504" t="b">
        <v>0</v>
      </c>
      <c r="AC504" s="121"/>
      <c r="AD504" s="505" t="b">
        <v>0</v>
      </c>
      <c r="AE504" s="504" t="b">
        <v>0</v>
      </c>
      <c r="AF504" s="125"/>
      <c r="AG504" s="505" t="b">
        <v>0</v>
      </c>
      <c r="AH504" s="504" t="b">
        <v>0</v>
      </c>
      <c r="AI504" s="105"/>
      <c r="AJ504" s="505" t="b">
        <v>0</v>
      </c>
      <c r="AK504" s="504" t="b">
        <v>0</v>
      </c>
      <c r="AL504" s="126"/>
      <c r="AM504" s="505" t="b">
        <v>0</v>
      </c>
      <c r="AN504" s="504" t="b">
        <v>0</v>
      </c>
      <c r="AO504" s="105"/>
      <c r="AP504" s="105"/>
      <c r="AQ504" s="105"/>
      <c r="AR504" s="105"/>
      <c r="AS504" s="105"/>
      <c r="AT504" s="105"/>
      <c r="AU504" s="105"/>
      <c r="AV504" s="105"/>
      <c r="AW504" s="105"/>
      <c r="AX504" s="105"/>
      <c r="AY504" s="105"/>
      <c r="AZ504" s="105"/>
      <c r="BA504" s="105"/>
    </row>
    <row r="505">
      <c r="A505" s="105"/>
      <c r="B505" s="105"/>
      <c r="C505" s="105"/>
      <c r="D505" s="105"/>
      <c r="E505" s="105"/>
      <c r="F505" s="105"/>
      <c r="G505" s="105"/>
      <c r="H505" s="105"/>
      <c r="I505" s="505" t="b">
        <v>0</v>
      </c>
      <c r="J505" s="507" t="b">
        <v>0</v>
      </c>
      <c r="K505" s="112"/>
      <c r="L505" s="505" t="b">
        <v>0</v>
      </c>
      <c r="M505" s="504" t="b">
        <v>0</v>
      </c>
      <c r="N505" s="112"/>
      <c r="O505" s="505" t="b">
        <v>0</v>
      </c>
      <c r="P505" s="504" t="b">
        <v>0</v>
      </c>
      <c r="Q505" s="116"/>
      <c r="R505" s="505" t="b">
        <v>0</v>
      </c>
      <c r="S505" s="504" t="b">
        <v>0</v>
      </c>
      <c r="T505" s="117"/>
      <c r="U505" s="505" t="b">
        <v>0</v>
      </c>
      <c r="V505" s="504" t="b">
        <v>0</v>
      </c>
      <c r="W505" s="118"/>
      <c r="X505" s="505" t="b">
        <v>0</v>
      </c>
      <c r="Y505" s="504" t="b">
        <v>0</v>
      </c>
      <c r="Z505" s="119"/>
      <c r="AA505" s="505" t="b">
        <v>0</v>
      </c>
      <c r="AB505" s="504" t="b">
        <v>0</v>
      </c>
      <c r="AC505" s="121"/>
      <c r="AD505" s="505" t="b">
        <v>0</v>
      </c>
      <c r="AE505" s="504" t="b">
        <v>0</v>
      </c>
      <c r="AF505" s="125"/>
      <c r="AG505" s="505" t="b">
        <v>0</v>
      </c>
      <c r="AH505" s="504" t="b">
        <v>0</v>
      </c>
      <c r="AI505" s="105"/>
      <c r="AJ505" s="505" t="b">
        <v>0</v>
      </c>
      <c r="AK505" s="504" t="b">
        <v>0</v>
      </c>
      <c r="AL505" s="126"/>
      <c r="AM505" s="505" t="b">
        <v>0</v>
      </c>
      <c r="AN505" s="504" t="b">
        <v>0</v>
      </c>
      <c r="AO505" s="105"/>
      <c r="AP505" s="105"/>
      <c r="AQ505" s="105"/>
      <c r="AR505" s="105"/>
      <c r="AS505" s="105"/>
      <c r="AT505" s="105"/>
      <c r="AU505" s="105"/>
      <c r="AV505" s="105"/>
      <c r="AW505" s="105"/>
      <c r="AX505" s="105"/>
      <c r="AY505" s="105"/>
      <c r="AZ505" s="105"/>
      <c r="BA505" s="105"/>
    </row>
    <row r="506">
      <c r="A506" s="105"/>
      <c r="B506" s="105"/>
      <c r="C506" s="105"/>
      <c r="D506" s="105"/>
      <c r="E506" s="105"/>
      <c r="F506" s="105"/>
      <c r="G506" s="105"/>
      <c r="H506" s="105"/>
      <c r="I506" s="505" t="b">
        <v>0</v>
      </c>
      <c r="J506" s="507" t="b">
        <v>0</v>
      </c>
      <c r="K506" s="112"/>
      <c r="L506" s="505" t="b">
        <v>0</v>
      </c>
      <c r="M506" s="504" t="b">
        <v>0</v>
      </c>
      <c r="N506" s="112"/>
      <c r="O506" s="505" t="b">
        <v>0</v>
      </c>
      <c r="P506" s="504" t="b">
        <v>0</v>
      </c>
      <c r="Q506" s="116"/>
      <c r="R506" s="505" t="b">
        <v>0</v>
      </c>
      <c r="S506" s="504" t="b">
        <v>0</v>
      </c>
      <c r="T506" s="117"/>
      <c r="U506" s="505" t="b">
        <v>0</v>
      </c>
      <c r="V506" s="504" t="b">
        <v>0</v>
      </c>
      <c r="W506" s="118"/>
      <c r="X506" s="505" t="b">
        <v>0</v>
      </c>
      <c r="Y506" s="504" t="b">
        <v>0</v>
      </c>
      <c r="Z506" s="119"/>
      <c r="AA506" s="505" t="b">
        <v>0</v>
      </c>
      <c r="AB506" s="504" t="b">
        <v>0</v>
      </c>
      <c r="AC506" s="121"/>
      <c r="AD506" s="505" t="b">
        <v>0</v>
      </c>
      <c r="AE506" s="504" t="b">
        <v>0</v>
      </c>
      <c r="AF506" s="125"/>
      <c r="AG506" s="505" t="b">
        <v>0</v>
      </c>
      <c r="AH506" s="504" t="b">
        <v>0</v>
      </c>
      <c r="AI506" s="105"/>
      <c r="AJ506" s="505" t="b">
        <v>0</v>
      </c>
      <c r="AK506" s="504" t="b">
        <v>0</v>
      </c>
      <c r="AL506" s="126"/>
      <c r="AM506" s="505" t="b">
        <v>0</v>
      </c>
      <c r="AN506" s="504" t="b">
        <v>0</v>
      </c>
      <c r="AO506" s="105"/>
      <c r="AP506" s="105"/>
      <c r="AQ506" s="105"/>
      <c r="AR506" s="105"/>
      <c r="AS506" s="105"/>
      <c r="AT506" s="105"/>
      <c r="AU506" s="105"/>
      <c r="AV506" s="105"/>
      <c r="AW506" s="105"/>
      <c r="AX506" s="105"/>
      <c r="AY506" s="105"/>
      <c r="AZ506" s="105"/>
      <c r="BA506" s="105"/>
    </row>
    <row r="507">
      <c r="A507" s="105"/>
      <c r="B507" s="105"/>
      <c r="C507" s="105"/>
      <c r="D507" s="105"/>
      <c r="E507" s="105"/>
      <c r="F507" s="105"/>
      <c r="G507" s="105"/>
      <c r="H507" s="105"/>
      <c r="I507" s="505" t="b">
        <v>0</v>
      </c>
      <c r="J507" s="507" t="b">
        <v>0</v>
      </c>
      <c r="K507" s="112"/>
      <c r="L507" s="505" t="b">
        <v>0</v>
      </c>
      <c r="M507" s="504" t="b">
        <v>0</v>
      </c>
      <c r="N507" s="112"/>
      <c r="O507" s="505" t="b">
        <v>0</v>
      </c>
      <c r="P507" s="504" t="b">
        <v>0</v>
      </c>
      <c r="Q507" s="116"/>
      <c r="R507" s="505" t="b">
        <v>0</v>
      </c>
      <c r="S507" s="504" t="b">
        <v>0</v>
      </c>
      <c r="T507" s="117"/>
      <c r="U507" s="505" t="b">
        <v>0</v>
      </c>
      <c r="V507" s="504" t="b">
        <v>0</v>
      </c>
      <c r="W507" s="118"/>
      <c r="X507" s="505" t="b">
        <v>0</v>
      </c>
      <c r="Y507" s="504" t="b">
        <v>0</v>
      </c>
      <c r="Z507" s="119"/>
      <c r="AA507" s="505" t="b">
        <v>0</v>
      </c>
      <c r="AB507" s="504" t="b">
        <v>0</v>
      </c>
      <c r="AC507" s="121"/>
      <c r="AD507" s="505" t="b">
        <v>0</v>
      </c>
      <c r="AE507" s="504" t="b">
        <v>0</v>
      </c>
      <c r="AF507" s="125"/>
      <c r="AG507" s="505" t="b">
        <v>0</v>
      </c>
      <c r="AH507" s="504" t="b">
        <v>0</v>
      </c>
      <c r="AI507" s="105"/>
      <c r="AJ507" s="505" t="b">
        <v>0</v>
      </c>
      <c r="AK507" s="504" t="b">
        <v>0</v>
      </c>
      <c r="AL507" s="126"/>
      <c r="AM507" s="505" t="b">
        <v>0</v>
      </c>
      <c r="AN507" s="504" t="b">
        <v>0</v>
      </c>
      <c r="AO507" s="105"/>
      <c r="AP507" s="105"/>
      <c r="AQ507" s="105"/>
      <c r="AR507" s="105"/>
      <c r="AS507" s="105"/>
      <c r="AT507" s="105"/>
      <c r="AU507" s="105"/>
      <c r="AV507" s="105"/>
      <c r="AW507" s="105"/>
      <c r="AX507" s="105"/>
      <c r="AY507" s="105"/>
      <c r="AZ507" s="105"/>
      <c r="BA507" s="105"/>
    </row>
    <row r="508">
      <c r="A508" s="105"/>
      <c r="B508" s="105"/>
      <c r="C508" s="105"/>
      <c r="D508" s="105"/>
      <c r="E508" s="105"/>
      <c r="F508" s="105"/>
      <c r="G508" s="105"/>
      <c r="H508" s="105"/>
      <c r="I508" s="505" t="b">
        <v>0</v>
      </c>
      <c r="J508" s="507" t="b">
        <v>0</v>
      </c>
      <c r="K508" s="112"/>
      <c r="L508" s="505" t="b">
        <v>0</v>
      </c>
      <c r="M508" s="504" t="b">
        <v>0</v>
      </c>
      <c r="N508" s="112"/>
      <c r="O508" s="505" t="b">
        <v>0</v>
      </c>
      <c r="P508" s="504" t="b">
        <v>0</v>
      </c>
      <c r="Q508" s="116"/>
      <c r="R508" s="505" t="b">
        <v>0</v>
      </c>
      <c r="S508" s="504" t="b">
        <v>0</v>
      </c>
      <c r="T508" s="117"/>
      <c r="U508" s="505" t="b">
        <v>0</v>
      </c>
      <c r="V508" s="504" t="b">
        <v>0</v>
      </c>
      <c r="W508" s="118"/>
      <c r="X508" s="505" t="b">
        <v>0</v>
      </c>
      <c r="Y508" s="504" t="b">
        <v>0</v>
      </c>
      <c r="Z508" s="119"/>
      <c r="AA508" s="505" t="b">
        <v>0</v>
      </c>
      <c r="AB508" s="504" t="b">
        <v>0</v>
      </c>
      <c r="AC508" s="121"/>
      <c r="AD508" s="505" t="b">
        <v>0</v>
      </c>
      <c r="AE508" s="504" t="b">
        <v>0</v>
      </c>
      <c r="AF508" s="125"/>
      <c r="AG508" s="505" t="b">
        <v>0</v>
      </c>
      <c r="AH508" s="504" t="b">
        <v>0</v>
      </c>
      <c r="AI508" s="105"/>
      <c r="AJ508" s="505" t="b">
        <v>0</v>
      </c>
      <c r="AK508" s="504" t="b">
        <v>0</v>
      </c>
      <c r="AL508" s="126"/>
      <c r="AM508" s="505" t="b">
        <v>0</v>
      </c>
      <c r="AN508" s="504" t="b">
        <v>0</v>
      </c>
      <c r="AO508" s="105"/>
      <c r="AP508" s="105"/>
      <c r="AQ508" s="105"/>
      <c r="AR508" s="105"/>
      <c r="AS508" s="105"/>
      <c r="AT508" s="105"/>
      <c r="AU508" s="105"/>
      <c r="AV508" s="105"/>
      <c r="AW508" s="105"/>
      <c r="AX508" s="105"/>
      <c r="AY508" s="105"/>
      <c r="AZ508" s="105"/>
      <c r="BA508" s="105"/>
    </row>
    <row r="509">
      <c r="A509" s="105"/>
      <c r="B509" s="105"/>
      <c r="C509" s="105"/>
      <c r="D509" s="105"/>
      <c r="E509" s="105"/>
      <c r="F509" s="105"/>
      <c r="G509" s="105"/>
      <c r="H509" s="105"/>
      <c r="I509" s="505" t="b">
        <v>0</v>
      </c>
      <c r="J509" s="507" t="b">
        <v>0</v>
      </c>
      <c r="K509" s="112"/>
      <c r="L509" s="505" t="b">
        <v>0</v>
      </c>
      <c r="M509" s="504" t="b">
        <v>0</v>
      </c>
      <c r="N509" s="112"/>
      <c r="O509" s="505" t="b">
        <v>0</v>
      </c>
      <c r="P509" s="504" t="b">
        <v>0</v>
      </c>
      <c r="Q509" s="116"/>
      <c r="R509" s="505" t="b">
        <v>0</v>
      </c>
      <c r="S509" s="504" t="b">
        <v>0</v>
      </c>
      <c r="T509" s="117"/>
      <c r="U509" s="505" t="b">
        <v>0</v>
      </c>
      <c r="V509" s="504" t="b">
        <v>0</v>
      </c>
      <c r="W509" s="118"/>
      <c r="X509" s="505" t="b">
        <v>0</v>
      </c>
      <c r="Y509" s="504" t="b">
        <v>0</v>
      </c>
      <c r="Z509" s="119"/>
      <c r="AA509" s="505" t="b">
        <v>0</v>
      </c>
      <c r="AB509" s="504" t="b">
        <v>0</v>
      </c>
      <c r="AC509" s="121"/>
      <c r="AD509" s="505" t="b">
        <v>0</v>
      </c>
      <c r="AE509" s="504" t="b">
        <v>0</v>
      </c>
      <c r="AF509" s="125"/>
      <c r="AG509" s="505" t="b">
        <v>0</v>
      </c>
      <c r="AH509" s="504" t="b">
        <v>0</v>
      </c>
      <c r="AI509" s="105"/>
      <c r="AJ509" s="505" t="b">
        <v>0</v>
      </c>
      <c r="AK509" s="504" t="b">
        <v>0</v>
      </c>
      <c r="AL509" s="126"/>
      <c r="AM509" s="505" t="b">
        <v>0</v>
      </c>
      <c r="AN509" s="504" t="b">
        <v>0</v>
      </c>
      <c r="AO509" s="105"/>
      <c r="AP509" s="105"/>
      <c r="AQ509" s="105"/>
      <c r="AR509" s="105"/>
      <c r="AS509" s="105"/>
      <c r="AT509" s="105"/>
      <c r="AU509" s="105"/>
      <c r="AV509" s="105"/>
      <c r="AW509" s="105"/>
      <c r="AX509" s="105"/>
      <c r="AY509" s="105"/>
      <c r="AZ509" s="105"/>
      <c r="BA509" s="105"/>
    </row>
    <row r="510">
      <c r="A510" s="105"/>
      <c r="B510" s="105"/>
      <c r="C510" s="105"/>
      <c r="D510" s="105"/>
      <c r="E510" s="105"/>
      <c r="F510" s="105"/>
      <c r="G510" s="105"/>
      <c r="H510" s="105"/>
      <c r="I510" s="505" t="b">
        <v>0</v>
      </c>
      <c r="J510" s="507" t="b">
        <v>0</v>
      </c>
      <c r="K510" s="112"/>
      <c r="L510" s="505" t="b">
        <v>0</v>
      </c>
      <c r="M510" s="504" t="b">
        <v>0</v>
      </c>
      <c r="N510" s="112"/>
      <c r="O510" s="505" t="b">
        <v>0</v>
      </c>
      <c r="P510" s="504" t="b">
        <v>0</v>
      </c>
      <c r="Q510" s="116"/>
      <c r="R510" s="505" t="b">
        <v>0</v>
      </c>
      <c r="S510" s="504" t="b">
        <v>0</v>
      </c>
      <c r="T510" s="117"/>
      <c r="U510" s="505" t="b">
        <v>0</v>
      </c>
      <c r="V510" s="504" t="b">
        <v>0</v>
      </c>
      <c r="W510" s="118"/>
      <c r="X510" s="505" t="b">
        <v>0</v>
      </c>
      <c r="Y510" s="504" t="b">
        <v>0</v>
      </c>
      <c r="Z510" s="119"/>
      <c r="AA510" s="505" t="b">
        <v>0</v>
      </c>
      <c r="AB510" s="504" t="b">
        <v>0</v>
      </c>
      <c r="AC510" s="121"/>
      <c r="AD510" s="505" t="b">
        <v>0</v>
      </c>
      <c r="AE510" s="504" t="b">
        <v>0</v>
      </c>
      <c r="AF510" s="125"/>
      <c r="AG510" s="505" t="b">
        <v>0</v>
      </c>
      <c r="AH510" s="504" t="b">
        <v>0</v>
      </c>
      <c r="AI510" s="105"/>
      <c r="AJ510" s="505" t="b">
        <v>0</v>
      </c>
      <c r="AK510" s="504" t="b">
        <v>0</v>
      </c>
      <c r="AL510" s="126"/>
      <c r="AM510" s="505" t="b">
        <v>0</v>
      </c>
      <c r="AN510" s="504" t="b">
        <v>0</v>
      </c>
      <c r="AO510" s="105"/>
      <c r="AP510" s="105"/>
      <c r="AQ510" s="105"/>
      <c r="AR510" s="105"/>
      <c r="AS510" s="105"/>
      <c r="AT510" s="105"/>
      <c r="AU510" s="105"/>
      <c r="AV510" s="105"/>
      <c r="AW510" s="105"/>
      <c r="AX510" s="105"/>
      <c r="AY510" s="105"/>
      <c r="AZ510" s="105"/>
      <c r="BA510" s="105"/>
    </row>
    <row r="511">
      <c r="A511" s="105"/>
      <c r="B511" s="105"/>
      <c r="C511" s="105"/>
      <c r="D511" s="105"/>
      <c r="E511" s="105"/>
      <c r="F511" s="105"/>
      <c r="G511" s="105"/>
      <c r="H511" s="105"/>
      <c r="I511" s="505" t="b">
        <v>0</v>
      </c>
      <c r="J511" s="507" t="b">
        <v>0</v>
      </c>
      <c r="K511" s="112"/>
      <c r="L511" s="505" t="b">
        <v>0</v>
      </c>
      <c r="M511" s="504" t="b">
        <v>0</v>
      </c>
      <c r="N511" s="112"/>
      <c r="O511" s="505" t="b">
        <v>0</v>
      </c>
      <c r="P511" s="504" t="b">
        <v>0</v>
      </c>
      <c r="Q511" s="116"/>
      <c r="R511" s="505" t="b">
        <v>0</v>
      </c>
      <c r="S511" s="504" t="b">
        <v>0</v>
      </c>
      <c r="T511" s="117"/>
      <c r="U511" s="505" t="b">
        <v>0</v>
      </c>
      <c r="V511" s="504" t="b">
        <v>0</v>
      </c>
      <c r="W511" s="118"/>
      <c r="X511" s="505" t="b">
        <v>0</v>
      </c>
      <c r="Y511" s="504" t="b">
        <v>0</v>
      </c>
      <c r="Z511" s="119"/>
      <c r="AA511" s="505" t="b">
        <v>0</v>
      </c>
      <c r="AB511" s="504" t="b">
        <v>0</v>
      </c>
      <c r="AC511" s="121"/>
      <c r="AD511" s="505" t="b">
        <v>0</v>
      </c>
      <c r="AE511" s="504" t="b">
        <v>0</v>
      </c>
      <c r="AF511" s="125"/>
      <c r="AG511" s="505" t="b">
        <v>0</v>
      </c>
      <c r="AH511" s="504" t="b">
        <v>0</v>
      </c>
      <c r="AI511" s="105"/>
      <c r="AJ511" s="505" t="b">
        <v>0</v>
      </c>
      <c r="AK511" s="504" t="b">
        <v>0</v>
      </c>
      <c r="AL511" s="126"/>
      <c r="AM511" s="505" t="b">
        <v>0</v>
      </c>
      <c r="AN511" s="504" t="b">
        <v>0</v>
      </c>
      <c r="AO511" s="105"/>
      <c r="AP511" s="105"/>
      <c r="AQ511" s="105"/>
      <c r="AR511" s="105"/>
      <c r="AS511" s="105"/>
      <c r="AT511" s="105"/>
      <c r="AU511" s="105"/>
      <c r="AV511" s="105"/>
      <c r="AW511" s="105"/>
      <c r="AX511" s="105"/>
      <c r="AY511" s="105"/>
      <c r="AZ511" s="105"/>
      <c r="BA511" s="105"/>
    </row>
    <row r="512">
      <c r="A512" s="105"/>
      <c r="B512" s="105"/>
      <c r="C512" s="105"/>
      <c r="D512" s="105"/>
      <c r="E512" s="105"/>
      <c r="F512" s="105"/>
      <c r="G512" s="105"/>
      <c r="H512" s="105"/>
      <c r="I512" s="505" t="b">
        <v>0</v>
      </c>
      <c r="J512" s="507" t="b">
        <v>0</v>
      </c>
      <c r="K512" s="112"/>
      <c r="L512" s="505" t="b">
        <v>0</v>
      </c>
      <c r="M512" s="504" t="b">
        <v>0</v>
      </c>
      <c r="N512" s="112"/>
      <c r="O512" s="505" t="b">
        <v>0</v>
      </c>
      <c r="P512" s="504" t="b">
        <v>0</v>
      </c>
      <c r="Q512" s="116"/>
      <c r="R512" s="505" t="b">
        <v>0</v>
      </c>
      <c r="S512" s="504" t="b">
        <v>0</v>
      </c>
      <c r="T512" s="117"/>
      <c r="U512" s="505" t="b">
        <v>0</v>
      </c>
      <c r="V512" s="504" t="b">
        <v>0</v>
      </c>
      <c r="W512" s="118"/>
      <c r="X512" s="505" t="b">
        <v>0</v>
      </c>
      <c r="Y512" s="504" t="b">
        <v>0</v>
      </c>
      <c r="Z512" s="119"/>
      <c r="AA512" s="505" t="b">
        <v>0</v>
      </c>
      <c r="AB512" s="504" t="b">
        <v>0</v>
      </c>
      <c r="AC512" s="121"/>
      <c r="AD512" s="505" t="b">
        <v>0</v>
      </c>
      <c r="AE512" s="504" t="b">
        <v>0</v>
      </c>
      <c r="AF512" s="125"/>
      <c r="AG512" s="505" t="b">
        <v>0</v>
      </c>
      <c r="AH512" s="504" t="b">
        <v>0</v>
      </c>
      <c r="AI512" s="105"/>
      <c r="AJ512" s="505" t="b">
        <v>0</v>
      </c>
      <c r="AK512" s="504" t="b">
        <v>0</v>
      </c>
      <c r="AL512" s="126"/>
      <c r="AM512" s="505" t="b">
        <v>0</v>
      </c>
      <c r="AN512" s="504" t="b">
        <v>0</v>
      </c>
      <c r="AO512" s="105"/>
      <c r="AP512" s="105"/>
      <c r="AQ512" s="105"/>
      <c r="AR512" s="105"/>
      <c r="AS512" s="105"/>
      <c r="AT512" s="105"/>
      <c r="AU512" s="105"/>
      <c r="AV512" s="105"/>
      <c r="AW512" s="105"/>
      <c r="AX512" s="105"/>
      <c r="AY512" s="105"/>
      <c r="AZ512" s="105"/>
      <c r="BA512" s="105"/>
    </row>
    <row r="513">
      <c r="A513" s="105"/>
      <c r="B513" s="105"/>
      <c r="C513" s="105"/>
      <c r="D513" s="105"/>
      <c r="E513" s="105"/>
      <c r="F513" s="105"/>
      <c r="G513" s="105"/>
      <c r="H513" s="105"/>
      <c r="I513" s="505" t="b">
        <v>0</v>
      </c>
      <c r="J513" s="507" t="b">
        <v>0</v>
      </c>
      <c r="K513" s="112"/>
      <c r="L513" s="505" t="b">
        <v>0</v>
      </c>
      <c r="M513" s="504" t="b">
        <v>0</v>
      </c>
      <c r="N513" s="112"/>
      <c r="O513" s="505" t="b">
        <v>0</v>
      </c>
      <c r="P513" s="504" t="b">
        <v>0</v>
      </c>
      <c r="Q513" s="116"/>
      <c r="R513" s="505" t="b">
        <v>0</v>
      </c>
      <c r="S513" s="504" t="b">
        <v>0</v>
      </c>
      <c r="T513" s="117"/>
      <c r="U513" s="505" t="b">
        <v>0</v>
      </c>
      <c r="V513" s="504" t="b">
        <v>0</v>
      </c>
      <c r="W513" s="118"/>
      <c r="X513" s="505" t="b">
        <v>0</v>
      </c>
      <c r="Y513" s="504" t="b">
        <v>0</v>
      </c>
      <c r="Z513" s="119"/>
      <c r="AA513" s="505" t="b">
        <v>0</v>
      </c>
      <c r="AB513" s="504" t="b">
        <v>0</v>
      </c>
      <c r="AC513" s="121"/>
      <c r="AD513" s="505" t="b">
        <v>0</v>
      </c>
      <c r="AE513" s="504" t="b">
        <v>0</v>
      </c>
      <c r="AF513" s="125"/>
      <c r="AG513" s="505" t="b">
        <v>0</v>
      </c>
      <c r="AH513" s="504" t="b">
        <v>0</v>
      </c>
      <c r="AI513" s="105"/>
      <c r="AJ513" s="505" t="b">
        <v>0</v>
      </c>
      <c r="AK513" s="504" t="b">
        <v>0</v>
      </c>
      <c r="AL513" s="126"/>
      <c r="AM513" s="505" t="b">
        <v>0</v>
      </c>
      <c r="AN513" s="504" t="b">
        <v>0</v>
      </c>
      <c r="AO513" s="105"/>
      <c r="AP513" s="105"/>
      <c r="AQ513" s="105"/>
      <c r="AR513" s="105"/>
      <c r="AS513" s="105"/>
      <c r="AT513" s="105"/>
      <c r="AU513" s="105"/>
      <c r="AV513" s="105"/>
      <c r="AW513" s="105"/>
      <c r="AX513" s="105"/>
      <c r="AY513" s="105"/>
      <c r="AZ513" s="105"/>
      <c r="BA513" s="105"/>
    </row>
    <row r="514">
      <c r="A514" s="105"/>
      <c r="B514" s="105"/>
      <c r="C514" s="105"/>
      <c r="D514" s="105"/>
      <c r="E514" s="105"/>
      <c r="F514" s="105"/>
      <c r="G514" s="105"/>
      <c r="H514" s="105"/>
      <c r="I514" s="505" t="b">
        <v>0</v>
      </c>
      <c r="J514" s="507" t="b">
        <v>0</v>
      </c>
      <c r="K514" s="112"/>
      <c r="L514" s="505" t="b">
        <v>0</v>
      </c>
      <c r="M514" s="504" t="b">
        <v>0</v>
      </c>
      <c r="N514" s="112"/>
      <c r="O514" s="505" t="b">
        <v>0</v>
      </c>
      <c r="P514" s="504" t="b">
        <v>0</v>
      </c>
      <c r="Q514" s="116"/>
      <c r="R514" s="505" t="b">
        <v>0</v>
      </c>
      <c r="S514" s="504" t="b">
        <v>0</v>
      </c>
      <c r="T514" s="117"/>
      <c r="U514" s="505" t="b">
        <v>0</v>
      </c>
      <c r="V514" s="504" t="b">
        <v>0</v>
      </c>
      <c r="W514" s="118"/>
      <c r="X514" s="505" t="b">
        <v>0</v>
      </c>
      <c r="Y514" s="504" t="b">
        <v>0</v>
      </c>
      <c r="Z514" s="119"/>
      <c r="AA514" s="505" t="b">
        <v>0</v>
      </c>
      <c r="AB514" s="504" t="b">
        <v>0</v>
      </c>
      <c r="AC514" s="121"/>
      <c r="AD514" s="505" t="b">
        <v>0</v>
      </c>
      <c r="AE514" s="504" t="b">
        <v>0</v>
      </c>
      <c r="AF514" s="125"/>
      <c r="AG514" s="505" t="b">
        <v>0</v>
      </c>
      <c r="AH514" s="504" t="b">
        <v>0</v>
      </c>
      <c r="AI514" s="105"/>
      <c r="AJ514" s="505" t="b">
        <v>0</v>
      </c>
      <c r="AK514" s="504" t="b">
        <v>0</v>
      </c>
      <c r="AL514" s="126"/>
      <c r="AM514" s="505" t="b">
        <v>0</v>
      </c>
      <c r="AN514" s="504" t="b">
        <v>0</v>
      </c>
      <c r="AO514" s="105"/>
      <c r="AP514" s="105"/>
      <c r="AQ514" s="105"/>
      <c r="AR514" s="105"/>
      <c r="AS514" s="105"/>
      <c r="AT514" s="105"/>
      <c r="AU514" s="105"/>
      <c r="AV514" s="105"/>
      <c r="AW514" s="105"/>
      <c r="AX514" s="105"/>
      <c r="AY514" s="105"/>
      <c r="AZ514" s="105"/>
      <c r="BA514" s="105"/>
    </row>
    <row r="515">
      <c r="A515" s="105"/>
      <c r="B515" s="105"/>
      <c r="C515" s="105"/>
      <c r="D515" s="105"/>
      <c r="E515" s="105"/>
      <c r="F515" s="105"/>
      <c r="G515" s="105"/>
      <c r="H515" s="105"/>
      <c r="I515" s="505" t="b">
        <v>0</v>
      </c>
      <c r="J515" s="507" t="b">
        <v>0</v>
      </c>
      <c r="K515" s="112"/>
      <c r="L515" s="505" t="b">
        <v>0</v>
      </c>
      <c r="M515" s="504" t="b">
        <v>0</v>
      </c>
      <c r="N515" s="112"/>
      <c r="O515" s="505" t="b">
        <v>0</v>
      </c>
      <c r="P515" s="504" t="b">
        <v>0</v>
      </c>
      <c r="Q515" s="116"/>
      <c r="R515" s="505" t="b">
        <v>0</v>
      </c>
      <c r="S515" s="504" t="b">
        <v>0</v>
      </c>
      <c r="T515" s="117"/>
      <c r="U515" s="505" t="b">
        <v>0</v>
      </c>
      <c r="V515" s="504" t="b">
        <v>0</v>
      </c>
      <c r="W515" s="118"/>
      <c r="X515" s="505" t="b">
        <v>0</v>
      </c>
      <c r="Y515" s="504" t="b">
        <v>0</v>
      </c>
      <c r="Z515" s="119"/>
      <c r="AA515" s="505" t="b">
        <v>0</v>
      </c>
      <c r="AB515" s="504" t="b">
        <v>0</v>
      </c>
      <c r="AC515" s="121"/>
      <c r="AD515" s="505" t="b">
        <v>0</v>
      </c>
      <c r="AE515" s="504" t="b">
        <v>0</v>
      </c>
      <c r="AF515" s="125"/>
      <c r="AG515" s="505" t="b">
        <v>0</v>
      </c>
      <c r="AH515" s="504" t="b">
        <v>0</v>
      </c>
      <c r="AI515" s="105"/>
      <c r="AJ515" s="505" t="b">
        <v>0</v>
      </c>
      <c r="AK515" s="504" t="b">
        <v>0</v>
      </c>
      <c r="AL515" s="126"/>
      <c r="AM515" s="505" t="b">
        <v>0</v>
      </c>
      <c r="AN515" s="504" t="b">
        <v>0</v>
      </c>
      <c r="AO515" s="105"/>
      <c r="AP515" s="105"/>
      <c r="AQ515" s="105"/>
      <c r="AR515" s="105"/>
      <c r="AS515" s="105"/>
      <c r="AT515" s="105"/>
      <c r="AU515" s="105"/>
      <c r="AV515" s="105"/>
      <c r="AW515" s="105"/>
      <c r="AX515" s="105"/>
      <c r="AY515" s="105"/>
      <c r="AZ515" s="105"/>
      <c r="BA515" s="105"/>
    </row>
    <row r="516">
      <c r="A516" s="105"/>
      <c r="B516" s="105"/>
      <c r="C516" s="105"/>
      <c r="D516" s="105"/>
      <c r="E516" s="105"/>
      <c r="F516" s="105"/>
      <c r="G516" s="105"/>
      <c r="H516" s="105"/>
      <c r="I516" s="505" t="b">
        <v>0</v>
      </c>
      <c r="J516" s="507" t="b">
        <v>0</v>
      </c>
      <c r="K516" s="112"/>
      <c r="L516" s="505" t="b">
        <v>0</v>
      </c>
      <c r="M516" s="504" t="b">
        <v>0</v>
      </c>
      <c r="N516" s="112"/>
      <c r="O516" s="505" t="b">
        <v>0</v>
      </c>
      <c r="P516" s="504" t="b">
        <v>0</v>
      </c>
      <c r="Q516" s="116"/>
      <c r="R516" s="505" t="b">
        <v>0</v>
      </c>
      <c r="S516" s="504" t="b">
        <v>0</v>
      </c>
      <c r="T516" s="117"/>
      <c r="U516" s="505" t="b">
        <v>0</v>
      </c>
      <c r="V516" s="504" t="b">
        <v>0</v>
      </c>
      <c r="W516" s="118"/>
      <c r="X516" s="505" t="b">
        <v>0</v>
      </c>
      <c r="Y516" s="504" t="b">
        <v>0</v>
      </c>
      <c r="Z516" s="119"/>
      <c r="AA516" s="505" t="b">
        <v>0</v>
      </c>
      <c r="AB516" s="504" t="b">
        <v>0</v>
      </c>
      <c r="AC516" s="121"/>
      <c r="AD516" s="505" t="b">
        <v>0</v>
      </c>
      <c r="AE516" s="504" t="b">
        <v>0</v>
      </c>
      <c r="AF516" s="125"/>
      <c r="AG516" s="505" t="b">
        <v>0</v>
      </c>
      <c r="AH516" s="504" t="b">
        <v>0</v>
      </c>
      <c r="AI516" s="105"/>
      <c r="AJ516" s="505" t="b">
        <v>0</v>
      </c>
      <c r="AK516" s="504" t="b">
        <v>0</v>
      </c>
      <c r="AL516" s="126"/>
      <c r="AM516" s="505" t="b">
        <v>0</v>
      </c>
      <c r="AN516" s="504" t="b">
        <v>0</v>
      </c>
      <c r="AO516" s="105"/>
      <c r="AP516" s="105"/>
      <c r="AQ516" s="105"/>
      <c r="AR516" s="105"/>
      <c r="AS516" s="105"/>
      <c r="AT516" s="105"/>
      <c r="AU516" s="105"/>
      <c r="AV516" s="105"/>
      <c r="AW516" s="105"/>
      <c r="AX516" s="105"/>
      <c r="AY516" s="105"/>
      <c r="AZ516" s="105"/>
      <c r="BA516" s="105"/>
    </row>
    <row r="517">
      <c r="A517" s="105"/>
      <c r="B517" s="105"/>
      <c r="C517" s="105"/>
      <c r="D517" s="105"/>
      <c r="E517" s="105"/>
      <c r="F517" s="105"/>
      <c r="G517" s="105"/>
      <c r="H517" s="105"/>
      <c r="I517" s="505" t="b">
        <v>0</v>
      </c>
      <c r="J517" s="507" t="b">
        <v>0</v>
      </c>
      <c r="K517" s="112"/>
      <c r="L517" s="505" t="b">
        <v>0</v>
      </c>
      <c r="M517" s="504" t="b">
        <v>0</v>
      </c>
      <c r="N517" s="112"/>
      <c r="O517" s="505" t="b">
        <v>0</v>
      </c>
      <c r="P517" s="504" t="b">
        <v>0</v>
      </c>
      <c r="Q517" s="116"/>
      <c r="R517" s="505" t="b">
        <v>0</v>
      </c>
      <c r="S517" s="504" t="b">
        <v>0</v>
      </c>
      <c r="T517" s="117"/>
      <c r="U517" s="505" t="b">
        <v>0</v>
      </c>
      <c r="V517" s="504" t="b">
        <v>0</v>
      </c>
      <c r="W517" s="118"/>
      <c r="X517" s="505" t="b">
        <v>0</v>
      </c>
      <c r="Y517" s="504" t="b">
        <v>0</v>
      </c>
      <c r="Z517" s="119"/>
      <c r="AA517" s="505" t="b">
        <v>0</v>
      </c>
      <c r="AB517" s="504" t="b">
        <v>0</v>
      </c>
      <c r="AC517" s="121"/>
      <c r="AD517" s="505" t="b">
        <v>0</v>
      </c>
      <c r="AE517" s="504" t="b">
        <v>0</v>
      </c>
      <c r="AF517" s="125"/>
      <c r="AG517" s="505" t="b">
        <v>0</v>
      </c>
      <c r="AH517" s="504" t="b">
        <v>0</v>
      </c>
      <c r="AI517" s="105"/>
      <c r="AJ517" s="505" t="b">
        <v>0</v>
      </c>
      <c r="AK517" s="504" t="b">
        <v>0</v>
      </c>
      <c r="AL517" s="126"/>
      <c r="AM517" s="505" t="b">
        <v>0</v>
      </c>
      <c r="AN517" s="504" t="b">
        <v>0</v>
      </c>
      <c r="AO517" s="105"/>
      <c r="AP517" s="105"/>
      <c r="AQ517" s="105"/>
      <c r="AR517" s="105"/>
      <c r="AS517" s="105"/>
      <c r="AT517" s="105"/>
      <c r="AU517" s="105"/>
      <c r="AV517" s="105"/>
      <c r="AW517" s="105"/>
      <c r="AX517" s="105"/>
      <c r="AY517" s="105"/>
      <c r="AZ517" s="105"/>
      <c r="BA517" s="105"/>
    </row>
    <row r="518">
      <c r="A518" s="105"/>
      <c r="B518" s="105"/>
      <c r="C518" s="105"/>
      <c r="D518" s="105"/>
      <c r="E518" s="105"/>
      <c r="F518" s="105"/>
      <c r="G518" s="105"/>
      <c r="H518" s="105"/>
      <c r="I518" s="505" t="b">
        <v>0</v>
      </c>
      <c r="J518" s="507" t="b">
        <v>0</v>
      </c>
      <c r="K518" s="112"/>
      <c r="L518" s="505" t="b">
        <v>0</v>
      </c>
      <c r="M518" s="504" t="b">
        <v>0</v>
      </c>
      <c r="N518" s="112"/>
      <c r="O518" s="505" t="b">
        <v>0</v>
      </c>
      <c r="P518" s="504" t="b">
        <v>0</v>
      </c>
      <c r="Q518" s="116"/>
      <c r="R518" s="505" t="b">
        <v>0</v>
      </c>
      <c r="S518" s="504" t="b">
        <v>0</v>
      </c>
      <c r="T518" s="117"/>
      <c r="U518" s="505" t="b">
        <v>0</v>
      </c>
      <c r="V518" s="504" t="b">
        <v>0</v>
      </c>
      <c r="W518" s="118"/>
      <c r="X518" s="505" t="b">
        <v>0</v>
      </c>
      <c r="Y518" s="504" t="b">
        <v>0</v>
      </c>
      <c r="Z518" s="119"/>
      <c r="AA518" s="505" t="b">
        <v>0</v>
      </c>
      <c r="AB518" s="504" t="b">
        <v>0</v>
      </c>
      <c r="AC518" s="121"/>
      <c r="AD518" s="505" t="b">
        <v>0</v>
      </c>
      <c r="AE518" s="504" t="b">
        <v>0</v>
      </c>
      <c r="AF518" s="125"/>
      <c r="AG518" s="505" t="b">
        <v>0</v>
      </c>
      <c r="AH518" s="504" t="b">
        <v>0</v>
      </c>
      <c r="AI518" s="105"/>
      <c r="AJ518" s="505" t="b">
        <v>0</v>
      </c>
      <c r="AK518" s="504" t="b">
        <v>0</v>
      </c>
      <c r="AL518" s="126"/>
      <c r="AM518" s="505" t="b">
        <v>0</v>
      </c>
      <c r="AN518" s="504" t="b">
        <v>0</v>
      </c>
      <c r="AO518" s="105"/>
      <c r="AP518" s="105"/>
      <c r="AQ518" s="105"/>
      <c r="AR518" s="105"/>
      <c r="AS518" s="105"/>
      <c r="AT518" s="105"/>
      <c r="AU518" s="105"/>
      <c r="AV518" s="105"/>
      <c r="AW518" s="105"/>
      <c r="AX518" s="105"/>
      <c r="AY518" s="105"/>
      <c r="AZ518" s="105"/>
      <c r="BA518" s="105"/>
    </row>
    <row r="519">
      <c r="A519" s="105"/>
      <c r="B519" s="105"/>
      <c r="C519" s="105"/>
      <c r="D519" s="105"/>
      <c r="E519" s="105"/>
      <c r="F519" s="105"/>
      <c r="G519" s="105"/>
      <c r="H519" s="105"/>
      <c r="I519" s="505" t="b">
        <v>0</v>
      </c>
      <c r="J519" s="507" t="b">
        <v>0</v>
      </c>
      <c r="K519" s="112"/>
      <c r="L519" s="505" t="b">
        <v>0</v>
      </c>
      <c r="M519" s="504" t="b">
        <v>0</v>
      </c>
      <c r="N519" s="112"/>
      <c r="O519" s="505" t="b">
        <v>0</v>
      </c>
      <c r="P519" s="504" t="b">
        <v>0</v>
      </c>
      <c r="Q519" s="116"/>
      <c r="R519" s="505" t="b">
        <v>0</v>
      </c>
      <c r="S519" s="504" t="b">
        <v>0</v>
      </c>
      <c r="T519" s="117"/>
      <c r="U519" s="505" t="b">
        <v>0</v>
      </c>
      <c r="V519" s="504" t="b">
        <v>0</v>
      </c>
      <c r="W519" s="118"/>
      <c r="X519" s="505" t="b">
        <v>0</v>
      </c>
      <c r="Y519" s="504" t="b">
        <v>0</v>
      </c>
      <c r="Z519" s="119"/>
      <c r="AA519" s="505" t="b">
        <v>0</v>
      </c>
      <c r="AB519" s="504" t="b">
        <v>0</v>
      </c>
      <c r="AC519" s="121"/>
      <c r="AD519" s="505" t="b">
        <v>0</v>
      </c>
      <c r="AE519" s="504" t="b">
        <v>0</v>
      </c>
      <c r="AF519" s="125"/>
      <c r="AG519" s="505" t="b">
        <v>0</v>
      </c>
      <c r="AH519" s="504" t="b">
        <v>0</v>
      </c>
      <c r="AI519" s="105"/>
      <c r="AJ519" s="505" t="b">
        <v>0</v>
      </c>
      <c r="AK519" s="504" t="b">
        <v>0</v>
      </c>
      <c r="AL519" s="126"/>
      <c r="AM519" s="505" t="b">
        <v>0</v>
      </c>
      <c r="AN519" s="504" t="b">
        <v>0</v>
      </c>
      <c r="AO519" s="105"/>
      <c r="AP519" s="105"/>
      <c r="AQ519" s="105"/>
      <c r="AR519" s="105"/>
      <c r="AS519" s="105"/>
      <c r="AT519" s="105"/>
      <c r="AU519" s="105"/>
      <c r="AV519" s="105"/>
      <c r="AW519" s="105"/>
      <c r="AX519" s="105"/>
      <c r="AY519" s="105"/>
      <c r="AZ519" s="105"/>
      <c r="BA519" s="105"/>
    </row>
    <row r="520">
      <c r="A520" s="105"/>
      <c r="B520" s="105"/>
      <c r="C520" s="105"/>
      <c r="D520" s="105"/>
      <c r="E520" s="105"/>
      <c r="F520" s="105"/>
      <c r="G520" s="105"/>
      <c r="H520" s="105"/>
      <c r="I520" s="505" t="b">
        <v>0</v>
      </c>
      <c r="J520" s="507" t="b">
        <v>0</v>
      </c>
      <c r="K520" s="112"/>
      <c r="L520" s="505" t="b">
        <v>0</v>
      </c>
      <c r="M520" s="504" t="b">
        <v>0</v>
      </c>
      <c r="N520" s="112"/>
      <c r="O520" s="505" t="b">
        <v>0</v>
      </c>
      <c r="P520" s="504" t="b">
        <v>0</v>
      </c>
      <c r="Q520" s="116"/>
      <c r="R520" s="505" t="b">
        <v>0</v>
      </c>
      <c r="S520" s="504" t="b">
        <v>0</v>
      </c>
      <c r="T520" s="117"/>
      <c r="U520" s="505" t="b">
        <v>0</v>
      </c>
      <c r="V520" s="504" t="b">
        <v>0</v>
      </c>
      <c r="W520" s="118"/>
      <c r="X520" s="505" t="b">
        <v>0</v>
      </c>
      <c r="Y520" s="504" t="b">
        <v>0</v>
      </c>
      <c r="Z520" s="119"/>
      <c r="AA520" s="505" t="b">
        <v>0</v>
      </c>
      <c r="AB520" s="504" t="b">
        <v>0</v>
      </c>
      <c r="AC520" s="121"/>
      <c r="AD520" s="505" t="b">
        <v>0</v>
      </c>
      <c r="AE520" s="504" t="b">
        <v>0</v>
      </c>
      <c r="AF520" s="125"/>
      <c r="AG520" s="505" t="b">
        <v>0</v>
      </c>
      <c r="AH520" s="504" t="b">
        <v>0</v>
      </c>
      <c r="AI520" s="105"/>
      <c r="AJ520" s="505" t="b">
        <v>0</v>
      </c>
      <c r="AK520" s="504" t="b">
        <v>0</v>
      </c>
      <c r="AL520" s="126"/>
      <c r="AM520" s="505" t="b">
        <v>0</v>
      </c>
      <c r="AN520" s="504" t="b">
        <v>0</v>
      </c>
      <c r="AO520" s="105"/>
      <c r="AP520" s="105"/>
      <c r="AQ520" s="105"/>
      <c r="AR520" s="105"/>
      <c r="AS520" s="105"/>
      <c r="AT520" s="105"/>
      <c r="AU520" s="105"/>
      <c r="AV520" s="105"/>
      <c r="AW520" s="105"/>
      <c r="AX520" s="105"/>
      <c r="AY520" s="105"/>
      <c r="AZ520" s="105"/>
      <c r="BA520" s="105"/>
    </row>
    <row r="521">
      <c r="A521" s="105"/>
      <c r="B521" s="105"/>
      <c r="C521" s="105"/>
      <c r="D521" s="105"/>
      <c r="E521" s="105"/>
      <c r="F521" s="105"/>
      <c r="G521" s="105"/>
      <c r="H521" s="105"/>
      <c r="I521" s="505" t="b">
        <v>0</v>
      </c>
      <c r="J521" s="507" t="b">
        <v>0</v>
      </c>
      <c r="K521" s="112"/>
      <c r="L521" s="505" t="b">
        <v>0</v>
      </c>
      <c r="M521" s="504" t="b">
        <v>0</v>
      </c>
      <c r="N521" s="112"/>
      <c r="O521" s="505" t="b">
        <v>0</v>
      </c>
      <c r="P521" s="504" t="b">
        <v>0</v>
      </c>
      <c r="Q521" s="116"/>
      <c r="R521" s="505" t="b">
        <v>0</v>
      </c>
      <c r="S521" s="504" t="b">
        <v>0</v>
      </c>
      <c r="T521" s="117"/>
      <c r="U521" s="505" t="b">
        <v>0</v>
      </c>
      <c r="V521" s="504" t="b">
        <v>0</v>
      </c>
      <c r="W521" s="118"/>
      <c r="X521" s="505" t="b">
        <v>0</v>
      </c>
      <c r="Y521" s="504" t="b">
        <v>0</v>
      </c>
      <c r="Z521" s="119"/>
      <c r="AA521" s="505" t="b">
        <v>0</v>
      </c>
      <c r="AB521" s="504" t="b">
        <v>0</v>
      </c>
      <c r="AC521" s="121"/>
      <c r="AD521" s="505" t="b">
        <v>0</v>
      </c>
      <c r="AE521" s="504" t="b">
        <v>0</v>
      </c>
      <c r="AF521" s="125"/>
      <c r="AG521" s="505" t="b">
        <v>0</v>
      </c>
      <c r="AH521" s="504" t="b">
        <v>0</v>
      </c>
      <c r="AI521" s="105"/>
      <c r="AJ521" s="505" t="b">
        <v>0</v>
      </c>
      <c r="AK521" s="504" t="b">
        <v>0</v>
      </c>
      <c r="AL521" s="126"/>
      <c r="AM521" s="505" t="b">
        <v>0</v>
      </c>
      <c r="AN521" s="504" t="b">
        <v>0</v>
      </c>
      <c r="AO521" s="105"/>
      <c r="AP521" s="105"/>
      <c r="AQ521" s="105"/>
      <c r="AR521" s="105"/>
      <c r="AS521" s="105"/>
      <c r="AT521" s="105"/>
      <c r="AU521" s="105"/>
      <c r="AV521" s="105"/>
      <c r="AW521" s="105"/>
      <c r="AX521" s="105"/>
      <c r="AY521" s="105"/>
      <c r="AZ521" s="105"/>
      <c r="BA521" s="105"/>
    </row>
    <row r="522">
      <c r="A522" s="105"/>
      <c r="B522" s="105"/>
      <c r="C522" s="105"/>
      <c r="D522" s="105"/>
      <c r="E522" s="105"/>
      <c r="F522" s="105"/>
      <c r="G522" s="105"/>
      <c r="H522" s="105"/>
      <c r="I522" s="505" t="b">
        <v>0</v>
      </c>
      <c r="J522" s="507" t="b">
        <v>0</v>
      </c>
      <c r="K522" s="112"/>
      <c r="L522" s="505" t="b">
        <v>0</v>
      </c>
      <c r="M522" s="504" t="b">
        <v>0</v>
      </c>
      <c r="N522" s="112"/>
      <c r="O522" s="505" t="b">
        <v>0</v>
      </c>
      <c r="P522" s="504" t="b">
        <v>0</v>
      </c>
      <c r="Q522" s="116"/>
      <c r="R522" s="505" t="b">
        <v>0</v>
      </c>
      <c r="S522" s="504" t="b">
        <v>0</v>
      </c>
      <c r="T522" s="117"/>
      <c r="U522" s="505" t="b">
        <v>0</v>
      </c>
      <c r="V522" s="504" t="b">
        <v>0</v>
      </c>
      <c r="W522" s="118"/>
      <c r="X522" s="505" t="b">
        <v>0</v>
      </c>
      <c r="Y522" s="504" t="b">
        <v>0</v>
      </c>
      <c r="Z522" s="119"/>
      <c r="AA522" s="505" t="b">
        <v>0</v>
      </c>
      <c r="AB522" s="504" t="b">
        <v>0</v>
      </c>
      <c r="AC522" s="121"/>
      <c r="AD522" s="505" t="b">
        <v>0</v>
      </c>
      <c r="AE522" s="504" t="b">
        <v>0</v>
      </c>
      <c r="AF522" s="125"/>
      <c r="AG522" s="505" t="b">
        <v>0</v>
      </c>
      <c r="AH522" s="504" t="b">
        <v>0</v>
      </c>
      <c r="AI522" s="105"/>
      <c r="AJ522" s="505" t="b">
        <v>0</v>
      </c>
      <c r="AK522" s="504" t="b">
        <v>0</v>
      </c>
      <c r="AL522" s="126"/>
      <c r="AM522" s="505" t="b">
        <v>0</v>
      </c>
      <c r="AN522" s="504" t="b">
        <v>0</v>
      </c>
      <c r="AO522" s="105"/>
      <c r="AP522" s="105"/>
      <c r="AQ522" s="105"/>
      <c r="AR522" s="105"/>
      <c r="AS522" s="105"/>
      <c r="AT522" s="105"/>
      <c r="AU522" s="105"/>
      <c r="AV522" s="105"/>
      <c r="AW522" s="105"/>
      <c r="AX522" s="105"/>
      <c r="AY522" s="105"/>
      <c r="AZ522" s="105"/>
      <c r="BA522" s="105"/>
    </row>
    <row r="523">
      <c r="A523" s="105"/>
      <c r="B523" s="105"/>
      <c r="C523" s="105"/>
      <c r="D523" s="105"/>
      <c r="E523" s="105"/>
      <c r="F523" s="105"/>
      <c r="G523" s="105"/>
      <c r="H523" s="105"/>
      <c r="I523" s="505" t="b">
        <v>0</v>
      </c>
      <c r="J523" s="507" t="b">
        <v>0</v>
      </c>
      <c r="K523" s="112"/>
      <c r="L523" s="505" t="b">
        <v>0</v>
      </c>
      <c r="M523" s="504" t="b">
        <v>0</v>
      </c>
      <c r="N523" s="112"/>
      <c r="O523" s="505" t="b">
        <v>0</v>
      </c>
      <c r="P523" s="504" t="b">
        <v>0</v>
      </c>
      <c r="Q523" s="116"/>
      <c r="R523" s="505" t="b">
        <v>0</v>
      </c>
      <c r="S523" s="504" t="b">
        <v>0</v>
      </c>
      <c r="T523" s="117"/>
      <c r="U523" s="505" t="b">
        <v>0</v>
      </c>
      <c r="V523" s="504" t="b">
        <v>0</v>
      </c>
      <c r="W523" s="118"/>
      <c r="X523" s="505" t="b">
        <v>0</v>
      </c>
      <c r="Y523" s="504" t="b">
        <v>0</v>
      </c>
      <c r="Z523" s="119"/>
      <c r="AA523" s="505" t="b">
        <v>0</v>
      </c>
      <c r="AB523" s="504" t="b">
        <v>0</v>
      </c>
      <c r="AC523" s="121"/>
      <c r="AD523" s="505" t="b">
        <v>0</v>
      </c>
      <c r="AE523" s="504" t="b">
        <v>0</v>
      </c>
      <c r="AF523" s="125"/>
      <c r="AG523" s="505" t="b">
        <v>0</v>
      </c>
      <c r="AH523" s="504" t="b">
        <v>0</v>
      </c>
      <c r="AI523" s="105"/>
      <c r="AJ523" s="505" t="b">
        <v>0</v>
      </c>
      <c r="AK523" s="504" t="b">
        <v>0</v>
      </c>
      <c r="AL523" s="126"/>
      <c r="AM523" s="505" t="b">
        <v>0</v>
      </c>
      <c r="AN523" s="504" t="b">
        <v>0</v>
      </c>
      <c r="AO523" s="105"/>
      <c r="AP523" s="105"/>
      <c r="AQ523" s="105"/>
      <c r="AR523" s="105"/>
      <c r="AS523" s="105"/>
      <c r="AT523" s="105"/>
      <c r="AU523" s="105"/>
      <c r="AV523" s="105"/>
      <c r="AW523" s="105"/>
      <c r="AX523" s="105"/>
      <c r="AY523" s="105"/>
      <c r="AZ523" s="105"/>
      <c r="BA523" s="105"/>
    </row>
    <row r="524">
      <c r="A524" s="105"/>
      <c r="B524" s="105"/>
      <c r="C524" s="105"/>
      <c r="D524" s="105"/>
      <c r="E524" s="105"/>
      <c r="F524" s="105"/>
      <c r="G524" s="105"/>
      <c r="H524" s="105"/>
      <c r="I524" s="505" t="b">
        <v>0</v>
      </c>
      <c r="J524" s="507" t="b">
        <v>0</v>
      </c>
      <c r="K524" s="112"/>
      <c r="L524" s="505" t="b">
        <v>0</v>
      </c>
      <c r="M524" s="504" t="b">
        <v>0</v>
      </c>
      <c r="N524" s="112"/>
      <c r="O524" s="505" t="b">
        <v>0</v>
      </c>
      <c r="P524" s="504" t="b">
        <v>0</v>
      </c>
      <c r="Q524" s="116"/>
      <c r="R524" s="505" t="b">
        <v>0</v>
      </c>
      <c r="S524" s="504" t="b">
        <v>0</v>
      </c>
      <c r="T524" s="117"/>
      <c r="U524" s="505" t="b">
        <v>0</v>
      </c>
      <c r="V524" s="504" t="b">
        <v>0</v>
      </c>
      <c r="W524" s="118"/>
      <c r="X524" s="505" t="b">
        <v>0</v>
      </c>
      <c r="Y524" s="504" t="b">
        <v>0</v>
      </c>
      <c r="Z524" s="119"/>
      <c r="AA524" s="505" t="b">
        <v>0</v>
      </c>
      <c r="AB524" s="504" t="b">
        <v>0</v>
      </c>
      <c r="AC524" s="121"/>
      <c r="AD524" s="505" t="b">
        <v>0</v>
      </c>
      <c r="AE524" s="504" t="b">
        <v>0</v>
      </c>
      <c r="AF524" s="125"/>
      <c r="AG524" s="505" t="b">
        <v>0</v>
      </c>
      <c r="AH524" s="504" t="b">
        <v>0</v>
      </c>
      <c r="AI524" s="105"/>
      <c r="AJ524" s="505" t="b">
        <v>0</v>
      </c>
      <c r="AK524" s="504" t="b">
        <v>0</v>
      </c>
      <c r="AL524" s="126"/>
      <c r="AM524" s="505" t="b">
        <v>0</v>
      </c>
      <c r="AN524" s="504" t="b">
        <v>0</v>
      </c>
      <c r="AO524" s="105"/>
      <c r="AP524" s="105"/>
      <c r="AQ524" s="105"/>
      <c r="AR524" s="105"/>
      <c r="AS524" s="105"/>
      <c r="AT524" s="105"/>
      <c r="AU524" s="105"/>
      <c r="AV524" s="105"/>
      <c r="AW524" s="105"/>
      <c r="AX524" s="105"/>
      <c r="AY524" s="105"/>
      <c r="AZ524" s="105"/>
      <c r="BA524" s="105"/>
    </row>
    <row r="525">
      <c r="A525" s="105"/>
      <c r="B525" s="105"/>
      <c r="C525" s="105"/>
      <c r="D525" s="105"/>
      <c r="E525" s="105"/>
      <c r="F525" s="105"/>
      <c r="G525" s="105"/>
      <c r="H525" s="105"/>
      <c r="I525" s="505" t="b">
        <v>0</v>
      </c>
      <c r="J525" s="507" t="b">
        <v>0</v>
      </c>
      <c r="K525" s="112"/>
      <c r="L525" s="505" t="b">
        <v>0</v>
      </c>
      <c r="M525" s="504" t="b">
        <v>0</v>
      </c>
      <c r="N525" s="112"/>
      <c r="O525" s="505" t="b">
        <v>0</v>
      </c>
      <c r="P525" s="504" t="b">
        <v>0</v>
      </c>
      <c r="Q525" s="116"/>
      <c r="R525" s="505" t="b">
        <v>0</v>
      </c>
      <c r="S525" s="504" t="b">
        <v>0</v>
      </c>
      <c r="T525" s="117"/>
      <c r="U525" s="505" t="b">
        <v>0</v>
      </c>
      <c r="V525" s="504" t="b">
        <v>0</v>
      </c>
      <c r="W525" s="118"/>
      <c r="X525" s="505" t="b">
        <v>0</v>
      </c>
      <c r="Y525" s="504" t="b">
        <v>0</v>
      </c>
      <c r="Z525" s="119"/>
      <c r="AA525" s="505" t="b">
        <v>0</v>
      </c>
      <c r="AB525" s="504" t="b">
        <v>0</v>
      </c>
      <c r="AC525" s="121"/>
      <c r="AD525" s="505" t="b">
        <v>0</v>
      </c>
      <c r="AE525" s="504" t="b">
        <v>0</v>
      </c>
      <c r="AF525" s="125"/>
      <c r="AG525" s="505" t="b">
        <v>0</v>
      </c>
      <c r="AH525" s="504" t="b">
        <v>0</v>
      </c>
      <c r="AI525" s="105"/>
      <c r="AJ525" s="505" t="b">
        <v>0</v>
      </c>
      <c r="AK525" s="504" t="b">
        <v>0</v>
      </c>
      <c r="AL525" s="126"/>
      <c r="AM525" s="505" t="b">
        <v>0</v>
      </c>
      <c r="AN525" s="504" t="b">
        <v>0</v>
      </c>
      <c r="AO525" s="105"/>
      <c r="AP525" s="105"/>
      <c r="AQ525" s="105"/>
      <c r="AR525" s="105"/>
      <c r="AS525" s="105"/>
      <c r="AT525" s="105"/>
      <c r="AU525" s="105"/>
      <c r="AV525" s="105"/>
      <c r="AW525" s="105"/>
      <c r="AX525" s="105"/>
      <c r="AY525" s="105"/>
      <c r="AZ525" s="105"/>
      <c r="BA525" s="105"/>
    </row>
    <row r="526">
      <c r="A526" s="105"/>
      <c r="B526" s="105"/>
      <c r="C526" s="105"/>
      <c r="D526" s="105"/>
      <c r="E526" s="105"/>
      <c r="F526" s="105"/>
      <c r="G526" s="105"/>
      <c r="H526" s="105"/>
      <c r="I526" s="505" t="b">
        <v>0</v>
      </c>
      <c r="J526" s="507" t="b">
        <v>0</v>
      </c>
      <c r="K526" s="112"/>
      <c r="L526" s="505" t="b">
        <v>0</v>
      </c>
      <c r="M526" s="504" t="b">
        <v>0</v>
      </c>
      <c r="N526" s="112"/>
      <c r="O526" s="505" t="b">
        <v>0</v>
      </c>
      <c r="P526" s="504" t="b">
        <v>0</v>
      </c>
      <c r="Q526" s="116"/>
      <c r="R526" s="505" t="b">
        <v>0</v>
      </c>
      <c r="S526" s="504" t="b">
        <v>0</v>
      </c>
      <c r="T526" s="117"/>
      <c r="U526" s="505" t="b">
        <v>0</v>
      </c>
      <c r="V526" s="504" t="b">
        <v>0</v>
      </c>
      <c r="W526" s="118"/>
      <c r="X526" s="505" t="b">
        <v>0</v>
      </c>
      <c r="Y526" s="504" t="b">
        <v>0</v>
      </c>
      <c r="Z526" s="119"/>
      <c r="AA526" s="505" t="b">
        <v>0</v>
      </c>
      <c r="AB526" s="504" t="b">
        <v>0</v>
      </c>
      <c r="AC526" s="121"/>
      <c r="AD526" s="505" t="b">
        <v>0</v>
      </c>
      <c r="AE526" s="504" t="b">
        <v>0</v>
      </c>
      <c r="AF526" s="125"/>
      <c r="AG526" s="505" t="b">
        <v>0</v>
      </c>
      <c r="AH526" s="504" t="b">
        <v>0</v>
      </c>
      <c r="AI526" s="105"/>
      <c r="AJ526" s="505" t="b">
        <v>0</v>
      </c>
      <c r="AK526" s="504" t="b">
        <v>0</v>
      </c>
      <c r="AL526" s="126"/>
      <c r="AM526" s="505" t="b">
        <v>0</v>
      </c>
      <c r="AN526" s="504" t="b">
        <v>0</v>
      </c>
      <c r="AO526" s="105"/>
      <c r="AP526" s="105"/>
      <c r="AQ526" s="105"/>
      <c r="AR526" s="105"/>
      <c r="AS526" s="105"/>
      <c r="AT526" s="105"/>
      <c r="AU526" s="105"/>
      <c r="AV526" s="105"/>
      <c r="AW526" s="105"/>
      <c r="AX526" s="105"/>
      <c r="AY526" s="105"/>
      <c r="AZ526" s="105"/>
      <c r="BA526" s="105"/>
    </row>
    <row r="527">
      <c r="A527" s="105"/>
      <c r="B527" s="105"/>
      <c r="C527" s="105"/>
      <c r="D527" s="105"/>
      <c r="E527" s="105"/>
      <c r="F527" s="105"/>
      <c r="G527" s="105"/>
      <c r="H527" s="105"/>
      <c r="I527" s="505" t="b">
        <v>0</v>
      </c>
      <c r="J527" s="507" t="b">
        <v>0</v>
      </c>
      <c r="K527" s="112"/>
      <c r="L527" s="505" t="b">
        <v>0</v>
      </c>
      <c r="M527" s="504" t="b">
        <v>0</v>
      </c>
      <c r="N527" s="112"/>
      <c r="O527" s="505" t="b">
        <v>0</v>
      </c>
      <c r="P527" s="504" t="b">
        <v>0</v>
      </c>
      <c r="Q527" s="116"/>
      <c r="R527" s="505" t="b">
        <v>0</v>
      </c>
      <c r="S527" s="504" t="b">
        <v>0</v>
      </c>
      <c r="T527" s="117"/>
      <c r="U527" s="505" t="b">
        <v>0</v>
      </c>
      <c r="V527" s="504" t="b">
        <v>0</v>
      </c>
      <c r="W527" s="118"/>
      <c r="X527" s="505" t="b">
        <v>0</v>
      </c>
      <c r="Y527" s="504" t="b">
        <v>0</v>
      </c>
      <c r="Z527" s="119"/>
      <c r="AA527" s="505" t="b">
        <v>0</v>
      </c>
      <c r="AB527" s="504" t="b">
        <v>0</v>
      </c>
      <c r="AC527" s="121"/>
      <c r="AD527" s="505" t="b">
        <v>0</v>
      </c>
      <c r="AE527" s="504" t="b">
        <v>0</v>
      </c>
      <c r="AF527" s="125"/>
      <c r="AG527" s="505" t="b">
        <v>0</v>
      </c>
      <c r="AH527" s="504" t="b">
        <v>0</v>
      </c>
      <c r="AI527" s="105"/>
      <c r="AJ527" s="505" t="b">
        <v>0</v>
      </c>
      <c r="AK527" s="504" t="b">
        <v>0</v>
      </c>
      <c r="AL527" s="126"/>
      <c r="AM527" s="505" t="b">
        <v>0</v>
      </c>
      <c r="AN527" s="504" t="b">
        <v>0</v>
      </c>
      <c r="AO527" s="105"/>
      <c r="AP527" s="105"/>
      <c r="AQ527" s="105"/>
      <c r="AR527" s="105"/>
      <c r="AS527" s="105"/>
      <c r="AT527" s="105"/>
      <c r="AU527" s="105"/>
      <c r="AV527" s="105"/>
      <c r="AW527" s="105"/>
      <c r="AX527" s="105"/>
      <c r="AY527" s="105"/>
      <c r="AZ527" s="105"/>
      <c r="BA527" s="105"/>
    </row>
    <row r="528">
      <c r="A528" s="105"/>
      <c r="B528" s="105"/>
      <c r="C528" s="105"/>
      <c r="D528" s="105"/>
      <c r="E528" s="105"/>
      <c r="F528" s="105"/>
      <c r="G528" s="105"/>
      <c r="H528" s="105"/>
      <c r="I528" s="505" t="b">
        <v>0</v>
      </c>
      <c r="J528" s="507" t="b">
        <v>0</v>
      </c>
      <c r="K528" s="112"/>
      <c r="L528" s="505" t="b">
        <v>0</v>
      </c>
      <c r="M528" s="504" t="b">
        <v>0</v>
      </c>
      <c r="N528" s="112"/>
      <c r="O528" s="505" t="b">
        <v>0</v>
      </c>
      <c r="P528" s="504" t="b">
        <v>0</v>
      </c>
      <c r="Q528" s="116"/>
      <c r="R528" s="505" t="b">
        <v>0</v>
      </c>
      <c r="S528" s="504" t="b">
        <v>0</v>
      </c>
      <c r="T528" s="117"/>
      <c r="U528" s="505" t="b">
        <v>0</v>
      </c>
      <c r="V528" s="504" t="b">
        <v>0</v>
      </c>
      <c r="W528" s="118"/>
      <c r="X528" s="505" t="b">
        <v>0</v>
      </c>
      <c r="Y528" s="504" t="b">
        <v>0</v>
      </c>
      <c r="Z528" s="119"/>
      <c r="AA528" s="505" t="b">
        <v>0</v>
      </c>
      <c r="AB528" s="504" t="b">
        <v>0</v>
      </c>
      <c r="AC528" s="121"/>
      <c r="AD528" s="505" t="b">
        <v>0</v>
      </c>
      <c r="AE528" s="504" t="b">
        <v>0</v>
      </c>
      <c r="AF528" s="125"/>
      <c r="AG528" s="505" t="b">
        <v>0</v>
      </c>
      <c r="AH528" s="504" t="b">
        <v>0</v>
      </c>
      <c r="AI528" s="105"/>
      <c r="AJ528" s="505" t="b">
        <v>0</v>
      </c>
      <c r="AK528" s="504" t="b">
        <v>0</v>
      </c>
      <c r="AL528" s="126"/>
      <c r="AM528" s="505" t="b">
        <v>0</v>
      </c>
      <c r="AN528" s="504" t="b">
        <v>0</v>
      </c>
      <c r="AO528" s="105"/>
      <c r="AP528" s="105"/>
      <c r="AQ528" s="105"/>
      <c r="AR528" s="105"/>
      <c r="AS528" s="105"/>
      <c r="AT528" s="105"/>
      <c r="AU528" s="105"/>
      <c r="AV528" s="105"/>
      <c r="AW528" s="105"/>
      <c r="AX528" s="105"/>
      <c r="AY528" s="105"/>
      <c r="AZ528" s="105"/>
      <c r="BA528" s="105"/>
    </row>
    <row r="529">
      <c r="A529" s="105"/>
      <c r="B529" s="105"/>
      <c r="C529" s="105"/>
      <c r="D529" s="105"/>
      <c r="E529" s="105"/>
      <c r="F529" s="105"/>
      <c r="G529" s="105"/>
      <c r="H529" s="105"/>
      <c r="I529" s="505" t="b">
        <v>0</v>
      </c>
      <c r="J529" s="507" t="b">
        <v>0</v>
      </c>
      <c r="K529" s="112"/>
      <c r="L529" s="505" t="b">
        <v>0</v>
      </c>
      <c r="M529" s="504" t="b">
        <v>0</v>
      </c>
      <c r="N529" s="112"/>
      <c r="O529" s="505" t="b">
        <v>0</v>
      </c>
      <c r="P529" s="504" t="b">
        <v>0</v>
      </c>
      <c r="Q529" s="116"/>
      <c r="R529" s="505" t="b">
        <v>0</v>
      </c>
      <c r="S529" s="504" t="b">
        <v>0</v>
      </c>
      <c r="T529" s="117"/>
      <c r="U529" s="505" t="b">
        <v>0</v>
      </c>
      <c r="V529" s="504" t="b">
        <v>0</v>
      </c>
      <c r="W529" s="118"/>
      <c r="X529" s="505" t="b">
        <v>0</v>
      </c>
      <c r="Y529" s="504" t="b">
        <v>0</v>
      </c>
      <c r="Z529" s="119"/>
      <c r="AA529" s="505" t="b">
        <v>0</v>
      </c>
      <c r="AB529" s="504" t="b">
        <v>0</v>
      </c>
      <c r="AC529" s="121"/>
      <c r="AD529" s="505" t="b">
        <v>0</v>
      </c>
      <c r="AE529" s="504" t="b">
        <v>0</v>
      </c>
      <c r="AF529" s="125"/>
      <c r="AG529" s="505" t="b">
        <v>0</v>
      </c>
      <c r="AH529" s="504" t="b">
        <v>0</v>
      </c>
      <c r="AI529" s="105"/>
      <c r="AJ529" s="505" t="b">
        <v>0</v>
      </c>
      <c r="AK529" s="504" t="b">
        <v>0</v>
      </c>
      <c r="AL529" s="126"/>
      <c r="AM529" s="505" t="b">
        <v>0</v>
      </c>
      <c r="AN529" s="504" t="b">
        <v>0</v>
      </c>
      <c r="AO529" s="105"/>
      <c r="AP529" s="105"/>
      <c r="AQ529" s="105"/>
      <c r="AR529" s="105"/>
      <c r="AS529" s="105"/>
      <c r="AT529" s="105"/>
      <c r="AU529" s="105"/>
      <c r="AV529" s="105"/>
      <c r="AW529" s="105"/>
      <c r="AX529" s="105"/>
      <c r="AY529" s="105"/>
      <c r="AZ529" s="105"/>
      <c r="BA529" s="105"/>
    </row>
    <row r="530">
      <c r="A530" s="105"/>
      <c r="B530" s="105"/>
      <c r="C530" s="105"/>
      <c r="D530" s="105"/>
      <c r="E530" s="105"/>
      <c r="F530" s="105"/>
      <c r="G530" s="105"/>
      <c r="H530" s="105"/>
      <c r="I530" s="505" t="b">
        <v>0</v>
      </c>
      <c r="J530" s="507" t="b">
        <v>0</v>
      </c>
      <c r="K530" s="112"/>
      <c r="L530" s="505" t="b">
        <v>0</v>
      </c>
      <c r="M530" s="504" t="b">
        <v>0</v>
      </c>
      <c r="N530" s="112"/>
      <c r="O530" s="505" t="b">
        <v>0</v>
      </c>
      <c r="P530" s="504" t="b">
        <v>0</v>
      </c>
      <c r="Q530" s="116"/>
      <c r="R530" s="505" t="b">
        <v>0</v>
      </c>
      <c r="S530" s="504" t="b">
        <v>0</v>
      </c>
      <c r="T530" s="117"/>
      <c r="U530" s="505" t="b">
        <v>0</v>
      </c>
      <c r="V530" s="504" t="b">
        <v>0</v>
      </c>
      <c r="W530" s="118"/>
      <c r="X530" s="505" t="b">
        <v>0</v>
      </c>
      <c r="Y530" s="504" t="b">
        <v>0</v>
      </c>
      <c r="Z530" s="119"/>
      <c r="AA530" s="505" t="b">
        <v>0</v>
      </c>
      <c r="AB530" s="504" t="b">
        <v>0</v>
      </c>
      <c r="AC530" s="121"/>
      <c r="AD530" s="505" t="b">
        <v>0</v>
      </c>
      <c r="AE530" s="504" t="b">
        <v>0</v>
      </c>
      <c r="AF530" s="125"/>
      <c r="AG530" s="505" t="b">
        <v>0</v>
      </c>
      <c r="AH530" s="504" t="b">
        <v>0</v>
      </c>
      <c r="AI530" s="105"/>
      <c r="AJ530" s="505" t="b">
        <v>0</v>
      </c>
      <c r="AK530" s="504" t="b">
        <v>0</v>
      </c>
      <c r="AL530" s="126"/>
      <c r="AM530" s="505" t="b">
        <v>0</v>
      </c>
      <c r="AN530" s="504" t="b">
        <v>0</v>
      </c>
      <c r="AO530" s="105"/>
      <c r="AP530" s="105"/>
      <c r="AQ530" s="105"/>
      <c r="AR530" s="105"/>
      <c r="AS530" s="105"/>
      <c r="AT530" s="105"/>
      <c r="AU530" s="105"/>
      <c r="AV530" s="105"/>
      <c r="AW530" s="105"/>
      <c r="AX530" s="105"/>
      <c r="AY530" s="105"/>
      <c r="AZ530" s="105"/>
      <c r="BA530" s="105"/>
    </row>
    <row r="531">
      <c r="A531" s="105"/>
      <c r="B531" s="105"/>
      <c r="C531" s="105"/>
      <c r="D531" s="105"/>
      <c r="E531" s="105"/>
      <c r="F531" s="105"/>
      <c r="G531" s="105"/>
      <c r="H531" s="105"/>
      <c r="I531" s="505" t="b">
        <v>0</v>
      </c>
      <c r="J531" s="507" t="b">
        <v>0</v>
      </c>
      <c r="K531" s="112"/>
      <c r="L531" s="505" t="b">
        <v>0</v>
      </c>
      <c r="M531" s="504" t="b">
        <v>0</v>
      </c>
      <c r="N531" s="112"/>
      <c r="O531" s="505" t="b">
        <v>0</v>
      </c>
      <c r="P531" s="504" t="b">
        <v>0</v>
      </c>
      <c r="Q531" s="116"/>
      <c r="R531" s="505" t="b">
        <v>0</v>
      </c>
      <c r="S531" s="504" t="b">
        <v>0</v>
      </c>
      <c r="T531" s="117"/>
      <c r="U531" s="505" t="b">
        <v>0</v>
      </c>
      <c r="V531" s="504" t="b">
        <v>0</v>
      </c>
      <c r="W531" s="118"/>
      <c r="X531" s="505" t="b">
        <v>0</v>
      </c>
      <c r="Y531" s="504" t="b">
        <v>0</v>
      </c>
      <c r="Z531" s="119"/>
      <c r="AA531" s="505" t="b">
        <v>0</v>
      </c>
      <c r="AB531" s="504" t="b">
        <v>0</v>
      </c>
      <c r="AC531" s="121"/>
      <c r="AD531" s="505" t="b">
        <v>0</v>
      </c>
      <c r="AE531" s="504" t="b">
        <v>0</v>
      </c>
      <c r="AF531" s="125"/>
      <c r="AG531" s="505" t="b">
        <v>0</v>
      </c>
      <c r="AH531" s="504" t="b">
        <v>0</v>
      </c>
      <c r="AI531" s="105"/>
      <c r="AJ531" s="505" t="b">
        <v>0</v>
      </c>
      <c r="AK531" s="504" t="b">
        <v>0</v>
      </c>
      <c r="AL531" s="126"/>
      <c r="AM531" s="505" t="b">
        <v>0</v>
      </c>
      <c r="AN531" s="504" t="b">
        <v>0</v>
      </c>
      <c r="AO531" s="105"/>
      <c r="AP531" s="105"/>
      <c r="AQ531" s="105"/>
      <c r="AR531" s="105"/>
      <c r="AS531" s="105"/>
      <c r="AT531" s="105"/>
      <c r="AU531" s="105"/>
      <c r="AV531" s="105"/>
      <c r="AW531" s="105"/>
      <c r="AX531" s="105"/>
      <c r="AY531" s="105"/>
      <c r="AZ531" s="105"/>
      <c r="BA531" s="105"/>
    </row>
    <row r="532">
      <c r="A532" s="105"/>
      <c r="B532" s="105"/>
      <c r="C532" s="105"/>
      <c r="D532" s="105"/>
      <c r="E532" s="105"/>
      <c r="F532" s="105"/>
      <c r="G532" s="105"/>
      <c r="H532" s="105"/>
      <c r="I532" s="505" t="b">
        <v>0</v>
      </c>
      <c r="J532" s="507" t="b">
        <v>0</v>
      </c>
      <c r="K532" s="112"/>
      <c r="L532" s="505" t="b">
        <v>0</v>
      </c>
      <c r="M532" s="504" t="b">
        <v>0</v>
      </c>
      <c r="N532" s="112"/>
      <c r="O532" s="505" t="b">
        <v>0</v>
      </c>
      <c r="P532" s="504" t="b">
        <v>0</v>
      </c>
      <c r="Q532" s="116"/>
      <c r="R532" s="505" t="b">
        <v>0</v>
      </c>
      <c r="S532" s="504" t="b">
        <v>0</v>
      </c>
      <c r="T532" s="117"/>
      <c r="U532" s="505" t="b">
        <v>0</v>
      </c>
      <c r="V532" s="504" t="b">
        <v>0</v>
      </c>
      <c r="W532" s="118"/>
      <c r="X532" s="505" t="b">
        <v>0</v>
      </c>
      <c r="Y532" s="504" t="b">
        <v>0</v>
      </c>
      <c r="Z532" s="119"/>
      <c r="AA532" s="505" t="b">
        <v>0</v>
      </c>
      <c r="AB532" s="504" t="b">
        <v>0</v>
      </c>
      <c r="AC532" s="121"/>
      <c r="AD532" s="505" t="b">
        <v>0</v>
      </c>
      <c r="AE532" s="504" t="b">
        <v>0</v>
      </c>
      <c r="AF532" s="125"/>
      <c r="AG532" s="505" t="b">
        <v>0</v>
      </c>
      <c r="AH532" s="504" t="b">
        <v>0</v>
      </c>
      <c r="AI532" s="105"/>
      <c r="AJ532" s="505" t="b">
        <v>0</v>
      </c>
      <c r="AK532" s="504" t="b">
        <v>0</v>
      </c>
      <c r="AL532" s="126"/>
      <c r="AM532" s="505" t="b">
        <v>0</v>
      </c>
      <c r="AN532" s="504" t="b">
        <v>0</v>
      </c>
      <c r="AO532" s="105"/>
      <c r="AP532" s="105"/>
      <c r="AQ532" s="105"/>
      <c r="AR532" s="105"/>
      <c r="AS532" s="105"/>
      <c r="AT532" s="105"/>
      <c r="AU532" s="105"/>
      <c r="AV532" s="105"/>
      <c r="AW532" s="105"/>
      <c r="AX532" s="105"/>
      <c r="AY532" s="105"/>
      <c r="AZ532" s="105"/>
      <c r="BA532" s="105"/>
    </row>
    <row r="533">
      <c r="A533" s="105"/>
      <c r="B533" s="105"/>
      <c r="C533" s="105"/>
      <c r="D533" s="105"/>
      <c r="E533" s="105"/>
      <c r="F533" s="105"/>
      <c r="G533" s="105"/>
      <c r="H533" s="105"/>
      <c r="I533" s="505" t="b">
        <v>0</v>
      </c>
      <c r="J533" s="507" t="b">
        <v>0</v>
      </c>
      <c r="K533" s="112"/>
      <c r="L533" s="505" t="b">
        <v>0</v>
      </c>
      <c r="M533" s="504" t="b">
        <v>0</v>
      </c>
      <c r="N533" s="112"/>
      <c r="O533" s="505" t="b">
        <v>0</v>
      </c>
      <c r="P533" s="504" t="b">
        <v>0</v>
      </c>
      <c r="Q533" s="116"/>
      <c r="R533" s="505" t="b">
        <v>0</v>
      </c>
      <c r="S533" s="504" t="b">
        <v>0</v>
      </c>
      <c r="T533" s="117"/>
      <c r="U533" s="505" t="b">
        <v>0</v>
      </c>
      <c r="V533" s="504" t="b">
        <v>0</v>
      </c>
      <c r="W533" s="118"/>
      <c r="X533" s="505" t="b">
        <v>0</v>
      </c>
      <c r="Y533" s="504" t="b">
        <v>0</v>
      </c>
      <c r="Z533" s="119"/>
      <c r="AA533" s="505" t="b">
        <v>0</v>
      </c>
      <c r="AB533" s="504" t="b">
        <v>0</v>
      </c>
      <c r="AC533" s="121"/>
      <c r="AD533" s="505" t="b">
        <v>0</v>
      </c>
      <c r="AE533" s="504" t="b">
        <v>0</v>
      </c>
      <c r="AF533" s="125"/>
      <c r="AG533" s="505" t="b">
        <v>0</v>
      </c>
      <c r="AH533" s="504" t="b">
        <v>0</v>
      </c>
      <c r="AI533" s="105"/>
      <c r="AJ533" s="505" t="b">
        <v>0</v>
      </c>
      <c r="AK533" s="504" t="b">
        <v>0</v>
      </c>
      <c r="AL533" s="126"/>
      <c r="AM533" s="505" t="b">
        <v>0</v>
      </c>
      <c r="AN533" s="504" t="b">
        <v>0</v>
      </c>
      <c r="AO533" s="105"/>
      <c r="AP533" s="105"/>
      <c r="AQ533" s="105"/>
      <c r="AR533" s="105"/>
      <c r="AS533" s="105"/>
      <c r="AT533" s="105"/>
      <c r="AU533" s="105"/>
      <c r="AV533" s="105"/>
      <c r="AW533" s="105"/>
      <c r="AX533" s="105"/>
      <c r="AY533" s="105"/>
      <c r="AZ533" s="105"/>
      <c r="BA533" s="105"/>
    </row>
    <row r="534">
      <c r="A534" s="105"/>
      <c r="B534" s="105"/>
      <c r="C534" s="105"/>
      <c r="D534" s="105"/>
      <c r="E534" s="105"/>
      <c r="F534" s="105"/>
      <c r="G534" s="105"/>
      <c r="H534" s="105"/>
      <c r="I534" s="505" t="b">
        <v>0</v>
      </c>
      <c r="J534" s="507" t="b">
        <v>0</v>
      </c>
      <c r="K534" s="112"/>
      <c r="L534" s="505" t="b">
        <v>0</v>
      </c>
      <c r="M534" s="504" t="b">
        <v>0</v>
      </c>
      <c r="N534" s="112"/>
      <c r="O534" s="505" t="b">
        <v>0</v>
      </c>
      <c r="P534" s="504" t="b">
        <v>0</v>
      </c>
      <c r="Q534" s="116"/>
      <c r="R534" s="505" t="b">
        <v>0</v>
      </c>
      <c r="S534" s="504" t="b">
        <v>0</v>
      </c>
      <c r="T534" s="117"/>
      <c r="U534" s="505" t="b">
        <v>0</v>
      </c>
      <c r="V534" s="504" t="b">
        <v>0</v>
      </c>
      <c r="W534" s="118"/>
      <c r="X534" s="505" t="b">
        <v>0</v>
      </c>
      <c r="Y534" s="504" t="b">
        <v>0</v>
      </c>
      <c r="Z534" s="119"/>
      <c r="AA534" s="505" t="b">
        <v>0</v>
      </c>
      <c r="AB534" s="504" t="b">
        <v>0</v>
      </c>
      <c r="AC534" s="121"/>
      <c r="AD534" s="505" t="b">
        <v>0</v>
      </c>
      <c r="AE534" s="504" t="b">
        <v>0</v>
      </c>
      <c r="AF534" s="125"/>
      <c r="AG534" s="505" t="b">
        <v>0</v>
      </c>
      <c r="AH534" s="504" t="b">
        <v>0</v>
      </c>
      <c r="AI534" s="105"/>
      <c r="AJ534" s="505" t="b">
        <v>0</v>
      </c>
      <c r="AK534" s="504" t="b">
        <v>0</v>
      </c>
      <c r="AL534" s="126"/>
      <c r="AM534" s="505" t="b">
        <v>0</v>
      </c>
      <c r="AN534" s="504" t="b">
        <v>0</v>
      </c>
      <c r="AO534" s="105"/>
      <c r="AP534" s="105"/>
      <c r="AQ534" s="105"/>
      <c r="AR534" s="105"/>
      <c r="AS534" s="105"/>
      <c r="AT534" s="105"/>
      <c r="AU534" s="105"/>
      <c r="AV534" s="105"/>
      <c r="AW534" s="105"/>
      <c r="AX534" s="105"/>
      <c r="AY534" s="105"/>
      <c r="AZ534" s="105"/>
      <c r="BA534" s="105"/>
    </row>
    <row r="535">
      <c r="A535" s="105"/>
      <c r="B535" s="105"/>
      <c r="C535" s="105"/>
      <c r="D535" s="105"/>
      <c r="E535" s="105"/>
      <c r="F535" s="105"/>
      <c r="G535" s="105"/>
      <c r="H535" s="105"/>
      <c r="I535" s="505" t="b">
        <v>0</v>
      </c>
      <c r="J535" s="507" t="b">
        <v>0</v>
      </c>
      <c r="K535" s="112"/>
      <c r="L535" s="505" t="b">
        <v>0</v>
      </c>
      <c r="M535" s="504" t="b">
        <v>0</v>
      </c>
      <c r="N535" s="112"/>
      <c r="O535" s="505" t="b">
        <v>0</v>
      </c>
      <c r="P535" s="504" t="b">
        <v>0</v>
      </c>
      <c r="Q535" s="116"/>
      <c r="R535" s="505" t="b">
        <v>0</v>
      </c>
      <c r="S535" s="504" t="b">
        <v>0</v>
      </c>
      <c r="T535" s="117"/>
      <c r="U535" s="505" t="b">
        <v>0</v>
      </c>
      <c r="V535" s="504" t="b">
        <v>0</v>
      </c>
      <c r="W535" s="118"/>
      <c r="X535" s="505" t="b">
        <v>0</v>
      </c>
      <c r="Y535" s="504" t="b">
        <v>0</v>
      </c>
      <c r="Z535" s="119"/>
      <c r="AA535" s="505" t="b">
        <v>0</v>
      </c>
      <c r="AB535" s="504" t="b">
        <v>0</v>
      </c>
      <c r="AC535" s="121"/>
      <c r="AD535" s="505" t="b">
        <v>0</v>
      </c>
      <c r="AE535" s="504" t="b">
        <v>0</v>
      </c>
      <c r="AF535" s="125"/>
      <c r="AG535" s="505" t="b">
        <v>0</v>
      </c>
      <c r="AH535" s="504" t="b">
        <v>0</v>
      </c>
      <c r="AI535" s="105"/>
      <c r="AJ535" s="505" t="b">
        <v>0</v>
      </c>
      <c r="AK535" s="504" t="b">
        <v>0</v>
      </c>
      <c r="AL535" s="126"/>
      <c r="AM535" s="505" t="b">
        <v>0</v>
      </c>
      <c r="AN535" s="504" t="b">
        <v>0</v>
      </c>
      <c r="AO535" s="105"/>
      <c r="AP535" s="105"/>
      <c r="AQ535" s="105"/>
      <c r="AR535" s="105"/>
      <c r="AS535" s="105"/>
      <c r="AT535" s="105"/>
      <c r="AU535" s="105"/>
      <c r="AV535" s="105"/>
      <c r="AW535" s="105"/>
      <c r="AX535" s="105"/>
      <c r="AY535" s="105"/>
      <c r="AZ535" s="105"/>
      <c r="BA535" s="105"/>
    </row>
    <row r="536">
      <c r="A536" s="105"/>
      <c r="B536" s="105"/>
      <c r="C536" s="105"/>
      <c r="D536" s="105"/>
      <c r="E536" s="105"/>
      <c r="F536" s="105"/>
      <c r="G536" s="105"/>
      <c r="H536" s="105"/>
      <c r="I536" s="505" t="b">
        <v>0</v>
      </c>
      <c r="J536" s="507" t="b">
        <v>0</v>
      </c>
      <c r="K536" s="112"/>
      <c r="L536" s="505" t="b">
        <v>0</v>
      </c>
      <c r="M536" s="504" t="b">
        <v>0</v>
      </c>
      <c r="N536" s="112"/>
      <c r="O536" s="505" t="b">
        <v>0</v>
      </c>
      <c r="P536" s="504" t="b">
        <v>0</v>
      </c>
      <c r="Q536" s="116"/>
      <c r="R536" s="505" t="b">
        <v>0</v>
      </c>
      <c r="S536" s="504" t="b">
        <v>0</v>
      </c>
      <c r="T536" s="117"/>
      <c r="U536" s="505" t="b">
        <v>0</v>
      </c>
      <c r="V536" s="504" t="b">
        <v>0</v>
      </c>
      <c r="W536" s="118"/>
      <c r="X536" s="505" t="b">
        <v>0</v>
      </c>
      <c r="Y536" s="504" t="b">
        <v>0</v>
      </c>
      <c r="Z536" s="119"/>
      <c r="AA536" s="505" t="b">
        <v>0</v>
      </c>
      <c r="AB536" s="504" t="b">
        <v>0</v>
      </c>
      <c r="AC536" s="121"/>
      <c r="AD536" s="505" t="b">
        <v>0</v>
      </c>
      <c r="AE536" s="504" t="b">
        <v>0</v>
      </c>
      <c r="AF536" s="125"/>
      <c r="AG536" s="505" t="b">
        <v>0</v>
      </c>
      <c r="AH536" s="504" t="b">
        <v>0</v>
      </c>
      <c r="AI536" s="105"/>
      <c r="AJ536" s="505" t="b">
        <v>0</v>
      </c>
      <c r="AK536" s="504" t="b">
        <v>0</v>
      </c>
      <c r="AL536" s="126"/>
      <c r="AM536" s="505" t="b">
        <v>0</v>
      </c>
      <c r="AN536" s="504" t="b">
        <v>0</v>
      </c>
      <c r="AO536" s="105"/>
      <c r="AP536" s="105"/>
      <c r="AQ536" s="105"/>
      <c r="AR536" s="105"/>
      <c r="AS536" s="105"/>
      <c r="AT536" s="105"/>
      <c r="AU536" s="105"/>
      <c r="AV536" s="105"/>
      <c r="AW536" s="105"/>
      <c r="AX536" s="105"/>
      <c r="AY536" s="105"/>
      <c r="AZ536" s="105"/>
      <c r="BA536" s="105"/>
    </row>
    <row r="537">
      <c r="A537" s="105"/>
      <c r="B537" s="105"/>
      <c r="C537" s="105"/>
      <c r="D537" s="105"/>
      <c r="E537" s="105"/>
      <c r="F537" s="105"/>
      <c r="G537" s="105"/>
      <c r="H537" s="105"/>
      <c r="I537" s="505" t="b">
        <v>0</v>
      </c>
      <c r="J537" s="507" t="b">
        <v>0</v>
      </c>
      <c r="K537" s="112"/>
      <c r="L537" s="505" t="b">
        <v>0</v>
      </c>
      <c r="M537" s="504" t="b">
        <v>0</v>
      </c>
      <c r="N537" s="112"/>
      <c r="O537" s="505" t="b">
        <v>0</v>
      </c>
      <c r="P537" s="504" t="b">
        <v>0</v>
      </c>
      <c r="Q537" s="116"/>
      <c r="R537" s="505" t="b">
        <v>0</v>
      </c>
      <c r="S537" s="504" t="b">
        <v>0</v>
      </c>
      <c r="T537" s="117"/>
      <c r="U537" s="505" t="b">
        <v>0</v>
      </c>
      <c r="V537" s="504" t="b">
        <v>0</v>
      </c>
      <c r="W537" s="118"/>
      <c r="X537" s="505" t="b">
        <v>0</v>
      </c>
      <c r="Y537" s="504" t="b">
        <v>0</v>
      </c>
      <c r="Z537" s="119"/>
      <c r="AA537" s="505" t="b">
        <v>0</v>
      </c>
      <c r="AB537" s="504" t="b">
        <v>0</v>
      </c>
      <c r="AC537" s="121"/>
      <c r="AD537" s="505" t="b">
        <v>0</v>
      </c>
      <c r="AE537" s="504" t="b">
        <v>0</v>
      </c>
      <c r="AF537" s="125"/>
      <c r="AG537" s="505" t="b">
        <v>0</v>
      </c>
      <c r="AH537" s="504" t="b">
        <v>0</v>
      </c>
      <c r="AI537" s="105"/>
      <c r="AJ537" s="505" t="b">
        <v>0</v>
      </c>
      <c r="AK537" s="504" t="b">
        <v>0</v>
      </c>
      <c r="AL537" s="126"/>
      <c r="AM537" s="505" t="b">
        <v>0</v>
      </c>
      <c r="AN537" s="504" t="b">
        <v>0</v>
      </c>
      <c r="AO537" s="105"/>
      <c r="AP537" s="105"/>
      <c r="AQ537" s="105"/>
      <c r="AR537" s="105"/>
      <c r="AS537" s="105"/>
      <c r="AT537" s="105"/>
      <c r="AU537" s="105"/>
      <c r="AV537" s="105"/>
      <c r="AW537" s="105"/>
      <c r="AX537" s="105"/>
      <c r="AY537" s="105"/>
      <c r="AZ537" s="105"/>
      <c r="BA537" s="105"/>
    </row>
    <row r="538">
      <c r="A538" s="105"/>
      <c r="B538" s="105"/>
      <c r="C538" s="105"/>
      <c r="D538" s="105"/>
      <c r="E538" s="105"/>
      <c r="F538" s="105"/>
      <c r="G538" s="105"/>
      <c r="H538" s="105"/>
      <c r="I538" s="505" t="b">
        <v>0</v>
      </c>
      <c r="J538" s="507" t="b">
        <v>0</v>
      </c>
      <c r="K538" s="112"/>
      <c r="L538" s="505" t="b">
        <v>0</v>
      </c>
      <c r="M538" s="504" t="b">
        <v>0</v>
      </c>
      <c r="N538" s="112"/>
      <c r="O538" s="505" t="b">
        <v>0</v>
      </c>
      <c r="P538" s="504" t="b">
        <v>0</v>
      </c>
      <c r="Q538" s="116"/>
      <c r="R538" s="505" t="b">
        <v>0</v>
      </c>
      <c r="S538" s="504" t="b">
        <v>0</v>
      </c>
      <c r="T538" s="117"/>
      <c r="U538" s="505" t="b">
        <v>0</v>
      </c>
      <c r="V538" s="504" t="b">
        <v>0</v>
      </c>
      <c r="W538" s="118"/>
      <c r="X538" s="505" t="b">
        <v>0</v>
      </c>
      <c r="Y538" s="504" t="b">
        <v>0</v>
      </c>
      <c r="Z538" s="119"/>
      <c r="AA538" s="505" t="b">
        <v>0</v>
      </c>
      <c r="AB538" s="504" t="b">
        <v>0</v>
      </c>
      <c r="AC538" s="121"/>
      <c r="AD538" s="505" t="b">
        <v>0</v>
      </c>
      <c r="AE538" s="504" t="b">
        <v>0</v>
      </c>
      <c r="AF538" s="125"/>
      <c r="AG538" s="505" t="b">
        <v>0</v>
      </c>
      <c r="AH538" s="504" t="b">
        <v>0</v>
      </c>
      <c r="AI538" s="105"/>
      <c r="AJ538" s="505" t="b">
        <v>0</v>
      </c>
      <c r="AK538" s="504" t="b">
        <v>0</v>
      </c>
      <c r="AL538" s="126"/>
      <c r="AM538" s="505" t="b">
        <v>0</v>
      </c>
      <c r="AN538" s="504" t="b">
        <v>0</v>
      </c>
      <c r="AO538" s="105"/>
      <c r="AP538" s="105"/>
      <c r="AQ538" s="105"/>
      <c r="AR538" s="105"/>
      <c r="AS538" s="105"/>
      <c r="AT538" s="105"/>
      <c r="AU538" s="105"/>
      <c r="AV538" s="105"/>
      <c r="AW538" s="105"/>
      <c r="AX538" s="105"/>
      <c r="AY538" s="105"/>
      <c r="AZ538" s="105"/>
      <c r="BA538" s="105"/>
    </row>
    <row r="539">
      <c r="A539" s="105"/>
      <c r="B539" s="105"/>
      <c r="C539" s="105"/>
      <c r="D539" s="105"/>
      <c r="E539" s="105"/>
      <c r="F539" s="105"/>
      <c r="G539" s="105"/>
      <c r="H539" s="105"/>
      <c r="I539" s="505" t="b">
        <v>0</v>
      </c>
      <c r="J539" s="507" t="b">
        <v>0</v>
      </c>
      <c r="K539" s="112"/>
      <c r="L539" s="505" t="b">
        <v>0</v>
      </c>
      <c r="M539" s="504" t="b">
        <v>0</v>
      </c>
      <c r="N539" s="112"/>
      <c r="O539" s="505" t="b">
        <v>0</v>
      </c>
      <c r="P539" s="504" t="b">
        <v>0</v>
      </c>
      <c r="Q539" s="116"/>
      <c r="R539" s="505" t="b">
        <v>0</v>
      </c>
      <c r="S539" s="504" t="b">
        <v>0</v>
      </c>
      <c r="T539" s="117"/>
      <c r="U539" s="505" t="b">
        <v>0</v>
      </c>
      <c r="V539" s="504" t="b">
        <v>0</v>
      </c>
      <c r="W539" s="118"/>
      <c r="X539" s="505" t="b">
        <v>0</v>
      </c>
      <c r="Y539" s="504" t="b">
        <v>0</v>
      </c>
      <c r="Z539" s="119"/>
      <c r="AA539" s="505" t="b">
        <v>0</v>
      </c>
      <c r="AB539" s="504" t="b">
        <v>0</v>
      </c>
      <c r="AC539" s="121"/>
      <c r="AD539" s="505" t="b">
        <v>0</v>
      </c>
      <c r="AE539" s="504" t="b">
        <v>0</v>
      </c>
      <c r="AF539" s="125"/>
      <c r="AG539" s="505" t="b">
        <v>0</v>
      </c>
      <c r="AH539" s="504" t="b">
        <v>0</v>
      </c>
      <c r="AI539" s="105"/>
      <c r="AJ539" s="505" t="b">
        <v>0</v>
      </c>
      <c r="AK539" s="504" t="b">
        <v>0</v>
      </c>
      <c r="AL539" s="126"/>
      <c r="AM539" s="505" t="b">
        <v>0</v>
      </c>
      <c r="AN539" s="504" t="b">
        <v>0</v>
      </c>
      <c r="AO539" s="105"/>
      <c r="AP539" s="105"/>
      <c r="AQ539" s="105"/>
      <c r="AR539" s="105"/>
      <c r="AS539" s="105"/>
      <c r="AT539" s="105"/>
      <c r="AU539" s="105"/>
      <c r="AV539" s="105"/>
      <c r="AW539" s="105"/>
      <c r="AX539" s="105"/>
      <c r="AY539" s="105"/>
      <c r="AZ539" s="105"/>
      <c r="BA539" s="105"/>
    </row>
    <row r="540">
      <c r="A540" s="105"/>
      <c r="B540" s="105"/>
      <c r="C540" s="105"/>
      <c r="D540" s="105"/>
      <c r="E540" s="105"/>
      <c r="F540" s="105"/>
      <c r="G540" s="105"/>
      <c r="H540" s="105"/>
      <c r="I540" s="505" t="b">
        <v>0</v>
      </c>
      <c r="J540" s="507" t="b">
        <v>0</v>
      </c>
      <c r="K540" s="112"/>
      <c r="L540" s="505" t="b">
        <v>0</v>
      </c>
      <c r="M540" s="504" t="b">
        <v>0</v>
      </c>
      <c r="N540" s="112"/>
      <c r="O540" s="505" t="b">
        <v>0</v>
      </c>
      <c r="P540" s="504" t="b">
        <v>0</v>
      </c>
      <c r="Q540" s="116"/>
      <c r="R540" s="505" t="b">
        <v>0</v>
      </c>
      <c r="S540" s="504" t="b">
        <v>0</v>
      </c>
      <c r="T540" s="117"/>
      <c r="U540" s="505" t="b">
        <v>0</v>
      </c>
      <c r="V540" s="504" t="b">
        <v>0</v>
      </c>
      <c r="W540" s="118"/>
      <c r="X540" s="505" t="b">
        <v>0</v>
      </c>
      <c r="Y540" s="504" t="b">
        <v>0</v>
      </c>
      <c r="Z540" s="119"/>
      <c r="AA540" s="505" t="b">
        <v>0</v>
      </c>
      <c r="AB540" s="504" t="b">
        <v>0</v>
      </c>
      <c r="AC540" s="121"/>
      <c r="AD540" s="505" t="b">
        <v>0</v>
      </c>
      <c r="AE540" s="504" t="b">
        <v>0</v>
      </c>
      <c r="AF540" s="125"/>
      <c r="AG540" s="505" t="b">
        <v>0</v>
      </c>
      <c r="AH540" s="504" t="b">
        <v>0</v>
      </c>
      <c r="AI540" s="105"/>
      <c r="AJ540" s="505" t="b">
        <v>0</v>
      </c>
      <c r="AK540" s="504" t="b">
        <v>0</v>
      </c>
      <c r="AL540" s="126"/>
      <c r="AM540" s="505" t="b">
        <v>0</v>
      </c>
      <c r="AN540" s="504" t="b">
        <v>0</v>
      </c>
      <c r="AO540" s="105"/>
      <c r="AP540" s="105"/>
      <c r="AQ540" s="105"/>
      <c r="AR540" s="105"/>
      <c r="AS540" s="105"/>
      <c r="AT540" s="105"/>
      <c r="AU540" s="105"/>
      <c r="AV540" s="105"/>
      <c r="AW540" s="105"/>
      <c r="AX540" s="105"/>
      <c r="AY540" s="105"/>
      <c r="AZ540" s="105"/>
      <c r="BA540" s="105"/>
    </row>
    <row r="541">
      <c r="A541" s="105"/>
      <c r="B541" s="105"/>
      <c r="C541" s="105"/>
      <c r="D541" s="105"/>
      <c r="E541" s="105"/>
      <c r="F541" s="105"/>
      <c r="G541" s="105"/>
      <c r="H541" s="105"/>
      <c r="I541" s="505" t="b">
        <v>0</v>
      </c>
      <c r="J541" s="507" t="b">
        <v>0</v>
      </c>
      <c r="K541" s="112"/>
      <c r="L541" s="505" t="b">
        <v>0</v>
      </c>
      <c r="M541" s="504" t="b">
        <v>0</v>
      </c>
      <c r="N541" s="112"/>
      <c r="O541" s="505" t="b">
        <v>0</v>
      </c>
      <c r="P541" s="504" t="b">
        <v>0</v>
      </c>
      <c r="Q541" s="116"/>
      <c r="R541" s="505" t="b">
        <v>0</v>
      </c>
      <c r="S541" s="504" t="b">
        <v>0</v>
      </c>
      <c r="T541" s="117"/>
      <c r="U541" s="505" t="b">
        <v>0</v>
      </c>
      <c r="V541" s="504" t="b">
        <v>0</v>
      </c>
      <c r="W541" s="118"/>
      <c r="X541" s="505" t="b">
        <v>0</v>
      </c>
      <c r="Y541" s="504" t="b">
        <v>0</v>
      </c>
      <c r="Z541" s="119"/>
      <c r="AA541" s="505" t="b">
        <v>0</v>
      </c>
      <c r="AB541" s="504" t="b">
        <v>0</v>
      </c>
      <c r="AC541" s="121"/>
      <c r="AD541" s="505" t="b">
        <v>0</v>
      </c>
      <c r="AE541" s="504" t="b">
        <v>0</v>
      </c>
      <c r="AF541" s="125"/>
      <c r="AG541" s="505" t="b">
        <v>0</v>
      </c>
      <c r="AH541" s="504" t="b">
        <v>0</v>
      </c>
      <c r="AI541" s="105"/>
      <c r="AJ541" s="505" t="b">
        <v>0</v>
      </c>
      <c r="AK541" s="504" t="b">
        <v>0</v>
      </c>
      <c r="AL541" s="126"/>
      <c r="AM541" s="505" t="b">
        <v>0</v>
      </c>
      <c r="AN541" s="504" t="b">
        <v>0</v>
      </c>
      <c r="AO541" s="105"/>
      <c r="AP541" s="105"/>
      <c r="AQ541" s="105"/>
      <c r="AR541" s="105"/>
      <c r="AS541" s="105"/>
      <c r="AT541" s="105"/>
      <c r="AU541" s="105"/>
      <c r="AV541" s="105"/>
      <c r="AW541" s="105"/>
      <c r="AX541" s="105"/>
      <c r="AY541" s="105"/>
      <c r="AZ541" s="105"/>
      <c r="BA541" s="105"/>
    </row>
    <row r="542">
      <c r="A542" s="105"/>
      <c r="B542" s="105"/>
      <c r="C542" s="105"/>
      <c r="D542" s="105"/>
      <c r="E542" s="105"/>
      <c r="F542" s="105"/>
      <c r="G542" s="105"/>
      <c r="H542" s="105"/>
      <c r="I542" s="505" t="b">
        <v>0</v>
      </c>
      <c r="J542" s="507" t="b">
        <v>0</v>
      </c>
      <c r="K542" s="112"/>
      <c r="L542" s="505" t="b">
        <v>0</v>
      </c>
      <c r="M542" s="504" t="b">
        <v>0</v>
      </c>
      <c r="N542" s="112"/>
      <c r="O542" s="505" t="b">
        <v>0</v>
      </c>
      <c r="P542" s="504" t="b">
        <v>0</v>
      </c>
      <c r="Q542" s="116"/>
      <c r="R542" s="505" t="b">
        <v>0</v>
      </c>
      <c r="S542" s="504" t="b">
        <v>0</v>
      </c>
      <c r="T542" s="117"/>
      <c r="U542" s="505" t="b">
        <v>0</v>
      </c>
      <c r="V542" s="504" t="b">
        <v>0</v>
      </c>
      <c r="W542" s="118"/>
      <c r="X542" s="505" t="b">
        <v>0</v>
      </c>
      <c r="Y542" s="504" t="b">
        <v>0</v>
      </c>
      <c r="Z542" s="119"/>
      <c r="AA542" s="505" t="b">
        <v>0</v>
      </c>
      <c r="AB542" s="504" t="b">
        <v>0</v>
      </c>
      <c r="AC542" s="121"/>
      <c r="AD542" s="505" t="b">
        <v>0</v>
      </c>
      <c r="AE542" s="504" t="b">
        <v>0</v>
      </c>
      <c r="AF542" s="125"/>
      <c r="AG542" s="505" t="b">
        <v>0</v>
      </c>
      <c r="AH542" s="504" t="b">
        <v>0</v>
      </c>
      <c r="AI542" s="105"/>
      <c r="AJ542" s="505" t="b">
        <v>0</v>
      </c>
      <c r="AK542" s="504" t="b">
        <v>0</v>
      </c>
      <c r="AL542" s="126"/>
      <c r="AM542" s="505" t="b">
        <v>0</v>
      </c>
      <c r="AN542" s="504" t="b">
        <v>0</v>
      </c>
      <c r="AO542" s="105"/>
      <c r="AP542" s="105"/>
      <c r="AQ542" s="105"/>
      <c r="AR542" s="105"/>
      <c r="AS542" s="105"/>
      <c r="AT542" s="105"/>
      <c r="AU542" s="105"/>
      <c r="AV542" s="105"/>
      <c r="AW542" s="105"/>
      <c r="AX542" s="105"/>
      <c r="AY542" s="105"/>
      <c r="AZ542" s="105"/>
      <c r="BA542" s="105"/>
    </row>
    <row r="543">
      <c r="A543" s="105"/>
      <c r="B543" s="105"/>
      <c r="C543" s="105"/>
      <c r="D543" s="105"/>
      <c r="E543" s="105"/>
      <c r="F543" s="105"/>
      <c r="G543" s="105"/>
      <c r="H543" s="105"/>
      <c r="I543" s="505" t="b">
        <v>0</v>
      </c>
      <c r="J543" s="507" t="b">
        <v>0</v>
      </c>
      <c r="K543" s="112"/>
      <c r="L543" s="505" t="b">
        <v>0</v>
      </c>
      <c r="M543" s="504" t="b">
        <v>0</v>
      </c>
      <c r="N543" s="112"/>
      <c r="O543" s="505" t="b">
        <v>0</v>
      </c>
      <c r="P543" s="504" t="b">
        <v>0</v>
      </c>
      <c r="Q543" s="116"/>
      <c r="R543" s="505" t="b">
        <v>0</v>
      </c>
      <c r="S543" s="504" t="b">
        <v>0</v>
      </c>
      <c r="T543" s="117"/>
      <c r="U543" s="505" t="b">
        <v>0</v>
      </c>
      <c r="V543" s="504" t="b">
        <v>0</v>
      </c>
      <c r="W543" s="118"/>
      <c r="X543" s="505" t="b">
        <v>0</v>
      </c>
      <c r="Y543" s="504" t="b">
        <v>0</v>
      </c>
      <c r="Z543" s="119"/>
      <c r="AA543" s="505" t="b">
        <v>0</v>
      </c>
      <c r="AB543" s="504" t="b">
        <v>0</v>
      </c>
      <c r="AC543" s="121"/>
      <c r="AD543" s="505" t="b">
        <v>0</v>
      </c>
      <c r="AE543" s="504" t="b">
        <v>0</v>
      </c>
      <c r="AF543" s="125"/>
      <c r="AG543" s="505" t="b">
        <v>0</v>
      </c>
      <c r="AH543" s="504" t="b">
        <v>0</v>
      </c>
      <c r="AI543" s="105"/>
      <c r="AJ543" s="505" t="b">
        <v>0</v>
      </c>
      <c r="AK543" s="504" t="b">
        <v>0</v>
      </c>
      <c r="AL543" s="126"/>
      <c r="AM543" s="505" t="b">
        <v>0</v>
      </c>
      <c r="AN543" s="504" t="b">
        <v>0</v>
      </c>
      <c r="AO543" s="105"/>
      <c r="AP543" s="105"/>
      <c r="AQ543" s="105"/>
      <c r="AR543" s="105"/>
      <c r="AS543" s="105"/>
      <c r="AT543" s="105"/>
      <c r="AU543" s="105"/>
      <c r="AV543" s="105"/>
      <c r="AW543" s="105"/>
      <c r="AX543" s="105"/>
      <c r="AY543" s="105"/>
      <c r="AZ543" s="105"/>
      <c r="BA543" s="105"/>
    </row>
    <row r="544">
      <c r="A544" s="105"/>
      <c r="B544" s="105"/>
      <c r="C544" s="105"/>
      <c r="D544" s="105"/>
      <c r="E544" s="105"/>
      <c r="F544" s="105"/>
      <c r="G544" s="105"/>
      <c r="H544" s="105"/>
      <c r="I544" s="505" t="b">
        <v>0</v>
      </c>
      <c r="J544" s="507" t="b">
        <v>0</v>
      </c>
      <c r="K544" s="112"/>
      <c r="L544" s="505" t="b">
        <v>0</v>
      </c>
      <c r="M544" s="504" t="b">
        <v>0</v>
      </c>
      <c r="N544" s="112"/>
      <c r="O544" s="505" t="b">
        <v>0</v>
      </c>
      <c r="P544" s="504" t="b">
        <v>0</v>
      </c>
      <c r="Q544" s="116"/>
      <c r="R544" s="505" t="b">
        <v>0</v>
      </c>
      <c r="S544" s="504" t="b">
        <v>0</v>
      </c>
      <c r="T544" s="117"/>
      <c r="U544" s="505" t="b">
        <v>0</v>
      </c>
      <c r="V544" s="504" t="b">
        <v>0</v>
      </c>
      <c r="W544" s="118"/>
      <c r="X544" s="505" t="b">
        <v>0</v>
      </c>
      <c r="Y544" s="504" t="b">
        <v>0</v>
      </c>
      <c r="Z544" s="119"/>
      <c r="AA544" s="505" t="b">
        <v>0</v>
      </c>
      <c r="AB544" s="504" t="b">
        <v>0</v>
      </c>
      <c r="AC544" s="121"/>
      <c r="AD544" s="505" t="b">
        <v>0</v>
      </c>
      <c r="AE544" s="504" t="b">
        <v>0</v>
      </c>
      <c r="AF544" s="125"/>
      <c r="AG544" s="505" t="b">
        <v>0</v>
      </c>
      <c r="AH544" s="504" t="b">
        <v>0</v>
      </c>
      <c r="AI544" s="105"/>
      <c r="AJ544" s="505" t="b">
        <v>0</v>
      </c>
      <c r="AK544" s="504" t="b">
        <v>0</v>
      </c>
      <c r="AL544" s="126"/>
      <c r="AM544" s="505" t="b">
        <v>0</v>
      </c>
      <c r="AN544" s="504" t="b">
        <v>0</v>
      </c>
      <c r="AO544" s="105"/>
      <c r="AP544" s="105"/>
      <c r="AQ544" s="105"/>
      <c r="AR544" s="105"/>
      <c r="AS544" s="105"/>
      <c r="AT544" s="105"/>
      <c r="AU544" s="105"/>
      <c r="AV544" s="105"/>
      <c r="AW544" s="105"/>
      <c r="AX544" s="105"/>
      <c r="AY544" s="105"/>
      <c r="AZ544" s="105"/>
      <c r="BA544" s="105"/>
    </row>
    <row r="545">
      <c r="A545" s="105"/>
      <c r="B545" s="105"/>
      <c r="C545" s="105"/>
      <c r="D545" s="105"/>
      <c r="E545" s="105"/>
      <c r="F545" s="105"/>
      <c r="G545" s="105"/>
      <c r="H545" s="105"/>
      <c r="I545" s="505" t="b">
        <v>0</v>
      </c>
      <c r="J545" s="507" t="b">
        <v>0</v>
      </c>
      <c r="K545" s="112"/>
      <c r="L545" s="505" t="b">
        <v>0</v>
      </c>
      <c r="M545" s="504" t="b">
        <v>0</v>
      </c>
      <c r="N545" s="112"/>
      <c r="O545" s="505" t="b">
        <v>0</v>
      </c>
      <c r="P545" s="504" t="b">
        <v>0</v>
      </c>
      <c r="Q545" s="116"/>
      <c r="R545" s="505" t="b">
        <v>0</v>
      </c>
      <c r="S545" s="504" t="b">
        <v>0</v>
      </c>
      <c r="T545" s="117"/>
      <c r="U545" s="505" t="b">
        <v>0</v>
      </c>
      <c r="V545" s="504" t="b">
        <v>0</v>
      </c>
      <c r="W545" s="118"/>
      <c r="X545" s="505" t="b">
        <v>0</v>
      </c>
      <c r="Y545" s="504" t="b">
        <v>0</v>
      </c>
      <c r="Z545" s="119"/>
      <c r="AA545" s="505" t="b">
        <v>0</v>
      </c>
      <c r="AB545" s="504" t="b">
        <v>0</v>
      </c>
      <c r="AC545" s="121"/>
      <c r="AD545" s="505" t="b">
        <v>0</v>
      </c>
      <c r="AE545" s="504" t="b">
        <v>0</v>
      </c>
      <c r="AF545" s="125"/>
      <c r="AG545" s="505" t="b">
        <v>0</v>
      </c>
      <c r="AH545" s="504" t="b">
        <v>0</v>
      </c>
      <c r="AI545" s="105"/>
      <c r="AJ545" s="505" t="b">
        <v>0</v>
      </c>
      <c r="AK545" s="504" t="b">
        <v>0</v>
      </c>
      <c r="AL545" s="126"/>
      <c r="AM545" s="505" t="b">
        <v>0</v>
      </c>
      <c r="AN545" s="504" t="b">
        <v>0</v>
      </c>
      <c r="AO545" s="105"/>
      <c r="AP545" s="105"/>
      <c r="AQ545" s="105"/>
      <c r="AR545" s="105"/>
      <c r="AS545" s="105"/>
      <c r="AT545" s="105"/>
      <c r="AU545" s="105"/>
      <c r="AV545" s="105"/>
      <c r="AW545" s="105"/>
      <c r="AX545" s="105"/>
      <c r="AY545" s="105"/>
      <c r="AZ545" s="105"/>
      <c r="BA545" s="105"/>
    </row>
    <row r="546">
      <c r="A546" s="105"/>
      <c r="B546" s="105"/>
      <c r="C546" s="105"/>
      <c r="D546" s="105"/>
      <c r="E546" s="105"/>
      <c r="F546" s="105"/>
      <c r="G546" s="105"/>
      <c r="H546" s="105"/>
      <c r="I546" s="505" t="b">
        <v>0</v>
      </c>
      <c r="J546" s="507" t="b">
        <v>0</v>
      </c>
      <c r="K546" s="112"/>
      <c r="L546" s="505" t="b">
        <v>0</v>
      </c>
      <c r="M546" s="504" t="b">
        <v>0</v>
      </c>
      <c r="N546" s="112"/>
      <c r="O546" s="505" t="b">
        <v>0</v>
      </c>
      <c r="P546" s="504" t="b">
        <v>0</v>
      </c>
      <c r="Q546" s="116"/>
      <c r="R546" s="505" t="b">
        <v>0</v>
      </c>
      <c r="S546" s="504" t="b">
        <v>0</v>
      </c>
      <c r="T546" s="117"/>
      <c r="U546" s="505" t="b">
        <v>0</v>
      </c>
      <c r="V546" s="504" t="b">
        <v>0</v>
      </c>
      <c r="W546" s="118"/>
      <c r="X546" s="505" t="b">
        <v>0</v>
      </c>
      <c r="Y546" s="504" t="b">
        <v>0</v>
      </c>
      <c r="Z546" s="119"/>
      <c r="AA546" s="505" t="b">
        <v>0</v>
      </c>
      <c r="AB546" s="504" t="b">
        <v>0</v>
      </c>
      <c r="AC546" s="121"/>
      <c r="AD546" s="505" t="b">
        <v>0</v>
      </c>
      <c r="AE546" s="504" t="b">
        <v>0</v>
      </c>
      <c r="AF546" s="125"/>
      <c r="AG546" s="505" t="b">
        <v>0</v>
      </c>
      <c r="AH546" s="504" t="b">
        <v>0</v>
      </c>
      <c r="AI546" s="105"/>
      <c r="AJ546" s="505" t="b">
        <v>0</v>
      </c>
      <c r="AK546" s="504" t="b">
        <v>0</v>
      </c>
      <c r="AL546" s="126"/>
      <c r="AM546" s="505" t="b">
        <v>0</v>
      </c>
      <c r="AN546" s="504" t="b">
        <v>0</v>
      </c>
      <c r="AO546" s="105"/>
      <c r="AP546" s="105"/>
      <c r="AQ546" s="105"/>
      <c r="AR546" s="105"/>
      <c r="AS546" s="105"/>
      <c r="AT546" s="105"/>
      <c r="AU546" s="105"/>
      <c r="AV546" s="105"/>
      <c r="AW546" s="105"/>
      <c r="AX546" s="105"/>
      <c r="AY546" s="105"/>
      <c r="AZ546" s="105"/>
      <c r="BA546" s="105"/>
    </row>
    <row r="547">
      <c r="A547" s="105"/>
      <c r="B547" s="105"/>
      <c r="C547" s="105"/>
      <c r="D547" s="105"/>
      <c r="E547" s="105"/>
      <c r="F547" s="105"/>
      <c r="G547" s="105"/>
      <c r="H547" s="105"/>
      <c r="I547" s="505" t="b">
        <v>0</v>
      </c>
      <c r="J547" s="507" t="b">
        <v>0</v>
      </c>
      <c r="K547" s="112"/>
      <c r="L547" s="505" t="b">
        <v>0</v>
      </c>
      <c r="M547" s="504" t="b">
        <v>0</v>
      </c>
      <c r="N547" s="112"/>
      <c r="O547" s="505" t="b">
        <v>0</v>
      </c>
      <c r="P547" s="504" t="b">
        <v>0</v>
      </c>
      <c r="Q547" s="116"/>
      <c r="R547" s="505" t="b">
        <v>0</v>
      </c>
      <c r="S547" s="504" t="b">
        <v>0</v>
      </c>
      <c r="T547" s="117"/>
      <c r="U547" s="505" t="b">
        <v>0</v>
      </c>
      <c r="V547" s="504" t="b">
        <v>0</v>
      </c>
      <c r="W547" s="118"/>
      <c r="X547" s="505" t="b">
        <v>0</v>
      </c>
      <c r="Y547" s="504" t="b">
        <v>0</v>
      </c>
      <c r="Z547" s="119"/>
      <c r="AA547" s="505" t="b">
        <v>0</v>
      </c>
      <c r="AB547" s="504" t="b">
        <v>0</v>
      </c>
      <c r="AC547" s="121"/>
      <c r="AD547" s="505" t="b">
        <v>0</v>
      </c>
      <c r="AE547" s="504" t="b">
        <v>0</v>
      </c>
      <c r="AF547" s="125"/>
      <c r="AG547" s="505" t="b">
        <v>0</v>
      </c>
      <c r="AH547" s="504" t="b">
        <v>0</v>
      </c>
      <c r="AI547" s="105"/>
      <c r="AJ547" s="505" t="b">
        <v>0</v>
      </c>
      <c r="AK547" s="504" t="b">
        <v>0</v>
      </c>
      <c r="AL547" s="126"/>
      <c r="AM547" s="505" t="b">
        <v>0</v>
      </c>
      <c r="AN547" s="504" t="b">
        <v>0</v>
      </c>
      <c r="AO547" s="105"/>
      <c r="AP547" s="105"/>
      <c r="AQ547" s="105"/>
      <c r="AR547" s="105"/>
      <c r="AS547" s="105"/>
      <c r="AT547" s="105"/>
      <c r="AU547" s="105"/>
      <c r="AV547" s="105"/>
      <c r="AW547" s="105"/>
      <c r="AX547" s="105"/>
      <c r="AY547" s="105"/>
      <c r="AZ547" s="105"/>
      <c r="BA547" s="105"/>
    </row>
    <row r="548">
      <c r="A548" s="105"/>
      <c r="B548" s="105"/>
      <c r="C548" s="105"/>
      <c r="D548" s="105"/>
      <c r="E548" s="105"/>
      <c r="F548" s="105"/>
      <c r="G548" s="105"/>
      <c r="H548" s="105"/>
      <c r="I548" s="505" t="b">
        <v>0</v>
      </c>
      <c r="J548" s="507" t="b">
        <v>0</v>
      </c>
      <c r="K548" s="112"/>
      <c r="L548" s="505" t="b">
        <v>0</v>
      </c>
      <c r="M548" s="504" t="b">
        <v>0</v>
      </c>
      <c r="N548" s="112"/>
      <c r="O548" s="505" t="b">
        <v>0</v>
      </c>
      <c r="P548" s="504" t="b">
        <v>0</v>
      </c>
      <c r="Q548" s="116"/>
      <c r="R548" s="505" t="b">
        <v>0</v>
      </c>
      <c r="S548" s="504" t="b">
        <v>0</v>
      </c>
      <c r="T548" s="117"/>
      <c r="U548" s="505" t="b">
        <v>0</v>
      </c>
      <c r="V548" s="504" t="b">
        <v>0</v>
      </c>
      <c r="W548" s="118"/>
      <c r="X548" s="505" t="b">
        <v>0</v>
      </c>
      <c r="Y548" s="504" t="b">
        <v>0</v>
      </c>
      <c r="Z548" s="119"/>
      <c r="AA548" s="505" t="b">
        <v>0</v>
      </c>
      <c r="AB548" s="504" t="b">
        <v>0</v>
      </c>
      <c r="AC548" s="121"/>
      <c r="AD548" s="505" t="b">
        <v>0</v>
      </c>
      <c r="AE548" s="504" t="b">
        <v>0</v>
      </c>
      <c r="AF548" s="125"/>
      <c r="AG548" s="505" t="b">
        <v>0</v>
      </c>
      <c r="AH548" s="504" t="b">
        <v>0</v>
      </c>
      <c r="AI548" s="105"/>
      <c r="AJ548" s="505" t="b">
        <v>0</v>
      </c>
      <c r="AK548" s="504" t="b">
        <v>0</v>
      </c>
      <c r="AL548" s="126"/>
      <c r="AM548" s="505" t="b">
        <v>0</v>
      </c>
      <c r="AN548" s="504" t="b">
        <v>0</v>
      </c>
      <c r="AO548" s="105"/>
      <c r="AP548" s="105"/>
      <c r="AQ548" s="105"/>
      <c r="AR548" s="105"/>
      <c r="AS548" s="105"/>
      <c r="AT548" s="105"/>
      <c r="AU548" s="105"/>
      <c r="AV548" s="105"/>
      <c r="AW548" s="105"/>
      <c r="AX548" s="105"/>
      <c r="AY548" s="105"/>
      <c r="AZ548" s="105"/>
      <c r="BA548" s="105"/>
    </row>
    <row r="549">
      <c r="A549" s="105"/>
      <c r="B549" s="105"/>
      <c r="C549" s="105"/>
      <c r="D549" s="105"/>
      <c r="E549" s="105"/>
      <c r="F549" s="105"/>
      <c r="G549" s="105"/>
      <c r="H549" s="105"/>
      <c r="I549" s="505" t="b">
        <v>0</v>
      </c>
      <c r="J549" s="507" t="b">
        <v>0</v>
      </c>
      <c r="K549" s="112"/>
      <c r="L549" s="505" t="b">
        <v>0</v>
      </c>
      <c r="M549" s="504" t="b">
        <v>0</v>
      </c>
      <c r="N549" s="112"/>
      <c r="O549" s="505" t="b">
        <v>0</v>
      </c>
      <c r="P549" s="504" t="b">
        <v>0</v>
      </c>
      <c r="Q549" s="116"/>
      <c r="R549" s="505" t="b">
        <v>0</v>
      </c>
      <c r="S549" s="504" t="b">
        <v>0</v>
      </c>
      <c r="T549" s="117"/>
      <c r="U549" s="505" t="b">
        <v>0</v>
      </c>
      <c r="V549" s="504" t="b">
        <v>0</v>
      </c>
      <c r="W549" s="118"/>
      <c r="X549" s="505" t="b">
        <v>0</v>
      </c>
      <c r="Y549" s="504" t="b">
        <v>0</v>
      </c>
      <c r="Z549" s="119"/>
      <c r="AA549" s="505" t="b">
        <v>0</v>
      </c>
      <c r="AB549" s="504" t="b">
        <v>0</v>
      </c>
      <c r="AC549" s="121"/>
      <c r="AD549" s="505" t="b">
        <v>0</v>
      </c>
      <c r="AE549" s="504" t="b">
        <v>0</v>
      </c>
      <c r="AF549" s="125"/>
      <c r="AG549" s="505" t="b">
        <v>0</v>
      </c>
      <c r="AH549" s="504" t="b">
        <v>0</v>
      </c>
      <c r="AI549" s="105"/>
      <c r="AJ549" s="505" t="b">
        <v>0</v>
      </c>
      <c r="AK549" s="504" t="b">
        <v>0</v>
      </c>
      <c r="AL549" s="126"/>
      <c r="AM549" s="505" t="b">
        <v>0</v>
      </c>
      <c r="AN549" s="504" t="b">
        <v>0</v>
      </c>
      <c r="AO549" s="105"/>
      <c r="AP549" s="105"/>
      <c r="AQ549" s="105"/>
      <c r="AR549" s="105"/>
      <c r="AS549" s="105"/>
      <c r="AT549" s="105"/>
      <c r="AU549" s="105"/>
      <c r="AV549" s="105"/>
      <c r="AW549" s="105"/>
      <c r="AX549" s="105"/>
      <c r="AY549" s="105"/>
      <c r="AZ549" s="105"/>
      <c r="BA549" s="105"/>
    </row>
    <row r="550">
      <c r="A550" s="105"/>
      <c r="B550" s="105"/>
      <c r="C550" s="105"/>
      <c r="D550" s="105"/>
      <c r="E550" s="105"/>
      <c r="F550" s="105"/>
      <c r="G550" s="105"/>
      <c r="H550" s="105"/>
      <c r="I550" s="505" t="b">
        <v>0</v>
      </c>
      <c r="J550" s="507" t="b">
        <v>0</v>
      </c>
      <c r="K550" s="112"/>
      <c r="L550" s="505" t="b">
        <v>0</v>
      </c>
      <c r="M550" s="504" t="b">
        <v>0</v>
      </c>
      <c r="N550" s="112"/>
      <c r="O550" s="505" t="b">
        <v>0</v>
      </c>
      <c r="P550" s="504" t="b">
        <v>0</v>
      </c>
      <c r="Q550" s="116"/>
      <c r="R550" s="505" t="b">
        <v>0</v>
      </c>
      <c r="S550" s="504" t="b">
        <v>0</v>
      </c>
      <c r="T550" s="117"/>
      <c r="U550" s="505" t="b">
        <v>0</v>
      </c>
      <c r="V550" s="504" t="b">
        <v>0</v>
      </c>
      <c r="W550" s="118"/>
      <c r="X550" s="505" t="b">
        <v>0</v>
      </c>
      <c r="Y550" s="504" t="b">
        <v>0</v>
      </c>
      <c r="Z550" s="119"/>
      <c r="AA550" s="505" t="b">
        <v>0</v>
      </c>
      <c r="AB550" s="504" t="b">
        <v>0</v>
      </c>
      <c r="AC550" s="121"/>
      <c r="AD550" s="505" t="b">
        <v>0</v>
      </c>
      <c r="AE550" s="504" t="b">
        <v>0</v>
      </c>
      <c r="AF550" s="125"/>
      <c r="AG550" s="505" t="b">
        <v>0</v>
      </c>
      <c r="AH550" s="504" t="b">
        <v>0</v>
      </c>
      <c r="AI550" s="105"/>
      <c r="AJ550" s="505" t="b">
        <v>0</v>
      </c>
      <c r="AK550" s="504" t="b">
        <v>0</v>
      </c>
      <c r="AL550" s="126"/>
      <c r="AM550" s="505" t="b">
        <v>0</v>
      </c>
      <c r="AN550" s="504" t="b">
        <v>0</v>
      </c>
      <c r="AO550" s="105"/>
      <c r="AP550" s="105"/>
      <c r="AQ550" s="105"/>
      <c r="AR550" s="105"/>
      <c r="AS550" s="105"/>
      <c r="AT550" s="105"/>
      <c r="AU550" s="105"/>
      <c r="AV550" s="105"/>
      <c r="AW550" s="105"/>
      <c r="AX550" s="105"/>
      <c r="AY550" s="105"/>
      <c r="AZ550" s="105"/>
      <c r="BA550" s="105"/>
    </row>
    <row r="551">
      <c r="A551" s="105"/>
      <c r="B551" s="105"/>
      <c r="C551" s="105"/>
      <c r="D551" s="105"/>
      <c r="E551" s="105"/>
      <c r="F551" s="105"/>
      <c r="G551" s="105"/>
      <c r="H551" s="105"/>
      <c r="I551" s="505" t="b">
        <v>0</v>
      </c>
      <c r="J551" s="507" t="b">
        <v>0</v>
      </c>
      <c r="K551" s="112"/>
      <c r="L551" s="505" t="b">
        <v>0</v>
      </c>
      <c r="M551" s="504" t="b">
        <v>0</v>
      </c>
      <c r="N551" s="112"/>
      <c r="O551" s="505" t="b">
        <v>0</v>
      </c>
      <c r="P551" s="504" t="b">
        <v>0</v>
      </c>
      <c r="Q551" s="116"/>
      <c r="R551" s="505" t="b">
        <v>0</v>
      </c>
      <c r="S551" s="504" t="b">
        <v>0</v>
      </c>
      <c r="T551" s="117"/>
      <c r="U551" s="505" t="b">
        <v>0</v>
      </c>
      <c r="V551" s="504" t="b">
        <v>0</v>
      </c>
      <c r="W551" s="118"/>
      <c r="X551" s="505" t="b">
        <v>0</v>
      </c>
      <c r="Y551" s="504" t="b">
        <v>0</v>
      </c>
      <c r="Z551" s="119"/>
      <c r="AA551" s="505" t="b">
        <v>0</v>
      </c>
      <c r="AB551" s="504" t="b">
        <v>0</v>
      </c>
      <c r="AC551" s="121"/>
      <c r="AD551" s="505" t="b">
        <v>0</v>
      </c>
      <c r="AE551" s="504" t="b">
        <v>0</v>
      </c>
      <c r="AF551" s="125"/>
      <c r="AG551" s="505" t="b">
        <v>0</v>
      </c>
      <c r="AH551" s="504" t="b">
        <v>0</v>
      </c>
      <c r="AI551" s="105"/>
      <c r="AJ551" s="505" t="b">
        <v>0</v>
      </c>
      <c r="AK551" s="504" t="b">
        <v>0</v>
      </c>
      <c r="AL551" s="126"/>
      <c r="AM551" s="505" t="b">
        <v>0</v>
      </c>
      <c r="AN551" s="504" t="b">
        <v>0</v>
      </c>
      <c r="AO551" s="105"/>
      <c r="AP551" s="105"/>
      <c r="AQ551" s="105"/>
      <c r="AR551" s="105"/>
      <c r="AS551" s="105"/>
      <c r="AT551" s="105"/>
      <c r="AU551" s="105"/>
      <c r="AV551" s="105"/>
      <c r="AW551" s="105"/>
      <c r="AX551" s="105"/>
      <c r="AY551" s="105"/>
      <c r="AZ551" s="105"/>
      <c r="BA551" s="105"/>
    </row>
    <row r="552">
      <c r="A552" s="105"/>
      <c r="B552" s="105"/>
      <c r="C552" s="105"/>
      <c r="D552" s="105"/>
      <c r="E552" s="105"/>
      <c r="F552" s="105"/>
      <c r="G552" s="105"/>
      <c r="H552" s="105"/>
      <c r="I552" s="505" t="b">
        <v>0</v>
      </c>
      <c r="J552" s="507" t="b">
        <v>0</v>
      </c>
      <c r="K552" s="112"/>
      <c r="L552" s="505" t="b">
        <v>0</v>
      </c>
      <c r="M552" s="504" t="b">
        <v>0</v>
      </c>
      <c r="N552" s="112"/>
      <c r="O552" s="505" t="b">
        <v>0</v>
      </c>
      <c r="P552" s="504" t="b">
        <v>0</v>
      </c>
      <c r="Q552" s="116"/>
      <c r="R552" s="505" t="b">
        <v>0</v>
      </c>
      <c r="S552" s="504" t="b">
        <v>0</v>
      </c>
      <c r="T552" s="117"/>
      <c r="U552" s="505" t="b">
        <v>0</v>
      </c>
      <c r="V552" s="504" t="b">
        <v>0</v>
      </c>
      <c r="W552" s="118"/>
      <c r="X552" s="505" t="b">
        <v>0</v>
      </c>
      <c r="Y552" s="504" t="b">
        <v>0</v>
      </c>
      <c r="Z552" s="119"/>
      <c r="AA552" s="505" t="b">
        <v>0</v>
      </c>
      <c r="AB552" s="504" t="b">
        <v>0</v>
      </c>
      <c r="AC552" s="121"/>
      <c r="AD552" s="505" t="b">
        <v>0</v>
      </c>
      <c r="AE552" s="504" t="b">
        <v>0</v>
      </c>
      <c r="AF552" s="125"/>
      <c r="AG552" s="505" t="b">
        <v>0</v>
      </c>
      <c r="AH552" s="504" t="b">
        <v>0</v>
      </c>
      <c r="AI552" s="105"/>
      <c r="AJ552" s="505" t="b">
        <v>0</v>
      </c>
      <c r="AK552" s="504" t="b">
        <v>0</v>
      </c>
      <c r="AL552" s="126"/>
      <c r="AM552" s="505" t="b">
        <v>0</v>
      </c>
      <c r="AN552" s="504" t="b">
        <v>0</v>
      </c>
      <c r="AO552" s="105"/>
      <c r="AP552" s="105"/>
      <c r="AQ552" s="105"/>
      <c r="AR552" s="105"/>
      <c r="AS552" s="105"/>
      <c r="AT552" s="105"/>
      <c r="AU552" s="105"/>
      <c r="AV552" s="105"/>
      <c r="AW552" s="105"/>
      <c r="AX552" s="105"/>
      <c r="AY552" s="105"/>
      <c r="AZ552" s="105"/>
      <c r="BA552" s="105"/>
    </row>
    <row r="553">
      <c r="A553" s="105"/>
      <c r="B553" s="105"/>
      <c r="C553" s="105"/>
      <c r="D553" s="105"/>
      <c r="E553" s="105"/>
      <c r="F553" s="105"/>
      <c r="G553" s="105"/>
      <c r="H553" s="105"/>
      <c r="I553" s="505" t="b">
        <v>0</v>
      </c>
      <c r="J553" s="507" t="b">
        <v>0</v>
      </c>
      <c r="K553" s="112"/>
      <c r="L553" s="505" t="b">
        <v>0</v>
      </c>
      <c r="M553" s="504" t="b">
        <v>0</v>
      </c>
      <c r="N553" s="112"/>
      <c r="O553" s="505" t="b">
        <v>0</v>
      </c>
      <c r="P553" s="504" t="b">
        <v>0</v>
      </c>
      <c r="Q553" s="116"/>
      <c r="R553" s="505" t="b">
        <v>0</v>
      </c>
      <c r="S553" s="504" t="b">
        <v>0</v>
      </c>
      <c r="T553" s="117"/>
      <c r="U553" s="505" t="b">
        <v>0</v>
      </c>
      <c r="V553" s="504" t="b">
        <v>0</v>
      </c>
      <c r="W553" s="118"/>
      <c r="X553" s="505" t="b">
        <v>0</v>
      </c>
      <c r="Y553" s="504" t="b">
        <v>0</v>
      </c>
      <c r="Z553" s="119"/>
      <c r="AA553" s="505" t="b">
        <v>0</v>
      </c>
      <c r="AB553" s="504" t="b">
        <v>0</v>
      </c>
      <c r="AC553" s="121"/>
      <c r="AD553" s="505" t="b">
        <v>0</v>
      </c>
      <c r="AE553" s="504" t="b">
        <v>0</v>
      </c>
      <c r="AF553" s="125"/>
      <c r="AG553" s="505" t="b">
        <v>0</v>
      </c>
      <c r="AH553" s="504" t="b">
        <v>0</v>
      </c>
      <c r="AI553" s="105"/>
      <c r="AJ553" s="505" t="b">
        <v>0</v>
      </c>
      <c r="AK553" s="504" t="b">
        <v>0</v>
      </c>
      <c r="AL553" s="126"/>
      <c r="AM553" s="505" t="b">
        <v>0</v>
      </c>
      <c r="AN553" s="504" t="b">
        <v>0</v>
      </c>
      <c r="AO553" s="105"/>
      <c r="AP553" s="105"/>
      <c r="AQ553" s="105"/>
      <c r="AR553" s="105"/>
      <c r="AS553" s="105"/>
      <c r="AT553" s="105"/>
      <c r="AU553" s="105"/>
      <c r="AV553" s="105"/>
      <c r="AW553" s="105"/>
      <c r="AX553" s="105"/>
      <c r="AY553" s="105"/>
      <c r="AZ553" s="105"/>
      <c r="BA553" s="105"/>
    </row>
    <row r="554">
      <c r="A554" s="105"/>
      <c r="B554" s="105"/>
      <c r="C554" s="105"/>
      <c r="D554" s="105"/>
      <c r="E554" s="105"/>
      <c r="F554" s="105"/>
      <c r="G554" s="105"/>
      <c r="H554" s="105"/>
      <c r="I554" s="505" t="b">
        <v>0</v>
      </c>
      <c r="J554" s="507" t="b">
        <v>0</v>
      </c>
      <c r="K554" s="112"/>
      <c r="L554" s="505" t="b">
        <v>0</v>
      </c>
      <c r="M554" s="504" t="b">
        <v>0</v>
      </c>
      <c r="N554" s="112"/>
      <c r="O554" s="505" t="b">
        <v>0</v>
      </c>
      <c r="P554" s="504" t="b">
        <v>0</v>
      </c>
      <c r="Q554" s="116"/>
      <c r="R554" s="505" t="b">
        <v>0</v>
      </c>
      <c r="S554" s="504" t="b">
        <v>0</v>
      </c>
      <c r="T554" s="117"/>
      <c r="U554" s="505" t="b">
        <v>0</v>
      </c>
      <c r="V554" s="504" t="b">
        <v>0</v>
      </c>
      <c r="W554" s="118"/>
      <c r="X554" s="505" t="b">
        <v>0</v>
      </c>
      <c r="Y554" s="504" t="b">
        <v>0</v>
      </c>
      <c r="Z554" s="119"/>
      <c r="AA554" s="505" t="b">
        <v>0</v>
      </c>
      <c r="AB554" s="504" t="b">
        <v>0</v>
      </c>
      <c r="AC554" s="121"/>
      <c r="AD554" s="505" t="b">
        <v>0</v>
      </c>
      <c r="AE554" s="504" t="b">
        <v>0</v>
      </c>
      <c r="AF554" s="125"/>
      <c r="AG554" s="505" t="b">
        <v>0</v>
      </c>
      <c r="AH554" s="504" t="b">
        <v>0</v>
      </c>
      <c r="AI554" s="105"/>
      <c r="AJ554" s="505" t="b">
        <v>0</v>
      </c>
      <c r="AK554" s="504" t="b">
        <v>0</v>
      </c>
      <c r="AL554" s="126"/>
      <c r="AM554" s="505" t="b">
        <v>0</v>
      </c>
      <c r="AN554" s="504" t="b">
        <v>0</v>
      </c>
      <c r="AO554" s="105"/>
      <c r="AP554" s="105"/>
      <c r="AQ554" s="105"/>
      <c r="AR554" s="105"/>
      <c r="AS554" s="105"/>
      <c r="AT554" s="105"/>
      <c r="AU554" s="105"/>
      <c r="AV554" s="105"/>
      <c r="AW554" s="105"/>
      <c r="AX554" s="105"/>
      <c r="AY554" s="105"/>
      <c r="AZ554" s="105"/>
      <c r="BA554" s="105"/>
    </row>
    <row r="555">
      <c r="A555" s="105"/>
      <c r="B555" s="105"/>
      <c r="C555" s="105"/>
      <c r="D555" s="105"/>
      <c r="E555" s="105"/>
      <c r="F555" s="105"/>
      <c r="G555" s="105"/>
      <c r="H555" s="105"/>
      <c r="I555" s="505" t="b">
        <v>0</v>
      </c>
      <c r="J555" s="507" t="b">
        <v>0</v>
      </c>
      <c r="K555" s="112"/>
      <c r="L555" s="505" t="b">
        <v>0</v>
      </c>
      <c r="M555" s="504" t="b">
        <v>0</v>
      </c>
      <c r="N555" s="112"/>
      <c r="O555" s="505" t="b">
        <v>0</v>
      </c>
      <c r="P555" s="504" t="b">
        <v>0</v>
      </c>
      <c r="Q555" s="116"/>
      <c r="R555" s="505" t="b">
        <v>0</v>
      </c>
      <c r="S555" s="504" t="b">
        <v>0</v>
      </c>
      <c r="T555" s="117"/>
      <c r="U555" s="505" t="b">
        <v>0</v>
      </c>
      <c r="V555" s="504" t="b">
        <v>0</v>
      </c>
      <c r="W555" s="118"/>
      <c r="X555" s="505" t="b">
        <v>0</v>
      </c>
      <c r="Y555" s="504" t="b">
        <v>0</v>
      </c>
      <c r="Z555" s="119"/>
      <c r="AA555" s="505" t="b">
        <v>0</v>
      </c>
      <c r="AB555" s="504" t="b">
        <v>0</v>
      </c>
      <c r="AC555" s="121"/>
      <c r="AD555" s="505" t="b">
        <v>0</v>
      </c>
      <c r="AE555" s="504" t="b">
        <v>0</v>
      </c>
      <c r="AF555" s="125"/>
      <c r="AG555" s="505" t="b">
        <v>0</v>
      </c>
      <c r="AH555" s="504" t="b">
        <v>0</v>
      </c>
      <c r="AI555" s="105"/>
      <c r="AJ555" s="505" t="b">
        <v>0</v>
      </c>
      <c r="AK555" s="504" t="b">
        <v>0</v>
      </c>
      <c r="AL555" s="126"/>
      <c r="AM555" s="505" t="b">
        <v>0</v>
      </c>
      <c r="AN555" s="504" t="b">
        <v>0</v>
      </c>
      <c r="AO555" s="105"/>
      <c r="AP555" s="105"/>
      <c r="AQ555" s="105"/>
      <c r="AR555" s="105"/>
      <c r="AS555" s="105"/>
      <c r="AT555" s="105"/>
      <c r="AU555" s="105"/>
      <c r="AV555" s="105"/>
      <c r="AW555" s="105"/>
      <c r="AX555" s="105"/>
      <c r="AY555" s="105"/>
      <c r="AZ555" s="105"/>
      <c r="BA555" s="105"/>
    </row>
    <row r="556">
      <c r="A556" s="105"/>
      <c r="B556" s="105"/>
      <c r="C556" s="105"/>
      <c r="D556" s="105"/>
      <c r="E556" s="105"/>
      <c r="F556" s="105"/>
      <c r="G556" s="105"/>
      <c r="H556" s="105"/>
      <c r="I556" s="505" t="b">
        <v>0</v>
      </c>
      <c r="J556" s="507" t="b">
        <v>0</v>
      </c>
      <c r="K556" s="112"/>
      <c r="L556" s="505" t="b">
        <v>0</v>
      </c>
      <c r="M556" s="504" t="b">
        <v>0</v>
      </c>
      <c r="N556" s="112"/>
      <c r="O556" s="505" t="b">
        <v>0</v>
      </c>
      <c r="P556" s="504" t="b">
        <v>0</v>
      </c>
      <c r="Q556" s="116"/>
      <c r="R556" s="505" t="b">
        <v>0</v>
      </c>
      <c r="S556" s="504" t="b">
        <v>0</v>
      </c>
      <c r="T556" s="117"/>
      <c r="U556" s="505" t="b">
        <v>0</v>
      </c>
      <c r="V556" s="504" t="b">
        <v>0</v>
      </c>
      <c r="W556" s="118"/>
      <c r="X556" s="505" t="b">
        <v>0</v>
      </c>
      <c r="Y556" s="504" t="b">
        <v>0</v>
      </c>
      <c r="Z556" s="119"/>
      <c r="AA556" s="505" t="b">
        <v>0</v>
      </c>
      <c r="AB556" s="504" t="b">
        <v>0</v>
      </c>
      <c r="AC556" s="121"/>
      <c r="AD556" s="505" t="b">
        <v>0</v>
      </c>
      <c r="AE556" s="504" t="b">
        <v>0</v>
      </c>
      <c r="AF556" s="125"/>
      <c r="AG556" s="505" t="b">
        <v>0</v>
      </c>
      <c r="AH556" s="504" t="b">
        <v>0</v>
      </c>
      <c r="AI556" s="105"/>
      <c r="AJ556" s="505" t="b">
        <v>0</v>
      </c>
      <c r="AK556" s="504" t="b">
        <v>0</v>
      </c>
      <c r="AL556" s="126"/>
      <c r="AM556" s="505" t="b">
        <v>0</v>
      </c>
      <c r="AN556" s="504" t="b">
        <v>0</v>
      </c>
      <c r="AO556" s="105"/>
      <c r="AP556" s="105"/>
      <c r="AQ556" s="105"/>
      <c r="AR556" s="105"/>
      <c r="AS556" s="105"/>
      <c r="AT556" s="105"/>
      <c r="AU556" s="105"/>
      <c r="AV556" s="105"/>
      <c r="AW556" s="105"/>
      <c r="AX556" s="105"/>
      <c r="AY556" s="105"/>
      <c r="AZ556" s="105"/>
      <c r="BA556" s="105"/>
    </row>
    <row r="557">
      <c r="A557" s="105"/>
      <c r="B557" s="105"/>
      <c r="C557" s="105"/>
      <c r="D557" s="105"/>
      <c r="E557" s="105"/>
      <c r="F557" s="105"/>
      <c r="G557" s="105"/>
      <c r="H557" s="105"/>
      <c r="I557" s="505" t="b">
        <v>0</v>
      </c>
      <c r="J557" s="507" t="b">
        <v>0</v>
      </c>
      <c r="K557" s="112"/>
      <c r="L557" s="505" t="b">
        <v>0</v>
      </c>
      <c r="M557" s="504" t="b">
        <v>0</v>
      </c>
      <c r="N557" s="112"/>
      <c r="O557" s="505" t="b">
        <v>0</v>
      </c>
      <c r="P557" s="504" t="b">
        <v>0</v>
      </c>
      <c r="Q557" s="116"/>
      <c r="R557" s="505" t="b">
        <v>0</v>
      </c>
      <c r="S557" s="504" t="b">
        <v>0</v>
      </c>
      <c r="T557" s="117"/>
      <c r="U557" s="505" t="b">
        <v>0</v>
      </c>
      <c r="V557" s="504" t="b">
        <v>0</v>
      </c>
      <c r="W557" s="118"/>
      <c r="X557" s="505" t="b">
        <v>0</v>
      </c>
      <c r="Y557" s="504" t="b">
        <v>0</v>
      </c>
      <c r="Z557" s="119"/>
      <c r="AA557" s="505" t="b">
        <v>0</v>
      </c>
      <c r="AB557" s="504" t="b">
        <v>0</v>
      </c>
      <c r="AC557" s="121"/>
      <c r="AD557" s="505" t="b">
        <v>0</v>
      </c>
      <c r="AE557" s="504" t="b">
        <v>0</v>
      </c>
      <c r="AF557" s="125"/>
      <c r="AG557" s="505" t="b">
        <v>0</v>
      </c>
      <c r="AH557" s="504" t="b">
        <v>0</v>
      </c>
      <c r="AI557" s="105"/>
      <c r="AJ557" s="505" t="b">
        <v>0</v>
      </c>
      <c r="AK557" s="504" t="b">
        <v>0</v>
      </c>
      <c r="AL557" s="126"/>
      <c r="AM557" s="505" t="b">
        <v>0</v>
      </c>
      <c r="AN557" s="504" t="b">
        <v>0</v>
      </c>
      <c r="AO557" s="105"/>
      <c r="AP557" s="105"/>
      <c r="AQ557" s="105"/>
      <c r="AR557" s="105"/>
      <c r="AS557" s="105"/>
      <c r="AT557" s="105"/>
      <c r="AU557" s="105"/>
      <c r="AV557" s="105"/>
      <c r="AW557" s="105"/>
      <c r="AX557" s="105"/>
      <c r="AY557" s="105"/>
      <c r="AZ557" s="105"/>
      <c r="BA557" s="105"/>
    </row>
    <row r="558">
      <c r="A558" s="105"/>
      <c r="B558" s="105"/>
      <c r="C558" s="105"/>
      <c r="D558" s="105"/>
      <c r="E558" s="105"/>
      <c r="F558" s="105"/>
      <c r="G558" s="105"/>
      <c r="H558" s="105"/>
      <c r="I558" s="505" t="b">
        <v>0</v>
      </c>
      <c r="J558" s="507" t="b">
        <v>0</v>
      </c>
      <c r="K558" s="112"/>
      <c r="L558" s="505" t="b">
        <v>0</v>
      </c>
      <c r="M558" s="504" t="b">
        <v>0</v>
      </c>
      <c r="N558" s="112"/>
      <c r="O558" s="505" t="b">
        <v>0</v>
      </c>
      <c r="P558" s="504" t="b">
        <v>0</v>
      </c>
      <c r="Q558" s="116"/>
      <c r="R558" s="505" t="b">
        <v>0</v>
      </c>
      <c r="S558" s="504" t="b">
        <v>0</v>
      </c>
      <c r="T558" s="117"/>
      <c r="U558" s="505" t="b">
        <v>0</v>
      </c>
      <c r="V558" s="504" t="b">
        <v>0</v>
      </c>
      <c r="W558" s="118"/>
      <c r="X558" s="505" t="b">
        <v>0</v>
      </c>
      <c r="Y558" s="504" t="b">
        <v>0</v>
      </c>
      <c r="Z558" s="119"/>
      <c r="AA558" s="505" t="b">
        <v>0</v>
      </c>
      <c r="AB558" s="504" t="b">
        <v>0</v>
      </c>
      <c r="AC558" s="121"/>
      <c r="AD558" s="505" t="b">
        <v>0</v>
      </c>
      <c r="AE558" s="504" t="b">
        <v>0</v>
      </c>
      <c r="AF558" s="125"/>
      <c r="AG558" s="505" t="b">
        <v>0</v>
      </c>
      <c r="AH558" s="504" t="b">
        <v>0</v>
      </c>
      <c r="AI558" s="105"/>
      <c r="AJ558" s="505" t="b">
        <v>0</v>
      </c>
      <c r="AK558" s="504" t="b">
        <v>0</v>
      </c>
      <c r="AL558" s="126"/>
      <c r="AM558" s="505" t="b">
        <v>0</v>
      </c>
      <c r="AN558" s="504" t="b">
        <v>0</v>
      </c>
      <c r="AO558" s="105"/>
      <c r="AP558" s="105"/>
      <c r="AQ558" s="105"/>
      <c r="AR558" s="105"/>
      <c r="AS558" s="105"/>
      <c r="AT558" s="105"/>
      <c r="AU558" s="105"/>
      <c r="AV558" s="105"/>
      <c r="AW558" s="105"/>
      <c r="AX558" s="105"/>
      <c r="AY558" s="105"/>
      <c r="AZ558" s="105"/>
      <c r="BA558" s="105"/>
    </row>
    <row r="559">
      <c r="A559" s="105"/>
      <c r="B559" s="105"/>
      <c r="C559" s="105"/>
      <c r="D559" s="105"/>
      <c r="E559" s="105"/>
      <c r="F559" s="105"/>
      <c r="G559" s="105"/>
      <c r="H559" s="105"/>
      <c r="I559" s="505" t="b">
        <v>0</v>
      </c>
      <c r="J559" s="507" t="b">
        <v>0</v>
      </c>
      <c r="K559" s="112"/>
      <c r="L559" s="505" t="b">
        <v>0</v>
      </c>
      <c r="M559" s="504" t="b">
        <v>0</v>
      </c>
      <c r="N559" s="112"/>
      <c r="O559" s="505" t="b">
        <v>0</v>
      </c>
      <c r="P559" s="504" t="b">
        <v>0</v>
      </c>
      <c r="Q559" s="116"/>
      <c r="R559" s="505" t="b">
        <v>0</v>
      </c>
      <c r="S559" s="504" t="b">
        <v>0</v>
      </c>
      <c r="T559" s="117"/>
      <c r="U559" s="505" t="b">
        <v>0</v>
      </c>
      <c r="V559" s="504" t="b">
        <v>0</v>
      </c>
      <c r="W559" s="118"/>
      <c r="X559" s="505" t="b">
        <v>0</v>
      </c>
      <c r="Y559" s="504" t="b">
        <v>0</v>
      </c>
      <c r="Z559" s="119"/>
      <c r="AA559" s="505" t="b">
        <v>0</v>
      </c>
      <c r="AB559" s="504" t="b">
        <v>0</v>
      </c>
      <c r="AC559" s="121"/>
      <c r="AD559" s="505" t="b">
        <v>0</v>
      </c>
      <c r="AE559" s="504" t="b">
        <v>0</v>
      </c>
      <c r="AF559" s="125"/>
      <c r="AG559" s="505" t="b">
        <v>0</v>
      </c>
      <c r="AH559" s="504" t="b">
        <v>0</v>
      </c>
      <c r="AI559" s="105"/>
      <c r="AJ559" s="505" t="b">
        <v>0</v>
      </c>
      <c r="AK559" s="504" t="b">
        <v>0</v>
      </c>
      <c r="AL559" s="126"/>
      <c r="AM559" s="505" t="b">
        <v>0</v>
      </c>
      <c r="AN559" s="504" t="b">
        <v>0</v>
      </c>
      <c r="AO559" s="105"/>
      <c r="AP559" s="105"/>
      <c r="AQ559" s="105"/>
      <c r="AR559" s="105"/>
      <c r="AS559" s="105"/>
      <c r="AT559" s="105"/>
      <c r="AU559" s="105"/>
      <c r="AV559" s="105"/>
      <c r="AW559" s="105"/>
      <c r="AX559" s="105"/>
      <c r="AY559" s="105"/>
      <c r="AZ559" s="105"/>
      <c r="BA559" s="105"/>
    </row>
    <row r="560">
      <c r="A560" s="105"/>
      <c r="B560" s="105"/>
      <c r="C560" s="105"/>
      <c r="D560" s="105"/>
      <c r="E560" s="105"/>
      <c r="F560" s="105"/>
      <c r="G560" s="105"/>
      <c r="H560" s="105"/>
      <c r="I560" s="505" t="b">
        <v>0</v>
      </c>
      <c r="J560" s="507" t="b">
        <v>0</v>
      </c>
      <c r="K560" s="112"/>
      <c r="L560" s="505" t="b">
        <v>0</v>
      </c>
      <c r="M560" s="504" t="b">
        <v>0</v>
      </c>
      <c r="N560" s="112"/>
      <c r="O560" s="505" t="b">
        <v>0</v>
      </c>
      <c r="P560" s="504" t="b">
        <v>0</v>
      </c>
      <c r="Q560" s="116"/>
      <c r="R560" s="505" t="b">
        <v>0</v>
      </c>
      <c r="S560" s="504" t="b">
        <v>0</v>
      </c>
      <c r="T560" s="117"/>
      <c r="U560" s="505" t="b">
        <v>0</v>
      </c>
      <c r="V560" s="504" t="b">
        <v>0</v>
      </c>
      <c r="W560" s="118"/>
      <c r="X560" s="505" t="b">
        <v>0</v>
      </c>
      <c r="Y560" s="504" t="b">
        <v>0</v>
      </c>
      <c r="Z560" s="119"/>
      <c r="AA560" s="505" t="b">
        <v>0</v>
      </c>
      <c r="AB560" s="504" t="b">
        <v>0</v>
      </c>
      <c r="AC560" s="121"/>
      <c r="AD560" s="505" t="b">
        <v>0</v>
      </c>
      <c r="AE560" s="504" t="b">
        <v>0</v>
      </c>
      <c r="AF560" s="125"/>
      <c r="AG560" s="505" t="b">
        <v>0</v>
      </c>
      <c r="AH560" s="504" t="b">
        <v>0</v>
      </c>
      <c r="AI560" s="105"/>
      <c r="AJ560" s="505" t="b">
        <v>0</v>
      </c>
      <c r="AK560" s="504" t="b">
        <v>0</v>
      </c>
      <c r="AL560" s="126"/>
      <c r="AM560" s="505" t="b">
        <v>0</v>
      </c>
      <c r="AN560" s="504" t="b">
        <v>0</v>
      </c>
      <c r="AO560" s="105"/>
      <c r="AP560" s="105"/>
      <c r="AQ560" s="105"/>
      <c r="AR560" s="105"/>
      <c r="AS560" s="105"/>
      <c r="AT560" s="105"/>
      <c r="AU560" s="105"/>
      <c r="AV560" s="105"/>
      <c r="AW560" s="105"/>
      <c r="AX560" s="105"/>
      <c r="AY560" s="105"/>
      <c r="AZ560" s="105"/>
      <c r="BA560" s="105"/>
    </row>
    <row r="561">
      <c r="A561" s="105"/>
      <c r="B561" s="105"/>
      <c r="C561" s="105"/>
      <c r="D561" s="105"/>
      <c r="E561" s="105"/>
      <c r="F561" s="105"/>
      <c r="G561" s="105"/>
      <c r="H561" s="105"/>
      <c r="I561" s="505" t="b">
        <v>0</v>
      </c>
      <c r="J561" s="507" t="b">
        <v>0</v>
      </c>
      <c r="K561" s="112"/>
      <c r="L561" s="505" t="b">
        <v>0</v>
      </c>
      <c r="M561" s="504" t="b">
        <v>0</v>
      </c>
      <c r="N561" s="112"/>
      <c r="O561" s="505" t="b">
        <v>0</v>
      </c>
      <c r="P561" s="504" t="b">
        <v>0</v>
      </c>
      <c r="Q561" s="116"/>
      <c r="R561" s="505" t="b">
        <v>0</v>
      </c>
      <c r="S561" s="504" t="b">
        <v>0</v>
      </c>
      <c r="T561" s="117"/>
      <c r="U561" s="505" t="b">
        <v>0</v>
      </c>
      <c r="V561" s="504" t="b">
        <v>0</v>
      </c>
      <c r="W561" s="118"/>
      <c r="X561" s="505" t="b">
        <v>0</v>
      </c>
      <c r="Y561" s="504" t="b">
        <v>0</v>
      </c>
      <c r="Z561" s="119"/>
      <c r="AA561" s="505" t="b">
        <v>0</v>
      </c>
      <c r="AB561" s="504" t="b">
        <v>0</v>
      </c>
      <c r="AC561" s="121"/>
      <c r="AD561" s="505" t="b">
        <v>0</v>
      </c>
      <c r="AE561" s="504" t="b">
        <v>0</v>
      </c>
      <c r="AF561" s="125"/>
      <c r="AG561" s="505" t="b">
        <v>0</v>
      </c>
      <c r="AH561" s="504" t="b">
        <v>0</v>
      </c>
      <c r="AI561" s="105"/>
      <c r="AJ561" s="505" t="b">
        <v>0</v>
      </c>
      <c r="AK561" s="504" t="b">
        <v>0</v>
      </c>
      <c r="AL561" s="126"/>
      <c r="AM561" s="505" t="b">
        <v>0</v>
      </c>
      <c r="AN561" s="504" t="b">
        <v>0</v>
      </c>
      <c r="AO561" s="105"/>
      <c r="AP561" s="105"/>
      <c r="AQ561" s="105"/>
      <c r="AR561" s="105"/>
      <c r="AS561" s="105"/>
      <c r="AT561" s="105"/>
      <c r="AU561" s="105"/>
      <c r="AV561" s="105"/>
      <c r="AW561" s="105"/>
      <c r="AX561" s="105"/>
      <c r="AY561" s="105"/>
      <c r="AZ561" s="105"/>
      <c r="BA561" s="105"/>
    </row>
    <row r="562">
      <c r="A562" s="105"/>
      <c r="B562" s="105"/>
      <c r="C562" s="105"/>
      <c r="D562" s="105"/>
      <c r="E562" s="105"/>
      <c r="F562" s="105"/>
      <c r="G562" s="105"/>
      <c r="H562" s="105"/>
      <c r="I562" s="505" t="b">
        <v>0</v>
      </c>
      <c r="J562" s="507" t="b">
        <v>0</v>
      </c>
      <c r="K562" s="112"/>
      <c r="L562" s="505" t="b">
        <v>0</v>
      </c>
      <c r="M562" s="504" t="b">
        <v>0</v>
      </c>
      <c r="N562" s="112"/>
      <c r="O562" s="505" t="b">
        <v>0</v>
      </c>
      <c r="P562" s="504" t="b">
        <v>0</v>
      </c>
      <c r="Q562" s="116"/>
      <c r="R562" s="505" t="b">
        <v>0</v>
      </c>
      <c r="S562" s="504" t="b">
        <v>0</v>
      </c>
      <c r="T562" s="117"/>
      <c r="U562" s="505" t="b">
        <v>0</v>
      </c>
      <c r="V562" s="504" t="b">
        <v>0</v>
      </c>
      <c r="W562" s="118"/>
      <c r="X562" s="505" t="b">
        <v>0</v>
      </c>
      <c r="Y562" s="504" t="b">
        <v>0</v>
      </c>
      <c r="Z562" s="119"/>
      <c r="AA562" s="505" t="b">
        <v>0</v>
      </c>
      <c r="AB562" s="504" t="b">
        <v>0</v>
      </c>
      <c r="AC562" s="121"/>
      <c r="AD562" s="505" t="b">
        <v>0</v>
      </c>
      <c r="AE562" s="504" t="b">
        <v>0</v>
      </c>
      <c r="AF562" s="125"/>
      <c r="AG562" s="505" t="b">
        <v>0</v>
      </c>
      <c r="AH562" s="504" t="b">
        <v>0</v>
      </c>
      <c r="AI562" s="105"/>
      <c r="AJ562" s="505" t="b">
        <v>0</v>
      </c>
      <c r="AK562" s="504" t="b">
        <v>0</v>
      </c>
      <c r="AL562" s="126"/>
      <c r="AM562" s="505" t="b">
        <v>0</v>
      </c>
      <c r="AN562" s="504" t="b">
        <v>0</v>
      </c>
      <c r="AO562" s="105"/>
      <c r="AP562" s="105"/>
      <c r="AQ562" s="105"/>
      <c r="AR562" s="105"/>
      <c r="AS562" s="105"/>
      <c r="AT562" s="105"/>
      <c r="AU562" s="105"/>
      <c r="AV562" s="105"/>
      <c r="AW562" s="105"/>
      <c r="AX562" s="105"/>
      <c r="AY562" s="105"/>
      <c r="AZ562" s="105"/>
      <c r="BA562" s="105"/>
    </row>
    <row r="563">
      <c r="A563" s="105"/>
      <c r="B563" s="105"/>
      <c r="C563" s="105"/>
      <c r="D563" s="105"/>
      <c r="E563" s="105"/>
      <c r="F563" s="105"/>
      <c r="G563" s="105"/>
      <c r="H563" s="105"/>
      <c r="I563" s="505" t="b">
        <v>0</v>
      </c>
      <c r="J563" s="507" t="b">
        <v>0</v>
      </c>
      <c r="K563" s="112"/>
      <c r="L563" s="505" t="b">
        <v>0</v>
      </c>
      <c r="M563" s="504" t="b">
        <v>0</v>
      </c>
      <c r="N563" s="112"/>
      <c r="O563" s="505" t="b">
        <v>0</v>
      </c>
      <c r="P563" s="504" t="b">
        <v>0</v>
      </c>
      <c r="Q563" s="116"/>
      <c r="R563" s="505" t="b">
        <v>0</v>
      </c>
      <c r="S563" s="504" t="b">
        <v>0</v>
      </c>
      <c r="T563" s="117"/>
      <c r="U563" s="505" t="b">
        <v>0</v>
      </c>
      <c r="V563" s="504" t="b">
        <v>0</v>
      </c>
      <c r="W563" s="118"/>
      <c r="X563" s="505" t="b">
        <v>0</v>
      </c>
      <c r="Y563" s="504" t="b">
        <v>0</v>
      </c>
      <c r="Z563" s="119"/>
      <c r="AA563" s="505" t="b">
        <v>0</v>
      </c>
      <c r="AB563" s="504" t="b">
        <v>0</v>
      </c>
      <c r="AC563" s="121"/>
      <c r="AD563" s="505" t="b">
        <v>0</v>
      </c>
      <c r="AE563" s="504" t="b">
        <v>0</v>
      </c>
      <c r="AF563" s="125"/>
      <c r="AG563" s="505" t="b">
        <v>0</v>
      </c>
      <c r="AH563" s="504" t="b">
        <v>0</v>
      </c>
      <c r="AI563" s="105"/>
      <c r="AJ563" s="505" t="b">
        <v>0</v>
      </c>
      <c r="AK563" s="504" t="b">
        <v>0</v>
      </c>
      <c r="AL563" s="126"/>
      <c r="AM563" s="505" t="b">
        <v>0</v>
      </c>
      <c r="AN563" s="504" t="b">
        <v>0</v>
      </c>
      <c r="AO563" s="105"/>
      <c r="AP563" s="105"/>
      <c r="AQ563" s="105"/>
      <c r="AR563" s="105"/>
      <c r="AS563" s="105"/>
      <c r="AT563" s="105"/>
      <c r="AU563" s="105"/>
      <c r="AV563" s="105"/>
      <c r="AW563" s="105"/>
      <c r="AX563" s="105"/>
      <c r="AY563" s="105"/>
      <c r="AZ563" s="105"/>
      <c r="BA563" s="105"/>
    </row>
    <row r="564">
      <c r="A564" s="105"/>
      <c r="B564" s="105"/>
      <c r="C564" s="105"/>
      <c r="D564" s="105"/>
      <c r="E564" s="105"/>
      <c r="F564" s="105"/>
      <c r="G564" s="105"/>
      <c r="H564" s="105"/>
      <c r="I564" s="505" t="b">
        <v>0</v>
      </c>
      <c r="J564" s="507" t="b">
        <v>0</v>
      </c>
      <c r="K564" s="112"/>
      <c r="L564" s="505" t="b">
        <v>0</v>
      </c>
      <c r="M564" s="504" t="b">
        <v>0</v>
      </c>
      <c r="N564" s="112"/>
      <c r="O564" s="505" t="b">
        <v>0</v>
      </c>
      <c r="P564" s="504" t="b">
        <v>0</v>
      </c>
      <c r="Q564" s="116"/>
      <c r="R564" s="505" t="b">
        <v>0</v>
      </c>
      <c r="S564" s="504" t="b">
        <v>0</v>
      </c>
      <c r="T564" s="117"/>
      <c r="U564" s="505" t="b">
        <v>0</v>
      </c>
      <c r="V564" s="504" t="b">
        <v>0</v>
      </c>
      <c r="W564" s="118"/>
      <c r="X564" s="505" t="b">
        <v>0</v>
      </c>
      <c r="Y564" s="504" t="b">
        <v>0</v>
      </c>
      <c r="Z564" s="119"/>
      <c r="AA564" s="505" t="b">
        <v>0</v>
      </c>
      <c r="AB564" s="504" t="b">
        <v>0</v>
      </c>
      <c r="AC564" s="121"/>
      <c r="AD564" s="505" t="b">
        <v>0</v>
      </c>
      <c r="AE564" s="504" t="b">
        <v>0</v>
      </c>
      <c r="AF564" s="125"/>
      <c r="AG564" s="505" t="b">
        <v>0</v>
      </c>
      <c r="AH564" s="504" t="b">
        <v>0</v>
      </c>
      <c r="AI564" s="105"/>
      <c r="AJ564" s="505" t="b">
        <v>0</v>
      </c>
      <c r="AK564" s="504" t="b">
        <v>0</v>
      </c>
      <c r="AL564" s="126"/>
      <c r="AM564" s="505" t="b">
        <v>0</v>
      </c>
      <c r="AN564" s="504" t="b">
        <v>0</v>
      </c>
      <c r="AO564" s="105"/>
      <c r="AP564" s="105"/>
      <c r="AQ564" s="105"/>
      <c r="AR564" s="105"/>
      <c r="AS564" s="105"/>
      <c r="AT564" s="105"/>
      <c r="AU564" s="105"/>
      <c r="AV564" s="105"/>
      <c r="AW564" s="105"/>
      <c r="AX564" s="105"/>
      <c r="AY564" s="105"/>
      <c r="AZ564" s="105"/>
      <c r="BA564" s="105"/>
    </row>
    <row r="565">
      <c r="A565" s="105"/>
      <c r="B565" s="105"/>
      <c r="C565" s="105"/>
      <c r="D565" s="105"/>
      <c r="E565" s="105"/>
      <c r="F565" s="105"/>
      <c r="G565" s="105"/>
      <c r="H565" s="105"/>
      <c r="I565" s="505" t="b">
        <v>0</v>
      </c>
      <c r="J565" s="507" t="b">
        <v>0</v>
      </c>
      <c r="K565" s="112"/>
      <c r="L565" s="505" t="b">
        <v>0</v>
      </c>
      <c r="M565" s="504" t="b">
        <v>0</v>
      </c>
      <c r="N565" s="112"/>
      <c r="O565" s="505" t="b">
        <v>0</v>
      </c>
      <c r="P565" s="504" t="b">
        <v>0</v>
      </c>
      <c r="Q565" s="116"/>
      <c r="R565" s="505" t="b">
        <v>0</v>
      </c>
      <c r="S565" s="504" t="b">
        <v>0</v>
      </c>
      <c r="T565" s="117"/>
      <c r="U565" s="505" t="b">
        <v>0</v>
      </c>
      <c r="V565" s="504" t="b">
        <v>0</v>
      </c>
      <c r="W565" s="118"/>
      <c r="X565" s="505" t="b">
        <v>0</v>
      </c>
      <c r="Y565" s="504" t="b">
        <v>0</v>
      </c>
      <c r="Z565" s="119"/>
      <c r="AA565" s="505" t="b">
        <v>0</v>
      </c>
      <c r="AB565" s="504" t="b">
        <v>0</v>
      </c>
      <c r="AC565" s="121"/>
      <c r="AD565" s="505" t="b">
        <v>0</v>
      </c>
      <c r="AE565" s="504" t="b">
        <v>0</v>
      </c>
      <c r="AF565" s="125"/>
      <c r="AG565" s="505" t="b">
        <v>0</v>
      </c>
      <c r="AH565" s="504" t="b">
        <v>0</v>
      </c>
      <c r="AI565" s="105"/>
      <c r="AJ565" s="505" t="b">
        <v>0</v>
      </c>
      <c r="AK565" s="504" t="b">
        <v>0</v>
      </c>
      <c r="AL565" s="126"/>
      <c r="AM565" s="505" t="b">
        <v>0</v>
      </c>
      <c r="AN565" s="504" t="b">
        <v>0</v>
      </c>
      <c r="AO565" s="105"/>
      <c r="AP565" s="105"/>
      <c r="AQ565" s="105"/>
      <c r="AR565" s="105"/>
      <c r="AS565" s="105"/>
      <c r="AT565" s="105"/>
      <c r="AU565" s="105"/>
      <c r="AV565" s="105"/>
      <c r="AW565" s="105"/>
      <c r="AX565" s="105"/>
      <c r="AY565" s="105"/>
      <c r="AZ565" s="105"/>
      <c r="BA565" s="105"/>
    </row>
    <row r="566">
      <c r="A566" s="105"/>
      <c r="B566" s="105"/>
      <c r="C566" s="105"/>
      <c r="D566" s="105"/>
      <c r="E566" s="105"/>
      <c r="F566" s="105"/>
      <c r="G566" s="105"/>
      <c r="H566" s="105"/>
      <c r="I566" s="505" t="b">
        <v>0</v>
      </c>
      <c r="J566" s="507" t="b">
        <v>0</v>
      </c>
      <c r="K566" s="112"/>
      <c r="L566" s="505" t="b">
        <v>0</v>
      </c>
      <c r="M566" s="504" t="b">
        <v>0</v>
      </c>
      <c r="N566" s="112"/>
      <c r="O566" s="505" t="b">
        <v>0</v>
      </c>
      <c r="P566" s="504" t="b">
        <v>0</v>
      </c>
      <c r="Q566" s="116"/>
      <c r="R566" s="505" t="b">
        <v>0</v>
      </c>
      <c r="S566" s="504" t="b">
        <v>0</v>
      </c>
      <c r="T566" s="117"/>
      <c r="U566" s="505" t="b">
        <v>0</v>
      </c>
      <c r="V566" s="504" t="b">
        <v>0</v>
      </c>
      <c r="W566" s="118"/>
      <c r="X566" s="505" t="b">
        <v>0</v>
      </c>
      <c r="Y566" s="504" t="b">
        <v>0</v>
      </c>
      <c r="Z566" s="119"/>
      <c r="AA566" s="505" t="b">
        <v>0</v>
      </c>
      <c r="AB566" s="504" t="b">
        <v>0</v>
      </c>
      <c r="AC566" s="121"/>
      <c r="AD566" s="505" t="b">
        <v>0</v>
      </c>
      <c r="AE566" s="504" t="b">
        <v>0</v>
      </c>
      <c r="AF566" s="125"/>
      <c r="AG566" s="505" t="b">
        <v>0</v>
      </c>
      <c r="AH566" s="504" t="b">
        <v>0</v>
      </c>
      <c r="AI566" s="105"/>
      <c r="AJ566" s="505" t="b">
        <v>0</v>
      </c>
      <c r="AK566" s="504" t="b">
        <v>0</v>
      </c>
      <c r="AL566" s="126"/>
      <c r="AM566" s="505" t="b">
        <v>0</v>
      </c>
      <c r="AN566" s="504" t="b">
        <v>0</v>
      </c>
      <c r="AO566" s="105"/>
      <c r="AP566" s="105"/>
      <c r="AQ566" s="105"/>
      <c r="AR566" s="105"/>
      <c r="AS566" s="105"/>
      <c r="AT566" s="105"/>
      <c r="AU566" s="105"/>
      <c r="AV566" s="105"/>
      <c r="AW566" s="105"/>
      <c r="AX566" s="105"/>
      <c r="AY566" s="105"/>
      <c r="AZ566" s="105"/>
      <c r="BA566" s="105"/>
    </row>
    <row r="567">
      <c r="A567" s="105"/>
      <c r="B567" s="105"/>
      <c r="C567" s="105"/>
      <c r="D567" s="105"/>
      <c r="E567" s="105"/>
      <c r="F567" s="105"/>
      <c r="G567" s="105"/>
      <c r="H567" s="105"/>
      <c r="I567" s="505" t="b">
        <v>0</v>
      </c>
      <c r="J567" s="507" t="b">
        <v>0</v>
      </c>
      <c r="K567" s="112"/>
      <c r="L567" s="505" t="b">
        <v>0</v>
      </c>
      <c r="M567" s="504" t="b">
        <v>0</v>
      </c>
      <c r="N567" s="112"/>
      <c r="O567" s="505" t="b">
        <v>0</v>
      </c>
      <c r="P567" s="504" t="b">
        <v>0</v>
      </c>
      <c r="Q567" s="116"/>
      <c r="R567" s="505" t="b">
        <v>0</v>
      </c>
      <c r="S567" s="504" t="b">
        <v>0</v>
      </c>
      <c r="T567" s="117"/>
      <c r="U567" s="505" t="b">
        <v>0</v>
      </c>
      <c r="V567" s="504" t="b">
        <v>0</v>
      </c>
      <c r="W567" s="118"/>
      <c r="X567" s="505" t="b">
        <v>0</v>
      </c>
      <c r="Y567" s="504" t="b">
        <v>0</v>
      </c>
      <c r="Z567" s="119"/>
      <c r="AA567" s="505" t="b">
        <v>0</v>
      </c>
      <c r="AB567" s="504" t="b">
        <v>0</v>
      </c>
      <c r="AC567" s="121"/>
      <c r="AD567" s="505" t="b">
        <v>0</v>
      </c>
      <c r="AE567" s="504" t="b">
        <v>0</v>
      </c>
      <c r="AF567" s="125"/>
      <c r="AG567" s="505" t="b">
        <v>0</v>
      </c>
      <c r="AH567" s="504" t="b">
        <v>0</v>
      </c>
      <c r="AI567" s="105"/>
      <c r="AJ567" s="505" t="b">
        <v>0</v>
      </c>
      <c r="AK567" s="504" t="b">
        <v>0</v>
      </c>
      <c r="AL567" s="126"/>
      <c r="AM567" s="505" t="b">
        <v>0</v>
      </c>
      <c r="AN567" s="504" t="b">
        <v>0</v>
      </c>
      <c r="AO567" s="105"/>
      <c r="AP567" s="105"/>
      <c r="AQ567" s="105"/>
      <c r="AR567" s="105"/>
      <c r="AS567" s="105"/>
      <c r="AT567" s="105"/>
      <c r="AU567" s="105"/>
      <c r="AV567" s="105"/>
      <c r="AW567" s="105"/>
      <c r="AX567" s="105"/>
      <c r="AY567" s="105"/>
      <c r="AZ567" s="105"/>
      <c r="BA567" s="105"/>
    </row>
    <row r="568">
      <c r="A568" s="105"/>
      <c r="B568" s="105"/>
      <c r="C568" s="105"/>
      <c r="D568" s="105"/>
      <c r="E568" s="105"/>
      <c r="F568" s="105"/>
      <c r="G568" s="105"/>
      <c r="H568" s="105"/>
      <c r="I568" s="505" t="b">
        <v>0</v>
      </c>
      <c r="J568" s="507" t="b">
        <v>0</v>
      </c>
      <c r="K568" s="112"/>
      <c r="L568" s="505" t="b">
        <v>0</v>
      </c>
      <c r="M568" s="504" t="b">
        <v>0</v>
      </c>
      <c r="N568" s="112"/>
      <c r="O568" s="505" t="b">
        <v>0</v>
      </c>
      <c r="P568" s="504" t="b">
        <v>0</v>
      </c>
      <c r="Q568" s="116"/>
      <c r="R568" s="505" t="b">
        <v>0</v>
      </c>
      <c r="S568" s="504" t="b">
        <v>0</v>
      </c>
      <c r="T568" s="117"/>
      <c r="U568" s="505" t="b">
        <v>0</v>
      </c>
      <c r="V568" s="504" t="b">
        <v>0</v>
      </c>
      <c r="W568" s="118"/>
      <c r="X568" s="505" t="b">
        <v>0</v>
      </c>
      <c r="Y568" s="504" t="b">
        <v>0</v>
      </c>
      <c r="Z568" s="119"/>
      <c r="AA568" s="505" t="b">
        <v>0</v>
      </c>
      <c r="AB568" s="504" t="b">
        <v>0</v>
      </c>
      <c r="AC568" s="121"/>
      <c r="AD568" s="505" t="b">
        <v>0</v>
      </c>
      <c r="AE568" s="504" t="b">
        <v>0</v>
      </c>
      <c r="AF568" s="125"/>
      <c r="AG568" s="505" t="b">
        <v>0</v>
      </c>
      <c r="AH568" s="504" t="b">
        <v>0</v>
      </c>
      <c r="AI568" s="105"/>
      <c r="AJ568" s="505" t="b">
        <v>0</v>
      </c>
      <c r="AK568" s="504" t="b">
        <v>0</v>
      </c>
      <c r="AL568" s="126"/>
      <c r="AM568" s="505" t="b">
        <v>0</v>
      </c>
      <c r="AN568" s="504" t="b">
        <v>0</v>
      </c>
      <c r="AO568" s="105"/>
      <c r="AP568" s="105"/>
      <c r="AQ568" s="105"/>
      <c r="AR568" s="105"/>
      <c r="AS568" s="105"/>
      <c r="AT568" s="105"/>
      <c r="AU568" s="105"/>
      <c r="AV568" s="105"/>
      <c r="AW568" s="105"/>
      <c r="AX568" s="105"/>
      <c r="AY568" s="105"/>
      <c r="AZ568" s="105"/>
      <c r="BA568" s="105"/>
    </row>
    <row r="569">
      <c r="A569" s="105"/>
      <c r="B569" s="105"/>
      <c r="C569" s="105"/>
      <c r="D569" s="105"/>
      <c r="E569" s="105"/>
      <c r="F569" s="105"/>
      <c r="G569" s="105"/>
      <c r="H569" s="105"/>
      <c r="I569" s="505" t="b">
        <v>0</v>
      </c>
      <c r="J569" s="507" t="b">
        <v>0</v>
      </c>
      <c r="K569" s="112"/>
      <c r="L569" s="505" t="b">
        <v>0</v>
      </c>
      <c r="M569" s="504" t="b">
        <v>0</v>
      </c>
      <c r="N569" s="112"/>
      <c r="O569" s="505" t="b">
        <v>0</v>
      </c>
      <c r="P569" s="504" t="b">
        <v>0</v>
      </c>
      <c r="Q569" s="116"/>
      <c r="R569" s="505" t="b">
        <v>0</v>
      </c>
      <c r="S569" s="504" t="b">
        <v>0</v>
      </c>
      <c r="T569" s="117"/>
      <c r="U569" s="505" t="b">
        <v>0</v>
      </c>
      <c r="V569" s="504" t="b">
        <v>0</v>
      </c>
      <c r="W569" s="118"/>
      <c r="X569" s="505" t="b">
        <v>0</v>
      </c>
      <c r="Y569" s="504" t="b">
        <v>0</v>
      </c>
      <c r="Z569" s="119"/>
      <c r="AA569" s="505" t="b">
        <v>0</v>
      </c>
      <c r="AB569" s="504" t="b">
        <v>0</v>
      </c>
      <c r="AC569" s="121"/>
      <c r="AD569" s="505" t="b">
        <v>0</v>
      </c>
      <c r="AE569" s="504" t="b">
        <v>0</v>
      </c>
      <c r="AF569" s="125"/>
      <c r="AG569" s="505" t="b">
        <v>0</v>
      </c>
      <c r="AH569" s="504" t="b">
        <v>0</v>
      </c>
      <c r="AI569" s="105"/>
      <c r="AJ569" s="505" t="b">
        <v>0</v>
      </c>
      <c r="AK569" s="504" t="b">
        <v>0</v>
      </c>
      <c r="AL569" s="126"/>
      <c r="AM569" s="505" t="b">
        <v>0</v>
      </c>
      <c r="AN569" s="504" t="b">
        <v>0</v>
      </c>
      <c r="AO569" s="105"/>
      <c r="AP569" s="105"/>
      <c r="AQ569" s="105"/>
      <c r="AR569" s="105"/>
      <c r="AS569" s="105"/>
      <c r="AT569" s="105"/>
      <c r="AU569" s="105"/>
      <c r="AV569" s="105"/>
      <c r="AW569" s="105"/>
      <c r="AX569" s="105"/>
      <c r="AY569" s="105"/>
      <c r="AZ569" s="105"/>
      <c r="BA569" s="105"/>
    </row>
    <row r="570">
      <c r="A570" s="105"/>
      <c r="B570" s="105"/>
      <c r="C570" s="105"/>
      <c r="D570" s="105"/>
      <c r="E570" s="105"/>
      <c r="F570" s="105"/>
      <c r="G570" s="105"/>
      <c r="H570" s="105"/>
      <c r="I570" s="505" t="b">
        <v>0</v>
      </c>
      <c r="J570" s="507" t="b">
        <v>0</v>
      </c>
      <c r="K570" s="112"/>
      <c r="L570" s="505" t="b">
        <v>0</v>
      </c>
      <c r="M570" s="504" t="b">
        <v>0</v>
      </c>
      <c r="N570" s="112"/>
      <c r="O570" s="505" t="b">
        <v>0</v>
      </c>
      <c r="P570" s="504" t="b">
        <v>0</v>
      </c>
      <c r="Q570" s="116"/>
      <c r="R570" s="505" t="b">
        <v>0</v>
      </c>
      <c r="S570" s="504" t="b">
        <v>0</v>
      </c>
      <c r="T570" s="117"/>
      <c r="U570" s="505" t="b">
        <v>0</v>
      </c>
      <c r="V570" s="504" t="b">
        <v>0</v>
      </c>
      <c r="W570" s="118"/>
      <c r="X570" s="505" t="b">
        <v>0</v>
      </c>
      <c r="Y570" s="504" t="b">
        <v>0</v>
      </c>
      <c r="Z570" s="119"/>
      <c r="AA570" s="505" t="b">
        <v>0</v>
      </c>
      <c r="AB570" s="504" t="b">
        <v>0</v>
      </c>
      <c r="AC570" s="121"/>
      <c r="AD570" s="505" t="b">
        <v>0</v>
      </c>
      <c r="AE570" s="504" t="b">
        <v>0</v>
      </c>
      <c r="AF570" s="125"/>
      <c r="AG570" s="505" t="b">
        <v>0</v>
      </c>
      <c r="AH570" s="504" t="b">
        <v>0</v>
      </c>
      <c r="AI570" s="105"/>
      <c r="AJ570" s="505" t="b">
        <v>0</v>
      </c>
      <c r="AK570" s="504" t="b">
        <v>0</v>
      </c>
      <c r="AL570" s="126"/>
      <c r="AM570" s="505" t="b">
        <v>0</v>
      </c>
      <c r="AN570" s="504" t="b">
        <v>0</v>
      </c>
      <c r="AO570" s="105"/>
      <c r="AP570" s="105"/>
      <c r="AQ570" s="105"/>
      <c r="AR570" s="105"/>
      <c r="AS570" s="105"/>
      <c r="AT570" s="105"/>
      <c r="AU570" s="105"/>
      <c r="AV570" s="105"/>
      <c r="AW570" s="105"/>
      <c r="AX570" s="105"/>
      <c r="AY570" s="105"/>
      <c r="AZ570" s="105"/>
      <c r="BA570" s="105"/>
    </row>
    <row r="571">
      <c r="A571" s="105"/>
      <c r="B571" s="105"/>
      <c r="C571" s="105"/>
      <c r="D571" s="105"/>
      <c r="E571" s="105"/>
      <c r="F571" s="105"/>
      <c r="G571" s="105"/>
      <c r="H571" s="105"/>
      <c r="I571" s="505" t="b">
        <v>0</v>
      </c>
      <c r="J571" s="507" t="b">
        <v>0</v>
      </c>
      <c r="K571" s="112"/>
      <c r="L571" s="505" t="b">
        <v>0</v>
      </c>
      <c r="M571" s="504" t="b">
        <v>0</v>
      </c>
      <c r="N571" s="112"/>
      <c r="O571" s="505" t="b">
        <v>0</v>
      </c>
      <c r="P571" s="504" t="b">
        <v>0</v>
      </c>
      <c r="Q571" s="116"/>
      <c r="R571" s="505" t="b">
        <v>0</v>
      </c>
      <c r="S571" s="504" t="b">
        <v>0</v>
      </c>
      <c r="T571" s="117"/>
      <c r="U571" s="505" t="b">
        <v>0</v>
      </c>
      <c r="V571" s="504" t="b">
        <v>0</v>
      </c>
      <c r="W571" s="118"/>
      <c r="X571" s="505" t="b">
        <v>0</v>
      </c>
      <c r="Y571" s="504" t="b">
        <v>0</v>
      </c>
      <c r="Z571" s="119"/>
      <c r="AA571" s="505" t="b">
        <v>0</v>
      </c>
      <c r="AB571" s="504" t="b">
        <v>0</v>
      </c>
      <c r="AC571" s="121"/>
      <c r="AD571" s="505" t="b">
        <v>0</v>
      </c>
      <c r="AE571" s="504" t="b">
        <v>0</v>
      </c>
      <c r="AF571" s="125"/>
      <c r="AG571" s="505" t="b">
        <v>0</v>
      </c>
      <c r="AH571" s="504" t="b">
        <v>0</v>
      </c>
      <c r="AI571" s="105"/>
      <c r="AJ571" s="505" t="b">
        <v>0</v>
      </c>
      <c r="AK571" s="504" t="b">
        <v>0</v>
      </c>
      <c r="AL571" s="126"/>
      <c r="AM571" s="505" t="b">
        <v>0</v>
      </c>
      <c r="AN571" s="504" t="b">
        <v>0</v>
      </c>
      <c r="AO571" s="105"/>
      <c r="AP571" s="105"/>
      <c r="AQ571" s="105"/>
      <c r="AR571" s="105"/>
      <c r="AS571" s="105"/>
      <c r="AT571" s="105"/>
      <c r="AU571" s="105"/>
      <c r="AV571" s="105"/>
      <c r="AW571" s="105"/>
      <c r="AX571" s="105"/>
      <c r="AY571" s="105"/>
      <c r="AZ571" s="105"/>
      <c r="BA571" s="105"/>
    </row>
    <row r="572">
      <c r="A572" s="105"/>
      <c r="B572" s="105"/>
      <c r="C572" s="105"/>
      <c r="D572" s="105"/>
      <c r="E572" s="105"/>
      <c r="F572" s="105"/>
      <c r="G572" s="105"/>
      <c r="H572" s="105"/>
      <c r="I572" s="505" t="b">
        <v>0</v>
      </c>
      <c r="J572" s="507" t="b">
        <v>0</v>
      </c>
      <c r="K572" s="112"/>
      <c r="L572" s="505" t="b">
        <v>0</v>
      </c>
      <c r="M572" s="504" t="b">
        <v>0</v>
      </c>
      <c r="N572" s="112"/>
      <c r="O572" s="505" t="b">
        <v>0</v>
      </c>
      <c r="P572" s="504" t="b">
        <v>0</v>
      </c>
      <c r="Q572" s="116"/>
      <c r="R572" s="505" t="b">
        <v>0</v>
      </c>
      <c r="S572" s="504" t="b">
        <v>0</v>
      </c>
      <c r="T572" s="117"/>
      <c r="U572" s="505" t="b">
        <v>0</v>
      </c>
      <c r="V572" s="504" t="b">
        <v>0</v>
      </c>
      <c r="W572" s="118"/>
      <c r="X572" s="505" t="b">
        <v>0</v>
      </c>
      <c r="Y572" s="504" t="b">
        <v>0</v>
      </c>
      <c r="Z572" s="119"/>
      <c r="AA572" s="505" t="b">
        <v>0</v>
      </c>
      <c r="AB572" s="504" t="b">
        <v>0</v>
      </c>
      <c r="AC572" s="121"/>
      <c r="AD572" s="505" t="b">
        <v>0</v>
      </c>
      <c r="AE572" s="504" t="b">
        <v>0</v>
      </c>
      <c r="AF572" s="125"/>
      <c r="AG572" s="505" t="b">
        <v>0</v>
      </c>
      <c r="AH572" s="504" t="b">
        <v>0</v>
      </c>
      <c r="AI572" s="105"/>
      <c r="AJ572" s="505" t="b">
        <v>0</v>
      </c>
      <c r="AK572" s="504" t="b">
        <v>0</v>
      </c>
      <c r="AL572" s="126"/>
      <c r="AM572" s="505" t="b">
        <v>0</v>
      </c>
      <c r="AN572" s="504" t="b">
        <v>0</v>
      </c>
      <c r="AO572" s="105"/>
      <c r="AP572" s="105"/>
      <c r="AQ572" s="105"/>
      <c r="AR572" s="105"/>
      <c r="AS572" s="105"/>
      <c r="AT572" s="105"/>
      <c r="AU572" s="105"/>
      <c r="AV572" s="105"/>
      <c r="AW572" s="105"/>
      <c r="AX572" s="105"/>
      <c r="AY572" s="105"/>
      <c r="AZ572" s="105"/>
      <c r="BA572" s="105"/>
    </row>
    <row r="573">
      <c r="A573" s="105"/>
      <c r="B573" s="105"/>
      <c r="C573" s="105"/>
      <c r="D573" s="105"/>
      <c r="E573" s="105"/>
      <c r="F573" s="105"/>
      <c r="G573" s="105"/>
      <c r="H573" s="105"/>
      <c r="I573" s="505" t="b">
        <v>0</v>
      </c>
      <c r="J573" s="507" t="b">
        <v>0</v>
      </c>
      <c r="K573" s="112"/>
      <c r="L573" s="505" t="b">
        <v>0</v>
      </c>
      <c r="M573" s="504" t="b">
        <v>0</v>
      </c>
      <c r="N573" s="112"/>
      <c r="O573" s="505" t="b">
        <v>0</v>
      </c>
      <c r="P573" s="504" t="b">
        <v>0</v>
      </c>
      <c r="Q573" s="116"/>
      <c r="R573" s="505" t="b">
        <v>0</v>
      </c>
      <c r="S573" s="504" t="b">
        <v>0</v>
      </c>
      <c r="T573" s="117"/>
      <c r="U573" s="505" t="b">
        <v>0</v>
      </c>
      <c r="V573" s="504" t="b">
        <v>0</v>
      </c>
      <c r="W573" s="118"/>
      <c r="X573" s="505" t="b">
        <v>0</v>
      </c>
      <c r="Y573" s="504" t="b">
        <v>0</v>
      </c>
      <c r="Z573" s="119"/>
      <c r="AA573" s="505" t="b">
        <v>0</v>
      </c>
      <c r="AB573" s="504" t="b">
        <v>0</v>
      </c>
      <c r="AC573" s="121"/>
      <c r="AD573" s="505" t="b">
        <v>0</v>
      </c>
      <c r="AE573" s="504" t="b">
        <v>0</v>
      </c>
      <c r="AF573" s="125"/>
      <c r="AG573" s="505" t="b">
        <v>0</v>
      </c>
      <c r="AH573" s="504" t="b">
        <v>0</v>
      </c>
      <c r="AI573" s="105"/>
      <c r="AJ573" s="505" t="b">
        <v>0</v>
      </c>
      <c r="AK573" s="504" t="b">
        <v>0</v>
      </c>
      <c r="AL573" s="126"/>
      <c r="AM573" s="505" t="b">
        <v>0</v>
      </c>
      <c r="AN573" s="504" t="b">
        <v>0</v>
      </c>
      <c r="AO573" s="105"/>
      <c r="AP573" s="105"/>
      <c r="AQ573" s="105"/>
      <c r="AR573" s="105"/>
      <c r="AS573" s="105"/>
      <c r="AT573" s="105"/>
      <c r="AU573" s="105"/>
      <c r="AV573" s="105"/>
      <c r="AW573" s="105"/>
      <c r="AX573" s="105"/>
      <c r="AY573" s="105"/>
      <c r="AZ573" s="105"/>
      <c r="BA573" s="105"/>
    </row>
    <row r="574">
      <c r="A574" s="105"/>
      <c r="B574" s="105"/>
      <c r="C574" s="105"/>
      <c r="D574" s="105"/>
      <c r="E574" s="105"/>
      <c r="F574" s="105"/>
      <c r="G574" s="105"/>
      <c r="H574" s="105"/>
      <c r="I574" s="505" t="b">
        <v>0</v>
      </c>
      <c r="J574" s="507" t="b">
        <v>0</v>
      </c>
      <c r="K574" s="112"/>
      <c r="L574" s="505" t="b">
        <v>0</v>
      </c>
      <c r="M574" s="504" t="b">
        <v>0</v>
      </c>
      <c r="N574" s="112"/>
      <c r="O574" s="505" t="b">
        <v>0</v>
      </c>
      <c r="P574" s="504" t="b">
        <v>0</v>
      </c>
      <c r="Q574" s="116"/>
      <c r="R574" s="505" t="b">
        <v>0</v>
      </c>
      <c r="S574" s="504" t="b">
        <v>0</v>
      </c>
      <c r="T574" s="117"/>
      <c r="U574" s="505" t="b">
        <v>0</v>
      </c>
      <c r="V574" s="504" t="b">
        <v>0</v>
      </c>
      <c r="W574" s="118"/>
      <c r="X574" s="505" t="b">
        <v>0</v>
      </c>
      <c r="Y574" s="504" t="b">
        <v>0</v>
      </c>
      <c r="Z574" s="119"/>
      <c r="AA574" s="505" t="b">
        <v>0</v>
      </c>
      <c r="AB574" s="504" t="b">
        <v>0</v>
      </c>
      <c r="AC574" s="121"/>
      <c r="AD574" s="505" t="b">
        <v>0</v>
      </c>
      <c r="AE574" s="504" t="b">
        <v>0</v>
      </c>
      <c r="AF574" s="125"/>
      <c r="AG574" s="505" t="b">
        <v>0</v>
      </c>
      <c r="AH574" s="504" t="b">
        <v>0</v>
      </c>
      <c r="AI574" s="105"/>
      <c r="AJ574" s="505" t="b">
        <v>0</v>
      </c>
      <c r="AK574" s="504" t="b">
        <v>0</v>
      </c>
      <c r="AL574" s="126"/>
      <c r="AM574" s="505" t="b">
        <v>0</v>
      </c>
      <c r="AN574" s="504" t="b">
        <v>0</v>
      </c>
      <c r="AO574" s="105"/>
      <c r="AP574" s="105"/>
      <c r="AQ574" s="105"/>
      <c r="AR574" s="105"/>
      <c r="AS574" s="105"/>
      <c r="AT574" s="105"/>
      <c r="AU574" s="105"/>
      <c r="AV574" s="105"/>
      <c r="AW574" s="105"/>
      <c r="AX574" s="105"/>
      <c r="AY574" s="105"/>
      <c r="AZ574" s="105"/>
      <c r="BA574" s="105"/>
    </row>
    <row r="575">
      <c r="A575" s="105"/>
      <c r="B575" s="105"/>
      <c r="C575" s="105"/>
      <c r="D575" s="105"/>
      <c r="E575" s="105"/>
      <c r="F575" s="105"/>
      <c r="G575" s="105"/>
      <c r="H575" s="105"/>
      <c r="I575" s="505" t="b">
        <v>0</v>
      </c>
      <c r="J575" s="507" t="b">
        <v>0</v>
      </c>
      <c r="K575" s="112"/>
      <c r="L575" s="505" t="b">
        <v>0</v>
      </c>
      <c r="M575" s="504" t="b">
        <v>0</v>
      </c>
      <c r="N575" s="112"/>
      <c r="O575" s="505" t="b">
        <v>0</v>
      </c>
      <c r="P575" s="504" t="b">
        <v>0</v>
      </c>
      <c r="Q575" s="116"/>
      <c r="R575" s="505" t="b">
        <v>0</v>
      </c>
      <c r="S575" s="504" t="b">
        <v>0</v>
      </c>
      <c r="T575" s="117"/>
      <c r="U575" s="505" t="b">
        <v>0</v>
      </c>
      <c r="V575" s="504" t="b">
        <v>0</v>
      </c>
      <c r="W575" s="118"/>
      <c r="X575" s="505" t="b">
        <v>0</v>
      </c>
      <c r="Y575" s="504" t="b">
        <v>0</v>
      </c>
      <c r="Z575" s="119"/>
      <c r="AA575" s="505" t="b">
        <v>0</v>
      </c>
      <c r="AB575" s="504" t="b">
        <v>0</v>
      </c>
      <c r="AC575" s="121"/>
      <c r="AD575" s="505" t="b">
        <v>0</v>
      </c>
      <c r="AE575" s="504" t="b">
        <v>0</v>
      </c>
      <c r="AF575" s="125"/>
      <c r="AG575" s="505" t="b">
        <v>0</v>
      </c>
      <c r="AH575" s="504" t="b">
        <v>0</v>
      </c>
      <c r="AI575" s="105"/>
      <c r="AJ575" s="505" t="b">
        <v>0</v>
      </c>
      <c r="AK575" s="504" t="b">
        <v>0</v>
      </c>
      <c r="AL575" s="126"/>
      <c r="AM575" s="505" t="b">
        <v>0</v>
      </c>
      <c r="AN575" s="504" t="b">
        <v>0</v>
      </c>
      <c r="AO575" s="105"/>
      <c r="AP575" s="105"/>
      <c r="AQ575" s="105"/>
      <c r="AR575" s="105"/>
      <c r="AS575" s="105"/>
      <c r="AT575" s="105"/>
      <c r="AU575" s="105"/>
      <c r="AV575" s="105"/>
      <c r="AW575" s="105"/>
      <c r="AX575" s="105"/>
      <c r="AY575" s="105"/>
      <c r="AZ575" s="105"/>
      <c r="BA575" s="105"/>
    </row>
    <row r="576">
      <c r="A576" s="105"/>
      <c r="B576" s="105"/>
      <c r="C576" s="105"/>
      <c r="D576" s="105"/>
      <c r="E576" s="105"/>
      <c r="F576" s="105"/>
      <c r="G576" s="105"/>
      <c r="H576" s="105"/>
      <c r="I576" s="505" t="b">
        <v>0</v>
      </c>
      <c r="J576" s="507" t="b">
        <v>0</v>
      </c>
      <c r="K576" s="112"/>
      <c r="L576" s="505" t="b">
        <v>0</v>
      </c>
      <c r="M576" s="504" t="b">
        <v>0</v>
      </c>
      <c r="N576" s="112"/>
      <c r="O576" s="505" t="b">
        <v>0</v>
      </c>
      <c r="P576" s="504" t="b">
        <v>0</v>
      </c>
      <c r="Q576" s="116"/>
      <c r="R576" s="505" t="b">
        <v>0</v>
      </c>
      <c r="S576" s="504" t="b">
        <v>0</v>
      </c>
      <c r="T576" s="117"/>
      <c r="U576" s="505" t="b">
        <v>0</v>
      </c>
      <c r="V576" s="504" t="b">
        <v>0</v>
      </c>
      <c r="W576" s="118"/>
      <c r="X576" s="505" t="b">
        <v>0</v>
      </c>
      <c r="Y576" s="504" t="b">
        <v>0</v>
      </c>
      <c r="Z576" s="119"/>
      <c r="AA576" s="505" t="b">
        <v>0</v>
      </c>
      <c r="AB576" s="504" t="b">
        <v>0</v>
      </c>
      <c r="AC576" s="121"/>
      <c r="AD576" s="505" t="b">
        <v>0</v>
      </c>
      <c r="AE576" s="504" t="b">
        <v>0</v>
      </c>
      <c r="AF576" s="125"/>
      <c r="AG576" s="505" t="b">
        <v>0</v>
      </c>
      <c r="AH576" s="504" t="b">
        <v>0</v>
      </c>
      <c r="AI576" s="105"/>
      <c r="AJ576" s="505" t="b">
        <v>0</v>
      </c>
      <c r="AK576" s="504" t="b">
        <v>0</v>
      </c>
      <c r="AL576" s="126"/>
      <c r="AM576" s="505" t="b">
        <v>0</v>
      </c>
      <c r="AN576" s="504" t="b">
        <v>0</v>
      </c>
      <c r="AO576" s="105"/>
      <c r="AP576" s="105"/>
      <c r="AQ576" s="105"/>
      <c r="AR576" s="105"/>
      <c r="AS576" s="105"/>
      <c r="AT576" s="105"/>
      <c r="AU576" s="105"/>
      <c r="AV576" s="105"/>
      <c r="AW576" s="105"/>
      <c r="AX576" s="105"/>
      <c r="AY576" s="105"/>
      <c r="AZ576" s="105"/>
      <c r="BA576" s="105"/>
    </row>
    <row r="577">
      <c r="A577" s="105"/>
      <c r="B577" s="105"/>
      <c r="C577" s="105"/>
      <c r="D577" s="105"/>
      <c r="E577" s="105"/>
      <c r="F577" s="105"/>
      <c r="G577" s="105"/>
      <c r="H577" s="105"/>
      <c r="I577" s="505" t="b">
        <v>0</v>
      </c>
      <c r="J577" s="507" t="b">
        <v>0</v>
      </c>
      <c r="K577" s="112"/>
      <c r="L577" s="505" t="b">
        <v>0</v>
      </c>
      <c r="M577" s="504" t="b">
        <v>0</v>
      </c>
      <c r="N577" s="112"/>
      <c r="O577" s="505" t="b">
        <v>0</v>
      </c>
      <c r="P577" s="504" t="b">
        <v>0</v>
      </c>
      <c r="Q577" s="116"/>
      <c r="R577" s="505" t="b">
        <v>0</v>
      </c>
      <c r="S577" s="504" t="b">
        <v>0</v>
      </c>
      <c r="T577" s="117"/>
      <c r="U577" s="505" t="b">
        <v>0</v>
      </c>
      <c r="V577" s="504" t="b">
        <v>0</v>
      </c>
      <c r="W577" s="118"/>
      <c r="X577" s="505" t="b">
        <v>0</v>
      </c>
      <c r="Y577" s="504" t="b">
        <v>0</v>
      </c>
      <c r="Z577" s="119"/>
      <c r="AA577" s="505" t="b">
        <v>0</v>
      </c>
      <c r="AB577" s="504" t="b">
        <v>0</v>
      </c>
      <c r="AC577" s="121"/>
      <c r="AD577" s="505" t="b">
        <v>0</v>
      </c>
      <c r="AE577" s="504" t="b">
        <v>0</v>
      </c>
      <c r="AF577" s="125"/>
      <c r="AG577" s="505" t="b">
        <v>0</v>
      </c>
      <c r="AH577" s="504" t="b">
        <v>0</v>
      </c>
      <c r="AI577" s="105"/>
      <c r="AJ577" s="505" t="b">
        <v>0</v>
      </c>
      <c r="AK577" s="504" t="b">
        <v>0</v>
      </c>
      <c r="AL577" s="126"/>
      <c r="AM577" s="505" t="b">
        <v>0</v>
      </c>
      <c r="AN577" s="504" t="b">
        <v>0</v>
      </c>
      <c r="AO577" s="105"/>
      <c r="AP577" s="105"/>
      <c r="AQ577" s="105"/>
      <c r="AR577" s="105"/>
      <c r="AS577" s="105"/>
      <c r="AT577" s="105"/>
      <c r="AU577" s="105"/>
      <c r="AV577" s="105"/>
      <c r="AW577" s="105"/>
      <c r="AX577" s="105"/>
      <c r="AY577" s="105"/>
      <c r="AZ577" s="105"/>
      <c r="BA577" s="105"/>
    </row>
    <row r="578">
      <c r="A578" s="105"/>
      <c r="B578" s="105"/>
      <c r="C578" s="105"/>
      <c r="D578" s="105"/>
      <c r="E578" s="105"/>
      <c r="F578" s="105"/>
      <c r="G578" s="105"/>
      <c r="H578" s="105"/>
      <c r="I578" s="505" t="b">
        <v>0</v>
      </c>
      <c r="J578" s="507" t="b">
        <v>0</v>
      </c>
      <c r="K578" s="112"/>
      <c r="L578" s="505" t="b">
        <v>0</v>
      </c>
      <c r="M578" s="504" t="b">
        <v>0</v>
      </c>
      <c r="N578" s="112"/>
      <c r="O578" s="505" t="b">
        <v>0</v>
      </c>
      <c r="P578" s="504" t="b">
        <v>0</v>
      </c>
      <c r="Q578" s="116"/>
      <c r="R578" s="505" t="b">
        <v>0</v>
      </c>
      <c r="S578" s="504" t="b">
        <v>0</v>
      </c>
      <c r="T578" s="117"/>
      <c r="U578" s="505" t="b">
        <v>0</v>
      </c>
      <c r="V578" s="504" t="b">
        <v>0</v>
      </c>
      <c r="W578" s="118"/>
      <c r="X578" s="505" t="b">
        <v>0</v>
      </c>
      <c r="Y578" s="504" t="b">
        <v>0</v>
      </c>
      <c r="Z578" s="119"/>
      <c r="AA578" s="505" t="b">
        <v>0</v>
      </c>
      <c r="AB578" s="504" t="b">
        <v>0</v>
      </c>
      <c r="AC578" s="121"/>
      <c r="AD578" s="505" t="b">
        <v>0</v>
      </c>
      <c r="AE578" s="504" t="b">
        <v>0</v>
      </c>
      <c r="AF578" s="125"/>
      <c r="AG578" s="505" t="b">
        <v>0</v>
      </c>
      <c r="AH578" s="504" t="b">
        <v>0</v>
      </c>
      <c r="AI578" s="105"/>
      <c r="AJ578" s="505" t="b">
        <v>0</v>
      </c>
      <c r="AK578" s="504" t="b">
        <v>0</v>
      </c>
      <c r="AL578" s="126"/>
      <c r="AM578" s="505" t="b">
        <v>0</v>
      </c>
      <c r="AN578" s="504" t="b">
        <v>0</v>
      </c>
      <c r="AO578" s="105"/>
      <c r="AP578" s="105"/>
      <c r="AQ578" s="105"/>
      <c r="AR578" s="105"/>
      <c r="AS578" s="105"/>
      <c r="AT578" s="105"/>
      <c r="AU578" s="105"/>
      <c r="AV578" s="105"/>
      <c r="AW578" s="105"/>
      <c r="AX578" s="105"/>
      <c r="AY578" s="105"/>
      <c r="AZ578" s="105"/>
      <c r="BA578" s="105"/>
    </row>
    <row r="579">
      <c r="A579" s="105"/>
      <c r="B579" s="105"/>
      <c r="C579" s="105"/>
      <c r="D579" s="105"/>
      <c r="E579" s="105"/>
      <c r="F579" s="105"/>
      <c r="G579" s="105"/>
      <c r="H579" s="105"/>
      <c r="I579" s="505" t="b">
        <v>0</v>
      </c>
      <c r="J579" s="507" t="b">
        <v>0</v>
      </c>
      <c r="K579" s="112"/>
      <c r="L579" s="505" t="b">
        <v>0</v>
      </c>
      <c r="M579" s="504" t="b">
        <v>0</v>
      </c>
      <c r="N579" s="112"/>
      <c r="O579" s="505" t="b">
        <v>0</v>
      </c>
      <c r="P579" s="504" t="b">
        <v>0</v>
      </c>
      <c r="Q579" s="116"/>
      <c r="R579" s="505" t="b">
        <v>0</v>
      </c>
      <c r="S579" s="504" t="b">
        <v>0</v>
      </c>
      <c r="T579" s="117"/>
      <c r="U579" s="505" t="b">
        <v>0</v>
      </c>
      <c r="V579" s="504" t="b">
        <v>0</v>
      </c>
      <c r="W579" s="118"/>
      <c r="X579" s="505" t="b">
        <v>0</v>
      </c>
      <c r="Y579" s="504" t="b">
        <v>0</v>
      </c>
      <c r="Z579" s="119"/>
      <c r="AA579" s="505" t="b">
        <v>0</v>
      </c>
      <c r="AB579" s="504" t="b">
        <v>0</v>
      </c>
      <c r="AC579" s="121"/>
      <c r="AD579" s="505" t="b">
        <v>0</v>
      </c>
      <c r="AE579" s="504" t="b">
        <v>0</v>
      </c>
      <c r="AF579" s="125"/>
      <c r="AG579" s="505" t="b">
        <v>0</v>
      </c>
      <c r="AH579" s="504" t="b">
        <v>0</v>
      </c>
      <c r="AI579" s="105"/>
      <c r="AJ579" s="505" t="b">
        <v>0</v>
      </c>
      <c r="AK579" s="504" t="b">
        <v>0</v>
      </c>
      <c r="AL579" s="126"/>
      <c r="AM579" s="505" t="b">
        <v>0</v>
      </c>
      <c r="AN579" s="504" t="b">
        <v>0</v>
      </c>
      <c r="AO579" s="105"/>
      <c r="AP579" s="105"/>
      <c r="AQ579" s="105"/>
      <c r="AR579" s="105"/>
      <c r="AS579" s="105"/>
      <c r="AT579" s="105"/>
      <c r="AU579" s="105"/>
      <c r="AV579" s="105"/>
      <c r="AW579" s="105"/>
      <c r="AX579" s="105"/>
      <c r="AY579" s="105"/>
      <c r="AZ579" s="105"/>
      <c r="BA579" s="105"/>
    </row>
    <row r="580">
      <c r="A580" s="105"/>
      <c r="B580" s="105"/>
      <c r="C580" s="105"/>
      <c r="D580" s="105"/>
      <c r="E580" s="105"/>
      <c r="F580" s="105"/>
      <c r="G580" s="105"/>
      <c r="H580" s="105"/>
      <c r="I580" s="505" t="b">
        <v>0</v>
      </c>
      <c r="J580" s="507" t="b">
        <v>0</v>
      </c>
      <c r="K580" s="112"/>
      <c r="L580" s="505" t="b">
        <v>0</v>
      </c>
      <c r="M580" s="504" t="b">
        <v>0</v>
      </c>
      <c r="N580" s="112"/>
      <c r="O580" s="505" t="b">
        <v>0</v>
      </c>
      <c r="P580" s="504" t="b">
        <v>0</v>
      </c>
      <c r="Q580" s="116"/>
      <c r="R580" s="505" t="b">
        <v>0</v>
      </c>
      <c r="S580" s="504" t="b">
        <v>0</v>
      </c>
      <c r="T580" s="117"/>
      <c r="U580" s="505" t="b">
        <v>0</v>
      </c>
      <c r="V580" s="504" t="b">
        <v>0</v>
      </c>
      <c r="W580" s="118"/>
      <c r="X580" s="505" t="b">
        <v>0</v>
      </c>
      <c r="Y580" s="504" t="b">
        <v>0</v>
      </c>
      <c r="Z580" s="119"/>
      <c r="AA580" s="505" t="b">
        <v>0</v>
      </c>
      <c r="AB580" s="504" t="b">
        <v>0</v>
      </c>
      <c r="AC580" s="121"/>
      <c r="AD580" s="505" t="b">
        <v>0</v>
      </c>
      <c r="AE580" s="504" t="b">
        <v>0</v>
      </c>
      <c r="AF580" s="125"/>
      <c r="AG580" s="505" t="b">
        <v>0</v>
      </c>
      <c r="AH580" s="504" t="b">
        <v>0</v>
      </c>
      <c r="AI580" s="105"/>
      <c r="AJ580" s="505" t="b">
        <v>0</v>
      </c>
      <c r="AK580" s="504" t="b">
        <v>0</v>
      </c>
      <c r="AL580" s="126"/>
      <c r="AM580" s="505" t="b">
        <v>0</v>
      </c>
      <c r="AN580" s="504" t="b">
        <v>0</v>
      </c>
      <c r="AO580" s="105"/>
      <c r="AP580" s="105"/>
      <c r="AQ580" s="105"/>
      <c r="AR580" s="105"/>
      <c r="AS580" s="105"/>
      <c r="AT580" s="105"/>
      <c r="AU580" s="105"/>
      <c r="AV580" s="105"/>
      <c r="AW580" s="105"/>
      <c r="AX580" s="105"/>
      <c r="AY580" s="105"/>
      <c r="AZ580" s="105"/>
      <c r="BA580" s="105"/>
    </row>
    <row r="581">
      <c r="A581" s="105"/>
      <c r="B581" s="105"/>
      <c r="C581" s="105"/>
      <c r="D581" s="105"/>
      <c r="E581" s="105"/>
      <c r="F581" s="105"/>
      <c r="G581" s="105"/>
      <c r="H581" s="105"/>
      <c r="I581" s="505" t="b">
        <v>0</v>
      </c>
      <c r="J581" s="507" t="b">
        <v>0</v>
      </c>
      <c r="K581" s="112"/>
      <c r="L581" s="505" t="b">
        <v>0</v>
      </c>
      <c r="M581" s="504" t="b">
        <v>0</v>
      </c>
      <c r="N581" s="112"/>
      <c r="O581" s="505" t="b">
        <v>0</v>
      </c>
      <c r="P581" s="504" t="b">
        <v>0</v>
      </c>
      <c r="Q581" s="116"/>
      <c r="R581" s="505" t="b">
        <v>0</v>
      </c>
      <c r="S581" s="504" t="b">
        <v>0</v>
      </c>
      <c r="T581" s="117"/>
      <c r="U581" s="505" t="b">
        <v>0</v>
      </c>
      <c r="V581" s="504" t="b">
        <v>0</v>
      </c>
      <c r="W581" s="118"/>
      <c r="X581" s="505" t="b">
        <v>0</v>
      </c>
      <c r="Y581" s="504" t="b">
        <v>0</v>
      </c>
      <c r="Z581" s="119"/>
      <c r="AA581" s="505" t="b">
        <v>0</v>
      </c>
      <c r="AB581" s="504" t="b">
        <v>0</v>
      </c>
      <c r="AC581" s="121"/>
      <c r="AD581" s="505" t="b">
        <v>0</v>
      </c>
      <c r="AE581" s="504" t="b">
        <v>0</v>
      </c>
      <c r="AF581" s="125"/>
      <c r="AG581" s="505" t="b">
        <v>0</v>
      </c>
      <c r="AH581" s="504" t="b">
        <v>0</v>
      </c>
      <c r="AI581" s="105"/>
      <c r="AJ581" s="505" t="b">
        <v>0</v>
      </c>
      <c r="AK581" s="504" t="b">
        <v>0</v>
      </c>
      <c r="AL581" s="126"/>
      <c r="AM581" s="505" t="b">
        <v>0</v>
      </c>
      <c r="AN581" s="504" t="b">
        <v>0</v>
      </c>
      <c r="AO581" s="105"/>
      <c r="AP581" s="105"/>
      <c r="AQ581" s="105"/>
      <c r="AR581" s="105"/>
      <c r="AS581" s="105"/>
      <c r="AT581" s="105"/>
      <c r="AU581" s="105"/>
      <c r="AV581" s="105"/>
      <c r="AW581" s="105"/>
      <c r="AX581" s="105"/>
      <c r="AY581" s="105"/>
      <c r="AZ581" s="105"/>
      <c r="BA581" s="105"/>
    </row>
    <row r="582">
      <c r="A582" s="105"/>
      <c r="B582" s="105"/>
      <c r="C582" s="105"/>
      <c r="D582" s="105"/>
      <c r="E582" s="105"/>
      <c r="F582" s="105"/>
      <c r="G582" s="105"/>
      <c r="H582" s="105"/>
      <c r="I582" s="505" t="b">
        <v>0</v>
      </c>
      <c r="J582" s="507" t="b">
        <v>0</v>
      </c>
      <c r="K582" s="112"/>
      <c r="L582" s="505" t="b">
        <v>0</v>
      </c>
      <c r="M582" s="504" t="b">
        <v>0</v>
      </c>
      <c r="N582" s="112"/>
      <c r="O582" s="505" t="b">
        <v>0</v>
      </c>
      <c r="P582" s="504" t="b">
        <v>0</v>
      </c>
      <c r="Q582" s="116"/>
      <c r="R582" s="505" t="b">
        <v>0</v>
      </c>
      <c r="S582" s="504" t="b">
        <v>0</v>
      </c>
      <c r="T582" s="117"/>
      <c r="U582" s="505" t="b">
        <v>0</v>
      </c>
      <c r="V582" s="504" t="b">
        <v>0</v>
      </c>
      <c r="W582" s="118"/>
      <c r="X582" s="505" t="b">
        <v>0</v>
      </c>
      <c r="Y582" s="504" t="b">
        <v>0</v>
      </c>
      <c r="Z582" s="119"/>
      <c r="AA582" s="505" t="b">
        <v>0</v>
      </c>
      <c r="AB582" s="504" t="b">
        <v>0</v>
      </c>
      <c r="AC582" s="121"/>
      <c r="AD582" s="505" t="b">
        <v>0</v>
      </c>
      <c r="AE582" s="504" t="b">
        <v>0</v>
      </c>
      <c r="AF582" s="125"/>
      <c r="AG582" s="505" t="b">
        <v>0</v>
      </c>
      <c r="AH582" s="504" t="b">
        <v>0</v>
      </c>
      <c r="AI582" s="105"/>
      <c r="AJ582" s="505" t="b">
        <v>0</v>
      </c>
      <c r="AK582" s="504" t="b">
        <v>0</v>
      </c>
      <c r="AL582" s="126"/>
      <c r="AM582" s="505" t="b">
        <v>0</v>
      </c>
      <c r="AN582" s="504" t="b">
        <v>0</v>
      </c>
      <c r="AO582" s="105"/>
      <c r="AP582" s="105"/>
      <c r="AQ582" s="105"/>
      <c r="AR582" s="105"/>
      <c r="AS582" s="105"/>
      <c r="AT582" s="105"/>
      <c r="AU582" s="105"/>
      <c r="AV582" s="105"/>
      <c r="AW582" s="105"/>
      <c r="AX582" s="105"/>
      <c r="AY582" s="105"/>
      <c r="AZ582" s="105"/>
      <c r="BA582" s="105"/>
    </row>
    <row r="583">
      <c r="A583" s="105"/>
      <c r="B583" s="105"/>
      <c r="C583" s="105"/>
      <c r="D583" s="105"/>
      <c r="E583" s="105"/>
      <c r="F583" s="105"/>
      <c r="G583" s="105"/>
      <c r="H583" s="105"/>
      <c r="I583" s="505" t="b">
        <v>0</v>
      </c>
      <c r="J583" s="507" t="b">
        <v>0</v>
      </c>
      <c r="K583" s="112"/>
      <c r="L583" s="505" t="b">
        <v>0</v>
      </c>
      <c r="M583" s="504" t="b">
        <v>0</v>
      </c>
      <c r="N583" s="112"/>
      <c r="O583" s="505" t="b">
        <v>0</v>
      </c>
      <c r="P583" s="504" t="b">
        <v>0</v>
      </c>
      <c r="Q583" s="116"/>
      <c r="R583" s="505" t="b">
        <v>0</v>
      </c>
      <c r="S583" s="504" t="b">
        <v>0</v>
      </c>
      <c r="T583" s="117"/>
      <c r="U583" s="505" t="b">
        <v>0</v>
      </c>
      <c r="V583" s="504" t="b">
        <v>0</v>
      </c>
      <c r="W583" s="118"/>
      <c r="X583" s="505" t="b">
        <v>0</v>
      </c>
      <c r="Y583" s="504" t="b">
        <v>0</v>
      </c>
      <c r="Z583" s="119"/>
      <c r="AA583" s="505" t="b">
        <v>0</v>
      </c>
      <c r="AB583" s="504" t="b">
        <v>0</v>
      </c>
      <c r="AC583" s="121"/>
      <c r="AD583" s="505" t="b">
        <v>0</v>
      </c>
      <c r="AE583" s="504" t="b">
        <v>0</v>
      </c>
      <c r="AF583" s="125"/>
      <c r="AG583" s="505" t="b">
        <v>0</v>
      </c>
      <c r="AH583" s="504" t="b">
        <v>0</v>
      </c>
      <c r="AI583" s="105"/>
      <c r="AJ583" s="505" t="b">
        <v>0</v>
      </c>
      <c r="AK583" s="504" t="b">
        <v>0</v>
      </c>
      <c r="AL583" s="126"/>
      <c r="AM583" s="505" t="b">
        <v>0</v>
      </c>
      <c r="AN583" s="504" t="b">
        <v>0</v>
      </c>
      <c r="AO583" s="105"/>
      <c r="AP583" s="105"/>
      <c r="AQ583" s="105"/>
      <c r="AR583" s="105"/>
      <c r="AS583" s="105"/>
      <c r="AT583" s="105"/>
      <c r="AU583" s="105"/>
      <c r="AV583" s="105"/>
      <c r="AW583" s="105"/>
      <c r="AX583" s="105"/>
      <c r="AY583" s="105"/>
      <c r="AZ583" s="105"/>
      <c r="BA583" s="105"/>
    </row>
    <row r="584">
      <c r="A584" s="105"/>
      <c r="B584" s="105"/>
      <c r="C584" s="105"/>
      <c r="D584" s="105"/>
      <c r="E584" s="105"/>
      <c r="F584" s="105"/>
      <c r="G584" s="105"/>
      <c r="H584" s="105"/>
      <c r="I584" s="505" t="b">
        <v>0</v>
      </c>
      <c r="J584" s="507" t="b">
        <v>0</v>
      </c>
      <c r="K584" s="112"/>
      <c r="L584" s="505" t="b">
        <v>0</v>
      </c>
      <c r="M584" s="504" t="b">
        <v>0</v>
      </c>
      <c r="N584" s="112"/>
      <c r="O584" s="505" t="b">
        <v>0</v>
      </c>
      <c r="P584" s="504" t="b">
        <v>0</v>
      </c>
      <c r="Q584" s="116"/>
      <c r="R584" s="505" t="b">
        <v>0</v>
      </c>
      <c r="S584" s="504" t="b">
        <v>0</v>
      </c>
      <c r="T584" s="117"/>
      <c r="U584" s="505" t="b">
        <v>0</v>
      </c>
      <c r="V584" s="504" t="b">
        <v>0</v>
      </c>
      <c r="W584" s="118"/>
      <c r="X584" s="505" t="b">
        <v>0</v>
      </c>
      <c r="Y584" s="504" t="b">
        <v>0</v>
      </c>
      <c r="Z584" s="119"/>
      <c r="AA584" s="505" t="b">
        <v>0</v>
      </c>
      <c r="AB584" s="504" t="b">
        <v>0</v>
      </c>
      <c r="AC584" s="121"/>
      <c r="AD584" s="505" t="b">
        <v>0</v>
      </c>
      <c r="AE584" s="504" t="b">
        <v>0</v>
      </c>
      <c r="AF584" s="125"/>
      <c r="AG584" s="505" t="b">
        <v>0</v>
      </c>
      <c r="AH584" s="504" t="b">
        <v>0</v>
      </c>
      <c r="AI584" s="105"/>
      <c r="AJ584" s="505" t="b">
        <v>0</v>
      </c>
      <c r="AK584" s="504" t="b">
        <v>0</v>
      </c>
      <c r="AL584" s="126"/>
      <c r="AM584" s="505" t="b">
        <v>0</v>
      </c>
      <c r="AN584" s="504" t="b">
        <v>0</v>
      </c>
      <c r="AO584" s="105"/>
      <c r="AP584" s="105"/>
      <c r="AQ584" s="105"/>
      <c r="AR584" s="105"/>
      <c r="AS584" s="105"/>
      <c r="AT584" s="105"/>
      <c r="AU584" s="105"/>
      <c r="AV584" s="105"/>
      <c r="AW584" s="105"/>
      <c r="AX584" s="105"/>
      <c r="AY584" s="105"/>
      <c r="AZ584" s="105"/>
      <c r="BA584" s="105"/>
    </row>
    <row r="585">
      <c r="A585" s="105"/>
      <c r="B585" s="105"/>
      <c r="C585" s="105"/>
      <c r="D585" s="105"/>
      <c r="E585" s="105"/>
      <c r="F585" s="105"/>
      <c r="G585" s="105"/>
      <c r="H585" s="105"/>
      <c r="I585" s="505" t="b">
        <v>0</v>
      </c>
      <c r="J585" s="507" t="b">
        <v>0</v>
      </c>
      <c r="K585" s="112"/>
      <c r="L585" s="505" t="b">
        <v>0</v>
      </c>
      <c r="M585" s="504" t="b">
        <v>0</v>
      </c>
      <c r="N585" s="112"/>
      <c r="O585" s="505" t="b">
        <v>0</v>
      </c>
      <c r="P585" s="504" t="b">
        <v>0</v>
      </c>
      <c r="Q585" s="116"/>
      <c r="R585" s="505" t="b">
        <v>0</v>
      </c>
      <c r="S585" s="504" t="b">
        <v>0</v>
      </c>
      <c r="T585" s="117"/>
      <c r="U585" s="505" t="b">
        <v>0</v>
      </c>
      <c r="V585" s="504" t="b">
        <v>0</v>
      </c>
      <c r="W585" s="118"/>
      <c r="X585" s="505" t="b">
        <v>0</v>
      </c>
      <c r="Y585" s="504" t="b">
        <v>0</v>
      </c>
      <c r="Z585" s="119"/>
      <c r="AA585" s="505" t="b">
        <v>0</v>
      </c>
      <c r="AB585" s="504" t="b">
        <v>0</v>
      </c>
      <c r="AC585" s="121"/>
      <c r="AD585" s="505" t="b">
        <v>0</v>
      </c>
      <c r="AE585" s="504" t="b">
        <v>0</v>
      </c>
      <c r="AF585" s="125"/>
      <c r="AG585" s="505" t="b">
        <v>0</v>
      </c>
      <c r="AH585" s="504" t="b">
        <v>0</v>
      </c>
      <c r="AI585" s="105"/>
      <c r="AJ585" s="505" t="b">
        <v>0</v>
      </c>
      <c r="AK585" s="504" t="b">
        <v>0</v>
      </c>
      <c r="AL585" s="126"/>
      <c r="AM585" s="505" t="b">
        <v>0</v>
      </c>
      <c r="AN585" s="504" t="b">
        <v>0</v>
      </c>
      <c r="AO585" s="105"/>
      <c r="AP585" s="105"/>
      <c r="AQ585" s="105"/>
      <c r="AR585" s="105"/>
      <c r="AS585" s="105"/>
      <c r="AT585" s="105"/>
      <c r="AU585" s="105"/>
      <c r="AV585" s="105"/>
      <c r="AW585" s="105"/>
      <c r="AX585" s="105"/>
      <c r="AY585" s="105"/>
      <c r="AZ585" s="105"/>
      <c r="BA585" s="105"/>
    </row>
    <row r="586">
      <c r="A586" s="105"/>
      <c r="B586" s="105"/>
      <c r="C586" s="105"/>
      <c r="D586" s="105"/>
      <c r="E586" s="105"/>
      <c r="F586" s="105"/>
      <c r="G586" s="105"/>
      <c r="H586" s="105"/>
      <c r="I586" s="505" t="b">
        <v>0</v>
      </c>
      <c r="J586" s="507" t="b">
        <v>0</v>
      </c>
      <c r="K586" s="112"/>
      <c r="L586" s="505" t="b">
        <v>0</v>
      </c>
      <c r="M586" s="504" t="b">
        <v>0</v>
      </c>
      <c r="N586" s="112"/>
      <c r="O586" s="505" t="b">
        <v>0</v>
      </c>
      <c r="P586" s="504" t="b">
        <v>0</v>
      </c>
      <c r="Q586" s="116"/>
      <c r="R586" s="505" t="b">
        <v>0</v>
      </c>
      <c r="S586" s="504" t="b">
        <v>0</v>
      </c>
      <c r="T586" s="117"/>
      <c r="U586" s="505" t="b">
        <v>0</v>
      </c>
      <c r="V586" s="504" t="b">
        <v>0</v>
      </c>
      <c r="W586" s="118"/>
      <c r="X586" s="505" t="b">
        <v>0</v>
      </c>
      <c r="Y586" s="504" t="b">
        <v>0</v>
      </c>
      <c r="Z586" s="119"/>
      <c r="AA586" s="505" t="b">
        <v>0</v>
      </c>
      <c r="AB586" s="504" t="b">
        <v>0</v>
      </c>
      <c r="AC586" s="121"/>
      <c r="AD586" s="505" t="b">
        <v>0</v>
      </c>
      <c r="AE586" s="504" t="b">
        <v>0</v>
      </c>
      <c r="AF586" s="125"/>
      <c r="AG586" s="505" t="b">
        <v>0</v>
      </c>
      <c r="AH586" s="504" t="b">
        <v>0</v>
      </c>
      <c r="AI586" s="105"/>
      <c r="AJ586" s="505" t="b">
        <v>0</v>
      </c>
      <c r="AK586" s="504" t="b">
        <v>0</v>
      </c>
      <c r="AL586" s="126"/>
      <c r="AM586" s="505" t="b">
        <v>0</v>
      </c>
      <c r="AN586" s="504" t="b">
        <v>0</v>
      </c>
      <c r="AO586" s="105"/>
      <c r="AP586" s="105"/>
      <c r="AQ586" s="105"/>
      <c r="AR586" s="105"/>
      <c r="AS586" s="105"/>
      <c r="AT586" s="105"/>
      <c r="AU586" s="105"/>
      <c r="AV586" s="105"/>
      <c r="AW586" s="105"/>
      <c r="AX586" s="105"/>
      <c r="AY586" s="105"/>
      <c r="AZ586" s="105"/>
      <c r="BA586" s="105"/>
    </row>
    <row r="587">
      <c r="A587" s="105"/>
      <c r="B587" s="105"/>
      <c r="C587" s="105"/>
      <c r="D587" s="105"/>
      <c r="E587" s="105"/>
      <c r="F587" s="105"/>
      <c r="G587" s="105"/>
      <c r="H587" s="105"/>
      <c r="I587" s="505" t="b">
        <v>0</v>
      </c>
      <c r="J587" s="507" t="b">
        <v>0</v>
      </c>
      <c r="K587" s="112"/>
      <c r="L587" s="505" t="b">
        <v>0</v>
      </c>
      <c r="M587" s="504" t="b">
        <v>0</v>
      </c>
      <c r="N587" s="112"/>
      <c r="O587" s="505" t="b">
        <v>0</v>
      </c>
      <c r="P587" s="504" t="b">
        <v>0</v>
      </c>
      <c r="Q587" s="116"/>
      <c r="R587" s="505" t="b">
        <v>0</v>
      </c>
      <c r="S587" s="504" t="b">
        <v>0</v>
      </c>
      <c r="T587" s="117"/>
      <c r="U587" s="505" t="b">
        <v>0</v>
      </c>
      <c r="V587" s="504" t="b">
        <v>0</v>
      </c>
      <c r="W587" s="118"/>
      <c r="X587" s="505" t="b">
        <v>0</v>
      </c>
      <c r="Y587" s="504" t="b">
        <v>0</v>
      </c>
      <c r="Z587" s="119"/>
      <c r="AA587" s="505" t="b">
        <v>0</v>
      </c>
      <c r="AB587" s="504" t="b">
        <v>0</v>
      </c>
      <c r="AC587" s="121"/>
      <c r="AD587" s="505" t="b">
        <v>0</v>
      </c>
      <c r="AE587" s="504" t="b">
        <v>0</v>
      </c>
      <c r="AF587" s="125"/>
      <c r="AG587" s="505" t="b">
        <v>0</v>
      </c>
      <c r="AH587" s="504" t="b">
        <v>0</v>
      </c>
      <c r="AI587" s="105"/>
      <c r="AJ587" s="505" t="b">
        <v>0</v>
      </c>
      <c r="AK587" s="504" t="b">
        <v>0</v>
      </c>
      <c r="AL587" s="126"/>
      <c r="AM587" s="505" t="b">
        <v>0</v>
      </c>
      <c r="AN587" s="504" t="b">
        <v>0</v>
      </c>
      <c r="AO587" s="105"/>
      <c r="AP587" s="105"/>
      <c r="AQ587" s="105"/>
      <c r="AR587" s="105"/>
      <c r="AS587" s="105"/>
      <c r="AT587" s="105"/>
      <c r="AU587" s="105"/>
      <c r="AV587" s="105"/>
      <c r="AW587" s="105"/>
      <c r="AX587" s="105"/>
      <c r="AY587" s="105"/>
      <c r="AZ587" s="105"/>
      <c r="BA587" s="105"/>
    </row>
    <row r="588">
      <c r="A588" s="105"/>
      <c r="B588" s="105"/>
      <c r="C588" s="105"/>
      <c r="D588" s="105"/>
      <c r="E588" s="105"/>
      <c r="F588" s="105"/>
      <c r="G588" s="105"/>
      <c r="H588" s="105"/>
      <c r="I588" s="505" t="b">
        <v>0</v>
      </c>
      <c r="J588" s="507" t="b">
        <v>0</v>
      </c>
      <c r="K588" s="112"/>
      <c r="L588" s="505" t="b">
        <v>0</v>
      </c>
      <c r="M588" s="504" t="b">
        <v>0</v>
      </c>
      <c r="N588" s="112"/>
      <c r="O588" s="505" t="b">
        <v>0</v>
      </c>
      <c r="P588" s="504" t="b">
        <v>0</v>
      </c>
      <c r="Q588" s="116"/>
      <c r="R588" s="505" t="b">
        <v>0</v>
      </c>
      <c r="S588" s="504" t="b">
        <v>0</v>
      </c>
      <c r="T588" s="117"/>
      <c r="U588" s="505" t="b">
        <v>0</v>
      </c>
      <c r="V588" s="504" t="b">
        <v>0</v>
      </c>
      <c r="W588" s="118"/>
      <c r="X588" s="505" t="b">
        <v>0</v>
      </c>
      <c r="Y588" s="504" t="b">
        <v>0</v>
      </c>
      <c r="Z588" s="119"/>
      <c r="AA588" s="505" t="b">
        <v>0</v>
      </c>
      <c r="AB588" s="504" t="b">
        <v>0</v>
      </c>
      <c r="AC588" s="121"/>
      <c r="AD588" s="505" t="b">
        <v>0</v>
      </c>
      <c r="AE588" s="504" t="b">
        <v>0</v>
      </c>
      <c r="AF588" s="125"/>
      <c r="AG588" s="505" t="b">
        <v>0</v>
      </c>
      <c r="AH588" s="504" t="b">
        <v>0</v>
      </c>
      <c r="AI588" s="105"/>
      <c r="AJ588" s="505" t="b">
        <v>0</v>
      </c>
      <c r="AK588" s="504" t="b">
        <v>0</v>
      </c>
      <c r="AL588" s="126"/>
      <c r="AM588" s="505" t="b">
        <v>0</v>
      </c>
      <c r="AN588" s="504" t="b">
        <v>0</v>
      </c>
      <c r="AO588" s="105"/>
      <c r="AP588" s="105"/>
      <c r="AQ588" s="105"/>
      <c r="AR588" s="105"/>
      <c r="AS588" s="105"/>
      <c r="AT588" s="105"/>
      <c r="AU588" s="105"/>
      <c r="AV588" s="105"/>
      <c r="AW588" s="105"/>
      <c r="AX588" s="105"/>
      <c r="AY588" s="105"/>
      <c r="AZ588" s="105"/>
      <c r="BA588" s="105"/>
    </row>
    <row r="589">
      <c r="A589" s="105"/>
      <c r="B589" s="105"/>
      <c r="C589" s="105"/>
      <c r="D589" s="105"/>
      <c r="E589" s="105"/>
      <c r="F589" s="105"/>
      <c r="G589" s="105"/>
      <c r="H589" s="105"/>
      <c r="I589" s="505" t="b">
        <v>0</v>
      </c>
      <c r="J589" s="507" t="b">
        <v>0</v>
      </c>
      <c r="K589" s="112"/>
      <c r="L589" s="505" t="b">
        <v>0</v>
      </c>
      <c r="M589" s="504" t="b">
        <v>0</v>
      </c>
      <c r="N589" s="112"/>
      <c r="O589" s="505" t="b">
        <v>0</v>
      </c>
      <c r="P589" s="504" t="b">
        <v>0</v>
      </c>
      <c r="Q589" s="116"/>
      <c r="R589" s="505" t="b">
        <v>0</v>
      </c>
      <c r="S589" s="504" t="b">
        <v>0</v>
      </c>
      <c r="T589" s="117"/>
      <c r="U589" s="505" t="b">
        <v>0</v>
      </c>
      <c r="V589" s="504" t="b">
        <v>0</v>
      </c>
      <c r="W589" s="118"/>
      <c r="X589" s="505" t="b">
        <v>0</v>
      </c>
      <c r="Y589" s="504" t="b">
        <v>0</v>
      </c>
      <c r="Z589" s="119"/>
      <c r="AA589" s="505" t="b">
        <v>0</v>
      </c>
      <c r="AB589" s="504" t="b">
        <v>0</v>
      </c>
      <c r="AC589" s="121"/>
      <c r="AD589" s="505" t="b">
        <v>0</v>
      </c>
      <c r="AE589" s="504" t="b">
        <v>0</v>
      </c>
      <c r="AF589" s="125"/>
      <c r="AG589" s="505" t="b">
        <v>0</v>
      </c>
      <c r="AH589" s="504" t="b">
        <v>0</v>
      </c>
      <c r="AI589" s="105"/>
      <c r="AJ589" s="505" t="b">
        <v>0</v>
      </c>
      <c r="AK589" s="504" t="b">
        <v>0</v>
      </c>
      <c r="AL589" s="126"/>
      <c r="AM589" s="505" t="b">
        <v>0</v>
      </c>
      <c r="AN589" s="504" t="b">
        <v>0</v>
      </c>
      <c r="AO589" s="105"/>
      <c r="AP589" s="105"/>
      <c r="AQ589" s="105"/>
      <c r="AR589" s="105"/>
      <c r="AS589" s="105"/>
      <c r="AT589" s="105"/>
      <c r="AU589" s="105"/>
      <c r="AV589" s="105"/>
      <c r="AW589" s="105"/>
      <c r="AX589" s="105"/>
      <c r="AY589" s="105"/>
      <c r="AZ589" s="105"/>
      <c r="BA589" s="105"/>
    </row>
    <row r="590">
      <c r="A590" s="105"/>
      <c r="B590" s="105"/>
      <c r="C590" s="105"/>
      <c r="D590" s="105"/>
      <c r="E590" s="105"/>
      <c r="F590" s="105"/>
      <c r="G590" s="105"/>
      <c r="H590" s="105"/>
      <c r="I590" s="505" t="b">
        <v>0</v>
      </c>
      <c r="J590" s="507" t="b">
        <v>0</v>
      </c>
      <c r="K590" s="112"/>
      <c r="L590" s="505" t="b">
        <v>0</v>
      </c>
      <c r="M590" s="504" t="b">
        <v>0</v>
      </c>
      <c r="N590" s="112"/>
      <c r="O590" s="505" t="b">
        <v>0</v>
      </c>
      <c r="P590" s="504" t="b">
        <v>0</v>
      </c>
      <c r="Q590" s="116"/>
      <c r="R590" s="505" t="b">
        <v>0</v>
      </c>
      <c r="S590" s="504" t="b">
        <v>0</v>
      </c>
      <c r="T590" s="117"/>
      <c r="U590" s="505" t="b">
        <v>0</v>
      </c>
      <c r="V590" s="504" t="b">
        <v>0</v>
      </c>
      <c r="W590" s="118"/>
      <c r="X590" s="505" t="b">
        <v>0</v>
      </c>
      <c r="Y590" s="504" t="b">
        <v>0</v>
      </c>
      <c r="Z590" s="119"/>
      <c r="AA590" s="505" t="b">
        <v>0</v>
      </c>
      <c r="AB590" s="504" t="b">
        <v>0</v>
      </c>
      <c r="AC590" s="121"/>
      <c r="AD590" s="505" t="b">
        <v>0</v>
      </c>
      <c r="AE590" s="504" t="b">
        <v>0</v>
      </c>
      <c r="AF590" s="125"/>
      <c r="AG590" s="505" t="b">
        <v>0</v>
      </c>
      <c r="AH590" s="504" t="b">
        <v>0</v>
      </c>
      <c r="AI590" s="105"/>
      <c r="AJ590" s="505" t="b">
        <v>0</v>
      </c>
      <c r="AK590" s="504" t="b">
        <v>0</v>
      </c>
      <c r="AL590" s="126"/>
      <c r="AM590" s="505" t="b">
        <v>0</v>
      </c>
      <c r="AN590" s="504" t="b">
        <v>0</v>
      </c>
      <c r="AO590" s="105"/>
      <c r="AP590" s="105"/>
      <c r="AQ590" s="105"/>
      <c r="AR590" s="105"/>
      <c r="AS590" s="105"/>
      <c r="AT590" s="105"/>
      <c r="AU590" s="105"/>
      <c r="AV590" s="105"/>
      <c r="AW590" s="105"/>
      <c r="AX590" s="105"/>
      <c r="AY590" s="105"/>
      <c r="AZ590" s="105"/>
      <c r="BA590" s="105"/>
    </row>
    <row r="591">
      <c r="A591" s="105"/>
      <c r="B591" s="105"/>
      <c r="C591" s="105"/>
      <c r="D591" s="105"/>
      <c r="E591" s="105"/>
      <c r="F591" s="105"/>
      <c r="G591" s="105"/>
      <c r="H591" s="105"/>
      <c r="I591" s="505" t="b">
        <v>0</v>
      </c>
      <c r="J591" s="507" t="b">
        <v>0</v>
      </c>
      <c r="K591" s="112"/>
      <c r="L591" s="505" t="b">
        <v>0</v>
      </c>
      <c r="M591" s="504" t="b">
        <v>0</v>
      </c>
      <c r="N591" s="112"/>
      <c r="O591" s="505" t="b">
        <v>0</v>
      </c>
      <c r="P591" s="504" t="b">
        <v>0</v>
      </c>
      <c r="Q591" s="116"/>
      <c r="R591" s="505" t="b">
        <v>0</v>
      </c>
      <c r="S591" s="504" t="b">
        <v>0</v>
      </c>
      <c r="T591" s="117"/>
      <c r="U591" s="505" t="b">
        <v>0</v>
      </c>
      <c r="V591" s="504" t="b">
        <v>0</v>
      </c>
      <c r="W591" s="118"/>
      <c r="X591" s="505" t="b">
        <v>0</v>
      </c>
      <c r="Y591" s="504" t="b">
        <v>0</v>
      </c>
      <c r="Z591" s="119"/>
      <c r="AA591" s="505" t="b">
        <v>0</v>
      </c>
      <c r="AB591" s="504" t="b">
        <v>0</v>
      </c>
      <c r="AC591" s="121"/>
      <c r="AD591" s="505" t="b">
        <v>0</v>
      </c>
      <c r="AE591" s="504" t="b">
        <v>0</v>
      </c>
      <c r="AF591" s="125"/>
      <c r="AG591" s="505" t="b">
        <v>0</v>
      </c>
      <c r="AH591" s="504" t="b">
        <v>0</v>
      </c>
      <c r="AI591" s="105"/>
      <c r="AJ591" s="505" t="b">
        <v>0</v>
      </c>
      <c r="AK591" s="504" t="b">
        <v>0</v>
      </c>
      <c r="AL591" s="126"/>
      <c r="AM591" s="505" t="b">
        <v>0</v>
      </c>
      <c r="AN591" s="504" t="b">
        <v>0</v>
      </c>
      <c r="AO591" s="105"/>
      <c r="AP591" s="105"/>
      <c r="AQ591" s="105"/>
      <c r="AR591" s="105"/>
      <c r="AS591" s="105"/>
      <c r="AT591" s="105"/>
      <c r="AU591" s="105"/>
      <c r="AV591" s="105"/>
      <c r="AW591" s="105"/>
      <c r="AX591" s="105"/>
      <c r="AY591" s="105"/>
      <c r="AZ591" s="105"/>
      <c r="BA591" s="105"/>
    </row>
    <row r="592">
      <c r="A592" s="105"/>
      <c r="B592" s="105"/>
      <c r="C592" s="105"/>
      <c r="D592" s="105"/>
      <c r="E592" s="105"/>
      <c r="F592" s="105"/>
      <c r="G592" s="105"/>
      <c r="H592" s="105"/>
      <c r="I592" s="505" t="b">
        <v>0</v>
      </c>
      <c r="J592" s="507" t="b">
        <v>0</v>
      </c>
      <c r="K592" s="112"/>
      <c r="L592" s="505" t="b">
        <v>0</v>
      </c>
      <c r="M592" s="504" t="b">
        <v>0</v>
      </c>
      <c r="N592" s="112"/>
      <c r="O592" s="505" t="b">
        <v>0</v>
      </c>
      <c r="P592" s="504" t="b">
        <v>0</v>
      </c>
      <c r="Q592" s="116"/>
      <c r="R592" s="505" t="b">
        <v>0</v>
      </c>
      <c r="S592" s="504" t="b">
        <v>0</v>
      </c>
      <c r="T592" s="117"/>
      <c r="U592" s="505" t="b">
        <v>0</v>
      </c>
      <c r="V592" s="504" t="b">
        <v>0</v>
      </c>
      <c r="W592" s="118"/>
      <c r="X592" s="505" t="b">
        <v>0</v>
      </c>
      <c r="Y592" s="504" t="b">
        <v>0</v>
      </c>
      <c r="Z592" s="119"/>
      <c r="AA592" s="505" t="b">
        <v>0</v>
      </c>
      <c r="AB592" s="504" t="b">
        <v>0</v>
      </c>
      <c r="AC592" s="121"/>
      <c r="AD592" s="505" t="b">
        <v>0</v>
      </c>
      <c r="AE592" s="504" t="b">
        <v>0</v>
      </c>
      <c r="AF592" s="125"/>
      <c r="AG592" s="505" t="b">
        <v>0</v>
      </c>
      <c r="AH592" s="504" t="b">
        <v>0</v>
      </c>
      <c r="AI592" s="105"/>
      <c r="AJ592" s="505" t="b">
        <v>0</v>
      </c>
      <c r="AK592" s="504" t="b">
        <v>0</v>
      </c>
      <c r="AL592" s="126"/>
      <c r="AM592" s="505" t="b">
        <v>0</v>
      </c>
      <c r="AN592" s="504" t="b">
        <v>0</v>
      </c>
      <c r="AO592" s="105"/>
      <c r="AP592" s="105"/>
      <c r="AQ592" s="105"/>
      <c r="AR592" s="105"/>
      <c r="AS592" s="105"/>
      <c r="AT592" s="105"/>
      <c r="AU592" s="105"/>
      <c r="AV592" s="105"/>
      <c r="AW592" s="105"/>
      <c r="AX592" s="105"/>
      <c r="AY592" s="105"/>
      <c r="AZ592" s="105"/>
      <c r="BA592" s="105"/>
    </row>
    <row r="593">
      <c r="A593" s="105"/>
      <c r="B593" s="105"/>
      <c r="C593" s="105"/>
      <c r="D593" s="105"/>
      <c r="E593" s="105"/>
      <c r="F593" s="105"/>
      <c r="G593" s="105"/>
      <c r="H593" s="105"/>
      <c r="I593" s="505" t="b">
        <v>0</v>
      </c>
      <c r="J593" s="507" t="b">
        <v>0</v>
      </c>
      <c r="K593" s="112"/>
      <c r="L593" s="505" t="b">
        <v>0</v>
      </c>
      <c r="M593" s="504" t="b">
        <v>0</v>
      </c>
      <c r="N593" s="112"/>
      <c r="O593" s="505" t="b">
        <v>0</v>
      </c>
      <c r="P593" s="504" t="b">
        <v>0</v>
      </c>
      <c r="Q593" s="116"/>
      <c r="R593" s="505" t="b">
        <v>0</v>
      </c>
      <c r="S593" s="504" t="b">
        <v>0</v>
      </c>
      <c r="T593" s="117"/>
      <c r="U593" s="505" t="b">
        <v>0</v>
      </c>
      <c r="V593" s="504" t="b">
        <v>0</v>
      </c>
      <c r="W593" s="118"/>
      <c r="X593" s="505" t="b">
        <v>0</v>
      </c>
      <c r="Y593" s="504" t="b">
        <v>0</v>
      </c>
      <c r="Z593" s="119"/>
      <c r="AA593" s="505" t="b">
        <v>0</v>
      </c>
      <c r="AB593" s="504" t="b">
        <v>0</v>
      </c>
      <c r="AC593" s="121"/>
      <c r="AD593" s="505" t="b">
        <v>0</v>
      </c>
      <c r="AE593" s="504" t="b">
        <v>0</v>
      </c>
      <c r="AF593" s="125"/>
      <c r="AG593" s="505" t="b">
        <v>0</v>
      </c>
      <c r="AH593" s="504" t="b">
        <v>0</v>
      </c>
      <c r="AI593" s="105"/>
      <c r="AJ593" s="505" t="b">
        <v>0</v>
      </c>
      <c r="AK593" s="504" t="b">
        <v>0</v>
      </c>
      <c r="AL593" s="126"/>
      <c r="AM593" s="505" t="b">
        <v>0</v>
      </c>
      <c r="AN593" s="504" t="b">
        <v>0</v>
      </c>
      <c r="AO593" s="105"/>
      <c r="AP593" s="105"/>
      <c r="AQ593" s="105"/>
      <c r="AR593" s="105"/>
      <c r="AS593" s="105"/>
      <c r="AT593" s="105"/>
      <c r="AU593" s="105"/>
      <c r="AV593" s="105"/>
      <c r="AW593" s="105"/>
      <c r="AX593" s="105"/>
      <c r="AY593" s="105"/>
      <c r="AZ593" s="105"/>
      <c r="BA593" s="105"/>
    </row>
    <row r="594">
      <c r="A594" s="105"/>
      <c r="B594" s="105"/>
      <c r="C594" s="105"/>
      <c r="D594" s="105"/>
      <c r="E594" s="105"/>
      <c r="F594" s="105"/>
      <c r="G594" s="105"/>
      <c r="H594" s="105"/>
      <c r="I594" s="505" t="b">
        <v>0</v>
      </c>
      <c r="J594" s="507" t="b">
        <v>0</v>
      </c>
      <c r="K594" s="112"/>
      <c r="L594" s="505" t="b">
        <v>0</v>
      </c>
      <c r="M594" s="504" t="b">
        <v>0</v>
      </c>
      <c r="N594" s="112"/>
      <c r="O594" s="505" t="b">
        <v>0</v>
      </c>
      <c r="P594" s="504" t="b">
        <v>0</v>
      </c>
      <c r="Q594" s="116"/>
      <c r="R594" s="505" t="b">
        <v>0</v>
      </c>
      <c r="S594" s="504" t="b">
        <v>0</v>
      </c>
      <c r="T594" s="117"/>
      <c r="U594" s="505" t="b">
        <v>0</v>
      </c>
      <c r="V594" s="504" t="b">
        <v>0</v>
      </c>
      <c r="W594" s="118"/>
      <c r="X594" s="505" t="b">
        <v>0</v>
      </c>
      <c r="Y594" s="504" t="b">
        <v>0</v>
      </c>
      <c r="Z594" s="119"/>
      <c r="AA594" s="505" t="b">
        <v>0</v>
      </c>
      <c r="AB594" s="504" t="b">
        <v>0</v>
      </c>
      <c r="AC594" s="121"/>
      <c r="AD594" s="505" t="b">
        <v>0</v>
      </c>
      <c r="AE594" s="504" t="b">
        <v>0</v>
      </c>
      <c r="AF594" s="125"/>
      <c r="AG594" s="505" t="b">
        <v>0</v>
      </c>
      <c r="AH594" s="504" t="b">
        <v>0</v>
      </c>
      <c r="AI594" s="105"/>
      <c r="AJ594" s="505" t="b">
        <v>0</v>
      </c>
      <c r="AK594" s="504" t="b">
        <v>0</v>
      </c>
      <c r="AL594" s="126"/>
      <c r="AM594" s="505" t="b">
        <v>0</v>
      </c>
      <c r="AN594" s="504" t="b">
        <v>0</v>
      </c>
      <c r="AO594" s="105"/>
      <c r="AP594" s="105"/>
      <c r="AQ594" s="105"/>
      <c r="AR594" s="105"/>
      <c r="AS594" s="105"/>
      <c r="AT594" s="105"/>
      <c r="AU594" s="105"/>
      <c r="AV594" s="105"/>
      <c r="AW594" s="105"/>
      <c r="AX594" s="105"/>
      <c r="AY594" s="105"/>
      <c r="AZ594" s="105"/>
      <c r="BA594" s="105"/>
    </row>
    <row r="595">
      <c r="A595" s="105"/>
      <c r="B595" s="105"/>
      <c r="C595" s="105"/>
      <c r="D595" s="105"/>
      <c r="E595" s="105"/>
      <c r="F595" s="105"/>
      <c r="G595" s="105"/>
      <c r="H595" s="105"/>
      <c r="I595" s="505" t="b">
        <v>0</v>
      </c>
      <c r="J595" s="507" t="b">
        <v>0</v>
      </c>
      <c r="K595" s="112"/>
      <c r="L595" s="505" t="b">
        <v>0</v>
      </c>
      <c r="M595" s="504" t="b">
        <v>0</v>
      </c>
      <c r="N595" s="112"/>
      <c r="O595" s="505" t="b">
        <v>0</v>
      </c>
      <c r="P595" s="504" t="b">
        <v>0</v>
      </c>
      <c r="Q595" s="116"/>
      <c r="R595" s="505" t="b">
        <v>0</v>
      </c>
      <c r="S595" s="504" t="b">
        <v>0</v>
      </c>
      <c r="T595" s="117"/>
      <c r="U595" s="505" t="b">
        <v>0</v>
      </c>
      <c r="V595" s="504" t="b">
        <v>0</v>
      </c>
      <c r="W595" s="118"/>
      <c r="X595" s="505" t="b">
        <v>0</v>
      </c>
      <c r="Y595" s="504" t="b">
        <v>0</v>
      </c>
      <c r="Z595" s="119"/>
      <c r="AA595" s="505" t="b">
        <v>0</v>
      </c>
      <c r="AB595" s="504" t="b">
        <v>0</v>
      </c>
      <c r="AC595" s="121"/>
      <c r="AD595" s="505" t="b">
        <v>0</v>
      </c>
      <c r="AE595" s="504" t="b">
        <v>0</v>
      </c>
      <c r="AF595" s="125"/>
      <c r="AG595" s="505" t="b">
        <v>0</v>
      </c>
      <c r="AH595" s="504" t="b">
        <v>0</v>
      </c>
      <c r="AI595" s="105"/>
      <c r="AJ595" s="505" t="b">
        <v>0</v>
      </c>
      <c r="AK595" s="504" t="b">
        <v>0</v>
      </c>
      <c r="AL595" s="126"/>
      <c r="AM595" s="505" t="b">
        <v>0</v>
      </c>
      <c r="AN595" s="504" t="b">
        <v>0</v>
      </c>
      <c r="AO595" s="105"/>
      <c r="AP595" s="105"/>
      <c r="AQ595" s="105"/>
      <c r="AR595" s="105"/>
      <c r="AS595" s="105"/>
      <c r="AT595" s="105"/>
      <c r="AU595" s="105"/>
      <c r="AV595" s="105"/>
      <c r="AW595" s="105"/>
      <c r="AX595" s="105"/>
      <c r="AY595" s="105"/>
      <c r="AZ595" s="105"/>
      <c r="BA595" s="105"/>
    </row>
    <row r="596">
      <c r="A596" s="105"/>
      <c r="B596" s="105"/>
      <c r="C596" s="105"/>
      <c r="D596" s="105"/>
      <c r="E596" s="105"/>
      <c r="F596" s="105"/>
      <c r="G596" s="105"/>
      <c r="H596" s="105"/>
      <c r="I596" s="505" t="b">
        <v>0</v>
      </c>
      <c r="J596" s="507" t="b">
        <v>0</v>
      </c>
      <c r="K596" s="112"/>
      <c r="L596" s="505" t="b">
        <v>0</v>
      </c>
      <c r="M596" s="504" t="b">
        <v>0</v>
      </c>
      <c r="N596" s="112"/>
      <c r="O596" s="505" t="b">
        <v>0</v>
      </c>
      <c r="P596" s="504" t="b">
        <v>0</v>
      </c>
      <c r="Q596" s="116"/>
      <c r="R596" s="505" t="b">
        <v>0</v>
      </c>
      <c r="S596" s="504" t="b">
        <v>0</v>
      </c>
      <c r="T596" s="117"/>
      <c r="U596" s="505" t="b">
        <v>0</v>
      </c>
      <c r="V596" s="504" t="b">
        <v>0</v>
      </c>
      <c r="W596" s="118"/>
      <c r="X596" s="505" t="b">
        <v>0</v>
      </c>
      <c r="Y596" s="504" t="b">
        <v>0</v>
      </c>
      <c r="Z596" s="119"/>
      <c r="AA596" s="505" t="b">
        <v>0</v>
      </c>
      <c r="AB596" s="504" t="b">
        <v>0</v>
      </c>
      <c r="AC596" s="121"/>
      <c r="AD596" s="505" t="b">
        <v>0</v>
      </c>
      <c r="AE596" s="504" t="b">
        <v>0</v>
      </c>
      <c r="AF596" s="125"/>
      <c r="AG596" s="505" t="b">
        <v>0</v>
      </c>
      <c r="AH596" s="504" t="b">
        <v>0</v>
      </c>
      <c r="AI596" s="105"/>
      <c r="AJ596" s="505" t="b">
        <v>0</v>
      </c>
      <c r="AK596" s="504" t="b">
        <v>0</v>
      </c>
      <c r="AL596" s="126"/>
      <c r="AM596" s="505" t="b">
        <v>0</v>
      </c>
      <c r="AN596" s="504" t="b">
        <v>0</v>
      </c>
      <c r="AO596" s="105"/>
      <c r="AP596" s="105"/>
      <c r="AQ596" s="105"/>
      <c r="AR596" s="105"/>
      <c r="AS596" s="105"/>
      <c r="AT596" s="105"/>
      <c r="AU596" s="105"/>
      <c r="AV596" s="105"/>
      <c r="AW596" s="105"/>
      <c r="AX596" s="105"/>
      <c r="AY596" s="105"/>
      <c r="AZ596" s="105"/>
      <c r="BA596" s="105"/>
    </row>
    <row r="597">
      <c r="A597" s="105"/>
      <c r="B597" s="105"/>
      <c r="C597" s="105"/>
      <c r="D597" s="105"/>
      <c r="E597" s="105"/>
      <c r="F597" s="105"/>
      <c r="G597" s="105"/>
      <c r="H597" s="105"/>
      <c r="I597" s="505" t="b">
        <v>0</v>
      </c>
      <c r="J597" s="507" t="b">
        <v>0</v>
      </c>
      <c r="K597" s="112"/>
      <c r="L597" s="505" t="b">
        <v>0</v>
      </c>
      <c r="M597" s="504" t="b">
        <v>0</v>
      </c>
      <c r="N597" s="112"/>
      <c r="O597" s="505" t="b">
        <v>0</v>
      </c>
      <c r="P597" s="504" t="b">
        <v>0</v>
      </c>
      <c r="Q597" s="116"/>
      <c r="R597" s="505" t="b">
        <v>0</v>
      </c>
      <c r="S597" s="504" t="b">
        <v>0</v>
      </c>
      <c r="T597" s="117"/>
      <c r="U597" s="505" t="b">
        <v>0</v>
      </c>
      <c r="V597" s="504" t="b">
        <v>0</v>
      </c>
      <c r="W597" s="118"/>
      <c r="X597" s="505" t="b">
        <v>0</v>
      </c>
      <c r="Y597" s="504" t="b">
        <v>0</v>
      </c>
      <c r="Z597" s="119"/>
      <c r="AA597" s="505" t="b">
        <v>0</v>
      </c>
      <c r="AB597" s="504" t="b">
        <v>0</v>
      </c>
      <c r="AC597" s="121"/>
      <c r="AD597" s="505" t="b">
        <v>0</v>
      </c>
      <c r="AE597" s="504" t="b">
        <v>0</v>
      </c>
      <c r="AF597" s="125"/>
      <c r="AG597" s="505" t="b">
        <v>0</v>
      </c>
      <c r="AH597" s="504" t="b">
        <v>0</v>
      </c>
      <c r="AI597" s="105"/>
      <c r="AJ597" s="505" t="b">
        <v>0</v>
      </c>
      <c r="AK597" s="504" t="b">
        <v>0</v>
      </c>
      <c r="AL597" s="126"/>
      <c r="AM597" s="505" t="b">
        <v>0</v>
      </c>
      <c r="AN597" s="504" t="b">
        <v>0</v>
      </c>
      <c r="AO597" s="105"/>
      <c r="AP597" s="105"/>
      <c r="AQ597" s="105"/>
      <c r="AR597" s="105"/>
      <c r="AS597" s="105"/>
      <c r="AT597" s="105"/>
      <c r="AU597" s="105"/>
      <c r="AV597" s="105"/>
      <c r="AW597" s="105"/>
      <c r="AX597" s="105"/>
      <c r="AY597" s="105"/>
      <c r="AZ597" s="105"/>
      <c r="BA597" s="105"/>
    </row>
    <row r="598">
      <c r="A598" s="105"/>
      <c r="B598" s="105"/>
      <c r="C598" s="105"/>
      <c r="D598" s="105"/>
      <c r="E598" s="105"/>
      <c r="F598" s="105"/>
      <c r="G598" s="105"/>
      <c r="H598" s="105"/>
      <c r="I598" s="505" t="b">
        <v>0</v>
      </c>
      <c r="J598" s="507" t="b">
        <v>0</v>
      </c>
      <c r="K598" s="112"/>
      <c r="L598" s="505" t="b">
        <v>0</v>
      </c>
      <c r="M598" s="504" t="b">
        <v>0</v>
      </c>
      <c r="N598" s="112"/>
      <c r="O598" s="505" t="b">
        <v>0</v>
      </c>
      <c r="P598" s="504" t="b">
        <v>0</v>
      </c>
      <c r="Q598" s="116"/>
      <c r="R598" s="505" t="b">
        <v>0</v>
      </c>
      <c r="S598" s="504" t="b">
        <v>0</v>
      </c>
      <c r="T598" s="117"/>
      <c r="U598" s="505" t="b">
        <v>0</v>
      </c>
      <c r="V598" s="504" t="b">
        <v>0</v>
      </c>
      <c r="W598" s="118"/>
      <c r="X598" s="505" t="b">
        <v>0</v>
      </c>
      <c r="Y598" s="504" t="b">
        <v>0</v>
      </c>
      <c r="Z598" s="119"/>
      <c r="AA598" s="505" t="b">
        <v>0</v>
      </c>
      <c r="AB598" s="504" t="b">
        <v>0</v>
      </c>
      <c r="AC598" s="121"/>
      <c r="AD598" s="505" t="b">
        <v>0</v>
      </c>
      <c r="AE598" s="504" t="b">
        <v>0</v>
      </c>
      <c r="AF598" s="125"/>
      <c r="AG598" s="505" t="b">
        <v>0</v>
      </c>
      <c r="AH598" s="504" t="b">
        <v>0</v>
      </c>
      <c r="AI598" s="105"/>
      <c r="AJ598" s="505" t="b">
        <v>0</v>
      </c>
      <c r="AK598" s="504" t="b">
        <v>0</v>
      </c>
      <c r="AL598" s="126"/>
      <c r="AM598" s="505" t="b">
        <v>0</v>
      </c>
      <c r="AN598" s="504" t="b">
        <v>0</v>
      </c>
      <c r="AO598" s="105"/>
      <c r="AP598" s="105"/>
      <c r="AQ598" s="105"/>
      <c r="AR598" s="105"/>
      <c r="AS598" s="105"/>
      <c r="AT598" s="105"/>
      <c r="AU598" s="105"/>
      <c r="AV598" s="105"/>
      <c r="AW598" s="105"/>
      <c r="AX598" s="105"/>
      <c r="AY598" s="105"/>
      <c r="AZ598" s="105"/>
      <c r="BA598" s="105"/>
    </row>
    <row r="599">
      <c r="A599" s="105"/>
      <c r="B599" s="105"/>
      <c r="C599" s="105"/>
      <c r="D599" s="105"/>
      <c r="E599" s="105"/>
      <c r="F599" s="105"/>
      <c r="G599" s="105"/>
      <c r="H599" s="105"/>
      <c r="I599" s="505" t="b">
        <v>0</v>
      </c>
      <c r="J599" s="507" t="b">
        <v>0</v>
      </c>
      <c r="K599" s="112"/>
      <c r="L599" s="505" t="b">
        <v>0</v>
      </c>
      <c r="M599" s="504" t="b">
        <v>0</v>
      </c>
      <c r="N599" s="112"/>
      <c r="O599" s="505" t="b">
        <v>0</v>
      </c>
      <c r="P599" s="504" t="b">
        <v>0</v>
      </c>
      <c r="Q599" s="116"/>
      <c r="R599" s="505" t="b">
        <v>0</v>
      </c>
      <c r="S599" s="504" t="b">
        <v>0</v>
      </c>
      <c r="T599" s="117"/>
      <c r="U599" s="505" t="b">
        <v>0</v>
      </c>
      <c r="V599" s="504" t="b">
        <v>0</v>
      </c>
      <c r="W599" s="118"/>
      <c r="X599" s="505" t="b">
        <v>0</v>
      </c>
      <c r="Y599" s="504" t="b">
        <v>0</v>
      </c>
      <c r="Z599" s="119"/>
      <c r="AA599" s="505" t="b">
        <v>0</v>
      </c>
      <c r="AB599" s="504" t="b">
        <v>0</v>
      </c>
      <c r="AC599" s="121"/>
      <c r="AD599" s="505" t="b">
        <v>0</v>
      </c>
      <c r="AE599" s="504" t="b">
        <v>0</v>
      </c>
      <c r="AF599" s="125"/>
      <c r="AG599" s="505" t="b">
        <v>0</v>
      </c>
      <c r="AH599" s="504" t="b">
        <v>0</v>
      </c>
      <c r="AI599" s="105"/>
      <c r="AJ599" s="505" t="b">
        <v>0</v>
      </c>
      <c r="AK599" s="504" t="b">
        <v>0</v>
      </c>
      <c r="AL599" s="126"/>
      <c r="AM599" s="505" t="b">
        <v>0</v>
      </c>
      <c r="AN599" s="504" t="b">
        <v>0</v>
      </c>
      <c r="AO599" s="105"/>
      <c r="AP599" s="105"/>
      <c r="AQ599" s="105"/>
      <c r="AR599" s="105"/>
      <c r="AS599" s="105"/>
      <c r="AT599" s="105"/>
      <c r="AU599" s="105"/>
      <c r="AV599" s="105"/>
      <c r="AW599" s="105"/>
      <c r="AX599" s="105"/>
      <c r="AY599" s="105"/>
      <c r="AZ599" s="105"/>
      <c r="BA599" s="105"/>
    </row>
    <row r="600">
      <c r="A600" s="105"/>
      <c r="B600" s="105"/>
      <c r="C600" s="105"/>
      <c r="D600" s="105"/>
      <c r="E600" s="105"/>
      <c r="F600" s="105"/>
      <c r="G600" s="105"/>
      <c r="H600" s="105"/>
      <c r="I600" s="505" t="b">
        <v>0</v>
      </c>
      <c r="J600" s="507" t="b">
        <v>0</v>
      </c>
      <c r="K600" s="112"/>
      <c r="L600" s="505" t="b">
        <v>0</v>
      </c>
      <c r="M600" s="504" t="b">
        <v>0</v>
      </c>
      <c r="N600" s="112"/>
      <c r="O600" s="505" t="b">
        <v>0</v>
      </c>
      <c r="P600" s="504" t="b">
        <v>0</v>
      </c>
      <c r="Q600" s="116"/>
      <c r="R600" s="505" t="b">
        <v>0</v>
      </c>
      <c r="S600" s="504" t="b">
        <v>0</v>
      </c>
      <c r="T600" s="117"/>
      <c r="U600" s="505" t="b">
        <v>0</v>
      </c>
      <c r="V600" s="504" t="b">
        <v>0</v>
      </c>
      <c r="W600" s="118"/>
      <c r="X600" s="505" t="b">
        <v>0</v>
      </c>
      <c r="Y600" s="504" t="b">
        <v>0</v>
      </c>
      <c r="Z600" s="119"/>
      <c r="AA600" s="505" t="b">
        <v>0</v>
      </c>
      <c r="AB600" s="504" t="b">
        <v>0</v>
      </c>
      <c r="AC600" s="121"/>
      <c r="AD600" s="505" t="b">
        <v>0</v>
      </c>
      <c r="AE600" s="504" t="b">
        <v>0</v>
      </c>
      <c r="AF600" s="125"/>
      <c r="AG600" s="505" t="b">
        <v>0</v>
      </c>
      <c r="AH600" s="504" t="b">
        <v>0</v>
      </c>
      <c r="AI600" s="105"/>
      <c r="AJ600" s="505" t="b">
        <v>0</v>
      </c>
      <c r="AK600" s="504" t="b">
        <v>0</v>
      </c>
      <c r="AL600" s="126"/>
      <c r="AM600" s="505" t="b">
        <v>0</v>
      </c>
      <c r="AN600" s="504" t="b">
        <v>0</v>
      </c>
      <c r="AO600" s="105"/>
      <c r="AP600" s="105"/>
      <c r="AQ600" s="105"/>
      <c r="AR600" s="105"/>
      <c r="AS600" s="105"/>
      <c r="AT600" s="105"/>
      <c r="AU600" s="105"/>
      <c r="AV600" s="105"/>
      <c r="AW600" s="105"/>
      <c r="AX600" s="105"/>
      <c r="AY600" s="105"/>
      <c r="AZ600" s="105"/>
      <c r="BA600" s="105"/>
    </row>
    <row r="601">
      <c r="A601" s="105"/>
      <c r="B601" s="105"/>
      <c r="C601" s="105"/>
      <c r="D601" s="105"/>
      <c r="E601" s="105"/>
      <c r="F601" s="105"/>
      <c r="G601" s="105"/>
      <c r="H601" s="105"/>
      <c r="I601" s="505" t="b">
        <v>0</v>
      </c>
      <c r="J601" s="507" t="b">
        <v>0</v>
      </c>
      <c r="K601" s="112"/>
      <c r="L601" s="505" t="b">
        <v>0</v>
      </c>
      <c r="M601" s="504" t="b">
        <v>0</v>
      </c>
      <c r="N601" s="112"/>
      <c r="O601" s="505" t="b">
        <v>0</v>
      </c>
      <c r="P601" s="504" t="b">
        <v>0</v>
      </c>
      <c r="Q601" s="116"/>
      <c r="R601" s="505" t="b">
        <v>0</v>
      </c>
      <c r="S601" s="504" t="b">
        <v>0</v>
      </c>
      <c r="T601" s="117"/>
      <c r="U601" s="505" t="b">
        <v>0</v>
      </c>
      <c r="V601" s="504" t="b">
        <v>0</v>
      </c>
      <c r="W601" s="118"/>
      <c r="X601" s="505" t="b">
        <v>0</v>
      </c>
      <c r="Y601" s="504" t="b">
        <v>0</v>
      </c>
      <c r="Z601" s="119"/>
      <c r="AA601" s="505" t="b">
        <v>0</v>
      </c>
      <c r="AB601" s="504" t="b">
        <v>0</v>
      </c>
      <c r="AC601" s="121"/>
      <c r="AD601" s="505" t="b">
        <v>0</v>
      </c>
      <c r="AE601" s="504" t="b">
        <v>0</v>
      </c>
      <c r="AF601" s="125"/>
      <c r="AG601" s="505" t="b">
        <v>0</v>
      </c>
      <c r="AH601" s="504" t="b">
        <v>0</v>
      </c>
      <c r="AI601" s="105"/>
      <c r="AJ601" s="505" t="b">
        <v>0</v>
      </c>
      <c r="AK601" s="504" t="b">
        <v>0</v>
      </c>
      <c r="AL601" s="126"/>
      <c r="AM601" s="505" t="b">
        <v>0</v>
      </c>
      <c r="AN601" s="504" t="b">
        <v>0</v>
      </c>
      <c r="AO601" s="105"/>
      <c r="AP601" s="105"/>
      <c r="AQ601" s="105"/>
      <c r="AR601" s="105"/>
      <c r="AS601" s="105"/>
      <c r="AT601" s="105"/>
      <c r="AU601" s="105"/>
      <c r="AV601" s="105"/>
      <c r="AW601" s="105"/>
      <c r="AX601" s="105"/>
      <c r="AY601" s="105"/>
      <c r="AZ601" s="105"/>
      <c r="BA601" s="105"/>
    </row>
    <row r="602">
      <c r="A602" s="105"/>
      <c r="B602" s="105"/>
      <c r="C602" s="105"/>
      <c r="D602" s="105"/>
      <c r="E602" s="105"/>
      <c r="F602" s="105"/>
      <c r="G602" s="105"/>
      <c r="H602" s="105"/>
      <c r="I602" s="505" t="b">
        <v>0</v>
      </c>
      <c r="J602" s="507" t="b">
        <v>0</v>
      </c>
      <c r="K602" s="112"/>
      <c r="L602" s="505" t="b">
        <v>0</v>
      </c>
      <c r="M602" s="504" t="b">
        <v>0</v>
      </c>
      <c r="N602" s="112"/>
      <c r="O602" s="505" t="b">
        <v>0</v>
      </c>
      <c r="P602" s="504" t="b">
        <v>0</v>
      </c>
      <c r="Q602" s="116"/>
      <c r="R602" s="505" t="b">
        <v>0</v>
      </c>
      <c r="S602" s="504" t="b">
        <v>0</v>
      </c>
      <c r="T602" s="117"/>
      <c r="U602" s="505" t="b">
        <v>0</v>
      </c>
      <c r="V602" s="504" t="b">
        <v>0</v>
      </c>
      <c r="W602" s="118"/>
      <c r="X602" s="505" t="b">
        <v>0</v>
      </c>
      <c r="Y602" s="504" t="b">
        <v>0</v>
      </c>
      <c r="Z602" s="119"/>
      <c r="AA602" s="505" t="b">
        <v>0</v>
      </c>
      <c r="AB602" s="504" t="b">
        <v>0</v>
      </c>
      <c r="AC602" s="121"/>
      <c r="AD602" s="505" t="b">
        <v>0</v>
      </c>
      <c r="AE602" s="504" t="b">
        <v>0</v>
      </c>
      <c r="AF602" s="125"/>
      <c r="AG602" s="505" t="b">
        <v>0</v>
      </c>
      <c r="AH602" s="504" t="b">
        <v>0</v>
      </c>
      <c r="AI602" s="105"/>
      <c r="AJ602" s="505" t="b">
        <v>0</v>
      </c>
      <c r="AK602" s="504" t="b">
        <v>0</v>
      </c>
      <c r="AL602" s="126"/>
      <c r="AM602" s="505" t="b">
        <v>0</v>
      </c>
      <c r="AN602" s="504" t="b">
        <v>0</v>
      </c>
      <c r="AO602" s="105"/>
      <c r="AP602" s="105"/>
      <c r="AQ602" s="105"/>
      <c r="AR602" s="105"/>
      <c r="AS602" s="105"/>
      <c r="AT602" s="105"/>
      <c r="AU602" s="105"/>
      <c r="AV602" s="105"/>
      <c r="AW602" s="105"/>
      <c r="AX602" s="105"/>
      <c r="AY602" s="105"/>
      <c r="AZ602" s="105"/>
      <c r="BA602" s="105"/>
    </row>
    <row r="603">
      <c r="A603" s="105"/>
      <c r="B603" s="105"/>
      <c r="C603" s="105"/>
      <c r="D603" s="105"/>
      <c r="E603" s="105"/>
      <c r="F603" s="105"/>
      <c r="G603" s="105"/>
      <c r="H603" s="105"/>
      <c r="I603" s="505" t="b">
        <v>0</v>
      </c>
      <c r="J603" s="507" t="b">
        <v>0</v>
      </c>
      <c r="K603" s="112"/>
      <c r="L603" s="505" t="b">
        <v>0</v>
      </c>
      <c r="M603" s="504" t="b">
        <v>0</v>
      </c>
      <c r="N603" s="112"/>
      <c r="O603" s="505" t="b">
        <v>0</v>
      </c>
      <c r="P603" s="504" t="b">
        <v>0</v>
      </c>
      <c r="Q603" s="116"/>
      <c r="R603" s="505" t="b">
        <v>0</v>
      </c>
      <c r="S603" s="504" t="b">
        <v>0</v>
      </c>
      <c r="T603" s="117"/>
      <c r="U603" s="505" t="b">
        <v>0</v>
      </c>
      <c r="V603" s="504" t="b">
        <v>0</v>
      </c>
      <c r="W603" s="118"/>
      <c r="X603" s="505" t="b">
        <v>0</v>
      </c>
      <c r="Y603" s="504" t="b">
        <v>0</v>
      </c>
      <c r="Z603" s="119"/>
      <c r="AA603" s="505" t="b">
        <v>0</v>
      </c>
      <c r="AB603" s="504" t="b">
        <v>0</v>
      </c>
      <c r="AC603" s="121"/>
      <c r="AD603" s="505" t="b">
        <v>0</v>
      </c>
      <c r="AE603" s="504" t="b">
        <v>0</v>
      </c>
      <c r="AF603" s="125"/>
      <c r="AG603" s="505" t="b">
        <v>0</v>
      </c>
      <c r="AH603" s="504" t="b">
        <v>0</v>
      </c>
      <c r="AI603" s="105"/>
      <c r="AJ603" s="505" t="b">
        <v>0</v>
      </c>
      <c r="AK603" s="504" t="b">
        <v>0</v>
      </c>
      <c r="AL603" s="126"/>
      <c r="AM603" s="505" t="b">
        <v>0</v>
      </c>
      <c r="AN603" s="504" t="b">
        <v>0</v>
      </c>
      <c r="AO603" s="105"/>
      <c r="AP603" s="105"/>
      <c r="AQ603" s="105"/>
      <c r="AR603" s="105"/>
      <c r="AS603" s="105"/>
      <c r="AT603" s="105"/>
      <c r="AU603" s="105"/>
      <c r="AV603" s="105"/>
      <c r="AW603" s="105"/>
      <c r="AX603" s="105"/>
      <c r="AY603" s="105"/>
      <c r="AZ603" s="105"/>
      <c r="BA603" s="105"/>
    </row>
    <row r="604">
      <c r="A604" s="105"/>
      <c r="B604" s="105"/>
      <c r="C604" s="105"/>
      <c r="D604" s="105"/>
      <c r="E604" s="105"/>
      <c r="F604" s="105"/>
      <c r="G604" s="105"/>
      <c r="H604" s="105"/>
      <c r="I604" s="505" t="b">
        <v>0</v>
      </c>
      <c r="J604" s="507" t="b">
        <v>0</v>
      </c>
      <c r="K604" s="112"/>
      <c r="L604" s="505" t="b">
        <v>0</v>
      </c>
      <c r="M604" s="504" t="b">
        <v>0</v>
      </c>
      <c r="N604" s="112"/>
      <c r="O604" s="505" t="b">
        <v>0</v>
      </c>
      <c r="P604" s="504" t="b">
        <v>0</v>
      </c>
      <c r="Q604" s="116"/>
      <c r="R604" s="505" t="b">
        <v>0</v>
      </c>
      <c r="S604" s="504" t="b">
        <v>0</v>
      </c>
      <c r="T604" s="117"/>
      <c r="U604" s="505" t="b">
        <v>0</v>
      </c>
      <c r="V604" s="504" t="b">
        <v>0</v>
      </c>
      <c r="W604" s="118"/>
      <c r="X604" s="505" t="b">
        <v>0</v>
      </c>
      <c r="Y604" s="504" t="b">
        <v>0</v>
      </c>
      <c r="Z604" s="119"/>
      <c r="AA604" s="505" t="b">
        <v>0</v>
      </c>
      <c r="AB604" s="504" t="b">
        <v>0</v>
      </c>
      <c r="AC604" s="121"/>
      <c r="AD604" s="505" t="b">
        <v>0</v>
      </c>
      <c r="AE604" s="504" t="b">
        <v>0</v>
      </c>
      <c r="AF604" s="125"/>
      <c r="AG604" s="505" t="b">
        <v>0</v>
      </c>
      <c r="AH604" s="504" t="b">
        <v>0</v>
      </c>
      <c r="AI604" s="105"/>
      <c r="AJ604" s="505" t="b">
        <v>0</v>
      </c>
      <c r="AK604" s="504" t="b">
        <v>0</v>
      </c>
      <c r="AL604" s="126"/>
      <c r="AM604" s="505" t="b">
        <v>0</v>
      </c>
      <c r="AN604" s="504" t="b">
        <v>0</v>
      </c>
      <c r="AO604" s="105"/>
      <c r="AP604" s="105"/>
      <c r="AQ604" s="105"/>
      <c r="AR604" s="105"/>
      <c r="AS604" s="105"/>
      <c r="AT604" s="105"/>
      <c r="AU604" s="105"/>
      <c r="AV604" s="105"/>
      <c r="AW604" s="105"/>
      <c r="AX604" s="105"/>
      <c r="AY604" s="105"/>
      <c r="AZ604" s="105"/>
      <c r="BA604" s="105"/>
    </row>
    <row r="605">
      <c r="A605" s="105"/>
      <c r="B605" s="105"/>
      <c r="C605" s="105"/>
      <c r="D605" s="105"/>
      <c r="E605" s="105"/>
      <c r="F605" s="105"/>
      <c r="G605" s="105"/>
      <c r="H605" s="105"/>
      <c r="I605" s="505" t="b">
        <v>0</v>
      </c>
      <c r="J605" s="507" t="b">
        <v>0</v>
      </c>
      <c r="K605" s="112"/>
      <c r="L605" s="505" t="b">
        <v>0</v>
      </c>
      <c r="M605" s="504" t="b">
        <v>0</v>
      </c>
      <c r="N605" s="112"/>
      <c r="O605" s="505" t="b">
        <v>0</v>
      </c>
      <c r="P605" s="504" t="b">
        <v>0</v>
      </c>
      <c r="Q605" s="116"/>
      <c r="R605" s="505" t="b">
        <v>0</v>
      </c>
      <c r="S605" s="504" t="b">
        <v>0</v>
      </c>
      <c r="T605" s="117"/>
      <c r="U605" s="505" t="b">
        <v>0</v>
      </c>
      <c r="V605" s="504" t="b">
        <v>0</v>
      </c>
      <c r="W605" s="118"/>
      <c r="X605" s="505" t="b">
        <v>0</v>
      </c>
      <c r="Y605" s="504" t="b">
        <v>0</v>
      </c>
      <c r="Z605" s="119"/>
      <c r="AA605" s="505" t="b">
        <v>0</v>
      </c>
      <c r="AB605" s="504" t="b">
        <v>0</v>
      </c>
      <c r="AC605" s="121"/>
      <c r="AD605" s="505" t="b">
        <v>0</v>
      </c>
      <c r="AE605" s="504" t="b">
        <v>0</v>
      </c>
      <c r="AF605" s="125"/>
      <c r="AG605" s="505" t="b">
        <v>0</v>
      </c>
      <c r="AH605" s="504" t="b">
        <v>0</v>
      </c>
      <c r="AI605" s="105"/>
      <c r="AJ605" s="505" t="b">
        <v>0</v>
      </c>
      <c r="AK605" s="504" t="b">
        <v>0</v>
      </c>
      <c r="AL605" s="126"/>
      <c r="AM605" s="505" t="b">
        <v>0</v>
      </c>
      <c r="AN605" s="504" t="b">
        <v>0</v>
      </c>
      <c r="AO605" s="105"/>
      <c r="AP605" s="105"/>
      <c r="AQ605" s="105"/>
      <c r="AR605" s="105"/>
      <c r="AS605" s="105"/>
      <c r="AT605" s="105"/>
      <c r="AU605" s="105"/>
      <c r="AV605" s="105"/>
      <c r="AW605" s="105"/>
      <c r="AX605" s="105"/>
      <c r="AY605" s="105"/>
      <c r="AZ605" s="105"/>
      <c r="BA605" s="105"/>
    </row>
    <row r="606">
      <c r="A606" s="105"/>
      <c r="B606" s="105"/>
      <c r="C606" s="105"/>
      <c r="D606" s="105"/>
      <c r="E606" s="105"/>
      <c r="F606" s="105"/>
      <c r="G606" s="105"/>
      <c r="H606" s="105"/>
      <c r="I606" s="505" t="b">
        <v>0</v>
      </c>
      <c r="J606" s="507" t="b">
        <v>0</v>
      </c>
      <c r="K606" s="112"/>
      <c r="L606" s="505" t="b">
        <v>0</v>
      </c>
      <c r="M606" s="504" t="b">
        <v>0</v>
      </c>
      <c r="N606" s="112"/>
      <c r="O606" s="505" t="b">
        <v>0</v>
      </c>
      <c r="P606" s="504" t="b">
        <v>0</v>
      </c>
      <c r="Q606" s="116"/>
      <c r="R606" s="505" t="b">
        <v>0</v>
      </c>
      <c r="S606" s="504" t="b">
        <v>0</v>
      </c>
      <c r="T606" s="117"/>
      <c r="U606" s="505" t="b">
        <v>0</v>
      </c>
      <c r="V606" s="504" t="b">
        <v>0</v>
      </c>
      <c r="W606" s="118"/>
      <c r="X606" s="505" t="b">
        <v>0</v>
      </c>
      <c r="Y606" s="504" t="b">
        <v>0</v>
      </c>
      <c r="Z606" s="119"/>
      <c r="AA606" s="505" t="b">
        <v>0</v>
      </c>
      <c r="AB606" s="504" t="b">
        <v>0</v>
      </c>
      <c r="AC606" s="121"/>
      <c r="AD606" s="505" t="b">
        <v>0</v>
      </c>
      <c r="AE606" s="504" t="b">
        <v>0</v>
      </c>
      <c r="AF606" s="125"/>
      <c r="AG606" s="505" t="b">
        <v>0</v>
      </c>
      <c r="AH606" s="504" t="b">
        <v>0</v>
      </c>
      <c r="AI606" s="105"/>
      <c r="AJ606" s="505" t="b">
        <v>0</v>
      </c>
      <c r="AK606" s="504" t="b">
        <v>0</v>
      </c>
      <c r="AL606" s="126"/>
      <c r="AM606" s="505" t="b">
        <v>0</v>
      </c>
      <c r="AN606" s="504" t="b">
        <v>0</v>
      </c>
      <c r="AO606" s="105"/>
      <c r="AP606" s="105"/>
      <c r="AQ606" s="105"/>
      <c r="AR606" s="105"/>
      <c r="AS606" s="105"/>
      <c r="AT606" s="105"/>
      <c r="AU606" s="105"/>
      <c r="AV606" s="105"/>
      <c r="AW606" s="105"/>
      <c r="AX606" s="105"/>
      <c r="AY606" s="105"/>
      <c r="AZ606" s="105"/>
      <c r="BA606" s="105"/>
    </row>
    <row r="607">
      <c r="A607" s="105"/>
      <c r="B607" s="105"/>
      <c r="C607" s="105"/>
      <c r="D607" s="105"/>
      <c r="E607" s="105"/>
      <c r="F607" s="105"/>
      <c r="G607" s="105"/>
      <c r="H607" s="105"/>
      <c r="I607" s="505" t="b">
        <v>0</v>
      </c>
      <c r="J607" s="507" t="b">
        <v>0</v>
      </c>
      <c r="K607" s="112"/>
      <c r="L607" s="505" t="b">
        <v>0</v>
      </c>
      <c r="M607" s="504" t="b">
        <v>0</v>
      </c>
      <c r="N607" s="112"/>
      <c r="O607" s="505" t="b">
        <v>0</v>
      </c>
      <c r="P607" s="504" t="b">
        <v>0</v>
      </c>
      <c r="Q607" s="116"/>
      <c r="R607" s="505" t="b">
        <v>0</v>
      </c>
      <c r="S607" s="504" t="b">
        <v>0</v>
      </c>
      <c r="T607" s="117"/>
      <c r="U607" s="505" t="b">
        <v>0</v>
      </c>
      <c r="V607" s="504" t="b">
        <v>0</v>
      </c>
      <c r="W607" s="118"/>
      <c r="X607" s="505" t="b">
        <v>0</v>
      </c>
      <c r="Y607" s="504" t="b">
        <v>0</v>
      </c>
      <c r="Z607" s="119"/>
      <c r="AA607" s="505" t="b">
        <v>0</v>
      </c>
      <c r="AB607" s="504" t="b">
        <v>0</v>
      </c>
      <c r="AC607" s="121"/>
      <c r="AD607" s="505" t="b">
        <v>0</v>
      </c>
      <c r="AE607" s="504" t="b">
        <v>0</v>
      </c>
      <c r="AF607" s="125"/>
      <c r="AG607" s="505" t="b">
        <v>0</v>
      </c>
      <c r="AH607" s="504" t="b">
        <v>0</v>
      </c>
      <c r="AI607" s="105"/>
      <c r="AJ607" s="505" t="b">
        <v>0</v>
      </c>
      <c r="AK607" s="504" t="b">
        <v>0</v>
      </c>
      <c r="AL607" s="126"/>
      <c r="AM607" s="505" t="b">
        <v>0</v>
      </c>
      <c r="AN607" s="504" t="b">
        <v>0</v>
      </c>
      <c r="AO607" s="105"/>
      <c r="AP607" s="105"/>
      <c r="AQ607" s="105"/>
      <c r="AR607" s="105"/>
      <c r="AS607" s="105"/>
      <c r="AT607" s="105"/>
      <c r="AU607" s="105"/>
      <c r="AV607" s="105"/>
      <c r="AW607" s="105"/>
      <c r="AX607" s="105"/>
      <c r="AY607" s="105"/>
      <c r="AZ607" s="105"/>
      <c r="BA607" s="105"/>
    </row>
    <row r="608">
      <c r="A608" s="105"/>
      <c r="B608" s="105"/>
      <c r="C608" s="105"/>
      <c r="D608" s="105"/>
      <c r="E608" s="105"/>
      <c r="F608" s="105"/>
      <c r="G608" s="105"/>
      <c r="H608" s="105"/>
      <c r="I608" s="505" t="b">
        <v>0</v>
      </c>
      <c r="J608" s="507" t="b">
        <v>0</v>
      </c>
      <c r="K608" s="112"/>
      <c r="L608" s="505" t="b">
        <v>0</v>
      </c>
      <c r="M608" s="504" t="b">
        <v>0</v>
      </c>
      <c r="N608" s="112"/>
      <c r="O608" s="505" t="b">
        <v>0</v>
      </c>
      <c r="P608" s="504" t="b">
        <v>0</v>
      </c>
      <c r="Q608" s="116"/>
      <c r="R608" s="505" t="b">
        <v>0</v>
      </c>
      <c r="S608" s="504" t="b">
        <v>0</v>
      </c>
      <c r="T608" s="117"/>
      <c r="U608" s="505" t="b">
        <v>0</v>
      </c>
      <c r="V608" s="504" t="b">
        <v>0</v>
      </c>
      <c r="W608" s="118"/>
      <c r="X608" s="505" t="b">
        <v>0</v>
      </c>
      <c r="Y608" s="504" t="b">
        <v>0</v>
      </c>
      <c r="Z608" s="119"/>
      <c r="AA608" s="505" t="b">
        <v>0</v>
      </c>
      <c r="AB608" s="504" t="b">
        <v>0</v>
      </c>
      <c r="AC608" s="121"/>
      <c r="AD608" s="505" t="b">
        <v>0</v>
      </c>
      <c r="AE608" s="504" t="b">
        <v>0</v>
      </c>
      <c r="AF608" s="125"/>
      <c r="AG608" s="505" t="b">
        <v>0</v>
      </c>
      <c r="AH608" s="504" t="b">
        <v>0</v>
      </c>
      <c r="AI608" s="105"/>
      <c r="AJ608" s="505" t="b">
        <v>0</v>
      </c>
      <c r="AK608" s="504" t="b">
        <v>0</v>
      </c>
      <c r="AL608" s="126"/>
      <c r="AM608" s="505" t="b">
        <v>0</v>
      </c>
      <c r="AN608" s="504" t="b">
        <v>0</v>
      </c>
      <c r="AO608" s="105"/>
      <c r="AP608" s="105"/>
      <c r="AQ608" s="105"/>
      <c r="AR608" s="105"/>
      <c r="AS608" s="105"/>
      <c r="AT608" s="105"/>
      <c r="AU608" s="105"/>
      <c r="AV608" s="105"/>
      <c r="AW608" s="105"/>
      <c r="AX608" s="105"/>
      <c r="AY608" s="105"/>
      <c r="AZ608" s="105"/>
      <c r="BA608" s="105"/>
    </row>
    <row r="609">
      <c r="A609" s="105"/>
      <c r="B609" s="105"/>
      <c r="C609" s="105"/>
      <c r="D609" s="105"/>
      <c r="E609" s="105"/>
      <c r="F609" s="105"/>
      <c r="G609" s="105"/>
      <c r="H609" s="105"/>
      <c r="I609" s="505" t="b">
        <v>0</v>
      </c>
      <c r="J609" s="507" t="b">
        <v>0</v>
      </c>
      <c r="K609" s="112"/>
      <c r="L609" s="505" t="b">
        <v>0</v>
      </c>
      <c r="M609" s="504" t="b">
        <v>0</v>
      </c>
      <c r="N609" s="112"/>
      <c r="O609" s="505" t="b">
        <v>0</v>
      </c>
      <c r="P609" s="504" t="b">
        <v>0</v>
      </c>
      <c r="Q609" s="116"/>
      <c r="R609" s="505" t="b">
        <v>0</v>
      </c>
      <c r="S609" s="504" t="b">
        <v>0</v>
      </c>
      <c r="T609" s="117"/>
      <c r="U609" s="505" t="b">
        <v>0</v>
      </c>
      <c r="V609" s="504" t="b">
        <v>0</v>
      </c>
      <c r="W609" s="118"/>
      <c r="X609" s="505" t="b">
        <v>0</v>
      </c>
      <c r="Y609" s="504" t="b">
        <v>0</v>
      </c>
      <c r="Z609" s="119"/>
      <c r="AA609" s="505" t="b">
        <v>0</v>
      </c>
      <c r="AB609" s="504" t="b">
        <v>0</v>
      </c>
      <c r="AC609" s="121"/>
      <c r="AD609" s="505" t="b">
        <v>0</v>
      </c>
      <c r="AE609" s="504" t="b">
        <v>0</v>
      </c>
      <c r="AF609" s="125"/>
      <c r="AG609" s="505" t="b">
        <v>0</v>
      </c>
      <c r="AH609" s="504" t="b">
        <v>0</v>
      </c>
      <c r="AI609" s="105"/>
      <c r="AJ609" s="505" t="b">
        <v>0</v>
      </c>
      <c r="AK609" s="504" t="b">
        <v>0</v>
      </c>
      <c r="AL609" s="126"/>
      <c r="AM609" s="505" t="b">
        <v>0</v>
      </c>
      <c r="AN609" s="504" t="b">
        <v>0</v>
      </c>
      <c r="AO609" s="105"/>
      <c r="AP609" s="105"/>
      <c r="AQ609" s="105"/>
      <c r="AR609" s="105"/>
      <c r="AS609" s="105"/>
      <c r="AT609" s="105"/>
      <c r="AU609" s="105"/>
      <c r="AV609" s="105"/>
      <c r="AW609" s="105"/>
      <c r="AX609" s="105"/>
      <c r="AY609" s="105"/>
      <c r="AZ609" s="105"/>
      <c r="BA609" s="105"/>
    </row>
    <row r="610">
      <c r="A610" s="105"/>
      <c r="B610" s="105"/>
      <c r="C610" s="105"/>
      <c r="D610" s="105"/>
      <c r="E610" s="105"/>
      <c r="F610" s="105"/>
      <c r="G610" s="105"/>
      <c r="H610" s="105"/>
      <c r="I610" s="505" t="b">
        <v>0</v>
      </c>
      <c r="J610" s="507" t="b">
        <v>0</v>
      </c>
      <c r="K610" s="112"/>
      <c r="L610" s="505" t="b">
        <v>0</v>
      </c>
      <c r="M610" s="504" t="b">
        <v>0</v>
      </c>
      <c r="N610" s="112"/>
      <c r="O610" s="505" t="b">
        <v>0</v>
      </c>
      <c r="P610" s="504" t="b">
        <v>0</v>
      </c>
      <c r="Q610" s="116"/>
      <c r="R610" s="505" t="b">
        <v>0</v>
      </c>
      <c r="S610" s="504" t="b">
        <v>0</v>
      </c>
      <c r="T610" s="117"/>
      <c r="U610" s="505" t="b">
        <v>0</v>
      </c>
      <c r="V610" s="504" t="b">
        <v>0</v>
      </c>
      <c r="W610" s="118"/>
      <c r="X610" s="505" t="b">
        <v>0</v>
      </c>
      <c r="Y610" s="504" t="b">
        <v>0</v>
      </c>
      <c r="Z610" s="119"/>
      <c r="AA610" s="505" t="b">
        <v>0</v>
      </c>
      <c r="AB610" s="504" t="b">
        <v>0</v>
      </c>
      <c r="AC610" s="121"/>
      <c r="AD610" s="505" t="b">
        <v>0</v>
      </c>
      <c r="AE610" s="504" t="b">
        <v>0</v>
      </c>
      <c r="AF610" s="125"/>
      <c r="AG610" s="505" t="b">
        <v>0</v>
      </c>
      <c r="AH610" s="504" t="b">
        <v>0</v>
      </c>
      <c r="AI610" s="105"/>
      <c r="AJ610" s="505" t="b">
        <v>0</v>
      </c>
      <c r="AK610" s="504" t="b">
        <v>0</v>
      </c>
      <c r="AL610" s="126"/>
      <c r="AM610" s="505" t="b">
        <v>0</v>
      </c>
      <c r="AN610" s="504" t="b">
        <v>0</v>
      </c>
      <c r="AO610" s="105"/>
      <c r="AP610" s="105"/>
      <c r="AQ610" s="105"/>
      <c r="AR610" s="105"/>
      <c r="AS610" s="105"/>
      <c r="AT610" s="105"/>
      <c r="AU610" s="105"/>
      <c r="AV610" s="105"/>
      <c r="AW610" s="105"/>
      <c r="AX610" s="105"/>
      <c r="AY610" s="105"/>
      <c r="AZ610" s="105"/>
      <c r="BA610" s="105"/>
    </row>
    <row r="611">
      <c r="A611" s="105"/>
      <c r="B611" s="105"/>
      <c r="C611" s="105"/>
      <c r="D611" s="105"/>
      <c r="E611" s="105"/>
      <c r="F611" s="105"/>
      <c r="G611" s="105"/>
      <c r="H611" s="105"/>
      <c r="I611" s="505" t="b">
        <v>0</v>
      </c>
      <c r="J611" s="507" t="b">
        <v>0</v>
      </c>
      <c r="K611" s="112"/>
      <c r="L611" s="505" t="b">
        <v>0</v>
      </c>
      <c r="M611" s="504" t="b">
        <v>0</v>
      </c>
      <c r="N611" s="112"/>
      <c r="O611" s="505" t="b">
        <v>0</v>
      </c>
      <c r="P611" s="504" t="b">
        <v>0</v>
      </c>
      <c r="Q611" s="116"/>
      <c r="R611" s="505" t="b">
        <v>0</v>
      </c>
      <c r="S611" s="504" t="b">
        <v>0</v>
      </c>
      <c r="T611" s="117"/>
      <c r="U611" s="505" t="b">
        <v>0</v>
      </c>
      <c r="V611" s="504" t="b">
        <v>0</v>
      </c>
      <c r="W611" s="118"/>
      <c r="X611" s="505" t="b">
        <v>0</v>
      </c>
      <c r="Y611" s="504" t="b">
        <v>0</v>
      </c>
      <c r="Z611" s="119"/>
      <c r="AA611" s="505" t="b">
        <v>0</v>
      </c>
      <c r="AB611" s="504" t="b">
        <v>0</v>
      </c>
      <c r="AC611" s="121"/>
      <c r="AD611" s="505" t="b">
        <v>0</v>
      </c>
      <c r="AE611" s="504" t="b">
        <v>0</v>
      </c>
      <c r="AF611" s="125"/>
      <c r="AG611" s="505" t="b">
        <v>0</v>
      </c>
      <c r="AH611" s="504" t="b">
        <v>0</v>
      </c>
      <c r="AI611" s="105"/>
      <c r="AJ611" s="505" t="b">
        <v>0</v>
      </c>
      <c r="AK611" s="504" t="b">
        <v>0</v>
      </c>
      <c r="AL611" s="126"/>
      <c r="AM611" s="505" t="b">
        <v>0</v>
      </c>
      <c r="AN611" s="504" t="b">
        <v>0</v>
      </c>
      <c r="AO611" s="105"/>
      <c r="AP611" s="105"/>
      <c r="AQ611" s="105"/>
      <c r="AR611" s="105"/>
      <c r="AS611" s="105"/>
      <c r="AT611" s="105"/>
      <c r="AU611" s="105"/>
      <c r="AV611" s="105"/>
      <c r="AW611" s="105"/>
      <c r="AX611" s="105"/>
      <c r="AY611" s="105"/>
      <c r="AZ611" s="105"/>
      <c r="BA611" s="105"/>
    </row>
    <row r="612">
      <c r="A612" s="105"/>
      <c r="B612" s="105"/>
      <c r="C612" s="105"/>
      <c r="D612" s="105"/>
      <c r="E612" s="105"/>
      <c r="F612" s="105"/>
      <c r="G612" s="105"/>
      <c r="H612" s="105"/>
      <c r="I612" s="505" t="b">
        <v>0</v>
      </c>
      <c r="J612" s="507" t="b">
        <v>0</v>
      </c>
      <c r="K612" s="112"/>
      <c r="L612" s="505" t="b">
        <v>0</v>
      </c>
      <c r="M612" s="504" t="b">
        <v>0</v>
      </c>
      <c r="N612" s="112"/>
      <c r="O612" s="505" t="b">
        <v>0</v>
      </c>
      <c r="P612" s="504" t="b">
        <v>0</v>
      </c>
      <c r="Q612" s="116"/>
      <c r="R612" s="505" t="b">
        <v>0</v>
      </c>
      <c r="S612" s="504" t="b">
        <v>0</v>
      </c>
      <c r="T612" s="117"/>
      <c r="U612" s="505" t="b">
        <v>0</v>
      </c>
      <c r="V612" s="504" t="b">
        <v>0</v>
      </c>
      <c r="W612" s="118"/>
      <c r="X612" s="505" t="b">
        <v>0</v>
      </c>
      <c r="Y612" s="504" t="b">
        <v>0</v>
      </c>
      <c r="Z612" s="119"/>
      <c r="AA612" s="505" t="b">
        <v>0</v>
      </c>
      <c r="AB612" s="504" t="b">
        <v>0</v>
      </c>
      <c r="AC612" s="121"/>
      <c r="AD612" s="505" t="b">
        <v>0</v>
      </c>
      <c r="AE612" s="504" t="b">
        <v>0</v>
      </c>
      <c r="AF612" s="125"/>
      <c r="AG612" s="505" t="b">
        <v>0</v>
      </c>
      <c r="AH612" s="504" t="b">
        <v>0</v>
      </c>
      <c r="AI612" s="105"/>
      <c r="AJ612" s="505" t="b">
        <v>0</v>
      </c>
      <c r="AK612" s="504" t="b">
        <v>0</v>
      </c>
      <c r="AL612" s="126"/>
      <c r="AM612" s="505" t="b">
        <v>0</v>
      </c>
      <c r="AN612" s="504" t="b">
        <v>0</v>
      </c>
      <c r="AO612" s="105"/>
      <c r="AP612" s="105"/>
      <c r="AQ612" s="105"/>
      <c r="AR612" s="105"/>
      <c r="AS612" s="105"/>
      <c r="AT612" s="105"/>
      <c r="AU612" s="105"/>
      <c r="AV612" s="105"/>
      <c r="AW612" s="105"/>
      <c r="AX612" s="105"/>
      <c r="AY612" s="105"/>
      <c r="AZ612" s="105"/>
      <c r="BA612" s="105"/>
    </row>
    <row r="613">
      <c r="A613" s="105"/>
      <c r="B613" s="105"/>
      <c r="C613" s="105"/>
      <c r="D613" s="105"/>
      <c r="E613" s="105"/>
      <c r="F613" s="105"/>
      <c r="G613" s="105"/>
      <c r="H613" s="105"/>
      <c r="I613" s="505" t="b">
        <v>0</v>
      </c>
      <c r="J613" s="507" t="b">
        <v>0</v>
      </c>
      <c r="K613" s="112"/>
      <c r="L613" s="505" t="b">
        <v>0</v>
      </c>
      <c r="M613" s="504" t="b">
        <v>0</v>
      </c>
      <c r="N613" s="112"/>
      <c r="O613" s="505" t="b">
        <v>0</v>
      </c>
      <c r="P613" s="504" t="b">
        <v>0</v>
      </c>
      <c r="Q613" s="116"/>
      <c r="R613" s="505" t="b">
        <v>0</v>
      </c>
      <c r="S613" s="504" t="b">
        <v>0</v>
      </c>
      <c r="T613" s="117"/>
      <c r="U613" s="505" t="b">
        <v>0</v>
      </c>
      <c r="V613" s="504" t="b">
        <v>0</v>
      </c>
      <c r="W613" s="118"/>
      <c r="X613" s="505" t="b">
        <v>0</v>
      </c>
      <c r="Y613" s="504" t="b">
        <v>0</v>
      </c>
      <c r="Z613" s="119"/>
      <c r="AA613" s="505" t="b">
        <v>0</v>
      </c>
      <c r="AB613" s="504" t="b">
        <v>0</v>
      </c>
      <c r="AC613" s="121"/>
      <c r="AD613" s="505" t="b">
        <v>0</v>
      </c>
      <c r="AE613" s="504" t="b">
        <v>0</v>
      </c>
      <c r="AF613" s="125"/>
      <c r="AG613" s="505" t="b">
        <v>0</v>
      </c>
      <c r="AH613" s="504" t="b">
        <v>0</v>
      </c>
      <c r="AI613" s="105"/>
      <c r="AJ613" s="505" t="b">
        <v>0</v>
      </c>
      <c r="AK613" s="504" t="b">
        <v>0</v>
      </c>
      <c r="AL613" s="126"/>
      <c r="AM613" s="505" t="b">
        <v>0</v>
      </c>
      <c r="AN613" s="504" t="b">
        <v>0</v>
      </c>
      <c r="AO613" s="105"/>
      <c r="AP613" s="105"/>
      <c r="AQ613" s="105"/>
      <c r="AR613" s="105"/>
      <c r="AS613" s="105"/>
      <c r="AT613" s="105"/>
      <c r="AU613" s="105"/>
      <c r="AV613" s="105"/>
      <c r="AW613" s="105"/>
      <c r="AX613" s="105"/>
      <c r="AY613" s="105"/>
      <c r="AZ613" s="105"/>
      <c r="BA613" s="105"/>
    </row>
    <row r="614">
      <c r="A614" s="105"/>
      <c r="B614" s="105"/>
      <c r="C614" s="105"/>
      <c r="D614" s="105"/>
      <c r="E614" s="105"/>
      <c r="F614" s="105"/>
      <c r="G614" s="105"/>
      <c r="H614" s="105"/>
      <c r="I614" s="505" t="b">
        <v>0</v>
      </c>
      <c r="J614" s="507" t="b">
        <v>0</v>
      </c>
      <c r="K614" s="112"/>
      <c r="L614" s="505" t="b">
        <v>0</v>
      </c>
      <c r="M614" s="504" t="b">
        <v>0</v>
      </c>
      <c r="N614" s="112"/>
      <c r="O614" s="505" t="b">
        <v>0</v>
      </c>
      <c r="P614" s="504" t="b">
        <v>0</v>
      </c>
      <c r="Q614" s="116"/>
      <c r="R614" s="505" t="b">
        <v>0</v>
      </c>
      <c r="S614" s="504" t="b">
        <v>0</v>
      </c>
      <c r="T614" s="117"/>
      <c r="U614" s="505" t="b">
        <v>0</v>
      </c>
      <c r="V614" s="504" t="b">
        <v>0</v>
      </c>
      <c r="W614" s="118"/>
      <c r="X614" s="505" t="b">
        <v>0</v>
      </c>
      <c r="Y614" s="504" t="b">
        <v>0</v>
      </c>
      <c r="Z614" s="119"/>
      <c r="AA614" s="505" t="b">
        <v>0</v>
      </c>
      <c r="AB614" s="504" t="b">
        <v>0</v>
      </c>
      <c r="AC614" s="121"/>
      <c r="AD614" s="505" t="b">
        <v>0</v>
      </c>
      <c r="AE614" s="504" t="b">
        <v>0</v>
      </c>
      <c r="AF614" s="125"/>
      <c r="AG614" s="505" t="b">
        <v>0</v>
      </c>
      <c r="AH614" s="504" t="b">
        <v>0</v>
      </c>
      <c r="AI614" s="105"/>
      <c r="AJ614" s="505" t="b">
        <v>0</v>
      </c>
      <c r="AK614" s="504" t="b">
        <v>0</v>
      </c>
      <c r="AL614" s="126"/>
      <c r="AM614" s="505" t="b">
        <v>0</v>
      </c>
      <c r="AN614" s="504" t="b">
        <v>0</v>
      </c>
      <c r="AO614" s="105"/>
      <c r="AP614" s="105"/>
      <c r="AQ614" s="105"/>
      <c r="AR614" s="105"/>
      <c r="AS614" s="105"/>
      <c r="AT614" s="105"/>
      <c r="AU614" s="105"/>
      <c r="AV614" s="105"/>
      <c r="AW614" s="105"/>
      <c r="AX614" s="105"/>
      <c r="AY614" s="105"/>
      <c r="AZ614" s="105"/>
      <c r="BA614" s="105"/>
    </row>
    <row r="615">
      <c r="A615" s="105"/>
      <c r="B615" s="105"/>
      <c r="C615" s="105"/>
      <c r="D615" s="105"/>
      <c r="E615" s="105"/>
      <c r="F615" s="105"/>
      <c r="G615" s="105"/>
      <c r="H615" s="105"/>
      <c r="I615" s="505" t="b">
        <v>0</v>
      </c>
      <c r="J615" s="507" t="b">
        <v>0</v>
      </c>
      <c r="K615" s="112"/>
      <c r="L615" s="505" t="b">
        <v>0</v>
      </c>
      <c r="M615" s="504" t="b">
        <v>0</v>
      </c>
      <c r="N615" s="112"/>
      <c r="O615" s="505" t="b">
        <v>0</v>
      </c>
      <c r="P615" s="504" t="b">
        <v>0</v>
      </c>
      <c r="Q615" s="116"/>
      <c r="R615" s="505" t="b">
        <v>0</v>
      </c>
      <c r="S615" s="504" t="b">
        <v>0</v>
      </c>
      <c r="T615" s="117"/>
      <c r="U615" s="505" t="b">
        <v>0</v>
      </c>
      <c r="V615" s="504" t="b">
        <v>0</v>
      </c>
      <c r="W615" s="118"/>
      <c r="X615" s="505" t="b">
        <v>0</v>
      </c>
      <c r="Y615" s="504" t="b">
        <v>0</v>
      </c>
      <c r="Z615" s="119"/>
      <c r="AA615" s="505" t="b">
        <v>0</v>
      </c>
      <c r="AB615" s="504" t="b">
        <v>0</v>
      </c>
      <c r="AC615" s="121"/>
      <c r="AD615" s="505" t="b">
        <v>0</v>
      </c>
      <c r="AE615" s="504" t="b">
        <v>0</v>
      </c>
      <c r="AF615" s="125"/>
      <c r="AG615" s="505" t="b">
        <v>0</v>
      </c>
      <c r="AH615" s="504" t="b">
        <v>0</v>
      </c>
      <c r="AI615" s="105"/>
      <c r="AJ615" s="505" t="b">
        <v>0</v>
      </c>
      <c r="AK615" s="504" t="b">
        <v>0</v>
      </c>
      <c r="AL615" s="126"/>
      <c r="AM615" s="505" t="b">
        <v>0</v>
      </c>
      <c r="AN615" s="504" t="b">
        <v>0</v>
      </c>
      <c r="AO615" s="105"/>
      <c r="AP615" s="105"/>
      <c r="AQ615" s="105"/>
      <c r="AR615" s="105"/>
      <c r="AS615" s="105"/>
      <c r="AT615" s="105"/>
      <c r="AU615" s="105"/>
      <c r="AV615" s="105"/>
      <c r="AW615" s="105"/>
      <c r="AX615" s="105"/>
      <c r="AY615" s="105"/>
      <c r="AZ615" s="105"/>
      <c r="BA615" s="105"/>
    </row>
    <row r="616">
      <c r="A616" s="105"/>
      <c r="B616" s="105"/>
      <c r="C616" s="105"/>
      <c r="D616" s="105"/>
      <c r="E616" s="105"/>
      <c r="F616" s="105"/>
      <c r="G616" s="105"/>
      <c r="H616" s="105"/>
      <c r="I616" s="505" t="b">
        <v>0</v>
      </c>
      <c r="J616" s="507" t="b">
        <v>0</v>
      </c>
      <c r="K616" s="112"/>
      <c r="L616" s="505" t="b">
        <v>0</v>
      </c>
      <c r="M616" s="504" t="b">
        <v>0</v>
      </c>
      <c r="N616" s="112"/>
      <c r="O616" s="505" t="b">
        <v>0</v>
      </c>
      <c r="P616" s="504" t="b">
        <v>0</v>
      </c>
      <c r="Q616" s="116"/>
      <c r="R616" s="505" t="b">
        <v>0</v>
      </c>
      <c r="S616" s="504" t="b">
        <v>0</v>
      </c>
      <c r="T616" s="117"/>
      <c r="U616" s="505" t="b">
        <v>0</v>
      </c>
      <c r="V616" s="504" t="b">
        <v>0</v>
      </c>
      <c r="W616" s="118"/>
      <c r="X616" s="505" t="b">
        <v>0</v>
      </c>
      <c r="Y616" s="504" t="b">
        <v>0</v>
      </c>
      <c r="Z616" s="119"/>
      <c r="AA616" s="505" t="b">
        <v>0</v>
      </c>
      <c r="AB616" s="504" t="b">
        <v>0</v>
      </c>
      <c r="AC616" s="121"/>
      <c r="AD616" s="505" t="b">
        <v>0</v>
      </c>
      <c r="AE616" s="504" t="b">
        <v>0</v>
      </c>
      <c r="AF616" s="125"/>
      <c r="AG616" s="505" t="b">
        <v>0</v>
      </c>
      <c r="AH616" s="504" t="b">
        <v>0</v>
      </c>
      <c r="AI616" s="105"/>
      <c r="AJ616" s="505" t="b">
        <v>0</v>
      </c>
      <c r="AK616" s="504" t="b">
        <v>0</v>
      </c>
      <c r="AL616" s="126"/>
      <c r="AM616" s="505" t="b">
        <v>0</v>
      </c>
      <c r="AN616" s="504" t="b">
        <v>0</v>
      </c>
      <c r="AO616" s="105"/>
      <c r="AP616" s="105"/>
      <c r="AQ616" s="105"/>
      <c r="AR616" s="105"/>
      <c r="AS616" s="105"/>
      <c r="AT616" s="105"/>
      <c r="AU616" s="105"/>
      <c r="AV616" s="105"/>
      <c r="AW616" s="105"/>
      <c r="AX616" s="105"/>
      <c r="AY616" s="105"/>
      <c r="AZ616" s="105"/>
      <c r="BA616" s="105"/>
    </row>
    <row r="617">
      <c r="A617" s="105"/>
      <c r="B617" s="105"/>
      <c r="C617" s="105"/>
      <c r="D617" s="105"/>
      <c r="E617" s="105"/>
      <c r="F617" s="105"/>
      <c r="G617" s="105"/>
      <c r="H617" s="105"/>
      <c r="I617" s="505" t="b">
        <v>0</v>
      </c>
      <c r="J617" s="507" t="b">
        <v>0</v>
      </c>
      <c r="K617" s="112"/>
      <c r="L617" s="505" t="b">
        <v>0</v>
      </c>
      <c r="M617" s="504" t="b">
        <v>0</v>
      </c>
      <c r="N617" s="112"/>
      <c r="O617" s="505" t="b">
        <v>0</v>
      </c>
      <c r="P617" s="504" t="b">
        <v>0</v>
      </c>
      <c r="Q617" s="116"/>
      <c r="R617" s="505" t="b">
        <v>0</v>
      </c>
      <c r="S617" s="504" t="b">
        <v>0</v>
      </c>
      <c r="T617" s="117"/>
      <c r="U617" s="505" t="b">
        <v>0</v>
      </c>
      <c r="V617" s="504" t="b">
        <v>0</v>
      </c>
      <c r="W617" s="118"/>
      <c r="X617" s="505" t="b">
        <v>0</v>
      </c>
      <c r="Y617" s="504" t="b">
        <v>0</v>
      </c>
      <c r="Z617" s="119"/>
      <c r="AA617" s="505" t="b">
        <v>0</v>
      </c>
      <c r="AB617" s="504" t="b">
        <v>0</v>
      </c>
      <c r="AC617" s="121"/>
      <c r="AD617" s="505" t="b">
        <v>0</v>
      </c>
      <c r="AE617" s="504" t="b">
        <v>0</v>
      </c>
      <c r="AF617" s="125"/>
      <c r="AG617" s="505" t="b">
        <v>0</v>
      </c>
      <c r="AH617" s="504" t="b">
        <v>0</v>
      </c>
      <c r="AI617" s="105"/>
      <c r="AJ617" s="505" t="b">
        <v>0</v>
      </c>
      <c r="AK617" s="504" t="b">
        <v>0</v>
      </c>
      <c r="AL617" s="126"/>
      <c r="AM617" s="505" t="b">
        <v>0</v>
      </c>
      <c r="AN617" s="504" t="b">
        <v>0</v>
      </c>
      <c r="AO617" s="105"/>
      <c r="AP617" s="105"/>
      <c r="AQ617" s="105"/>
      <c r="AR617" s="105"/>
      <c r="AS617" s="105"/>
      <c r="AT617" s="105"/>
      <c r="AU617" s="105"/>
      <c r="AV617" s="105"/>
      <c r="AW617" s="105"/>
      <c r="AX617" s="105"/>
      <c r="AY617" s="105"/>
      <c r="AZ617" s="105"/>
      <c r="BA617" s="105"/>
    </row>
    <row r="618">
      <c r="A618" s="105"/>
      <c r="B618" s="105"/>
      <c r="C618" s="105"/>
      <c r="D618" s="105"/>
      <c r="E618" s="105"/>
      <c r="F618" s="105"/>
      <c r="G618" s="105"/>
      <c r="H618" s="105"/>
      <c r="I618" s="505" t="b">
        <v>0</v>
      </c>
      <c r="J618" s="507" t="b">
        <v>0</v>
      </c>
      <c r="K618" s="112"/>
      <c r="L618" s="505" t="b">
        <v>0</v>
      </c>
      <c r="M618" s="504" t="b">
        <v>0</v>
      </c>
      <c r="N618" s="112"/>
      <c r="O618" s="505" t="b">
        <v>0</v>
      </c>
      <c r="P618" s="504" t="b">
        <v>0</v>
      </c>
      <c r="Q618" s="116"/>
      <c r="R618" s="505" t="b">
        <v>0</v>
      </c>
      <c r="S618" s="504" t="b">
        <v>0</v>
      </c>
      <c r="T618" s="117"/>
      <c r="U618" s="505" t="b">
        <v>0</v>
      </c>
      <c r="V618" s="504" t="b">
        <v>0</v>
      </c>
      <c r="W618" s="118"/>
      <c r="X618" s="505" t="b">
        <v>0</v>
      </c>
      <c r="Y618" s="504" t="b">
        <v>0</v>
      </c>
      <c r="Z618" s="119"/>
      <c r="AA618" s="505" t="b">
        <v>0</v>
      </c>
      <c r="AB618" s="504" t="b">
        <v>0</v>
      </c>
      <c r="AC618" s="121"/>
      <c r="AD618" s="505" t="b">
        <v>0</v>
      </c>
      <c r="AE618" s="504" t="b">
        <v>0</v>
      </c>
      <c r="AF618" s="125"/>
      <c r="AG618" s="505" t="b">
        <v>0</v>
      </c>
      <c r="AH618" s="504" t="b">
        <v>0</v>
      </c>
      <c r="AI618" s="105"/>
      <c r="AJ618" s="505" t="b">
        <v>0</v>
      </c>
      <c r="AK618" s="504" t="b">
        <v>0</v>
      </c>
      <c r="AL618" s="126"/>
      <c r="AM618" s="505" t="b">
        <v>0</v>
      </c>
      <c r="AN618" s="504" t="b">
        <v>0</v>
      </c>
      <c r="AO618" s="105"/>
      <c r="AP618" s="105"/>
      <c r="AQ618" s="105"/>
      <c r="AR618" s="105"/>
      <c r="AS618" s="105"/>
      <c r="AT618" s="105"/>
      <c r="AU618" s="105"/>
      <c r="AV618" s="105"/>
      <c r="AW618" s="105"/>
      <c r="AX618" s="105"/>
      <c r="AY618" s="105"/>
      <c r="AZ618" s="105"/>
      <c r="BA618" s="105"/>
    </row>
    <row r="619">
      <c r="A619" s="105"/>
      <c r="B619" s="105"/>
      <c r="C619" s="105"/>
      <c r="D619" s="105"/>
      <c r="E619" s="105"/>
      <c r="F619" s="105"/>
      <c r="G619" s="105"/>
      <c r="H619" s="105"/>
      <c r="I619" s="505" t="b">
        <v>0</v>
      </c>
      <c r="J619" s="507" t="b">
        <v>0</v>
      </c>
      <c r="K619" s="112"/>
      <c r="L619" s="505" t="b">
        <v>0</v>
      </c>
      <c r="M619" s="504" t="b">
        <v>0</v>
      </c>
      <c r="N619" s="112"/>
      <c r="O619" s="505" t="b">
        <v>0</v>
      </c>
      <c r="P619" s="504" t="b">
        <v>0</v>
      </c>
      <c r="Q619" s="116"/>
      <c r="R619" s="505" t="b">
        <v>0</v>
      </c>
      <c r="S619" s="504" t="b">
        <v>0</v>
      </c>
      <c r="T619" s="117"/>
      <c r="U619" s="505" t="b">
        <v>0</v>
      </c>
      <c r="V619" s="504" t="b">
        <v>0</v>
      </c>
      <c r="W619" s="118"/>
      <c r="X619" s="505" t="b">
        <v>0</v>
      </c>
      <c r="Y619" s="504" t="b">
        <v>0</v>
      </c>
      <c r="Z619" s="119"/>
      <c r="AA619" s="505" t="b">
        <v>0</v>
      </c>
      <c r="AB619" s="504" t="b">
        <v>0</v>
      </c>
      <c r="AC619" s="121"/>
      <c r="AD619" s="505" t="b">
        <v>0</v>
      </c>
      <c r="AE619" s="504" t="b">
        <v>0</v>
      </c>
      <c r="AF619" s="125"/>
      <c r="AG619" s="505" t="b">
        <v>0</v>
      </c>
      <c r="AH619" s="504" t="b">
        <v>0</v>
      </c>
      <c r="AI619" s="105"/>
      <c r="AJ619" s="505" t="b">
        <v>0</v>
      </c>
      <c r="AK619" s="504" t="b">
        <v>0</v>
      </c>
      <c r="AL619" s="126"/>
      <c r="AM619" s="505" t="b">
        <v>0</v>
      </c>
      <c r="AN619" s="504" t="b">
        <v>0</v>
      </c>
      <c r="AO619" s="105"/>
      <c r="AP619" s="105"/>
      <c r="AQ619" s="105"/>
      <c r="AR619" s="105"/>
      <c r="AS619" s="105"/>
      <c r="AT619" s="105"/>
      <c r="AU619" s="105"/>
      <c r="AV619" s="105"/>
      <c r="AW619" s="105"/>
      <c r="AX619" s="105"/>
      <c r="AY619" s="105"/>
      <c r="AZ619" s="105"/>
      <c r="BA619" s="105"/>
    </row>
    <row r="620">
      <c r="A620" s="105"/>
      <c r="B620" s="105"/>
      <c r="C620" s="105"/>
      <c r="D620" s="105"/>
      <c r="E620" s="105"/>
      <c r="F620" s="105"/>
      <c r="G620" s="105"/>
      <c r="H620" s="105"/>
      <c r="I620" s="505" t="b">
        <v>0</v>
      </c>
      <c r="J620" s="507" t="b">
        <v>0</v>
      </c>
      <c r="K620" s="112"/>
      <c r="L620" s="505" t="b">
        <v>0</v>
      </c>
      <c r="M620" s="504" t="b">
        <v>0</v>
      </c>
      <c r="N620" s="112"/>
      <c r="O620" s="505" t="b">
        <v>0</v>
      </c>
      <c r="P620" s="504" t="b">
        <v>0</v>
      </c>
      <c r="Q620" s="116"/>
      <c r="R620" s="505" t="b">
        <v>0</v>
      </c>
      <c r="S620" s="504" t="b">
        <v>0</v>
      </c>
      <c r="T620" s="117"/>
      <c r="U620" s="505" t="b">
        <v>0</v>
      </c>
      <c r="V620" s="504" t="b">
        <v>0</v>
      </c>
      <c r="W620" s="118"/>
      <c r="X620" s="505" t="b">
        <v>0</v>
      </c>
      <c r="Y620" s="504" t="b">
        <v>0</v>
      </c>
      <c r="Z620" s="119"/>
      <c r="AA620" s="505" t="b">
        <v>0</v>
      </c>
      <c r="AB620" s="504" t="b">
        <v>0</v>
      </c>
      <c r="AC620" s="121"/>
      <c r="AD620" s="505" t="b">
        <v>0</v>
      </c>
      <c r="AE620" s="504" t="b">
        <v>0</v>
      </c>
      <c r="AF620" s="125"/>
      <c r="AG620" s="505" t="b">
        <v>0</v>
      </c>
      <c r="AH620" s="504" t="b">
        <v>0</v>
      </c>
      <c r="AI620" s="105"/>
      <c r="AJ620" s="505" t="b">
        <v>0</v>
      </c>
      <c r="AK620" s="504" t="b">
        <v>0</v>
      </c>
      <c r="AL620" s="126"/>
      <c r="AM620" s="505" t="b">
        <v>0</v>
      </c>
      <c r="AN620" s="504" t="b">
        <v>0</v>
      </c>
      <c r="AO620" s="105"/>
      <c r="AP620" s="105"/>
      <c r="AQ620" s="105"/>
      <c r="AR620" s="105"/>
      <c r="AS620" s="105"/>
      <c r="AT620" s="105"/>
      <c r="AU620" s="105"/>
      <c r="AV620" s="105"/>
      <c r="AW620" s="105"/>
      <c r="AX620" s="105"/>
      <c r="AY620" s="105"/>
      <c r="AZ620" s="105"/>
      <c r="BA620" s="105"/>
    </row>
    <row r="621">
      <c r="A621" s="105"/>
      <c r="B621" s="105"/>
      <c r="C621" s="105"/>
      <c r="D621" s="105"/>
      <c r="E621" s="105"/>
      <c r="F621" s="105"/>
      <c r="G621" s="105"/>
      <c r="H621" s="105"/>
      <c r="I621" s="505" t="b">
        <v>0</v>
      </c>
      <c r="J621" s="507" t="b">
        <v>0</v>
      </c>
      <c r="K621" s="112"/>
      <c r="L621" s="505" t="b">
        <v>0</v>
      </c>
      <c r="M621" s="504" t="b">
        <v>0</v>
      </c>
      <c r="N621" s="112"/>
      <c r="O621" s="505" t="b">
        <v>0</v>
      </c>
      <c r="P621" s="504" t="b">
        <v>0</v>
      </c>
      <c r="Q621" s="116"/>
      <c r="R621" s="505" t="b">
        <v>0</v>
      </c>
      <c r="S621" s="504" t="b">
        <v>0</v>
      </c>
      <c r="T621" s="117"/>
      <c r="U621" s="505" t="b">
        <v>0</v>
      </c>
      <c r="V621" s="504" t="b">
        <v>0</v>
      </c>
      <c r="W621" s="118"/>
      <c r="X621" s="505" t="b">
        <v>0</v>
      </c>
      <c r="Y621" s="504" t="b">
        <v>0</v>
      </c>
      <c r="Z621" s="119"/>
      <c r="AA621" s="505" t="b">
        <v>0</v>
      </c>
      <c r="AB621" s="504" t="b">
        <v>0</v>
      </c>
      <c r="AC621" s="121"/>
      <c r="AD621" s="505" t="b">
        <v>0</v>
      </c>
      <c r="AE621" s="504" t="b">
        <v>0</v>
      </c>
      <c r="AF621" s="125"/>
      <c r="AG621" s="505" t="b">
        <v>0</v>
      </c>
      <c r="AH621" s="504" t="b">
        <v>0</v>
      </c>
      <c r="AI621" s="105"/>
      <c r="AJ621" s="505" t="b">
        <v>0</v>
      </c>
      <c r="AK621" s="504" t="b">
        <v>0</v>
      </c>
      <c r="AL621" s="126"/>
      <c r="AM621" s="505" t="b">
        <v>0</v>
      </c>
      <c r="AN621" s="504" t="b">
        <v>0</v>
      </c>
      <c r="AO621" s="105"/>
      <c r="AP621" s="105"/>
      <c r="AQ621" s="105"/>
      <c r="AR621" s="105"/>
      <c r="AS621" s="105"/>
      <c r="AT621" s="105"/>
      <c r="AU621" s="105"/>
      <c r="AV621" s="105"/>
      <c r="AW621" s="105"/>
      <c r="AX621" s="105"/>
      <c r="AY621" s="105"/>
      <c r="AZ621" s="105"/>
      <c r="BA621" s="105"/>
    </row>
    <row r="622">
      <c r="A622" s="105"/>
      <c r="B622" s="105"/>
      <c r="C622" s="105"/>
      <c r="D622" s="105"/>
      <c r="E622" s="105"/>
      <c r="F622" s="105"/>
      <c r="G622" s="105"/>
      <c r="H622" s="105"/>
      <c r="I622" s="505" t="b">
        <v>0</v>
      </c>
      <c r="J622" s="507" t="b">
        <v>0</v>
      </c>
      <c r="K622" s="112"/>
      <c r="L622" s="505" t="b">
        <v>0</v>
      </c>
      <c r="M622" s="504" t="b">
        <v>0</v>
      </c>
      <c r="N622" s="112"/>
      <c r="O622" s="505" t="b">
        <v>0</v>
      </c>
      <c r="P622" s="504" t="b">
        <v>0</v>
      </c>
      <c r="Q622" s="116"/>
      <c r="R622" s="505" t="b">
        <v>0</v>
      </c>
      <c r="S622" s="504" t="b">
        <v>0</v>
      </c>
      <c r="T622" s="117"/>
      <c r="U622" s="505" t="b">
        <v>0</v>
      </c>
      <c r="V622" s="504" t="b">
        <v>0</v>
      </c>
      <c r="W622" s="118"/>
      <c r="X622" s="505" t="b">
        <v>0</v>
      </c>
      <c r="Y622" s="504" t="b">
        <v>0</v>
      </c>
      <c r="Z622" s="119"/>
      <c r="AA622" s="505" t="b">
        <v>0</v>
      </c>
      <c r="AB622" s="504" t="b">
        <v>0</v>
      </c>
      <c r="AC622" s="121"/>
      <c r="AD622" s="505" t="b">
        <v>0</v>
      </c>
      <c r="AE622" s="504" t="b">
        <v>0</v>
      </c>
      <c r="AF622" s="125"/>
      <c r="AG622" s="505" t="b">
        <v>0</v>
      </c>
      <c r="AH622" s="504" t="b">
        <v>0</v>
      </c>
      <c r="AI622" s="105"/>
      <c r="AJ622" s="505" t="b">
        <v>0</v>
      </c>
      <c r="AK622" s="504" t="b">
        <v>0</v>
      </c>
      <c r="AL622" s="126"/>
      <c r="AM622" s="505" t="b">
        <v>0</v>
      </c>
      <c r="AN622" s="504" t="b">
        <v>0</v>
      </c>
      <c r="AO622" s="105"/>
      <c r="AP622" s="105"/>
      <c r="AQ622" s="105"/>
      <c r="AR622" s="105"/>
      <c r="AS622" s="105"/>
      <c r="AT622" s="105"/>
      <c r="AU622" s="105"/>
      <c r="AV622" s="105"/>
      <c r="AW622" s="105"/>
      <c r="AX622" s="105"/>
      <c r="AY622" s="105"/>
      <c r="AZ622" s="105"/>
      <c r="BA622" s="105"/>
    </row>
    <row r="623">
      <c r="A623" s="105"/>
      <c r="B623" s="105"/>
      <c r="C623" s="105"/>
      <c r="D623" s="105"/>
      <c r="E623" s="105"/>
      <c r="F623" s="105"/>
      <c r="G623" s="105"/>
      <c r="H623" s="105"/>
      <c r="I623" s="505" t="b">
        <v>0</v>
      </c>
      <c r="J623" s="507" t="b">
        <v>0</v>
      </c>
      <c r="K623" s="112"/>
      <c r="L623" s="505" t="b">
        <v>0</v>
      </c>
      <c r="M623" s="504" t="b">
        <v>0</v>
      </c>
      <c r="N623" s="112"/>
      <c r="O623" s="505" t="b">
        <v>0</v>
      </c>
      <c r="P623" s="504" t="b">
        <v>0</v>
      </c>
      <c r="Q623" s="116"/>
      <c r="R623" s="505" t="b">
        <v>0</v>
      </c>
      <c r="S623" s="504" t="b">
        <v>0</v>
      </c>
      <c r="T623" s="117"/>
      <c r="U623" s="505" t="b">
        <v>0</v>
      </c>
      <c r="V623" s="504" t="b">
        <v>0</v>
      </c>
      <c r="W623" s="118"/>
      <c r="X623" s="505" t="b">
        <v>0</v>
      </c>
      <c r="Y623" s="504" t="b">
        <v>0</v>
      </c>
      <c r="Z623" s="119"/>
      <c r="AA623" s="505" t="b">
        <v>0</v>
      </c>
      <c r="AB623" s="504" t="b">
        <v>0</v>
      </c>
      <c r="AC623" s="121"/>
      <c r="AD623" s="505" t="b">
        <v>0</v>
      </c>
      <c r="AE623" s="504" t="b">
        <v>0</v>
      </c>
      <c r="AF623" s="125"/>
      <c r="AG623" s="505" t="b">
        <v>0</v>
      </c>
      <c r="AH623" s="504" t="b">
        <v>0</v>
      </c>
      <c r="AI623" s="105"/>
      <c r="AJ623" s="505" t="b">
        <v>0</v>
      </c>
      <c r="AK623" s="504" t="b">
        <v>0</v>
      </c>
      <c r="AL623" s="126"/>
      <c r="AM623" s="505" t="b">
        <v>0</v>
      </c>
      <c r="AN623" s="504" t="b">
        <v>0</v>
      </c>
      <c r="AO623" s="105"/>
      <c r="AP623" s="105"/>
      <c r="AQ623" s="105"/>
      <c r="AR623" s="105"/>
      <c r="AS623" s="105"/>
      <c r="AT623" s="105"/>
      <c r="AU623" s="105"/>
      <c r="AV623" s="105"/>
      <c r="AW623" s="105"/>
      <c r="AX623" s="105"/>
      <c r="AY623" s="105"/>
      <c r="AZ623" s="105"/>
      <c r="BA623" s="105"/>
    </row>
    <row r="624">
      <c r="A624" s="105"/>
      <c r="B624" s="105"/>
      <c r="C624" s="105"/>
      <c r="D624" s="105"/>
      <c r="E624" s="105"/>
      <c r="F624" s="105"/>
      <c r="G624" s="105"/>
      <c r="H624" s="105"/>
      <c r="I624" s="505" t="b">
        <v>0</v>
      </c>
      <c r="J624" s="507" t="b">
        <v>0</v>
      </c>
      <c r="K624" s="112"/>
      <c r="L624" s="505" t="b">
        <v>0</v>
      </c>
      <c r="M624" s="504" t="b">
        <v>0</v>
      </c>
      <c r="N624" s="112"/>
      <c r="O624" s="505" t="b">
        <v>0</v>
      </c>
      <c r="P624" s="504" t="b">
        <v>0</v>
      </c>
      <c r="Q624" s="116"/>
      <c r="R624" s="505" t="b">
        <v>0</v>
      </c>
      <c r="S624" s="504" t="b">
        <v>0</v>
      </c>
      <c r="T624" s="117"/>
      <c r="U624" s="505" t="b">
        <v>0</v>
      </c>
      <c r="V624" s="504" t="b">
        <v>0</v>
      </c>
      <c r="W624" s="118"/>
      <c r="X624" s="505" t="b">
        <v>0</v>
      </c>
      <c r="Y624" s="504" t="b">
        <v>0</v>
      </c>
      <c r="Z624" s="119"/>
      <c r="AA624" s="505" t="b">
        <v>0</v>
      </c>
      <c r="AB624" s="504" t="b">
        <v>0</v>
      </c>
      <c r="AC624" s="121"/>
      <c r="AD624" s="505" t="b">
        <v>0</v>
      </c>
      <c r="AE624" s="504" t="b">
        <v>0</v>
      </c>
      <c r="AF624" s="125"/>
      <c r="AG624" s="505" t="b">
        <v>0</v>
      </c>
      <c r="AH624" s="504" t="b">
        <v>0</v>
      </c>
      <c r="AI624" s="105"/>
      <c r="AJ624" s="505" t="b">
        <v>0</v>
      </c>
      <c r="AK624" s="504" t="b">
        <v>0</v>
      </c>
      <c r="AL624" s="126"/>
      <c r="AM624" s="505" t="b">
        <v>0</v>
      </c>
      <c r="AN624" s="504" t="b">
        <v>0</v>
      </c>
      <c r="AO624" s="105"/>
      <c r="AP624" s="105"/>
      <c r="AQ624" s="105"/>
      <c r="AR624" s="105"/>
      <c r="AS624" s="105"/>
      <c r="AT624" s="105"/>
      <c r="AU624" s="105"/>
      <c r="AV624" s="105"/>
      <c r="AW624" s="105"/>
      <c r="AX624" s="105"/>
      <c r="AY624" s="105"/>
      <c r="AZ624" s="105"/>
      <c r="BA624" s="105"/>
    </row>
    <row r="625">
      <c r="A625" s="105"/>
      <c r="B625" s="105"/>
      <c r="C625" s="105"/>
      <c r="D625" s="105"/>
      <c r="E625" s="105"/>
      <c r="F625" s="105"/>
      <c r="G625" s="105"/>
      <c r="H625" s="105"/>
      <c r="I625" s="505" t="b">
        <v>0</v>
      </c>
      <c r="J625" s="507" t="b">
        <v>0</v>
      </c>
      <c r="K625" s="112"/>
      <c r="L625" s="505" t="b">
        <v>0</v>
      </c>
      <c r="M625" s="504" t="b">
        <v>0</v>
      </c>
      <c r="N625" s="112"/>
      <c r="O625" s="505" t="b">
        <v>0</v>
      </c>
      <c r="P625" s="504" t="b">
        <v>0</v>
      </c>
      <c r="Q625" s="116"/>
      <c r="R625" s="505" t="b">
        <v>0</v>
      </c>
      <c r="S625" s="504" t="b">
        <v>0</v>
      </c>
      <c r="T625" s="117"/>
      <c r="U625" s="505" t="b">
        <v>0</v>
      </c>
      <c r="V625" s="504" t="b">
        <v>0</v>
      </c>
      <c r="W625" s="118"/>
      <c r="X625" s="505" t="b">
        <v>0</v>
      </c>
      <c r="Y625" s="504" t="b">
        <v>0</v>
      </c>
      <c r="Z625" s="119"/>
      <c r="AA625" s="505" t="b">
        <v>0</v>
      </c>
      <c r="AB625" s="504" t="b">
        <v>0</v>
      </c>
      <c r="AC625" s="121"/>
      <c r="AD625" s="505" t="b">
        <v>0</v>
      </c>
      <c r="AE625" s="504" t="b">
        <v>0</v>
      </c>
      <c r="AF625" s="125"/>
      <c r="AG625" s="505" t="b">
        <v>0</v>
      </c>
      <c r="AH625" s="504" t="b">
        <v>0</v>
      </c>
      <c r="AI625" s="105"/>
      <c r="AJ625" s="505" t="b">
        <v>0</v>
      </c>
      <c r="AK625" s="504" t="b">
        <v>0</v>
      </c>
      <c r="AL625" s="126"/>
      <c r="AM625" s="505" t="b">
        <v>0</v>
      </c>
      <c r="AN625" s="504" t="b">
        <v>0</v>
      </c>
      <c r="AO625" s="105"/>
      <c r="AP625" s="105"/>
      <c r="AQ625" s="105"/>
      <c r="AR625" s="105"/>
      <c r="AS625" s="105"/>
      <c r="AT625" s="105"/>
      <c r="AU625" s="105"/>
      <c r="AV625" s="105"/>
      <c r="AW625" s="105"/>
      <c r="AX625" s="105"/>
      <c r="AY625" s="105"/>
      <c r="AZ625" s="105"/>
      <c r="BA625" s="105"/>
    </row>
    <row r="626">
      <c r="A626" s="105"/>
      <c r="B626" s="105"/>
      <c r="C626" s="105"/>
      <c r="D626" s="105"/>
      <c r="E626" s="105"/>
      <c r="F626" s="105"/>
      <c r="G626" s="105"/>
      <c r="H626" s="105"/>
      <c r="I626" s="505" t="b">
        <v>0</v>
      </c>
      <c r="J626" s="507" t="b">
        <v>0</v>
      </c>
      <c r="K626" s="112"/>
      <c r="L626" s="505" t="b">
        <v>0</v>
      </c>
      <c r="M626" s="504" t="b">
        <v>0</v>
      </c>
      <c r="N626" s="112"/>
      <c r="O626" s="505" t="b">
        <v>0</v>
      </c>
      <c r="P626" s="504" t="b">
        <v>0</v>
      </c>
      <c r="Q626" s="116"/>
      <c r="R626" s="505" t="b">
        <v>0</v>
      </c>
      <c r="S626" s="504" t="b">
        <v>0</v>
      </c>
      <c r="T626" s="117"/>
      <c r="U626" s="505" t="b">
        <v>0</v>
      </c>
      <c r="V626" s="504" t="b">
        <v>0</v>
      </c>
      <c r="W626" s="118"/>
      <c r="X626" s="505" t="b">
        <v>0</v>
      </c>
      <c r="Y626" s="504" t="b">
        <v>0</v>
      </c>
      <c r="Z626" s="119"/>
      <c r="AA626" s="505" t="b">
        <v>0</v>
      </c>
      <c r="AB626" s="504" t="b">
        <v>0</v>
      </c>
      <c r="AC626" s="121"/>
      <c r="AD626" s="505" t="b">
        <v>0</v>
      </c>
      <c r="AE626" s="504" t="b">
        <v>0</v>
      </c>
      <c r="AF626" s="125"/>
      <c r="AG626" s="505" t="b">
        <v>0</v>
      </c>
      <c r="AH626" s="504" t="b">
        <v>0</v>
      </c>
      <c r="AI626" s="105"/>
      <c r="AJ626" s="505" t="b">
        <v>0</v>
      </c>
      <c r="AK626" s="504" t="b">
        <v>0</v>
      </c>
      <c r="AL626" s="126"/>
      <c r="AM626" s="505" t="b">
        <v>0</v>
      </c>
      <c r="AN626" s="504" t="b">
        <v>0</v>
      </c>
      <c r="AO626" s="105"/>
      <c r="AP626" s="105"/>
      <c r="AQ626" s="105"/>
      <c r="AR626" s="105"/>
      <c r="AS626" s="105"/>
      <c r="AT626" s="105"/>
      <c r="AU626" s="105"/>
      <c r="AV626" s="105"/>
      <c r="AW626" s="105"/>
      <c r="AX626" s="105"/>
      <c r="AY626" s="105"/>
      <c r="AZ626" s="105"/>
      <c r="BA626" s="105"/>
    </row>
    <row r="627">
      <c r="A627" s="105"/>
      <c r="B627" s="105"/>
      <c r="C627" s="105"/>
      <c r="D627" s="105"/>
      <c r="E627" s="105"/>
      <c r="F627" s="105"/>
      <c r="G627" s="105"/>
      <c r="H627" s="105"/>
      <c r="I627" s="505" t="b">
        <v>0</v>
      </c>
      <c r="J627" s="507" t="b">
        <v>0</v>
      </c>
      <c r="K627" s="112"/>
      <c r="L627" s="505" t="b">
        <v>0</v>
      </c>
      <c r="M627" s="504" t="b">
        <v>0</v>
      </c>
      <c r="N627" s="112"/>
      <c r="O627" s="505" t="b">
        <v>0</v>
      </c>
      <c r="P627" s="504" t="b">
        <v>0</v>
      </c>
      <c r="Q627" s="116"/>
      <c r="R627" s="505" t="b">
        <v>0</v>
      </c>
      <c r="S627" s="504" t="b">
        <v>0</v>
      </c>
      <c r="T627" s="117"/>
      <c r="U627" s="505" t="b">
        <v>0</v>
      </c>
      <c r="V627" s="504" t="b">
        <v>0</v>
      </c>
      <c r="W627" s="118"/>
      <c r="X627" s="505" t="b">
        <v>0</v>
      </c>
      <c r="Y627" s="504" t="b">
        <v>0</v>
      </c>
      <c r="Z627" s="119"/>
      <c r="AA627" s="505" t="b">
        <v>0</v>
      </c>
      <c r="AB627" s="504" t="b">
        <v>0</v>
      </c>
      <c r="AC627" s="121"/>
      <c r="AD627" s="505" t="b">
        <v>0</v>
      </c>
      <c r="AE627" s="504" t="b">
        <v>0</v>
      </c>
      <c r="AF627" s="125"/>
      <c r="AG627" s="505" t="b">
        <v>0</v>
      </c>
      <c r="AH627" s="504" t="b">
        <v>0</v>
      </c>
      <c r="AI627" s="105"/>
      <c r="AJ627" s="505" t="b">
        <v>0</v>
      </c>
      <c r="AK627" s="504" t="b">
        <v>0</v>
      </c>
      <c r="AL627" s="126"/>
      <c r="AM627" s="505" t="b">
        <v>0</v>
      </c>
      <c r="AN627" s="504" t="b">
        <v>0</v>
      </c>
      <c r="AO627" s="105"/>
      <c r="AP627" s="105"/>
      <c r="AQ627" s="105"/>
      <c r="AR627" s="105"/>
      <c r="AS627" s="105"/>
      <c r="AT627" s="105"/>
      <c r="AU627" s="105"/>
      <c r="AV627" s="105"/>
      <c r="AW627" s="105"/>
      <c r="AX627" s="105"/>
      <c r="AY627" s="105"/>
      <c r="AZ627" s="105"/>
      <c r="BA627" s="105"/>
    </row>
    <row r="628">
      <c r="A628" s="105"/>
      <c r="B628" s="105"/>
      <c r="C628" s="105"/>
      <c r="D628" s="105"/>
      <c r="E628" s="105"/>
      <c r="F628" s="105"/>
      <c r="G628" s="105"/>
      <c r="H628" s="105"/>
      <c r="I628" s="505" t="b">
        <v>0</v>
      </c>
      <c r="J628" s="507" t="b">
        <v>0</v>
      </c>
      <c r="K628" s="112"/>
      <c r="L628" s="505" t="b">
        <v>0</v>
      </c>
      <c r="M628" s="504" t="b">
        <v>0</v>
      </c>
      <c r="N628" s="112"/>
      <c r="O628" s="505" t="b">
        <v>0</v>
      </c>
      <c r="P628" s="504" t="b">
        <v>0</v>
      </c>
      <c r="Q628" s="116"/>
      <c r="R628" s="505" t="b">
        <v>0</v>
      </c>
      <c r="S628" s="504" t="b">
        <v>0</v>
      </c>
      <c r="T628" s="117"/>
      <c r="U628" s="505" t="b">
        <v>0</v>
      </c>
      <c r="V628" s="504" t="b">
        <v>0</v>
      </c>
      <c r="W628" s="118"/>
      <c r="X628" s="505" t="b">
        <v>0</v>
      </c>
      <c r="Y628" s="504" t="b">
        <v>0</v>
      </c>
      <c r="Z628" s="119"/>
      <c r="AA628" s="505" t="b">
        <v>0</v>
      </c>
      <c r="AB628" s="504" t="b">
        <v>0</v>
      </c>
      <c r="AC628" s="121"/>
      <c r="AD628" s="505" t="b">
        <v>0</v>
      </c>
      <c r="AE628" s="504" t="b">
        <v>0</v>
      </c>
      <c r="AF628" s="125"/>
      <c r="AG628" s="505" t="b">
        <v>0</v>
      </c>
      <c r="AH628" s="504" t="b">
        <v>0</v>
      </c>
      <c r="AI628" s="105"/>
      <c r="AJ628" s="505" t="b">
        <v>0</v>
      </c>
      <c r="AK628" s="504" t="b">
        <v>0</v>
      </c>
      <c r="AL628" s="126"/>
      <c r="AM628" s="505" t="b">
        <v>0</v>
      </c>
      <c r="AN628" s="504" t="b">
        <v>0</v>
      </c>
      <c r="AO628" s="105"/>
      <c r="AP628" s="105"/>
      <c r="AQ628" s="105"/>
      <c r="AR628" s="105"/>
      <c r="AS628" s="105"/>
      <c r="AT628" s="105"/>
      <c r="AU628" s="105"/>
      <c r="AV628" s="105"/>
      <c r="AW628" s="105"/>
      <c r="AX628" s="105"/>
      <c r="AY628" s="105"/>
      <c r="AZ628" s="105"/>
      <c r="BA628" s="105"/>
    </row>
    <row r="629">
      <c r="A629" s="105"/>
      <c r="B629" s="105"/>
      <c r="C629" s="105"/>
      <c r="D629" s="105"/>
      <c r="E629" s="105"/>
      <c r="F629" s="105"/>
      <c r="G629" s="105"/>
      <c r="H629" s="105"/>
      <c r="I629" s="505" t="b">
        <v>0</v>
      </c>
      <c r="J629" s="507" t="b">
        <v>0</v>
      </c>
      <c r="K629" s="112"/>
      <c r="L629" s="505" t="b">
        <v>0</v>
      </c>
      <c r="M629" s="504" t="b">
        <v>0</v>
      </c>
      <c r="N629" s="112"/>
      <c r="O629" s="505" t="b">
        <v>0</v>
      </c>
      <c r="P629" s="504" t="b">
        <v>0</v>
      </c>
      <c r="Q629" s="116"/>
      <c r="R629" s="505" t="b">
        <v>0</v>
      </c>
      <c r="S629" s="504" t="b">
        <v>0</v>
      </c>
      <c r="T629" s="117"/>
      <c r="U629" s="505" t="b">
        <v>0</v>
      </c>
      <c r="V629" s="504" t="b">
        <v>0</v>
      </c>
      <c r="W629" s="118"/>
      <c r="X629" s="505" t="b">
        <v>0</v>
      </c>
      <c r="Y629" s="504" t="b">
        <v>0</v>
      </c>
      <c r="Z629" s="119"/>
      <c r="AA629" s="505" t="b">
        <v>0</v>
      </c>
      <c r="AB629" s="504" t="b">
        <v>0</v>
      </c>
      <c r="AC629" s="121"/>
      <c r="AD629" s="505" t="b">
        <v>0</v>
      </c>
      <c r="AE629" s="504" t="b">
        <v>0</v>
      </c>
      <c r="AF629" s="125"/>
      <c r="AG629" s="505" t="b">
        <v>0</v>
      </c>
      <c r="AH629" s="504" t="b">
        <v>0</v>
      </c>
      <c r="AI629" s="105"/>
      <c r="AJ629" s="505" t="b">
        <v>0</v>
      </c>
      <c r="AK629" s="504" t="b">
        <v>0</v>
      </c>
      <c r="AL629" s="126"/>
      <c r="AM629" s="505" t="b">
        <v>0</v>
      </c>
      <c r="AN629" s="504" t="b">
        <v>0</v>
      </c>
      <c r="AO629" s="105"/>
      <c r="AP629" s="105"/>
      <c r="AQ629" s="105"/>
      <c r="AR629" s="105"/>
      <c r="AS629" s="105"/>
      <c r="AT629" s="105"/>
      <c r="AU629" s="105"/>
      <c r="AV629" s="105"/>
      <c r="AW629" s="105"/>
      <c r="AX629" s="105"/>
      <c r="AY629" s="105"/>
      <c r="AZ629" s="105"/>
      <c r="BA629" s="105"/>
    </row>
    <row r="630">
      <c r="A630" s="105"/>
      <c r="B630" s="105"/>
      <c r="C630" s="105"/>
      <c r="D630" s="105"/>
      <c r="E630" s="105"/>
      <c r="F630" s="105"/>
      <c r="G630" s="105"/>
      <c r="H630" s="105"/>
      <c r="I630" s="505" t="b">
        <v>0</v>
      </c>
      <c r="J630" s="507" t="b">
        <v>0</v>
      </c>
      <c r="K630" s="112"/>
      <c r="L630" s="505" t="b">
        <v>0</v>
      </c>
      <c r="M630" s="504" t="b">
        <v>0</v>
      </c>
      <c r="N630" s="112"/>
      <c r="O630" s="505" t="b">
        <v>0</v>
      </c>
      <c r="P630" s="504" t="b">
        <v>0</v>
      </c>
      <c r="Q630" s="116"/>
      <c r="R630" s="505" t="b">
        <v>0</v>
      </c>
      <c r="S630" s="504" t="b">
        <v>0</v>
      </c>
      <c r="T630" s="117"/>
      <c r="U630" s="505" t="b">
        <v>0</v>
      </c>
      <c r="V630" s="504" t="b">
        <v>0</v>
      </c>
      <c r="W630" s="118"/>
      <c r="X630" s="505" t="b">
        <v>0</v>
      </c>
      <c r="Y630" s="504" t="b">
        <v>0</v>
      </c>
      <c r="Z630" s="119"/>
      <c r="AA630" s="505" t="b">
        <v>0</v>
      </c>
      <c r="AB630" s="504" t="b">
        <v>0</v>
      </c>
      <c r="AC630" s="121"/>
      <c r="AD630" s="505" t="b">
        <v>0</v>
      </c>
      <c r="AE630" s="504" t="b">
        <v>0</v>
      </c>
      <c r="AF630" s="125"/>
      <c r="AG630" s="505" t="b">
        <v>0</v>
      </c>
      <c r="AH630" s="504" t="b">
        <v>0</v>
      </c>
      <c r="AI630" s="105"/>
      <c r="AJ630" s="505" t="b">
        <v>0</v>
      </c>
      <c r="AK630" s="504" t="b">
        <v>0</v>
      </c>
      <c r="AL630" s="126"/>
      <c r="AM630" s="505" t="b">
        <v>0</v>
      </c>
      <c r="AN630" s="504" t="b">
        <v>0</v>
      </c>
      <c r="AO630" s="105"/>
      <c r="AP630" s="105"/>
      <c r="AQ630" s="105"/>
      <c r="AR630" s="105"/>
      <c r="AS630" s="105"/>
      <c r="AT630" s="105"/>
      <c r="AU630" s="105"/>
      <c r="AV630" s="105"/>
      <c r="AW630" s="105"/>
      <c r="AX630" s="105"/>
      <c r="AY630" s="105"/>
      <c r="AZ630" s="105"/>
      <c r="BA630" s="105"/>
    </row>
    <row r="631">
      <c r="A631" s="105"/>
      <c r="B631" s="105"/>
      <c r="C631" s="105"/>
      <c r="D631" s="105"/>
      <c r="E631" s="105"/>
      <c r="F631" s="105"/>
      <c r="G631" s="105"/>
      <c r="H631" s="105"/>
      <c r="I631" s="505" t="b">
        <v>0</v>
      </c>
      <c r="J631" s="507" t="b">
        <v>0</v>
      </c>
      <c r="K631" s="112"/>
      <c r="L631" s="505" t="b">
        <v>0</v>
      </c>
      <c r="M631" s="504" t="b">
        <v>0</v>
      </c>
      <c r="N631" s="112"/>
      <c r="O631" s="505" t="b">
        <v>0</v>
      </c>
      <c r="P631" s="504" t="b">
        <v>0</v>
      </c>
      <c r="Q631" s="116"/>
      <c r="R631" s="505" t="b">
        <v>0</v>
      </c>
      <c r="S631" s="504" t="b">
        <v>0</v>
      </c>
      <c r="T631" s="117"/>
      <c r="U631" s="505" t="b">
        <v>0</v>
      </c>
      <c r="V631" s="504" t="b">
        <v>0</v>
      </c>
      <c r="W631" s="118"/>
      <c r="X631" s="505" t="b">
        <v>0</v>
      </c>
      <c r="Y631" s="504" t="b">
        <v>0</v>
      </c>
      <c r="Z631" s="119"/>
      <c r="AA631" s="505" t="b">
        <v>0</v>
      </c>
      <c r="AB631" s="504" t="b">
        <v>0</v>
      </c>
      <c r="AC631" s="121"/>
      <c r="AD631" s="505" t="b">
        <v>0</v>
      </c>
      <c r="AE631" s="504" t="b">
        <v>0</v>
      </c>
      <c r="AF631" s="125"/>
      <c r="AG631" s="505" t="b">
        <v>0</v>
      </c>
      <c r="AH631" s="504" t="b">
        <v>0</v>
      </c>
      <c r="AI631" s="105"/>
      <c r="AJ631" s="505" t="b">
        <v>0</v>
      </c>
      <c r="AK631" s="504" t="b">
        <v>0</v>
      </c>
      <c r="AL631" s="126"/>
      <c r="AM631" s="505" t="b">
        <v>0</v>
      </c>
      <c r="AN631" s="504" t="b">
        <v>0</v>
      </c>
      <c r="AO631" s="105"/>
      <c r="AP631" s="105"/>
      <c r="AQ631" s="105"/>
      <c r="AR631" s="105"/>
      <c r="AS631" s="105"/>
      <c r="AT631" s="105"/>
      <c r="AU631" s="105"/>
      <c r="AV631" s="105"/>
      <c r="AW631" s="105"/>
      <c r="AX631" s="105"/>
      <c r="AY631" s="105"/>
      <c r="AZ631" s="105"/>
      <c r="BA631" s="105"/>
    </row>
    <row r="632">
      <c r="A632" s="105"/>
      <c r="B632" s="105"/>
      <c r="C632" s="105"/>
      <c r="D632" s="105"/>
      <c r="E632" s="105"/>
      <c r="F632" s="105"/>
      <c r="G632" s="105"/>
      <c r="H632" s="105"/>
      <c r="I632" s="505" t="b">
        <v>0</v>
      </c>
      <c r="J632" s="507" t="b">
        <v>0</v>
      </c>
      <c r="K632" s="112"/>
      <c r="L632" s="505" t="b">
        <v>0</v>
      </c>
      <c r="M632" s="504" t="b">
        <v>0</v>
      </c>
      <c r="N632" s="112"/>
      <c r="O632" s="505" t="b">
        <v>0</v>
      </c>
      <c r="P632" s="504" t="b">
        <v>0</v>
      </c>
      <c r="Q632" s="116"/>
      <c r="R632" s="505" t="b">
        <v>0</v>
      </c>
      <c r="S632" s="504" t="b">
        <v>0</v>
      </c>
      <c r="T632" s="117"/>
      <c r="U632" s="505" t="b">
        <v>0</v>
      </c>
      <c r="V632" s="504" t="b">
        <v>0</v>
      </c>
      <c r="W632" s="118"/>
      <c r="X632" s="505" t="b">
        <v>0</v>
      </c>
      <c r="Y632" s="504" t="b">
        <v>0</v>
      </c>
      <c r="Z632" s="119"/>
      <c r="AA632" s="505" t="b">
        <v>0</v>
      </c>
      <c r="AB632" s="504" t="b">
        <v>0</v>
      </c>
      <c r="AC632" s="121"/>
      <c r="AD632" s="505" t="b">
        <v>0</v>
      </c>
      <c r="AE632" s="504" t="b">
        <v>0</v>
      </c>
      <c r="AF632" s="125"/>
      <c r="AG632" s="505" t="b">
        <v>0</v>
      </c>
      <c r="AH632" s="504" t="b">
        <v>0</v>
      </c>
      <c r="AI632" s="105"/>
      <c r="AJ632" s="505" t="b">
        <v>0</v>
      </c>
      <c r="AK632" s="504" t="b">
        <v>0</v>
      </c>
      <c r="AL632" s="126"/>
      <c r="AM632" s="505" t="b">
        <v>0</v>
      </c>
      <c r="AN632" s="504" t="b">
        <v>0</v>
      </c>
      <c r="AO632" s="105"/>
      <c r="AP632" s="105"/>
      <c r="AQ632" s="105"/>
      <c r="AR632" s="105"/>
      <c r="AS632" s="105"/>
      <c r="AT632" s="105"/>
      <c r="AU632" s="105"/>
      <c r="AV632" s="105"/>
      <c r="AW632" s="105"/>
      <c r="AX632" s="105"/>
      <c r="AY632" s="105"/>
      <c r="AZ632" s="105"/>
      <c r="BA632" s="105"/>
    </row>
    <row r="633">
      <c r="A633" s="105"/>
      <c r="B633" s="105"/>
      <c r="C633" s="105"/>
      <c r="D633" s="105"/>
      <c r="E633" s="105"/>
      <c r="F633" s="105"/>
      <c r="G633" s="105"/>
      <c r="H633" s="105"/>
      <c r="I633" s="505" t="b">
        <v>0</v>
      </c>
      <c r="J633" s="507" t="b">
        <v>0</v>
      </c>
      <c r="K633" s="112"/>
      <c r="L633" s="505" t="b">
        <v>0</v>
      </c>
      <c r="M633" s="504" t="b">
        <v>0</v>
      </c>
      <c r="N633" s="112"/>
      <c r="O633" s="505" t="b">
        <v>0</v>
      </c>
      <c r="P633" s="504" t="b">
        <v>0</v>
      </c>
      <c r="Q633" s="116"/>
      <c r="R633" s="505" t="b">
        <v>0</v>
      </c>
      <c r="S633" s="504" t="b">
        <v>0</v>
      </c>
      <c r="T633" s="117"/>
      <c r="U633" s="505" t="b">
        <v>0</v>
      </c>
      <c r="V633" s="504" t="b">
        <v>0</v>
      </c>
      <c r="W633" s="118"/>
      <c r="X633" s="505" t="b">
        <v>0</v>
      </c>
      <c r="Y633" s="504" t="b">
        <v>0</v>
      </c>
      <c r="Z633" s="119"/>
      <c r="AA633" s="505" t="b">
        <v>0</v>
      </c>
      <c r="AB633" s="504" t="b">
        <v>0</v>
      </c>
      <c r="AC633" s="121"/>
      <c r="AD633" s="505" t="b">
        <v>0</v>
      </c>
      <c r="AE633" s="504" t="b">
        <v>0</v>
      </c>
      <c r="AF633" s="125"/>
      <c r="AG633" s="505" t="b">
        <v>0</v>
      </c>
      <c r="AH633" s="504" t="b">
        <v>0</v>
      </c>
      <c r="AI633" s="105"/>
      <c r="AJ633" s="505" t="b">
        <v>0</v>
      </c>
      <c r="AK633" s="504" t="b">
        <v>0</v>
      </c>
      <c r="AL633" s="126"/>
      <c r="AM633" s="505" t="b">
        <v>0</v>
      </c>
      <c r="AN633" s="504" t="b">
        <v>0</v>
      </c>
      <c r="AO633" s="105"/>
      <c r="AP633" s="105"/>
      <c r="AQ633" s="105"/>
      <c r="AR633" s="105"/>
      <c r="AS633" s="105"/>
      <c r="AT633" s="105"/>
      <c r="AU633" s="105"/>
      <c r="AV633" s="105"/>
      <c r="AW633" s="105"/>
      <c r="AX633" s="105"/>
      <c r="AY633" s="105"/>
      <c r="AZ633" s="105"/>
      <c r="BA633" s="105"/>
    </row>
    <row r="634">
      <c r="A634" s="105"/>
      <c r="B634" s="105"/>
      <c r="C634" s="105"/>
      <c r="D634" s="105"/>
      <c r="E634" s="105"/>
      <c r="F634" s="105"/>
      <c r="G634" s="105"/>
      <c r="H634" s="105"/>
      <c r="I634" s="505" t="b">
        <v>0</v>
      </c>
      <c r="J634" s="507" t="b">
        <v>0</v>
      </c>
      <c r="K634" s="112"/>
      <c r="L634" s="505" t="b">
        <v>0</v>
      </c>
      <c r="M634" s="504" t="b">
        <v>0</v>
      </c>
      <c r="N634" s="112"/>
      <c r="O634" s="505" t="b">
        <v>0</v>
      </c>
      <c r="P634" s="504" t="b">
        <v>0</v>
      </c>
      <c r="Q634" s="116"/>
      <c r="R634" s="505" t="b">
        <v>0</v>
      </c>
      <c r="S634" s="504" t="b">
        <v>0</v>
      </c>
      <c r="T634" s="117"/>
      <c r="U634" s="505" t="b">
        <v>0</v>
      </c>
      <c r="V634" s="504" t="b">
        <v>0</v>
      </c>
      <c r="W634" s="118"/>
      <c r="X634" s="505" t="b">
        <v>0</v>
      </c>
      <c r="Y634" s="504" t="b">
        <v>0</v>
      </c>
      <c r="Z634" s="119"/>
      <c r="AA634" s="505" t="b">
        <v>0</v>
      </c>
      <c r="AB634" s="504" t="b">
        <v>0</v>
      </c>
      <c r="AC634" s="121"/>
      <c r="AD634" s="505" t="b">
        <v>0</v>
      </c>
      <c r="AE634" s="504" t="b">
        <v>0</v>
      </c>
      <c r="AF634" s="125"/>
      <c r="AG634" s="505" t="b">
        <v>0</v>
      </c>
      <c r="AH634" s="504" t="b">
        <v>0</v>
      </c>
      <c r="AI634" s="105"/>
      <c r="AJ634" s="505" t="b">
        <v>0</v>
      </c>
      <c r="AK634" s="504" t="b">
        <v>0</v>
      </c>
      <c r="AL634" s="126"/>
      <c r="AM634" s="505" t="b">
        <v>0</v>
      </c>
      <c r="AN634" s="504" t="b">
        <v>0</v>
      </c>
      <c r="AO634" s="105"/>
      <c r="AP634" s="105"/>
      <c r="AQ634" s="105"/>
      <c r="AR634" s="105"/>
      <c r="AS634" s="105"/>
      <c r="AT634" s="105"/>
      <c r="AU634" s="105"/>
      <c r="AV634" s="105"/>
      <c r="AW634" s="105"/>
      <c r="AX634" s="105"/>
      <c r="AY634" s="105"/>
      <c r="AZ634" s="105"/>
      <c r="BA634" s="105"/>
    </row>
    <row r="635">
      <c r="A635" s="105"/>
      <c r="B635" s="105"/>
      <c r="C635" s="105"/>
      <c r="D635" s="105"/>
      <c r="E635" s="105"/>
      <c r="F635" s="105"/>
      <c r="G635" s="105"/>
      <c r="H635" s="105"/>
      <c r="I635" s="505" t="b">
        <v>0</v>
      </c>
      <c r="J635" s="507" t="b">
        <v>0</v>
      </c>
      <c r="K635" s="112"/>
      <c r="L635" s="505" t="b">
        <v>0</v>
      </c>
      <c r="M635" s="504" t="b">
        <v>0</v>
      </c>
      <c r="N635" s="112"/>
      <c r="O635" s="505" t="b">
        <v>0</v>
      </c>
      <c r="P635" s="504" t="b">
        <v>0</v>
      </c>
      <c r="Q635" s="116"/>
      <c r="R635" s="505" t="b">
        <v>0</v>
      </c>
      <c r="S635" s="504" t="b">
        <v>0</v>
      </c>
      <c r="T635" s="117"/>
      <c r="U635" s="505" t="b">
        <v>0</v>
      </c>
      <c r="V635" s="504" t="b">
        <v>0</v>
      </c>
      <c r="W635" s="118"/>
      <c r="X635" s="505" t="b">
        <v>0</v>
      </c>
      <c r="Y635" s="504" t="b">
        <v>0</v>
      </c>
      <c r="Z635" s="119"/>
      <c r="AA635" s="505" t="b">
        <v>0</v>
      </c>
      <c r="AB635" s="504" t="b">
        <v>0</v>
      </c>
      <c r="AC635" s="121"/>
      <c r="AD635" s="505" t="b">
        <v>0</v>
      </c>
      <c r="AE635" s="504" t="b">
        <v>0</v>
      </c>
      <c r="AF635" s="125"/>
      <c r="AG635" s="505" t="b">
        <v>0</v>
      </c>
      <c r="AH635" s="504" t="b">
        <v>0</v>
      </c>
      <c r="AI635" s="105"/>
      <c r="AJ635" s="505" t="b">
        <v>0</v>
      </c>
      <c r="AK635" s="504" t="b">
        <v>0</v>
      </c>
      <c r="AL635" s="126"/>
      <c r="AM635" s="505" t="b">
        <v>0</v>
      </c>
      <c r="AN635" s="504" t="b">
        <v>0</v>
      </c>
      <c r="AO635" s="105"/>
      <c r="AP635" s="105"/>
      <c r="AQ635" s="105"/>
      <c r="AR635" s="105"/>
      <c r="AS635" s="105"/>
      <c r="AT635" s="105"/>
      <c r="AU635" s="105"/>
      <c r="AV635" s="105"/>
      <c r="AW635" s="105"/>
      <c r="AX635" s="105"/>
      <c r="AY635" s="105"/>
      <c r="AZ635" s="105"/>
      <c r="BA635" s="105"/>
    </row>
    <row r="636">
      <c r="A636" s="105"/>
      <c r="B636" s="105"/>
      <c r="C636" s="105"/>
      <c r="D636" s="105"/>
      <c r="E636" s="105"/>
      <c r="F636" s="105"/>
      <c r="G636" s="105"/>
      <c r="H636" s="105"/>
      <c r="I636" s="505" t="b">
        <v>0</v>
      </c>
      <c r="J636" s="507" t="b">
        <v>0</v>
      </c>
      <c r="K636" s="112"/>
      <c r="L636" s="505" t="b">
        <v>0</v>
      </c>
      <c r="M636" s="504" t="b">
        <v>0</v>
      </c>
      <c r="N636" s="112"/>
      <c r="O636" s="505" t="b">
        <v>0</v>
      </c>
      <c r="P636" s="504" t="b">
        <v>0</v>
      </c>
      <c r="Q636" s="116"/>
      <c r="R636" s="505" t="b">
        <v>0</v>
      </c>
      <c r="S636" s="504" t="b">
        <v>0</v>
      </c>
      <c r="T636" s="117"/>
      <c r="U636" s="505" t="b">
        <v>0</v>
      </c>
      <c r="V636" s="504" t="b">
        <v>0</v>
      </c>
      <c r="W636" s="118"/>
      <c r="X636" s="505" t="b">
        <v>0</v>
      </c>
      <c r="Y636" s="504" t="b">
        <v>0</v>
      </c>
      <c r="Z636" s="119"/>
      <c r="AA636" s="505" t="b">
        <v>0</v>
      </c>
      <c r="AB636" s="504" t="b">
        <v>0</v>
      </c>
      <c r="AC636" s="121"/>
      <c r="AD636" s="505" t="b">
        <v>0</v>
      </c>
      <c r="AE636" s="504" t="b">
        <v>0</v>
      </c>
      <c r="AF636" s="125"/>
      <c r="AG636" s="505" t="b">
        <v>0</v>
      </c>
      <c r="AH636" s="504" t="b">
        <v>0</v>
      </c>
      <c r="AI636" s="105"/>
      <c r="AJ636" s="505" t="b">
        <v>0</v>
      </c>
      <c r="AK636" s="504" t="b">
        <v>0</v>
      </c>
      <c r="AL636" s="126"/>
      <c r="AM636" s="505" t="b">
        <v>0</v>
      </c>
      <c r="AN636" s="504" t="b">
        <v>0</v>
      </c>
      <c r="AO636" s="105"/>
      <c r="AP636" s="105"/>
      <c r="AQ636" s="105"/>
      <c r="AR636" s="105"/>
      <c r="AS636" s="105"/>
      <c r="AT636" s="105"/>
      <c r="AU636" s="105"/>
      <c r="AV636" s="105"/>
      <c r="AW636" s="105"/>
      <c r="AX636" s="105"/>
      <c r="AY636" s="105"/>
      <c r="AZ636" s="105"/>
      <c r="BA636" s="105"/>
    </row>
    <row r="637">
      <c r="A637" s="105"/>
      <c r="B637" s="105"/>
      <c r="C637" s="105"/>
      <c r="D637" s="105"/>
      <c r="E637" s="105"/>
      <c r="F637" s="105"/>
      <c r="G637" s="105"/>
      <c r="H637" s="105"/>
      <c r="I637" s="505" t="b">
        <v>0</v>
      </c>
      <c r="J637" s="507" t="b">
        <v>0</v>
      </c>
      <c r="K637" s="112"/>
      <c r="L637" s="505" t="b">
        <v>0</v>
      </c>
      <c r="M637" s="504" t="b">
        <v>0</v>
      </c>
      <c r="N637" s="112"/>
      <c r="O637" s="505" t="b">
        <v>0</v>
      </c>
      <c r="P637" s="504" t="b">
        <v>0</v>
      </c>
      <c r="Q637" s="116"/>
      <c r="R637" s="505" t="b">
        <v>0</v>
      </c>
      <c r="S637" s="504" t="b">
        <v>0</v>
      </c>
      <c r="T637" s="117"/>
      <c r="U637" s="505" t="b">
        <v>0</v>
      </c>
      <c r="V637" s="504" t="b">
        <v>0</v>
      </c>
      <c r="W637" s="118"/>
      <c r="X637" s="505" t="b">
        <v>0</v>
      </c>
      <c r="Y637" s="504" t="b">
        <v>0</v>
      </c>
      <c r="Z637" s="119"/>
      <c r="AA637" s="505" t="b">
        <v>0</v>
      </c>
      <c r="AB637" s="504" t="b">
        <v>0</v>
      </c>
      <c r="AC637" s="121"/>
      <c r="AD637" s="505" t="b">
        <v>0</v>
      </c>
      <c r="AE637" s="504" t="b">
        <v>0</v>
      </c>
      <c r="AF637" s="125"/>
      <c r="AG637" s="505" t="b">
        <v>0</v>
      </c>
      <c r="AH637" s="504" t="b">
        <v>0</v>
      </c>
      <c r="AI637" s="105"/>
      <c r="AJ637" s="505" t="b">
        <v>0</v>
      </c>
      <c r="AK637" s="504" t="b">
        <v>0</v>
      </c>
      <c r="AL637" s="126"/>
      <c r="AM637" s="505" t="b">
        <v>0</v>
      </c>
      <c r="AN637" s="504" t="b">
        <v>0</v>
      </c>
      <c r="AO637" s="105"/>
      <c r="AP637" s="105"/>
      <c r="AQ637" s="105"/>
      <c r="AR637" s="105"/>
      <c r="AS637" s="105"/>
      <c r="AT637" s="105"/>
      <c r="AU637" s="105"/>
      <c r="AV637" s="105"/>
      <c r="AW637" s="105"/>
      <c r="AX637" s="105"/>
      <c r="AY637" s="105"/>
      <c r="AZ637" s="105"/>
      <c r="BA637" s="105"/>
    </row>
    <row r="638">
      <c r="A638" s="105"/>
      <c r="B638" s="105"/>
      <c r="C638" s="105"/>
      <c r="D638" s="105"/>
      <c r="E638" s="105"/>
      <c r="F638" s="105"/>
      <c r="G638" s="105"/>
      <c r="H638" s="105"/>
      <c r="I638" s="505" t="b">
        <v>0</v>
      </c>
      <c r="J638" s="507" t="b">
        <v>0</v>
      </c>
      <c r="K638" s="112"/>
      <c r="L638" s="505" t="b">
        <v>0</v>
      </c>
      <c r="M638" s="504" t="b">
        <v>0</v>
      </c>
      <c r="N638" s="112"/>
      <c r="O638" s="505" t="b">
        <v>0</v>
      </c>
      <c r="P638" s="504" t="b">
        <v>0</v>
      </c>
      <c r="Q638" s="116"/>
      <c r="R638" s="505" t="b">
        <v>0</v>
      </c>
      <c r="S638" s="504" t="b">
        <v>0</v>
      </c>
      <c r="T638" s="117"/>
      <c r="U638" s="505" t="b">
        <v>0</v>
      </c>
      <c r="V638" s="504" t="b">
        <v>0</v>
      </c>
      <c r="W638" s="118"/>
      <c r="X638" s="505" t="b">
        <v>0</v>
      </c>
      <c r="Y638" s="504" t="b">
        <v>0</v>
      </c>
      <c r="Z638" s="119"/>
      <c r="AA638" s="505" t="b">
        <v>0</v>
      </c>
      <c r="AB638" s="504" t="b">
        <v>0</v>
      </c>
      <c r="AC638" s="121"/>
      <c r="AD638" s="505" t="b">
        <v>0</v>
      </c>
      <c r="AE638" s="504" t="b">
        <v>0</v>
      </c>
      <c r="AF638" s="125"/>
      <c r="AG638" s="505" t="b">
        <v>0</v>
      </c>
      <c r="AH638" s="504" t="b">
        <v>0</v>
      </c>
      <c r="AI638" s="105"/>
      <c r="AJ638" s="505" t="b">
        <v>0</v>
      </c>
      <c r="AK638" s="504" t="b">
        <v>0</v>
      </c>
      <c r="AL638" s="126"/>
      <c r="AM638" s="505" t="b">
        <v>0</v>
      </c>
      <c r="AN638" s="504" t="b">
        <v>0</v>
      </c>
      <c r="AO638" s="105"/>
      <c r="AP638" s="105"/>
      <c r="AQ638" s="105"/>
      <c r="AR638" s="105"/>
      <c r="AS638" s="105"/>
      <c r="AT638" s="105"/>
      <c r="AU638" s="105"/>
      <c r="AV638" s="105"/>
      <c r="AW638" s="105"/>
      <c r="AX638" s="105"/>
      <c r="AY638" s="105"/>
      <c r="AZ638" s="105"/>
      <c r="BA638" s="105"/>
    </row>
    <row r="639">
      <c r="A639" s="105"/>
      <c r="B639" s="105"/>
      <c r="C639" s="105"/>
      <c r="D639" s="105"/>
      <c r="E639" s="105"/>
      <c r="F639" s="105"/>
      <c r="G639" s="105"/>
      <c r="H639" s="105"/>
      <c r="I639" s="505" t="b">
        <v>0</v>
      </c>
      <c r="J639" s="507" t="b">
        <v>0</v>
      </c>
      <c r="K639" s="112"/>
      <c r="L639" s="505" t="b">
        <v>0</v>
      </c>
      <c r="M639" s="504" t="b">
        <v>0</v>
      </c>
      <c r="N639" s="112"/>
      <c r="O639" s="505" t="b">
        <v>0</v>
      </c>
      <c r="P639" s="504" t="b">
        <v>0</v>
      </c>
      <c r="Q639" s="116"/>
      <c r="R639" s="505" t="b">
        <v>0</v>
      </c>
      <c r="S639" s="504" t="b">
        <v>0</v>
      </c>
      <c r="T639" s="117"/>
      <c r="U639" s="505" t="b">
        <v>0</v>
      </c>
      <c r="V639" s="504" t="b">
        <v>0</v>
      </c>
      <c r="W639" s="118"/>
      <c r="X639" s="505" t="b">
        <v>0</v>
      </c>
      <c r="Y639" s="504" t="b">
        <v>0</v>
      </c>
      <c r="Z639" s="119"/>
      <c r="AA639" s="505" t="b">
        <v>0</v>
      </c>
      <c r="AB639" s="504" t="b">
        <v>0</v>
      </c>
      <c r="AC639" s="121"/>
      <c r="AD639" s="505" t="b">
        <v>0</v>
      </c>
      <c r="AE639" s="504" t="b">
        <v>0</v>
      </c>
      <c r="AF639" s="125"/>
      <c r="AG639" s="505" t="b">
        <v>0</v>
      </c>
      <c r="AH639" s="504" t="b">
        <v>0</v>
      </c>
      <c r="AI639" s="105"/>
      <c r="AJ639" s="505" t="b">
        <v>0</v>
      </c>
      <c r="AK639" s="504" t="b">
        <v>0</v>
      </c>
      <c r="AL639" s="126"/>
      <c r="AM639" s="505" t="b">
        <v>0</v>
      </c>
      <c r="AN639" s="504" t="b">
        <v>0</v>
      </c>
      <c r="AO639" s="105"/>
      <c r="AP639" s="105"/>
      <c r="AQ639" s="105"/>
      <c r="AR639" s="105"/>
      <c r="AS639" s="105"/>
      <c r="AT639" s="105"/>
      <c r="AU639" s="105"/>
      <c r="AV639" s="105"/>
      <c r="AW639" s="105"/>
      <c r="AX639" s="105"/>
      <c r="AY639" s="105"/>
      <c r="AZ639" s="105"/>
      <c r="BA639" s="105"/>
    </row>
    <row r="640">
      <c r="A640" s="105"/>
      <c r="B640" s="105"/>
      <c r="C640" s="105"/>
      <c r="D640" s="105"/>
      <c r="E640" s="105"/>
      <c r="F640" s="105"/>
      <c r="G640" s="105"/>
      <c r="H640" s="105"/>
      <c r="I640" s="505" t="b">
        <v>0</v>
      </c>
      <c r="J640" s="507" t="b">
        <v>0</v>
      </c>
      <c r="K640" s="112"/>
      <c r="L640" s="505" t="b">
        <v>0</v>
      </c>
      <c r="M640" s="504" t="b">
        <v>0</v>
      </c>
      <c r="N640" s="112"/>
      <c r="O640" s="505" t="b">
        <v>0</v>
      </c>
      <c r="P640" s="504" t="b">
        <v>0</v>
      </c>
      <c r="Q640" s="116"/>
      <c r="R640" s="505" t="b">
        <v>0</v>
      </c>
      <c r="S640" s="504" t="b">
        <v>0</v>
      </c>
      <c r="T640" s="117"/>
      <c r="U640" s="505" t="b">
        <v>0</v>
      </c>
      <c r="V640" s="504" t="b">
        <v>0</v>
      </c>
      <c r="W640" s="118"/>
      <c r="X640" s="505" t="b">
        <v>0</v>
      </c>
      <c r="Y640" s="504" t="b">
        <v>0</v>
      </c>
      <c r="Z640" s="119"/>
      <c r="AA640" s="505" t="b">
        <v>0</v>
      </c>
      <c r="AB640" s="504" t="b">
        <v>0</v>
      </c>
      <c r="AC640" s="121"/>
      <c r="AD640" s="505" t="b">
        <v>0</v>
      </c>
      <c r="AE640" s="504" t="b">
        <v>0</v>
      </c>
      <c r="AF640" s="125"/>
      <c r="AG640" s="505" t="b">
        <v>0</v>
      </c>
      <c r="AH640" s="504" t="b">
        <v>0</v>
      </c>
      <c r="AI640" s="105"/>
      <c r="AJ640" s="505" t="b">
        <v>0</v>
      </c>
      <c r="AK640" s="504" t="b">
        <v>0</v>
      </c>
      <c r="AL640" s="126"/>
      <c r="AM640" s="505" t="b">
        <v>0</v>
      </c>
      <c r="AN640" s="504" t="b">
        <v>0</v>
      </c>
      <c r="AO640" s="105"/>
      <c r="AP640" s="105"/>
      <c r="AQ640" s="105"/>
      <c r="AR640" s="105"/>
      <c r="AS640" s="105"/>
      <c r="AT640" s="105"/>
      <c r="AU640" s="105"/>
      <c r="AV640" s="105"/>
      <c r="AW640" s="105"/>
      <c r="AX640" s="105"/>
      <c r="AY640" s="105"/>
      <c r="AZ640" s="105"/>
      <c r="BA640" s="105"/>
    </row>
    <row r="641">
      <c r="A641" s="105"/>
      <c r="B641" s="105"/>
      <c r="C641" s="105"/>
      <c r="D641" s="105"/>
      <c r="E641" s="105"/>
      <c r="F641" s="105"/>
      <c r="G641" s="105"/>
      <c r="H641" s="105"/>
      <c r="I641" s="505" t="b">
        <v>0</v>
      </c>
      <c r="J641" s="507" t="b">
        <v>0</v>
      </c>
      <c r="K641" s="112"/>
      <c r="L641" s="505" t="b">
        <v>0</v>
      </c>
      <c r="M641" s="504" t="b">
        <v>0</v>
      </c>
      <c r="N641" s="112"/>
      <c r="O641" s="505" t="b">
        <v>0</v>
      </c>
      <c r="P641" s="504" t="b">
        <v>0</v>
      </c>
      <c r="Q641" s="116"/>
      <c r="R641" s="505" t="b">
        <v>0</v>
      </c>
      <c r="S641" s="504" t="b">
        <v>0</v>
      </c>
      <c r="T641" s="117"/>
      <c r="U641" s="505" t="b">
        <v>0</v>
      </c>
      <c r="V641" s="504" t="b">
        <v>0</v>
      </c>
      <c r="W641" s="118"/>
      <c r="X641" s="505" t="b">
        <v>0</v>
      </c>
      <c r="Y641" s="504" t="b">
        <v>0</v>
      </c>
      <c r="Z641" s="119"/>
      <c r="AA641" s="505" t="b">
        <v>0</v>
      </c>
      <c r="AB641" s="504" t="b">
        <v>0</v>
      </c>
      <c r="AC641" s="121"/>
      <c r="AD641" s="505" t="b">
        <v>0</v>
      </c>
      <c r="AE641" s="504" t="b">
        <v>0</v>
      </c>
      <c r="AF641" s="125"/>
      <c r="AG641" s="505" t="b">
        <v>0</v>
      </c>
      <c r="AH641" s="504" t="b">
        <v>0</v>
      </c>
      <c r="AI641" s="105"/>
      <c r="AJ641" s="505" t="b">
        <v>0</v>
      </c>
      <c r="AK641" s="504" t="b">
        <v>0</v>
      </c>
      <c r="AL641" s="126"/>
      <c r="AM641" s="505" t="b">
        <v>0</v>
      </c>
      <c r="AN641" s="504" t="b">
        <v>0</v>
      </c>
      <c r="AO641" s="105"/>
      <c r="AP641" s="105"/>
      <c r="AQ641" s="105"/>
      <c r="AR641" s="105"/>
      <c r="AS641" s="105"/>
      <c r="AT641" s="105"/>
      <c r="AU641" s="105"/>
      <c r="AV641" s="105"/>
      <c r="AW641" s="105"/>
      <c r="AX641" s="105"/>
      <c r="AY641" s="105"/>
      <c r="AZ641" s="105"/>
      <c r="BA641" s="105"/>
    </row>
    <row r="642">
      <c r="A642" s="105"/>
      <c r="B642" s="105"/>
      <c r="C642" s="105"/>
      <c r="D642" s="105"/>
      <c r="E642" s="105"/>
      <c r="F642" s="105"/>
      <c r="G642" s="105"/>
      <c r="H642" s="105"/>
      <c r="I642" s="505" t="b">
        <v>0</v>
      </c>
      <c r="J642" s="507" t="b">
        <v>0</v>
      </c>
      <c r="K642" s="112"/>
      <c r="L642" s="505" t="b">
        <v>0</v>
      </c>
      <c r="M642" s="504" t="b">
        <v>0</v>
      </c>
      <c r="N642" s="112"/>
      <c r="O642" s="505" t="b">
        <v>0</v>
      </c>
      <c r="P642" s="504" t="b">
        <v>0</v>
      </c>
      <c r="Q642" s="116"/>
      <c r="R642" s="505" t="b">
        <v>0</v>
      </c>
      <c r="S642" s="504" t="b">
        <v>0</v>
      </c>
      <c r="T642" s="117"/>
      <c r="U642" s="505" t="b">
        <v>0</v>
      </c>
      <c r="V642" s="504" t="b">
        <v>0</v>
      </c>
      <c r="W642" s="118"/>
      <c r="X642" s="505" t="b">
        <v>0</v>
      </c>
      <c r="Y642" s="504" t="b">
        <v>0</v>
      </c>
      <c r="Z642" s="119"/>
      <c r="AA642" s="505" t="b">
        <v>0</v>
      </c>
      <c r="AB642" s="504" t="b">
        <v>0</v>
      </c>
      <c r="AC642" s="121"/>
      <c r="AD642" s="505" t="b">
        <v>0</v>
      </c>
      <c r="AE642" s="504" t="b">
        <v>0</v>
      </c>
      <c r="AF642" s="125"/>
      <c r="AG642" s="505" t="b">
        <v>0</v>
      </c>
      <c r="AH642" s="504" t="b">
        <v>0</v>
      </c>
      <c r="AI642" s="105"/>
      <c r="AJ642" s="505" t="b">
        <v>0</v>
      </c>
      <c r="AK642" s="504" t="b">
        <v>0</v>
      </c>
      <c r="AL642" s="126"/>
      <c r="AM642" s="505" t="b">
        <v>0</v>
      </c>
      <c r="AN642" s="504" t="b">
        <v>0</v>
      </c>
      <c r="AO642" s="105"/>
      <c r="AP642" s="105"/>
      <c r="AQ642" s="105"/>
      <c r="AR642" s="105"/>
      <c r="AS642" s="105"/>
      <c r="AT642" s="105"/>
      <c r="AU642" s="105"/>
      <c r="AV642" s="105"/>
      <c r="AW642" s="105"/>
      <c r="AX642" s="105"/>
      <c r="AY642" s="105"/>
      <c r="AZ642" s="105"/>
      <c r="BA642" s="105"/>
    </row>
    <row r="643">
      <c r="A643" s="105"/>
      <c r="B643" s="105"/>
      <c r="C643" s="105"/>
      <c r="D643" s="105"/>
      <c r="E643" s="105"/>
      <c r="F643" s="105"/>
      <c r="G643" s="105"/>
      <c r="H643" s="105"/>
      <c r="I643" s="505" t="b">
        <v>0</v>
      </c>
      <c r="J643" s="507" t="b">
        <v>0</v>
      </c>
      <c r="K643" s="112"/>
      <c r="L643" s="505" t="b">
        <v>0</v>
      </c>
      <c r="M643" s="504" t="b">
        <v>0</v>
      </c>
      <c r="N643" s="112"/>
      <c r="O643" s="505" t="b">
        <v>0</v>
      </c>
      <c r="P643" s="504" t="b">
        <v>0</v>
      </c>
      <c r="Q643" s="116"/>
      <c r="R643" s="505" t="b">
        <v>0</v>
      </c>
      <c r="S643" s="504" t="b">
        <v>0</v>
      </c>
      <c r="T643" s="117"/>
      <c r="U643" s="505" t="b">
        <v>0</v>
      </c>
      <c r="V643" s="504" t="b">
        <v>0</v>
      </c>
      <c r="W643" s="118"/>
      <c r="X643" s="505" t="b">
        <v>0</v>
      </c>
      <c r="Y643" s="504" t="b">
        <v>0</v>
      </c>
      <c r="Z643" s="119"/>
      <c r="AA643" s="505" t="b">
        <v>0</v>
      </c>
      <c r="AB643" s="504" t="b">
        <v>0</v>
      </c>
      <c r="AC643" s="121"/>
      <c r="AD643" s="505" t="b">
        <v>0</v>
      </c>
      <c r="AE643" s="504" t="b">
        <v>0</v>
      </c>
      <c r="AF643" s="125"/>
      <c r="AG643" s="505" t="b">
        <v>0</v>
      </c>
      <c r="AH643" s="504" t="b">
        <v>0</v>
      </c>
      <c r="AI643" s="105"/>
      <c r="AJ643" s="505" t="b">
        <v>0</v>
      </c>
      <c r="AK643" s="504" t="b">
        <v>0</v>
      </c>
      <c r="AL643" s="126"/>
      <c r="AM643" s="505" t="b">
        <v>0</v>
      </c>
      <c r="AN643" s="504" t="b">
        <v>0</v>
      </c>
      <c r="AO643" s="105"/>
      <c r="AP643" s="105"/>
      <c r="AQ643" s="105"/>
      <c r="AR643" s="105"/>
      <c r="AS643" s="105"/>
      <c r="AT643" s="105"/>
      <c r="AU643" s="105"/>
      <c r="AV643" s="105"/>
      <c r="AW643" s="105"/>
      <c r="AX643" s="105"/>
      <c r="AY643" s="105"/>
      <c r="AZ643" s="105"/>
      <c r="BA643" s="105"/>
    </row>
    <row r="644">
      <c r="A644" s="105"/>
      <c r="B644" s="105"/>
      <c r="C644" s="105"/>
      <c r="D644" s="105"/>
      <c r="E644" s="105"/>
      <c r="F644" s="105"/>
      <c r="G644" s="105"/>
      <c r="H644" s="105"/>
      <c r="I644" s="505" t="b">
        <v>0</v>
      </c>
      <c r="J644" s="507" t="b">
        <v>0</v>
      </c>
      <c r="K644" s="112"/>
      <c r="L644" s="505" t="b">
        <v>0</v>
      </c>
      <c r="M644" s="504" t="b">
        <v>0</v>
      </c>
      <c r="N644" s="112"/>
      <c r="O644" s="505" t="b">
        <v>0</v>
      </c>
      <c r="P644" s="504" t="b">
        <v>0</v>
      </c>
      <c r="Q644" s="116"/>
      <c r="R644" s="505" t="b">
        <v>0</v>
      </c>
      <c r="S644" s="504" t="b">
        <v>0</v>
      </c>
      <c r="T644" s="117"/>
      <c r="U644" s="505" t="b">
        <v>0</v>
      </c>
      <c r="V644" s="504" t="b">
        <v>0</v>
      </c>
      <c r="W644" s="118"/>
      <c r="X644" s="505" t="b">
        <v>0</v>
      </c>
      <c r="Y644" s="504" t="b">
        <v>0</v>
      </c>
      <c r="Z644" s="119"/>
      <c r="AA644" s="505" t="b">
        <v>0</v>
      </c>
      <c r="AB644" s="504" t="b">
        <v>0</v>
      </c>
      <c r="AC644" s="121"/>
      <c r="AD644" s="505" t="b">
        <v>0</v>
      </c>
      <c r="AE644" s="504" t="b">
        <v>0</v>
      </c>
      <c r="AF644" s="125"/>
      <c r="AG644" s="505" t="b">
        <v>0</v>
      </c>
      <c r="AH644" s="504" t="b">
        <v>0</v>
      </c>
      <c r="AI644" s="105"/>
      <c r="AJ644" s="505" t="b">
        <v>0</v>
      </c>
      <c r="AK644" s="504" t="b">
        <v>0</v>
      </c>
      <c r="AL644" s="126"/>
      <c r="AM644" s="505" t="b">
        <v>0</v>
      </c>
      <c r="AN644" s="504" t="b">
        <v>0</v>
      </c>
      <c r="AO644" s="105"/>
      <c r="AP644" s="105"/>
      <c r="AQ644" s="105"/>
      <c r="AR644" s="105"/>
      <c r="AS644" s="105"/>
      <c r="AT644" s="105"/>
      <c r="AU644" s="105"/>
      <c r="AV644" s="105"/>
      <c r="AW644" s="105"/>
      <c r="AX644" s="105"/>
      <c r="AY644" s="105"/>
      <c r="AZ644" s="105"/>
      <c r="BA644" s="105"/>
    </row>
    <row r="645">
      <c r="A645" s="105"/>
      <c r="B645" s="105"/>
      <c r="C645" s="105"/>
      <c r="D645" s="105"/>
      <c r="E645" s="105"/>
      <c r="F645" s="105"/>
      <c r="G645" s="105"/>
      <c r="H645" s="105"/>
      <c r="I645" s="505" t="b">
        <v>0</v>
      </c>
      <c r="J645" s="507" t="b">
        <v>0</v>
      </c>
      <c r="K645" s="112"/>
      <c r="L645" s="505" t="b">
        <v>0</v>
      </c>
      <c r="M645" s="504" t="b">
        <v>0</v>
      </c>
      <c r="N645" s="112"/>
      <c r="O645" s="505" t="b">
        <v>0</v>
      </c>
      <c r="P645" s="504" t="b">
        <v>0</v>
      </c>
      <c r="Q645" s="116"/>
      <c r="R645" s="505" t="b">
        <v>0</v>
      </c>
      <c r="S645" s="504" t="b">
        <v>0</v>
      </c>
      <c r="T645" s="117"/>
      <c r="U645" s="505" t="b">
        <v>0</v>
      </c>
      <c r="V645" s="504" t="b">
        <v>0</v>
      </c>
      <c r="W645" s="118"/>
      <c r="X645" s="505" t="b">
        <v>0</v>
      </c>
      <c r="Y645" s="504" t="b">
        <v>0</v>
      </c>
      <c r="Z645" s="119"/>
      <c r="AA645" s="505" t="b">
        <v>0</v>
      </c>
      <c r="AB645" s="504" t="b">
        <v>0</v>
      </c>
      <c r="AC645" s="121"/>
      <c r="AD645" s="505" t="b">
        <v>0</v>
      </c>
      <c r="AE645" s="504" t="b">
        <v>0</v>
      </c>
      <c r="AF645" s="125"/>
      <c r="AG645" s="505" t="b">
        <v>0</v>
      </c>
      <c r="AH645" s="504" t="b">
        <v>0</v>
      </c>
      <c r="AI645" s="105"/>
      <c r="AJ645" s="505" t="b">
        <v>0</v>
      </c>
      <c r="AK645" s="504" t="b">
        <v>0</v>
      </c>
      <c r="AL645" s="126"/>
      <c r="AM645" s="505" t="b">
        <v>0</v>
      </c>
      <c r="AN645" s="504" t="b">
        <v>0</v>
      </c>
      <c r="AO645" s="105"/>
      <c r="AP645" s="105"/>
      <c r="AQ645" s="105"/>
      <c r="AR645" s="105"/>
      <c r="AS645" s="105"/>
      <c r="AT645" s="105"/>
      <c r="AU645" s="105"/>
      <c r="AV645" s="105"/>
      <c r="AW645" s="105"/>
      <c r="AX645" s="105"/>
      <c r="AY645" s="105"/>
      <c r="AZ645" s="105"/>
      <c r="BA645" s="105"/>
    </row>
    <row r="646">
      <c r="A646" s="105"/>
      <c r="B646" s="105"/>
      <c r="C646" s="105"/>
      <c r="D646" s="105"/>
      <c r="E646" s="105"/>
      <c r="F646" s="105"/>
      <c r="G646" s="105"/>
      <c r="H646" s="105"/>
      <c r="I646" s="505" t="b">
        <v>0</v>
      </c>
      <c r="J646" s="507" t="b">
        <v>0</v>
      </c>
      <c r="K646" s="112"/>
      <c r="L646" s="505" t="b">
        <v>0</v>
      </c>
      <c r="M646" s="504" t="b">
        <v>0</v>
      </c>
      <c r="N646" s="112"/>
      <c r="O646" s="505" t="b">
        <v>0</v>
      </c>
      <c r="P646" s="504" t="b">
        <v>0</v>
      </c>
      <c r="Q646" s="116"/>
      <c r="R646" s="505" t="b">
        <v>0</v>
      </c>
      <c r="S646" s="504" t="b">
        <v>0</v>
      </c>
      <c r="T646" s="117"/>
      <c r="U646" s="505" t="b">
        <v>0</v>
      </c>
      <c r="V646" s="504" t="b">
        <v>0</v>
      </c>
      <c r="W646" s="118"/>
      <c r="X646" s="505" t="b">
        <v>0</v>
      </c>
      <c r="Y646" s="504" t="b">
        <v>0</v>
      </c>
      <c r="Z646" s="119"/>
      <c r="AA646" s="505" t="b">
        <v>0</v>
      </c>
      <c r="AB646" s="504" t="b">
        <v>0</v>
      </c>
      <c r="AC646" s="121"/>
      <c r="AD646" s="505" t="b">
        <v>0</v>
      </c>
      <c r="AE646" s="504" t="b">
        <v>0</v>
      </c>
      <c r="AF646" s="125"/>
      <c r="AG646" s="505" t="b">
        <v>0</v>
      </c>
      <c r="AH646" s="504" t="b">
        <v>0</v>
      </c>
      <c r="AI646" s="105"/>
      <c r="AJ646" s="505" t="b">
        <v>0</v>
      </c>
      <c r="AK646" s="504" t="b">
        <v>0</v>
      </c>
      <c r="AL646" s="126"/>
      <c r="AM646" s="505" t="b">
        <v>0</v>
      </c>
      <c r="AN646" s="504" t="b">
        <v>0</v>
      </c>
      <c r="AO646" s="105"/>
      <c r="AP646" s="105"/>
      <c r="AQ646" s="105"/>
      <c r="AR646" s="105"/>
      <c r="AS646" s="105"/>
      <c r="AT646" s="105"/>
      <c r="AU646" s="105"/>
      <c r="AV646" s="105"/>
      <c r="AW646" s="105"/>
      <c r="AX646" s="105"/>
      <c r="AY646" s="105"/>
      <c r="AZ646" s="105"/>
      <c r="BA646" s="105"/>
    </row>
    <row r="647">
      <c r="A647" s="105"/>
      <c r="B647" s="105"/>
      <c r="C647" s="105"/>
      <c r="D647" s="105"/>
      <c r="E647" s="105"/>
      <c r="F647" s="105"/>
      <c r="G647" s="105"/>
      <c r="H647" s="105"/>
      <c r="I647" s="505" t="b">
        <v>0</v>
      </c>
      <c r="J647" s="507" t="b">
        <v>0</v>
      </c>
      <c r="K647" s="112"/>
      <c r="L647" s="505" t="b">
        <v>0</v>
      </c>
      <c r="M647" s="504" t="b">
        <v>0</v>
      </c>
      <c r="N647" s="112"/>
      <c r="O647" s="505" t="b">
        <v>0</v>
      </c>
      <c r="P647" s="504" t="b">
        <v>0</v>
      </c>
      <c r="Q647" s="116"/>
      <c r="R647" s="505" t="b">
        <v>0</v>
      </c>
      <c r="S647" s="504" t="b">
        <v>0</v>
      </c>
      <c r="T647" s="117"/>
      <c r="U647" s="505" t="b">
        <v>0</v>
      </c>
      <c r="V647" s="504" t="b">
        <v>0</v>
      </c>
      <c r="W647" s="118"/>
      <c r="X647" s="505" t="b">
        <v>0</v>
      </c>
      <c r="Y647" s="504" t="b">
        <v>0</v>
      </c>
      <c r="Z647" s="119"/>
      <c r="AA647" s="505" t="b">
        <v>0</v>
      </c>
      <c r="AB647" s="504" t="b">
        <v>0</v>
      </c>
      <c r="AC647" s="121"/>
      <c r="AD647" s="505" t="b">
        <v>0</v>
      </c>
      <c r="AE647" s="504" t="b">
        <v>0</v>
      </c>
      <c r="AF647" s="125"/>
      <c r="AG647" s="505" t="b">
        <v>0</v>
      </c>
      <c r="AH647" s="504" t="b">
        <v>0</v>
      </c>
      <c r="AI647" s="105"/>
      <c r="AJ647" s="505" t="b">
        <v>0</v>
      </c>
      <c r="AK647" s="504" t="b">
        <v>0</v>
      </c>
      <c r="AL647" s="126"/>
      <c r="AM647" s="505" t="b">
        <v>0</v>
      </c>
      <c r="AN647" s="504" t="b">
        <v>0</v>
      </c>
      <c r="AO647" s="105"/>
      <c r="AP647" s="105"/>
      <c r="AQ647" s="105"/>
      <c r="AR647" s="105"/>
      <c r="AS647" s="105"/>
      <c r="AT647" s="105"/>
      <c r="AU647" s="105"/>
      <c r="AV647" s="105"/>
      <c r="AW647" s="105"/>
      <c r="AX647" s="105"/>
      <c r="AY647" s="105"/>
      <c r="AZ647" s="105"/>
      <c r="BA647" s="105"/>
    </row>
    <row r="648">
      <c r="A648" s="105"/>
      <c r="B648" s="105"/>
      <c r="C648" s="105"/>
      <c r="D648" s="105"/>
      <c r="E648" s="105"/>
      <c r="F648" s="105"/>
      <c r="G648" s="105"/>
      <c r="H648" s="105"/>
      <c r="I648" s="505" t="b">
        <v>0</v>
      </c>
      <c r="J648" s="507" t="b">
        <v>0</v>
      </c>
      <c r="K648" s="112"/>
      <c r="L648" s="505" t="b">
        <v>0</v>
      </c>
      <c r="M648" s="504" t="b">
        <v>0</v>
      </c>
      <c r="N648" s="112"/>
      <c r="O648" s="505" t="b">
        <v>0</v>
      </c>
      <c r="P648" s="504" t="b">
        <v>0</v>
      </c>
      <c r="Q648" s="116"/>
      <c r="R648" s="505" t="b">
        <v>0</v>
      </c>
      <c r="S648" s="504" t="b">
        <v>0</v>
      </c>
      <c r="T648" s="117"/>
      <c r="U648" s="505" t="b">
        <v>0</v>
      </c>
      <c r="V648" s="504" t="b">
        <v>0</v>
      </c>
      <c r="W648" s="118"/>
      <c r="X648" s="505" t="b">
        <v>0</v>
      </c>
      <c r="Y648" s="504" t="b">
        <v>0</v>
      </c>
      <c r="Z648" s="119"/>
      <c r="AA648" s="505" t="b">
        <v>0</v>
      </c>
      <c r="AB648" s="504" t="b">
        <v>0</v>
      </c>
      <c r="AC648" s="121"/>
      <c r="AD648" s="505" t="b">
        <v>0</v>
      </c>
      <c r="AE648" s="504" t="b">
        <v>0</v>
      </c>
      <c r="AF648" s="125"/>
      <c r="AG648" s="505" t="b">
        <v>0</v>
      </c>
      <c r="AH648" s="504" t="b">
        <v>0</v>
      </c>
      <c r="AI648" s="105"/>
      <c r="AJ648" s="505" t="b">
        <v>0</v>
      </c>
      <c r="AK648" s="504" t="b">
        <v>0</v>
      </c>
      <c r="AL648" s="126"/>
      <c r="AM648" s="505" t="b">
        <v>0</v>
      </c>
      <c r="AN648" s="504" t="b">
        <v>0</v>
      </c>
      <c r="AO648" s="105"/>
      <c r="AP648" s="105"/>
      <c r="AQ648" s="105"/>
      <c r="AR648" s="105"/>
      <c r="AS648" s="105"/>
      <c r="AT648" s="105"/>
      <c r="AU648" s="105"/>
      <c r="AV648" s="105"/>
      <c r="AW648" s="105"/>
      <c r="AX648" s="105"/>
      <c r="AY648" s="105"/>
      <c r="AZ648" s="105"/>
      <c r="BA648" s="105"/>
    </row>
    <row r="649">
      <c r="A649" s="105"/>
      <c r="B649" s="105"/>
      <c r="C649" s="105"/>
      <c r="D649" s="105"/>
      <c r="E649" s="105"/>
      <c r="F649" s="105"/>
      <c r="G649" s="105"/>
      <c r="H649" s="105"/>
      <c r="I649" s="505" t="b">
        <v>0</v>
      </c>
      <c r="J649" s="507" t="b">
        <v>0</v>
      </c>
      <c r="K649" s="112"/>
      <c r="L649" s="505" t="b">
        <v>0</v>
      </c>
      <c r="M649" s="504" t="b">
        <v>0</v>
      </c>
      <c r="N649" s="112"/>
      <c r="O649" s="505" t="b">
        <v>0</v>
      </c>
      <c r="P649" s="504" t="b">
        <v>0</v>
      </c>
      <c r="Q649" s="116"/>
      <c r="R649" s="505" t="b">
        <v>0</v>
      </c>
      <c r="S649" s="504" t="b">
        <v>0</v>
      </c>
      <c r="T649" s="117"/>
      <c r="U649" s="505" t="b">
        <v>0</v>
      </c>
      <c r="V649" s="504" t="b">
        <v>0</v>
      </c>
      <c r="W649" s="118"/>
      <c r="X649" s="505" t="b">
        <v>0</v>
      </c>
      <c r="Y649" s="504" t="b">
        <v>0</v>
      </c>
      <c r="Z649" s="119"/>
      <c r="AA649" s="505" t="b">
        <v>0</v>
      </c>
      <c r="AB649" s="504" t="b">
        <v>0</v>
      </c>
      <c r="AC649" s="121"/>
      <c r="AD649" s="505" t="b">
        <v>0</v>
      </c>
      <c r="AE649" s="504" t="b">
        <v>0</v>
      </c>
      <c r="AF649" s="125"/>
      <c r="AG649" s="505" t="b">
        <v>0</v>
      </c>
      <c r="AH649" s="504" t="b">
        <v>0</v>
      </c>
      <c r="AI649" s="105"/>
      <c r="AJ649" s="505" t="b">
        <v>0</v>
      </c>
      <c r="AK649" s="504" t="b">
        <v>0</v>
      </c>
      <c r="AL649" s="126"/>
      <c r="AM649" s="505" t="b">
        <v>0</v>
      </c>
      <c r="AN649" s="504" t="b">
        <v>0</v>
      </c>
      <c r="AO649" s="105"/>
      <c r="AP649" s="105"/>
      <c r="AQ649" s="105"/>
      <c r="AR649" s="105"/>
      <c r="AS649" s="105"/>
      <c r="AT649" s="105"/>
      <c r="AU649" s="105"/>
      <c r="AV649" s="105"/>
      <c r="AW649" s="105"/>
      <c r="AX649" s="105"/>
      <c r="AY649" s="105"/>
      <c r="AZ649" s="105"/>
      <c r="BA649" s="105"/>
    </row>
    <row r="650">
      <c r="A650" s="105"/>
      <c r="B650" s="105"/>
      <c r="C650" s="105"/>
      <c r="D650" s="105"/>
      <c r="E650" s="105"/>
      <c r="F650" s="105"/>
      <c r="G650" s="105"/>
      <c r="H650" s="105"/>
      <c r="I650" s="505" t="b">
        <v>0</v>
      </c>
      <c r="J650" s="507" t="b">
        <v>0</v>
      </c>
      <c r="K650" s="112"/>
      <c r="L650" s="505" t="b">
        <v>0</v>
      </c>
      <c r="M650" s="504" t="b">
        <v>0</v>
      </c>
      <c r="N650" s="112"/>
      <c r="O650" s="505" t="b">
        <v>0</v>
      </c>
      <c r="P650" s="504" t="b">
        <v>0</v>
      </c>
      <c r="Q650" s="116"/>
      <c r="R650" s="505" t="b">
        <v>0</v>
      </c>
      <c r="S650" s="504" t="b">
        <v>0</v>
      </c>
      <c r="T650" s="117"/>
      <c r="U650" s="505" t="b">
        <v>0</v>
      </c>
      <c r="V650" s="504" t="b">
        <v>0</v>
      </c>
      <c r="W650" s="118"/>
      <c r="X650" s="505" t="b">
        <v>0</v>
      </c>
      <c r="Y650" s="504" t="b">
        <v>0</v>
      </c>
      <c r="Z650" s="119"/>
      <c r="AA650" s="505" t="b">
        <v>0</v>
      </c>
      <c r="AB650" s="504" t="b">
        <v>0</v>
      </c>
      <c r="AC650" s="121"/>
      <c r="AD650" s="505" t="b">
        <v>0</v>
      </c>
      <c r="AE650" s="504" t="b">
        <v>0</v>
      </c>
      <c r="AF650" s="125"/>
      <c r="AG650" s="505" t="b">
        <v>0</v>
      </c>
      <c r="AH650" s="504" t="b">
        <v>0</v>
      </c>
      <c r="AI650" s="105"/>
      <c r="AJ650" s="505" t="b">
        <v>0</v>
      </c>
      <c r="AK650" s="504" t="b">
        <v>0</v>
      </c>
      <c r="AL650" s="126"/>
      <c r="AM650" s="505" t="b">
        <v>0</v>
      </c>
      <c r="AN650" s="504" t="b">
        <v>0</v>
      </c>
      <c r="AO650" s="105"/>
      <c r="AP650" s="105"/>
      <c r="AQ650" s="105"/>
      <c r="AR650" s="105"/>
      <c r="AS650" s="105"/>
      <c r="AT650" s="105"/>
      <c r="AU650" s="105"/>
      <c r="AV650" s="105"/>
      <c r="AW650" s="105"/>
      <c r="AX650" s="105"/>
      <c r="AY650" s="105"/>
      <c r="AZ650" s="105"/>
      <c r="BA650" s="105"/>
    </row>
    <row r="651">
      <c r="A651" s="105"/>
      <c r="B651" s="105"/>
      <c r="C651" s="105"/>
      <c r="D651" s="105"/>
      <c r="E651" s="105"/>
      <c r="F651" s="105"/>
      <c r="G651" s="105"/>
      <c r="H651" s="105"/>
      <c r="I651" s="505" t="b">
        <v>0</v>
      </c>
      <c r="J651" s="507" t="b">
        <v>0</v>
      </c>
      <c r="K651" s="112"/>
      <c r="L651" s="505" t="b">
        <v>0</v>
      </c>
      <c r="M651" s="504" t="b">
        <v>0</v>
      </c>
      <c r="N651" s="112"/>
      <c r="O651" s="505" t="b">
        <v>0</v>
      </c>
      <c r="P651" s="504" t="b">
        <v>0</v>
      </c>
      <c r="Q651" s="116"/>
      <c r="R651" s="505" t="b">
        <v>0</v>
      </c>
      <c r="S651" s="504" t="b">
        <v>0</v>
      </c>
      <c r="T651" s="117"/>
      <c r="U651" s="505" t="b">
        <v>0</v>
      </c>
      <c r="V651" s="504" t="b">
        <v>0</v>
      </c>
      <c r="W651" s="118"/>
      <c r="X651" s="505" t="b">
        <v>0</v>
      </c>
      <c r="Y651" s="504" t="b">
        <v>0</v>
      </c>
      <c r="Z651" s="119"/>
      <c r="AA651" s="505" t="b">
        <v>0</v>
      </c>
      <c r="AB651" s="504" t="b">
        <v>0</v>
      </c>
      <c r="AC651" s="121"/>
      <c r="AD651" s="505" t="b">
        <v>0</v>
      </c>
      <c r="AE651" s="504" t="b">
        <v>0</v>
      </c>
      <c r="AF651" s="125"/>
      <c r="AG651" s="505" t="b">
        <v>0</v>
      </c>
      <c r="AH651" s="504" t="b">
        <v>0</v>
      </c>
      <c r="AI651" s="105"/>
      <c r="AJ651" s="505" t="b">
        <v>0</v>
      </c>
      <c r="AK651" s="504" t="b">
        <v>0</v>
      </c>
      <c r="AL651" s="126"/>
      <c r="AM651" s="505" t="b">
        <v>0</v>
      </c>
      <c r="AN651" s="504" t="b">
        <v>0</v>
      </c>
      <c r="AO651" s="105"/>
      <c r="AP651" s="105"/>
      <c r="AQ651" s="105"/>
      <c r="AR651" s="105"/>
      <c r="AS651" s="105"/>
      <c r="AT651" s="105"/>
      <c r="AU651" s="105"/>
      <c r="AV651" s="105"/>
      <c r="AW651" s="105"/>
      <c r="AX651" s="105"/>
      <c r="AY651" s="105"/>
      <c r="AZ651" s="105"/>
      <c r="BA651" s="105"/>
    </row>
    <row r="652">
      <c r="A652" s="105"/>
      <c r="B652" s="105"/>
      <c r="C652" s="105"/>
      <c r="D652" s="105"/>
      <c r="E652" s="105"/>
      <c r="F652" s="105"/>
      <c r="G652" s="105"/>
      <c r="H652" s="105"/>
      <c r="I652" s="505" t="b">
        <v>0</v>
      </c>
      <c r="J652" s="507" t="b">
        <v>0</v>
      </c>
      <c r="K652" s="112"/>
      <c r="L652" s="505" t="b">
        <v>0</v>
      </c>
      <c r="M652" s="504" t="b">
        <v>0</v>
      </c>
      <c r="N652" s="112"/>
      <c r="O652" s="505" t="b">
        <v>0</v>
      </c>
      <c r="P652" s="504" t="b">
        <v>0</v>
      </c>
      <c r="Q652" s="116"/>
      <c r="R652" s="505" t="b">
        <v>0</v>
      </c>
      <c r="S652" s="504" t="b">
        <v>0</v>
      </c>
      <c r="T652" s="117"/>
      <c r="U652" s="505" t="b">
        <v>0</v>
      </c>
      <c r="V652" s="504" t="b">
        <v>0</v>
      </c>
      <c r="W652" s="118"/>
      <c r="X652" s="505" t="b">
        <v>0</v>
      </c>
      <c r="Y652" s="504" t="b">
        <v>0</v>
      </c>
      <c r="Z652" s="119"/>
      <c r="AA652" s="505" t="b">
        <v>0</v>
      </c>
      <c r="AB652" s="504" t="b">
        <v>0</v>
      </c>
      <c r="AC652" s="121"/>
      <c r="AD652" s="505" t="b">
        <v>0</v>
      </c>
      <c r="AE652" s="504" t="b">
        <v>0</v>
      </c>
      <c r="AF652" s="125"/>
      <c r="AG652" s="505" t="b">
        <v>0</v>
      </c>
      <c r="AH652" s="504" t="b">
        <v>0</v>
      </c>
      <c r="AI652" s="105"/>
      <c r="AJ652" s="505" t="b">
        <v>0</v>
      </c>
      <c r="AK652" s="504" t="b">
        <v>0</v>
      </c>
      <c r="AL652" s="126"/>
      <c r="AM652" s="505" t="b">
        <v>0</v>
      </c>
      <c r="AN652" s="504" t="b">
        <v>0</v>
      </c>
      <c r="AO652" s="105"/>
      <c r="AP652" s="105"/>
      <c r="AQ652" s="105"/>
      <c r="AR652" s="105"/>
      <c r="AS652" s="105"/>
      <c r="AT652" s="105"/>
      <c r="AU652" s="105"/>
      <c r="AV652" s="105"/>
      <c r="AW652" s="105"/>
      <c r="AX652" s="105"/>
      <c r="AY652" s="105"/>
      <c r="AZ652" s="105"/>
      <c r="BA652" s="105"/>
    </row>
    <row r="653">
      <c r="A653" s="105"/>
      <c r="B653" s="105"/>
      <c r="C653" s="105"/>
      <c r="D653" s="105"/>
      <c r="E653" s="105"/>
      <c r="F653" s="105"/>
      <c r="G653" s="105"/>
      <c r="H653" s="105"/>
      <c r="I653" s="505" t="b">
        <v>0</v>
      </c>
      <c r="J653" s="507" t="b">
        <v>0</v>
      </c>
      <c r="K653" s="112"/>
      <c r="L653" s="505" t="b">
        <v>0</v>
      </c>
      <c r="M653" s="504" t="b">
        <v>0</v>
      </c>
      <c r="N653" s="112"/>
      <c r="O653" s="505" t="b">
        <v>0</v>
      </c>
      <c r="P653" s="504" t="b">
        <v>0</v>
      </c>
      <c r="Q653" s="116"/>
      <c r="R653" s="505" t="b">
        <v>0</v>
      </c>
      <c r="S653" s="504" t="b">
        <v>0</v>
      </c>
      <c r="T653" s="117"/>
      <c r="U653" s="505" t="b">
        <v>0</v>
      </c>
      <c r="V653" s="504" t="b">
        <v>0</v>
      </c>
      <c r="W653" s="118"/>
      <c r="X653" s="505" t="b">
        <v>0</v>
      </c>
      <c r="Y653" s="504" t="b">
        <v>0</v>
      </c>
      <c r="Z653" s="119"/>
      <c r="AA653" s="505" t="b">
        <v>0</v>
      </c>
      <c r="AB653" s="504" t="b">
        <v>0</v>
      </c>
      <c r="AC653" s="121"/>
      <c r="AD653" s="505" t="b">
        <v>0</v>
      </c>
      <c r="AE653" s="504" t="b">
        <v>0</v>
      </c>
      <c r="AF653" s="125"/>
      <c r="AG653" s="505" t="b">
        <v>0</v>
      </c>
      <c r="AH653" s="504" t="b">
        <v>0</v>
      </c>
      <c r="AI653" s="105"/>
      <c r="AJ653" s="505" t="b">
        <v>0</v>
      </c>
      <c r="AK653" s="504" t="b">
        <v>0</v>
      </c>
      <c r="AL653" s="126"/>
      <c r="AM653" s="505" t="b">
        <v>0</v>
      </c>
      <c r="AN653" s="504" t="b">
        <v>0</v>
      </c>
      <c r="AO653" s="105"/>
      <c r="AP653" s="105"/>
      <c r="AQ653" s="105"/>
      <c r="AR653" s="105"/>
      <c r="AS653" s="105"/>
      <c r="AT653" s="105"/>
      <c r="AU653" s="105"/>
      <c r="AV653" s="105"/>
      <c r="AW653" s="105"/>
      <c r="AX653" s="105"/>
      <c r="AY653" s="105"/>
      <c r="AZ653" s="105"/>
      <c r="BA653" s="105"/>
    </row>
    <row r="654">
      <c r="A654" s="105"/>
      <c r="B654" s="105"/>
      <c r="C654" s="105"/>
      <c r="D654" s="105"/>
      <c r="E654" s="105"/>
      <c r="F654" s="105"/>
      <c r="G654" s="105"/>
      <c r="H654" s="105"/>
      <c r="I654" s="505" t="b">
        <v>0</v>
      </c>
      <c r="J654" s="507" t="b">
        <v>0</v>
      </c>
      <c r="K654" s="112"/>
      <c r="L654" s="505" t="b">
        <v>0</v>
      </c>
      <c r="M654" s="504" t="b">
        <v>0</v>
      </c>
      <c r="N654" s="112"/>
      <c r="O654" s="505" t="b">
        <v>0</v>
      </c>
      <c r="P654" s="504" t="b">
        <v>0</v>
      </c>
      <c r="Q654" s="116"/>
      <c r="R654" s="505" t="b">
        <v>0</v>
      </c>
      <c r="S654" s="504" t="b">
        <v>0</v>
      </c>
      <c r="T654" s="117"/>
      <c r="U654" s="505" t="b">
        <v>0</v>
      </c>
      <c r="V654" s="504" t="b">
        <v>0</v>
      </c>
      <c r="W654" s="118"/>
      <c r="X654" s="505" t="b">
        <v>0</v>
      </c>
      <c r="Y654" s="504" t="b">
        <v>0</v>
      </c>
      <c r="Z654" s="119"/>
      <c r="AA654" s="505" t="b">
        <v>0</v>
      </c>
      <c r="AB654" s="504" t="b">
        <v>0</v>
      </c>
      <c r="AC654" s="121"/>
      <c r="AD654" s="505" t="b">
        <v>0</v>
      </c>
      <c r="AE654" s="504" t="b">
        <v>0</v>
      </c>
      <c r="AF654" s="125"/>
      <c r="AG654" s="505" t="b">
        <v>0</v>
      </c>
      <c r="AH654" s="504" t="b">
        <v>0</v>
      </c>
      <c r="AI654" s="105"/>
      <c r="AJ654" s="505" t="b">
        <v>0</v>
      </c>
      <c r="AK654" s="504" t="b">
        <v>0</v>
      </c>
      <c r="AL654" s="126"/>
      <c r="AM654" s="505" t="b">
        <v>0</v>
      </c>
      <c r="AN654" s="504" t="b">
        <v>0</v>
      </c>
      <c r="AO654" s="105"/>
      <c r="AP654" s="105"/>
      <c r="AQ654" s="105"/>
      <c r="AR654" s="105"/>
      <c r="AS654" s="105"/>
      <c r="AT654" s="105"/>
      <c r="AU654" s="105"/>
      <c r="AV654" s="105"/>
      <c r="AW654" s="105"/>
      <c r="AX654" s="105"/>
      <c r="AY654" s="105"/>
      <c r="AZ654" s="105"/>
      <c r="BA654" s="105"/>
    </row>
    <row r="655">
      <c r="A655" s="105"/>
      <c r="B655" s="105"/>
      <c r="C655" s="105"/>
      <c r="D655" s="105"/>
      <c r="E655" s="105"/>
      <c r="F655" s="105"/>
      <c r="G655" s="105"/>
      <c r="H655" s="105"/>
      <c r="I655" s="505" t="b">
        <v>0</v>
      </c>
      <c r="J655" s="507" t="b">
        <v>0</v>
      </c>
      <c r="K655" s="112"/>
      <c r="L655" s="505" t="b">
        <v>0</v>
      </c>
      <c r="M655" s="504" t="b">
        <v>0</v>
      </c>
      <c r="N655" s="112"/>
      <c r="O655" s="505" t="b">
        <v>0</v>
      </c>
      <c r="P655" s="504" t="b">
        <v>0</v>
      </c>
      <c r="Q655" s="116"/>
      <c r="R655" s="505" t="b">
        <v>0</v>
      </c>
      <c r="S655" s="504" t="b">
        <v>0</v>
      </c>
      <c r="T655" s="117"/>
      <c r="U655" s="505" t="b">
        <v>0</v>
      </c>
      <c r="V655" s="504" t="b">
        <v>0</v>
      </c>
      <c r="W655" s="118"/>
      <c r="X655" s="505" t="b">
        <v>0</v>
      </c>
      <c r="Y655" s="504" t="b">
        <v>0</v>
      </c>
      <c r="Z655" s="119"/>
      <c r="AA655" s="505" t="b">
        <v>0</v>
      </c>
      <c r="AB655" s="504" t="b">
        <v>0</v>
      </c>
      <c r="AC655" s="121"/>
      <c r="AD655" s="505" t="b">
        <v>0</v>
      </c>
      <c r="AE655" s="504" t="b">
        <v>0</v>
      </c>
      <c r="AF655" s="125"/>
      <c r="AG655" s="505" t="b">
        <v>0</v>
      </c>
      <c r="AH655" s="504" t="b">
        <v>0</v>
      </c>
      <c r="AI655" s="105"/>
      <c r="AJ655" s="505" t="b">
        <v>0</v>
      </c>
      <c r="AK655" s="504" t="b">
        <v>0</v>
      </c>
      <c r="AL655" s="126"/>
      <c r="AM655" s="505" t="b">
        <v>0</v>
      </c>
      <c r="AN655" s="504" t="b">
        <v>0</v>
      </c>
      <c r="AO655" s="105"/>
      <c r="AP655" s="105"/>
      <c r="AQ655" s="105"/>
      <c r="AR655" s="105"/>
      <c r="AS655" s="105"/>
      <c r="AT655" s="105"/>
      <c r="AU655" s="105"/>
      <c r="AV655" s="105"/>
      <c r="AW655" s="105"/>
      <c r="AX655" s="105"/>
      <c r="AY655" s="105"/>
      <c r="AZ655" s="105"/>
      <c r="BA655" s="105"/>
    </row>
    <row r="656">
      <c r="A656" s="105"/>
      <c r="B656" s="105"/>
      <c r="C656" s="105"/>
      <c r="D656" s="105"/>
      <c r="E656" s="105"/>
      <c r="F656" s="105"/>
      <c r="G656" s="105"/>
      <c r="H656" s="105"/>
      <c r="I656" s="505" t="b">
        <v>0</v>
      </c>
      <c r="J656" s="507" t="b">
        <v>0</v>
      </c>
      <c r="K656" s="112"/>
      <c r="L656" s="505" t="b">
        <v>0</v>
      </c>
      <c r="M656" s="504" t="b">
        <v>0</v>
      </c>
      <c r="N656" s="112"/>
      <c r="O656" s="505" t="b">
        <v>0</v>
      </c>
      <c r="P656" s="504" t="b">
        <v>0</v>
      </c>
      <c r="Q656" s="116"/>
      <c r="R656" s="505" t="b">
        <v>0</v>
      </c>
      <c r="S656" s="504" t="b">
        <v>0</v>
      </c>
      <c r="T656" s="117"/>
      <c r="U656" s="505" t="b">
        <v>0</v>
      </c>
      <c r="V656" s="504" t="b">
        <v>0</v>
      </c>
      <c r="W656" s="118"/>
      <c r="X656" s="505" t="b">
        <v>0</v>
      </c>
      <c r="Y656" s="504" t="b">
        <v>0</v>
      </c>
      <c r="Z656" s="119"/>
      <c r="AA656" s="505" t="b">
        <v>0</v>
      </c>
      <c r="AB656" s="504" t="b">
        <v>0</v>
      </c>
      <c r="AC656" s="121"/>
      <c r="AD656" s="505" t="b">
        <v>0</v>
      </c>
      <c r="AE656" s="504" t="b">
        <v>0</v>
      </c>
      <c r="AF656" s="125"/>
      <c r="AG656" s="505" t="b">
        <v>0</v>
      </c>
      <c r="AH656" s="504" t="b">
        <v>0</v>
      </c>
      <c r="AI656" s="105"/>
      <c r="AJ656" s="505" t="b">
        <v>0</v>
      </c>
      <c r="AK656" s="504" t="b">
        <v>0</v>
      </c>
      <c r="AL656" s="126"/>
      <c r="AM656" s="505" t="b">
        <v>0</v>
      </c>
      <c r="AN656" s="504" t="b">
        <v>0</v>
      </c>
      <c r="AO656" s="105"/>
      <c r="AP656" s="105"/>
      <c r="AQ656" s="105"/>
      <c r="AR656" s="105"/>
      <c r="AS656" s="105"/>
      <c r="AT656" s="105"/>
      <c r="AU656" s="105"/>
      <c r="AV656" s="105"/>
      <c r="AW656" s="105"/>
      <c r="AX656" s="105"/>
      <c r="AY656" s="105"/>
      <c r="AZ656" s="105"/>
      <c r="BA656" s="105"/>
    </row>
    <row r="657">
      <c r="A657" s="105"/>
      <c r="B657" s="105"/>
      <c r="C657" s="105"/>
      <c r="D657" s="105"/>
      <c r="E657" s="105"/>
      <c r="F657" s="105"/>
      <c r="G657" s="105"/>
      <c r="H657" s="105"/>
      <c r="I657" s="505" t="b">
        <v>0</v>
      </c>
      <c r="J657" s="507" t="b">
        <v>0</v>
      </c>
      <c r="K657" s="112"/>
      <c r="L657" s="505" t="b">
        <v>0</v>
      </c>
      <c r="M657" s="504" t="b">
        <v>0</v>
      </c>
      <c r="N657" s="112"/>
      <c r="O657" s="505" t="b">
        <v>0</v>
      </c>
      <c r="P657" s="504" t="b">
        <v>0</v>
      </c>
      <c r="Q657" s="116"/>
      <c r="R657" s="505" t="b">
        <v>0</v>
      </c>
      <c r="S657" s="504" t="b">
        <v>0</v>
      </c>
      <c r="T657" s="117"/>
      <c r="U657" s="505" t="b">
        <v>0</v>
      </c>
      <c r="V657" s="504" t="b">
        <v>0</v>
      </c>
      <c r="W657" s="118"/>
      <c r="X657" s="505" t="b">
        <v>0</v>
      </c>
      <c r="Y657" s="504" t="b">
        <v>0</v>
      </c>
      <c r="Z657" s="119"/>
      <c r="AA657" s="505" t="b">
        <v>0</v>
      </c>
      <c r="AB657" s="504" t="b">
        <v>0</v>
      </c>
      <c r="AC657" s="121"/>
      <c r="AD657" s="505" t="b">
        <v>0</v>
      </c>
      <c r="AE657" s="504" t="b">
        <v>0</v>
      </c>
      <c r="AF657" s="125"/>
      <c r="AG657" s="505" t="b">
        <v>0</v>
      </c>
      <c r="AH657" s="504" t="b">
        <v>0</v>
      </c>
      <c r="AI657" s="105"/>
      <c r="AJ657" s="505" t="b">
        <v>0</v>
      </c>
      <c r="AK657" s="504" t="b">
        <v>0</v>
      </c>
      <c r="AL657" s="126"/>
      <c r="AM657" s="505" t="b">
        <v>0</v>
      </c>
      <c r="AN657" s="504" t="b">
        <v>0</v>
      </c>
      <c r="AO657" s="105"/>
      <c r="AP657" s="105"/>
      <c r="AQ657" s="105"/>
      <c r="AR657" s="105"/>
      <c r="AS657" s="105"/>
      <c r="AT657" s="105"/>
      <c r="AU657" s="105"/>
      <c r="AV657" s="105"/>
      <c r="AW657" s="105"/>
      <c r="AX657" s="105"/>
      <c r="AY657" s="105"/>
      <c r="AZ657" s="105"/>
      <c r="BA657" s="105"/>
    </row>
    <row r="658">
      <c r="A658" s="105"/>
      <c r="B658" s="105"/>
      <c r="C658" s="105"/>
      <c r="D658" s="105"/>
      <c r="E658" s="105"/>
      <c r="F658" s="105"/>
      <c r="G658" s="105"/>
      <c r="H658" s="105"/>
      <c r="I658" s="505" t="b">
        <v>0</v>
      </c>
      <c r="J658" s="507" t="b">
        <v>0</v>
      </c>
      <c r="K658" s="112"/>
      <c r="L658" s="505" t="b">
        <v>0</v>
      </c>
      <c r="M658" s="504" t="b">
        <v>0</v>
      </c>
      <c r="N658" s="112"/>
      <c r="O658" s="505" t="b">
        <v>0</v>
      </c>
      <c r="P658" s="504" t="b">
        <v>0</v>
      </c>
      <c r="Q658" s="116"/>
      <c r="R658" s="505" t="b">
        <v>0</v>
      </c>
      <c r="S658" s="504" t="b">
        <v>0</v>
      </c>
      <c r="T658" s="117"/>
      <c r="U658" s="505" t="b">
        <v>0</v>
      </c>
      <c r="V658" s="504" t="b">
        <v>0</v>
      </c>
      <c r="W658" s="118"/>
      <c r="X658" s="505" t="b">
        <v>0</v>
      </c>
      <c r="Y658" s="504" t="b">
        <v>0</v>
      </c>
      <c r="Z658" s="119"/>
      <c r="AA658" s="505" t="b">
        <v>0</v>
      </c>
      <c r="AB658" s="504" t="b">
        <v>0</v>
      </c>
      <c r="AC658" s="121"/>
      <c r="AD658" s="505" t="b">
        <v>0</v>
      </c>
      <c r="AE658" s="504" t="b">
        <v>0</v>
      </c>
      <c r="AF658" s="125"/>
      <c r="AG658" s="505" t="b">
        <v>0</v>
      </c>
      <c r="AH658" s="504" t="b">
        <v>0</v>
      </c>
      <c r="AI658" s="105"/>
      <c r="AJ658" s="505" t="b">
        <v>0</v>
      </c>
      <c r="AK658" s="504" t="b">
        <v>0</v>
      </c>
      <c r="AL658" s="126"/>
      <c r="AM658" s="505" t="b">
        <v>0</v>
      </c>
      <c r="AN658" s="504" t="b">
        <v>0</v>
      </c>
      <c r="AO658" s="105"/>
      <c r="AP658" s="105"/>
      <c r="AQ658" s="105"/>
      <c r="AR658" s="105"/>
      <c r="AS658" s="105"/>
      <c r="AT658" s="105"/>
      <c r="AU658" s="105"/>
      <c r="AV658" s="105"/>
      <c r="AW658" s="105"/>
      <c r="AX658" s="105"/>
      <c r="AY658" s="105"/>
      <c r="AZ658" s="105"/>
      <c r="BA658" s="105"/>
    </row>
    <row r="659">
      <c r="A659" s="105"/>
      <c r="B659" s="105"/>
      <c r="C659" s="105"/>
      <c r="D659" s="105"/>
      <c r="E659" s="105"/>
      <c r="F659" s="105"/>
      <c r="G659" s="105"/>
      <c r="H659" s="105"/>
      <c r="I659" s="505" t="b">
        <v>0</v>
      </c>
      <c r="J659" s="507" t="b">
        <v>0</v>
      </c>
      <c r="K659" s="112"/>
      <c r="L659" s="505" t="b">
        <v>0</v>
      </c>
      <c r="M659" s="504" t="b">
        <v>0</v>
      </c>
      <c r="N659" s="112"/>
      <c r="O659" s="505" t="b">
        <v>0</v>
      </c>
      <c r="P659" s="504" t="b">
        <v>0</v>
      </c>
      <c r="Q659" s="116"/>
      <c r="R659" s="505" t="b">
        <v>0</v>
      </c>
      <c r="S659" s="504" t="b">
        <v>0</v>
      </c>
      <c r="T659" s="117"/>
      <c r="U659" s="505" t="b">
        <v>0</v>
      </c>
      <c r="V659" s="504" t="b">
        <v>0</v>
      </c>
      <c r="W659" s="118"/>
      <c r="X659" s="505" t="b">
        <v>0</v>
      </c>
      <c r="Y659" s="504" t="b">
        <v>0</v>
      </c>
      <c r="Z659" s="119"/>
      <c r="AA659" s="505" t="b">
        <v>0</v>
      </c>
      <c r="AB659" s="504" t="b">
        <v>0</v>
      </c>
      <c r="AC659" s="121"/>
      <c r="AD659" s="505" t="b">
        <v>0</v>
      </c>
      <c r="AE659" s="504" t="b">
        <v>0</v>
      </c>
      <c r="AF659" s="125"/>
      <c r="AG659" s="505" t="b">
        <v>0</v>
      </c>
      <c r="AH659" s="504" t="b">
        <v>0</v>
      </c>
      <c r="AI659" s="105"/>
      <c r="AJ659" s="505" t="b">
        <v>0</v>
      </c>
      <c r="AK659" s="504" t="b">
        <v>0</v>
      </c>
      <c r="AL659" s="126"/>
      <c r="AM659" s="505" t="b">
        <v>0</v>
      </c>
      <c r="AN659" s="504" t="b">
        <v>0</v>
      </c>
      <c r="AO659" s="105"/>
      <c r="AP659" s="105"/>
      <c r="AQ659" s="105"/>
      <c r="AR659" s="105"/>
      <c r="AS659" s="105"/>
      <c r="AT659" s="105"/>
      <c r="AU659" s="105"/>
      <c r="AV659" s="105"/>
      <c r="AW659" s="105"/>
      <c r="AX659" s="105"/>
      <c r="AY659" s="105"/>
      <c r="AZ659" s="105"/>
      <c r="BA659" s="105"/>
    </row>
    <row r="660">
      <c r="A660" s="105"/>
      <c r="B660" s="105"/>
      <c r="C660" s="105"/>
      <c r="D660" s="105"/>
      <c r="E660" s="105"/>
      <c r="F660" s="105"/>
      <c r="G660" s="105"/>
      <c r="H660" s="105"/>
      <c r="I660" s="505" t="b">
        <v>0</v>
      </c>
      <c r="J660" s="507" t="b">
        <v>0</v>
      </c>
      <c r="K660" s="112"/>
      <c r="L660" s="505" t="b">
        <v>0</v>
      </c>
      <c r="M660" s="504" t="b">
        <v>0</v>
      </c>
      <c r="N660" s="112"/>
      <c r="O660" s="505" t="b">
        <v>0</v>
      </c>
      <c r="P660" s="504" t="b">
        <v>0</v>
      </c>
      <c r="Q660" s="116"/>
      <c r="R660" s="505" t="b">
        <v>0</v>
      </c>
      <c r="S660" s="504" t="b">
        <v>0</v>
      </c>
      <c r="T660" s="117"/>
      <c r="U660" s="505" t="b">
        <v>0</v>
      </c>
      <c r="V660" s="504" t="b">
        <v>0</v>
      </c>
      <c r="W660" s="118"/>
      <c r="X660" s="505" t="b">
        <v>0</v>
      </c>
      <c r="Y660" s="504" t="b">
        <v>0</v>
      </c>
      <c r="Z660" s="119"/>
      <c r="AA660" s="505" t="b">
        <v>0</v>
      </c>
      <c r="AB660" s="504" t="b">
        <v>0</v>
      </c>
      <c r="AC660" s="121"/>
      <c r="AD660" s="505" t="b">
        <v>0</v>
      </c>
      <c r="AE660" s="504" t="b">
        <v>0</v>
      </c>
      <c r="AF660" s="125"/>
      <c r="AG660" s="505" t="b">
        <v>0</v>
      </c>
      <c r="AH660" s="504" t="b">
        <v>0</v>
      </c>
      <c r="AI660" s="105"/>
      <c r="AJ660" s="505" t="b">
        <v>0</v>
      </c>
      <c r="AK660" s="504" t="b">
        <v>0</v>
      </c>
      <c r="AL660" s="126"/>
      <c r="AM660" s="505" t="b">
        <v>0</v>
      </c>
      <c r="AN660" s="504" t="b">
        <v>0</v>
      </c>
      <c r="AO660" s="105"/>
      <c r="AP660" s="105"/>
      <c r="AQ660" s="105"/>
      <c r="AR660" s="105"/>
      <c r="AS660" s="105"/>
      <c r="AT660" s="105"/>
      <c r="AU660" s="105"/>
      <c r="AV660" s="105"/>
      <c r="AW660" s="105"/>
      <c r="AX660" s="105"/>
      <c r="AY660" s="105"/>
      <c r="AZ660" s="105"/>
      <c r="BA660" s="105"/>
    </row>
    <row r="661">
      <c r="A661" s="105"/>
      <c r="B661" s="105"/>
      <c r="C661" s="105"/>
      <c r="D661" s="105"/>
      <c r="E661" s="105"/>
      <c r="F661" s="105"/>
      <c r="G661" s="105"/>
      <c r="H661" s="105"/>
      <c r="I661" s="505" t="b">
        <v>0</v>
      </c>
      <c r="J661" s="507" t="b">
        <v>0</v>
      </c>
      <c r="K661" s="112"/>
      <c r="L661" s="505" t="b">
        <v>0</v>
      </c>
      <c r="M661" s="504" t="b">
        <v>0</v>
      </c>
      <c r="N661" s="112"/>
      <c r="O661" s="505" t="b">
        <v>0</v>
      </c>
      <c r="P661" s="504" t="b">
        <v>0</v>
      </c>
      <c r="Q661" s="116"/>
      <c r="R661" s="505" t="b">
        <v>0</v>
      </c>
      <c r="S661" s="504" t="b">
        <v>0</v>
      </c>
      <c r="T661" s="117"/>
      <c r="U661" s="505" t="b">
        <v>0</v>
      </c>
      <c r="V661" s="504" t="b">
        <v>0</v>
      </c>
      <c r="W661" s="118"/>
      <c r="X661" s="505" t="b">
        <v>0</v>
      </c>
      <c r="Y661" s="504" t="b">
        <v>0</v>
      </c>
      <c r="Z661" s="119"/>
      <c r="AA661" s="505" t="b">
        <v>0</v>
      </c>
      <c r="AB661" s="504" t="b">
        <v>0</v>
      </c>
      <c r="AC661" s="121"/>
      <c r="AD661" s="505" t="b">
        <v>0</v>
      </c>
      <c r="AE661" s="504" t="b">
        <v>0</v>
      </c>
      <c r="AF661" s="125"/>
      <c r="AG661" s="505" t="b">
        <v>0</v>
      </c>
      <c r="AH661" s="504" t="b">
        <v>0</v>
      </c>
      <c r="AI661" s="105"/>
      <c r="AJ661" s="505" t="b">
        <v>0</v>
      </c>
      <c r="AK661" s="504" t="b">
        <v>0</v>
      </c>
      <c r="AL661" s="126"/>
      <c r="AM661" s="505" t="b">
        <v>0</v>
      </c>
      <c r="AN661" s="504" t="b">
        <v>0</v>
      </c>
      <c r="AO661" s="105"/>
      <c r="AP661" s="105"/>
      <c r="AQ661" s="105"/>
      <c r="AR661" s="105"/>
      <c r="AS661" s="105"/>
      <c r="AT661" s="105"/>
      <c r="AU661" s="105"/>
      <c r="AV661" s="105"/>
      <c r="AW661" s="105"/>
      <c r="AX661" s="105"/>
      <c r="AY661" s="105"/>
      <c r="AZ661" s="105"/>
      <c r="BA661" s="105"/>
    </row>
    <row r="662">
      <c r="A662" s="105"/>
      <c r="B662" s="105"/>
      <c r="C662" s="105"/>
      <c r="D662" s="105"/>
      <c r="E662" s="105"/>
      <c r="F662" s="105"/>
      <c r="G662" s="105"/>
      <c r="H662" s="105"/>
      <c r="I662" s="505" t="b">
        <v>0</v>
      </c>
      <c r="J662" s="507" t="b">
        <v>0</v>
      </c>
      <c r="K662" s="112"/>
      <c r="L662" s="505" t="b">
        <v>0</v>
      </c>
      <c r="M662" s="504" t="b">
        <v>0</v>
      </c>
      <c r="N662" s="112"/>
      <c r="O662" s="505" t="b">
        <v>0</v>
      </c>
      <c r="P662" s="504" t="b">
        <v>0</v>
      </c>
      <c r="Q662" s="116"/>
      <c r="R662" s="505" t="b">
        <v>0</v>
      </c>
      <c r="S662" s="504" t="b">
        <v>0</v>
      </c>
      <c r="T662" s="117"/>
      <c r="U662" s="505" t="b">
        <v>0</v>
      </c>
      <c r="V662" s="504" t="b">
        <v>0</v>
      </c>
      <c r="W662" s="118"/>
      <c r="X662" s="505" t="b">
        <v>0</v>
      </c>
      <c r="Y662" s="504" t="b">
        <v>0</v>
      </c>
      <c r="Z662" s="119"/>
      <c r="AA662" s="505" t="b">
        <v>0</v>
      </c>
      <c r="AB662" s="504" t="b">
        <v>0</v>
      </c>
      <c r="AC662" s="121"/>
      <c r="AD662" s="505" t="b">
        <v>0</v>
      </c>
      <c r="AE662" s="504" t="b">
        <v>0</v>
      </c>
      <c r="AF662" s="125"/>
      <c r="AG662" s="505" t="b">
        <v>0</v>
      </c>
      <c r="AH662" s="504" t="b">
        <v>0</v>
      </c>
      <c r="AI662" s="105"/>
      <c r="AJ662" s="505" t="b">
        <v>0</v>
      </c>
      <c r="AK662" s="504" t="b">
        <v>0</v>
      </c>
      <c r="AL662" s="126"/>
      <c r="AM662" s="505" t="b">
        <v>0</v>
      </c>
      <c r="AN662" s="504" t="b">
        <v>0</v>
      </c>
      <c r="AO662" s="105"/>
      <c r="AP662" s="105"/>
      <c r="AQ662" s="105"/>
      <c r="AR662" s="105"/>
      <c r="AS662" s="105"/>
      <c r="AT662" s="105"/>
      <c r="AU662" s="105"/>
      <c r="AV662" s="105"/>
      <c r="AW662" s="105"/>
      <c r="AX662" s="105"/>
      <c r="AY662" s="105"/>
      <c r="AZ662" s="105"/>
      <c r="BA662" s="105"/>
    </row>
    <row r="663">
      <c r="A663" s="105"/>
      <c r="B663" s="105"/>
      <c r="C663" s="105"/>
      <c r="D663" s="105"/>
      <c r="E663" s="105"/>
      <c r="F663" s="105"/>
      <c r="G663" s="105"/>
      <c r="H663" s="105"/>
      <c r="I663" s="505" t="b">
        <v>0</v>
      </c>
      <c r="J663" s="507" t="b">
        <v>0</v>
      </c>
      <c r="K663" s="112"/>
      <c r="L663" s="505" t="b">
        <v>0</v>
      </c>
      <c r="M663" s="504" t="b">
        <v>0</v>
      </c>
      <c r="N663" s="112"/>
      <c r="O663" s="505" t="b">
        <v>0</v>
      </c>
      <c r="P663" s="504" t="b">
        <v>0</v>
      </c>
      <c r="Q663" s="116"/>
      <c r="R663" s="505" t="b">
        <v>0</v>
      </c>
      <c r="S663" s="504" t="b">
        <v>0</v>
      </c>
      <c r="T663" s="117"/>
      <c r="U663" s="505" t="b">
        <v>0</v>
      </c>
      <c r="V663" s="504" t="b">
        <v>0</v>
      </c>
      <c r="W663" s="118"/>
      <c r="X663" s="505" t="b">
        <v>0</v>
      </c>
      <c r="Y663" s="504" t="b">
        <v>0</v>
      </c>
      <c r="Z663" s="119"/>
      <c r="AA663" s="505" t="b">
        <v>0</v>
      </c>
      <c r="AB663" s="504" t="b">
        <v>0</v>
      </c>
      <c r="AC663" s="121"/>
      <c r="AD663" s="505" t="b">
        <v>0</v>
      </c>
      <c r="AE663" s="504" t="b">
        <v>0</v>
      </c>
      <c r="AF663" s="125"/>
      <c r="AG663" s="505" t="b">
        <v>0</v>
      </c>
      <c r="AH663" s="504" t="b">
        <v>0</v>
      </c>
      <c r="AI663" s="105"/>
      <c r="AJ663" s="505" t="b">
        <v>0</v>
      </c>
      <c r="AK663" s="504" t="b">
        <v>0</v>
      </c>
      <c r="AL663" s="126"/>
      <c r="AM663" s="505" t="b">
        <v>0</v>
      </c>
      <c r="AN663" s="504" t="b">
        <v>0</v>
      </c>
      <c r="AO663" s="105"/>
      <c r="AP663" s="105"/>
      <c r="AQ663" s="105"/>
      <c r="AR663" s="105"/>
      <c r="AS663" s="105"/>
      <c r="AT663" s="105"/>
      <c r="AU663" s="105"/>
      <c r="AV663" s="105"/>
      <c r="AW663" s="105"/>
      <c r="AX663" s="105"/>
      <c r="AY663" s="105"/>
      <c r="AZ663" s="105"/>
      <c r="BA663" s="105"/>
    </row>
    <row r="664">
      <c r="A664" s="105"/>
      <c r="B664" s="105"/>
      <c r="C664" s="105"/>
      <c r="D664" s="105"/>
      <c r="E664" s="105"/>
      <c r="F664" s="105"/>
      <c r="G664" s="105"/>
      <c r="H664" s="105"/>
      <c r="I664" s="505" t="b">
        <v>0</v>
      </c>
      <c r="J664" s="507" t="b">
        <v>0</v>
      </c>
      <c r="K664" s="112"/>
      <c r="L664" s="505" t="b">
        <v>0</v>
      </c>
      <c r="M664" s="504" t="b">
        <v>0</v>
      </c>
      <c r="N664" s="112"/>
      <c r="O664" s="505" t="b">
        <v>0</v>
      </c>
      <c r="P664" s="504" t="b">
        <v>0</v>
      </c>
      <c r="Q664" s="116"/>
      <c r="R664" s="505" t="b">
        <v>0</v>
      </c>
      <c r="S664" s="504" t="b">
        <v>0</v>
      </c>
      <c r="T664" s="117"/>
      <c r="U664" s="505" t="b">
        <v>0</v>
      </c>
      <c r="V664" s="504" t="b">
        <v>0</v>
      </c>
      <c r="W664" s="118"/>
      <c r="X664" s="505" t="b">
        <v>0</v>
      </c>
      <c r="Y664" s="504" t="b">
        <v>0</v>
      </c>
      <c r="Z664" s="119"/>
      <c r="AA664" s="505" t="b">
        <v>0</v>
      </c>
      <c r="AB664" s="504" t="b">
        <v>0</v>
      </c>
      <c r="AC664" s="121"/>
      <c r="AD664" s="505" t="b">
        <v>0</v>
      </c>
      <c r="AE664" s="504" t="b">
        <v>0</v>
      </c>
      <c r="AF664" s="125"/>
      <c r="AG664" s="505" t="b">
        <v>0</v>
      </c>
      <c r="AH664" s="504" t="b">
        <v>0</v>
      </c>
      <c r="AI664" s="105"/>
      <c r="AJ664" s="505" t="b">
        <v>0</v>
      </c>
      <c r="AK664" s="504" t="b">
        <v>0</v>
      </c>
      <c r="AL664" s="126"/>
      <c r="AM664" s="505" t="b">
        <v>0</v>
      </c>
      <c r="AN664" s="504" t="b">
        <v>0</v>
      </c>
      <c r="AO664" s="105"/>
      <c r="AP664" s="105"/>
      <c r="AQ664" s="105"/>
      <c r="AR664" s="105"/>
      <c r="AS664" s="105"/>
      <c r="AT664" s="105"/>
      <c r="AU664" s="105"/>
      <c r="AV664" s="105"/>
      <c r="AW664" s="105"/>
      <c r="AX664" s="105"/>
      <c r="AY664" s="105"/>
      <c r="AZ664" s="105"/>
      <c r="BA664" s="105"/>
    </row>
    <row r="665">
      <c r="A665" s="105"/>
      <c r="B665" s="105"/>
      <c r="C665" s="105"/>
      <c r="D665" s="105"/>
      <c r="E665" s="105"/>
      <c r="F665" s="105"/>
      <c r="G665" s="105"/>
      <c r="H665" s="105"/>
      <c r="I665" s="505" t="b">
        <v>0</v>
      </c>
      <c r="J665" s="507" t="b">
        <v>0</v>
      </c>
      <c r="K665" s="112"/>
      <c r="L665" s="505" t="b">
        <v>0</v>
      </c>
      <c r="M665" s="504" t="b">
        <v>0</v>
      </c>
      <c r="N665" s="112"/>
      <c r="O665" s="505" t="b">
        <v>0</v>
      </c>
      <c r="P665" s="504" t="b">
        <v>0</v>
      </c>
      <c r="Q665" s="116"/>
      <c r="R665" s="505" t="b">
        <v>0</v>
      </c>
      <c r="S665" s="504" t="b">
        <v>0</v>
      </c>
      <c r="T665" s="117"/>
      <c r="U665" s="505" t="b">
        <v>0</v>
      </c>
      <c r="V665" s="504" t="b">
        <v>0</v>
      </c>
      <c r="W665" s="118"/>
      <c r="X665" s="505" t="b">
        <v>0</v>
      </c>
      <c r="Y665" s="504" t="b">
        <v>0</v>
      </c>
      <c r="Z665" s="119"/>
      <c r="AA665" s="505" t="b">
        <v>0</v>
      </c>
      <c r="AB665" s="504" t="b">
        <v>0</v>
      </c>
      <c r="AC665" s="121"/>
      <c r="AD665" s="505" t="b">
        <v>0</v>
      </c>
      <c r="AE665" s="504" t="b">
        <v>0</v>
      </c>
      <c r="AF665" s="125"/>
      <c r="AG665" s="505" t="b">
        <v>0</v>
      </c>
      <c r="AH665" s="504" t="b">
        <v>0</v>
      </c>
      <c r="AI665" s="105"/>
      <c r="AJ665" s="505" t="b">
        <v>0</v>
      </c>
      <c r="AK665" s="504" t="b">
        <v>0</v>
      </c>
      <c r="AL665" s="126"/>
      <c r="AM665" s="505" t="b">
        <v>0</v>
      </c>
      <c r="AN665" s="504" t="b">
        <v>0</v>
      </c>
      <c r="AO665" s="105"/>
      <c r="AP665" s="105"/>
      <c r="AQ665" s="105"/>
      <c r="AR665" s="105"/>
      <c r="AS665" s="105"/>
      <c r="AT665" s="105"/>
      <c r="AU665" s="105"/>
      <c r="AV665" s="105"/>
      <c r="AW665" s="105"/>
      <c r="AX665" s="105"/>
      <c r="AY665" s="105"/>
      <c r="AZ665" s="105"/>
      <c r="BA665" s="105"/>
    </row>
    <row r="666">
      <c r="A666" s="105"/>
      <c r="B666" s="105"/>
      <c r="C666" s="105"/>
      <c r="D666" s="105"/>
      <c r="E666" s="105"/>
      <c r="F666" s="105"/>
      <c r="G666" s="105"/>
      <c r="H666" s="105"/>
      <c r="I666" s="505" t="b">
        <v>0</v>
      </c>
      <c r="J666" s="507" t="b">
        <v>0</v>
      </c>
      <c r="K666" s="112"/>
      <c r="L666" s="505" t="b">
        <v>0</v>
      </c>
      <c r="M666" s="504" t="b">
        <v>0</v>
      </c>
      <c r="N666" s="112"/>
      <c r="O666" s="505" t="b">
        <v>0</v>
      </c>
      <c r="P666" s="504" t="b">
        <v>0</v>
      </c>
      <c r="Q666" s="116"/>
      <c r="R666" s="505" t="b">
        <v>0</v>
      </c>
      <c r="S666" s="504" t="b">
        <v>0</v>
      </c>
      <c r="T666" s="117"/>
      <c r="U666" s="505" t="b">
        <v>0</v>
      </c>
      <c r="V666" s="504" t="b">
        <v>0</v>
      </c>
      <c r="W666" s="118"/>
      <c r="X666" s="505" t="b">
        <v>0</v>
      </c>
      <c r="Y666" s="504" t="b">
        <v>0</v>
      </c>
      <c r="Z666" s="119"/>
      <c r="AA666" s="505" t="b">
        <v>0</v>
      </c>
      <c r="AB666" s="504" t="b">
        <v>0</v>
      </c>
      <c r="AC666" s="121"/>
      <c r="AD666" s="505" t="b">
        <v>0</v>
      </c>
      <c r="AE666" s="504" t="b">
        <v>0</v>
      </c>
      <c r="AF666" s="125"/>
      <c r="AG666" s="505" t="b">
        <v>0</v>
      </c>
      <c r="AH666" s="504" t="b">
        <v>0</v>
      </c>
      <c r="AI666" s="105"/>
      <c r="AJ666" s="505" t="b">
        <v>0</v>
      </c>
      <c r="AK666" s="504" t="b">
        <v>0</v>
      </c>
      <c r="AL666" s="126"/>
      <c r="AM666" s="505" t="b">
        <v>0</v>
      </c>
      <c r="AN666" s="504" t="b">
        <v>0</v>
      </c>
      <c r="AO666" s="105"/>
      <c r="AP666" s="105"/>
      <c r="AQ666" s="105"/>
      <c r="AR666" s="105"/>
      <c r="AS666" s="105"/>
      <c r="AT666" s="105"/>
      <c r="AU666" s="105"/>
      <c r="AV666" s="105"/>
      <c r="AW666" s="105"/>
      <c r="AX666" s="105"/>
      <c r="AY666" s="105"/>
      <c r="AZ666" s="105"/>
      <c r="BA666" s="105"/>
    </row>
    <row r="667">
      <c r="A667" s="105"/>
      <c r="B667" s="105"/>
      <c r="C667" s="105"/>
      <c r="D667" s="105"/>
      <c r="E667" s="105"/>
      <c r="F667" s="105"/>
      <c r="G667" s="105"/>
      <c r="H667" s="105"/>
      <c r="I667" s="505" t="b">
        <v>0</v>
      </c>
      <c r="J667" s="507" t="b">
        <v>0</v>
      </c>
      <c r="K667" s="112"/>
      <c r="L667" s="505" t="b">
        <v>0</v>
      </c>
      <c r="M667" s="504" t="b">
        <v>0</v>
      </c>
      <c r="N667" s="112"/>
      <c r="O667" s="505" t="b">
        <v>0</v>
      </c>
      <c r="P667" s="504" t="b">
        <v>0</v>
      </c>
      <c r="Q667" s="116"/>
      <c r="R667" s="505" t="b">
        <v>0</v>
      </c>
      <c r="S667" s="504" t="b">
        <v>0</v>
      </c>
      <c r="T667" s="117"/>
      <c r="U667" s="505" t="b">
        <v>0</v>
      </c>
      <c r="V667" s="504" t="b">
        <v>0</v>
      </c>
      <c r="W667" s="118"/>
      <c r="X667" s="505" t="b">
        <v>0</v>
      </c>
      <c r="Y667" s="504" t="b">
        <v>0</v>
      </c>
      <c r="Z667" s="119"/>
      <c r="AA667" s="505" t="b">
        <v>0</v>
      </c>
      <c r="AB667" s="504" t="b">
        <v>0</v>
      </c>
      <c r="AC667" s="121"/>
      <c r="AD667" s="505" t="b">
        <v>0</v>
      </c>
      <c r="AE667" s="504" t="b">
        <v>0</v>
      </c>
      <c r="AF667" s="125"/>
      <c r="AG667" s="505" t="b">
        <v>0</v>
      </c>
      <c r="AH667" s="504" t="b">
        <v>0</v>
      </c>
      <c r="AI667" s="105"/>
      <c r="AJ667" s="505" t="b">
        <v>0</v>
      </c>
      <c r="AK667" s="504" t="b">
        <v>0</v>
      </c>
      <c r="AL667" s="126"/>
      <c r="AM667" s="505" t="b">
        <v>0</v>
      </c>
      <c r="AN667" s="504" t="b">
        <v>0</v>
      </c>
      <c r="AO667" s="105"/>
      <c r="AP667" s="105"/>
      <c r="AQ667" s="105"/>
      <c r="AR667" s="105"/>
      <c r="AS667" s="105"/>
      <c r="AT667" s="105"/>
      <c r="AU667" s="105"/>
      <c r="AV667" s="105"/>
      <c r="AW667" s="105"/>
      <c r="AX667" s="105"/>
      <c r="AY667" s="105"/>
      <c r="AZ667" s="105"/>
      <c r="BA667" s="105"/>
    </row>
    <row r="668">
      <c r="A668" s="105"/>
      <c r="B668" s="105"/>
      <c r="C668" s="105"/>
      <c r="D668" s="105"/>
      <c r="E668" s="105"/>
      <c r="F668" s="105"/>
      <c r="G668" s="105"/>
      <c r="H668" s="105"/>
      <c r="I668" s="505" t="b">
        <v>0</v>
      </c>
      <c r="J668" s="507" t="b">
        <v>0</v>
      </c>
      <c r="K668" s="112"/>
      <c r="L668" s="505" t="b">
        <v>0</v>
      </c>
      <c r="M668" s="504" t="b">
        <v>0</v>
      </c>
      <c r="N668" s="112"/>
      <c r="O668" s="505" t="b">
        <v>0</v>
      </c>
      <c r="P668" s="504" t="b">
        <v>0</v>
      </c>
      <c r="Q668" s="116"/>
      <c r="R668" s="505" t="b">
        <v>0</v>
      </c>
      <c r="S668" s="504" t="b">
        <v>0</v>
      </c>
      <c r="T668" s="117"/>
      <c r="U668" s="505" t="b">
        <v>0</v>
      </c>
      <c r="V668" s="504" t="b">
        <v>0</v>
      </c>
      <c r="W668" s="118"/>
      <c r="X668" s="505" t="b">
        <v>0</v>
      </c>
      <c r="Y668" s="504" t="b">
        <v>0</v>
      </c>
      <c r="Z668" s="119"/>
      <c r="AA668" s="505" t="b">
        <v>0</v>
      </c>
      <c r="AB668" s="504" t="b">
        <v>0</v>
      </c>
      <c r="AC668" s="121"/>
      <c r="AD668" s="505" t="b">
        <v>0</v>
      </c>
      <c r="AE668" s="504" t="b">
        <v>0</v>
      </c>
      <c r="AF668" s="125"/>
      <c r="AG668" s="505" t="b">
        <v>0</v>
      </c>
      <c r="AH668" s="504" t="b">
        <v>0</v>
      </c>
      <c r="AI668" s="105"/>
      <c r="AJ668" s="505" t="b">
        <v>0</v>
      </c>
      <c r="AK668" s="504" t="b">
        <v>0</v>
      </c>
      <c r="AL668" s="126"/>
      <c r="AM668" s="505" t="b">
        <v>0</v>
      </c>
      <c r="AN668" s="504" t="b">
        <v>0</v>
      </c>
      <c r="AO668" s="105"/>
      <c r="AP668" s="105"/>
      <c r="AQ668" s="105"/>
      <c r="AR668" s="105"/>
      <c r="AS668" s="105"/>
      <c r="AT668" s="105"/>
      <c r="AU668" s="105"/>
      <c r="AV668" s="105"/>
      <c r="AW668" s="105"/>
      <c r="AX668" s="105"/>
      <c r="AY668" s="105"/>
      <c r="AZ668" s="105"/>
      <c r="BA668" s="105"/>
    </row>
    <row r="669">
      <c r="A669" s="105"/>
      <c r="B669" s="105"/>
      <c r="C669" s="105"/>
      <c r="D669" s="105"/>
      <c r="E669" s="105"/>
      <c r="F669" s="105"/>
      <c r="G669" s="105"/>
      <c r="H669" s="105"/>
      <c r="I669" s="505" t="b">
        <v>0</v>
      </c>
      <c r="J669" s="507" t="b">
        <v>0</v>
      </c>
      <c r="K669" s="112"/>
      <c r="L669" s="505" t="b">
        <v>0</v>
      </c>
      <c r="M669" s="504" t="b">
        <v>0</v>
      </c>
      <c r="N669" s="112"/>
      <c r="O669" s="505" t="b">
        <v>0</v>
      </c>
      <c r="P669" s="504" t="b">
        <v>0</v>
      </c>
      <c r="Q669" s="116"/>
      <c r="R669" s="505" t="b">
        <v>0</v>
      </c>
      <c r="S669" s="504" t="b">
        <v>0</v>
      </c>
      <c r="T669" s="117"/>
      <c r="U669" s="505" t="b">
        <v>0</v>
      </c>
      <c r="V669" s="504" t="b">
        <v>0</v>
      </c>
      <c r="W669" s="118"/>
      <c r="X669" s="505" t="b">
        <v>0</v>
      </c>
      <c r="Y669" s="504" t="b">
        <v>0</v>
      </c>
      <c r="Z669" s="119"/>
      <c r="AA669" s="505" t="b">
        <v>0</v>
      </c>
      <c r="AB669" s="504" t="b">
        <v>0</v>
      </c>
      <c r="AC669" s="121"/>
      <c r="AD669" s="505" t="b">
        <v>0</v>
      </c>
      <c r="AE669" s="504" t="b">
        <v>0</v>
      </c>
      <c r="AF669" s="125"/>
      <c r="AG669" s="505" t="b">
        <v>0</v>
      </c>
      <c r="AH669" s="504" t="b">
        <v>0</v>
      </c>
      <c r="AI669" s="105"/>
      <c r="AJ669" s="505" t="b">
        <v>0</v>
      </c>
      <c r="AK669" s="504" t="b">
        <v>0</v>
      </c>
      <c r="AL669" s="126"/>
      <c r="AM669" s="505" t="b">
        <v>0</v>
      </c>
      <c r="AN669" s="504" t="b">
        <v>0</v>
      </c>
      <c r="AO669" s="105"/>
      <c r="AP669" s="105"/>
      <c r="AQ669" s="105"/>
      <c r="AR669" s="105"/>
      <c r="AS669" s="105"/>
      <c r="AT669" s="105"/>
      <c r="AU669" s="105"/>
      <c r="AV669" s="105"/>
      <c r="AW669" s="105"/>
      <c r="AX669" s="105"/>
      <c r="AY669" s="105"/>
      <c r="AZ669" s="105"/>
      <c r="BA669" s="105"/>
    </row>
    <row r="670">
      <c r="A670" s="105"/>
      <c r="B670" s="105"/>
      <c r="C670" s="105"/>
      <c r="D670" s="105"/>
      <c r="E670" s="105"/>
      <c r="F670" s="105"/>
      <c r="G670" s="105"/>
      <c r="H670" s="105"/>
      <c r="I670" s="505" t="b">
        <v>0</v>
      </c>
      <c r="J670" s="507" t="b">
        <v>0</v>
      </c>
      <c r="K670" s="112"/>
      <c r="L670" s="505" t="b">
        <v>0</v>
      </c>
      <c r="M670" s="504" t="b">
        <v>0</v>
      </c>
      <c r="N670" s="112"/>
      <c r="O670" s="505" t="b">
        <v>0</v>
      </c>
      <c r="P670" s="504" t="b">
        <v>0</v>
      </c>
      <c r="Q670" s="116"/>
      <c r="R670" s="505" t="b">
        <v>0</v>
      </c>
      <c r="S670" s="504" t="b">
        <v>0</v>
      </c>
      <c r="T670" s="117"/>
      <c r="U670" s="505" t="b">
        <v>0</v>
      </c>
      <c r="V670" s="504" t="b">
        <v>0</v>
      </c>
      <c r="W670" s="118"/>
      <c r="X670" s="505" t="b">
        <v>0</v>
      </c>
      <c r="Y670" s="504" t="b">
        <v>0</v>
      </c>
      <c r="Z670" s="119"/>
      <c r="AA670" s="505" t="b">
        <v>0</v>
      </c>
      <c r="AB670" s="504" t="b">
        <v>0</v>
      </c>
      <c r="AC670" s="121"/>
      <c r="AD670" s="505" t="b">
        <v>0</v>
      </c>
      <c r="AE670" s="504" t="b">
        <v>0</v>
      </c>
      <c r="AF670" s="125"/>
      <c r="AG670" s="505" t="b">
        <v>0</v>
      </c>
      <c r="AH670" s="504" t="b">
        <v>0</v>
      </c>
      <c r="AI670" s="105"/>
      <c r="AJ670" s="505" t="b">
        <v>0</v>
      </c>
      <c r="AK670" s="504" t="b">
        <v>0</v>
      </c>
      <c r="AL670" s="126"/>
      <c r="AM670" s="505" t="b">
        <v>0</v>
      </c>
      <c r="AN670" s="504" t="b">
        <v>0</v>
      </c>
      <c r="AO670" s="105"/>
      <c r="AP670" s="105"/>
      <c r="AQ670" s="105"/>
      <c r="AR670" s="105"/>
      <c r="AS670" s="105"/>
      <c r="AT670" s="105"/>
      <c r="AU670" s="105"/>
      <c r="AV670" s="105"/>
      <c r="AW670" s="105"/>
      <c r="AX670" s="105"/>
      <c r="AY670" s="105"/>
      <c r="AZ670" s="105"/>
      <c r="BA670" s="105"/>
    </row>
    <row r="671">
      <c r="A671" s="105"/>
      <c r="B671" s="105"/>
      <c r="C671" s="105"/>
      <c r="D671" s="105"/>
      <c r="E671" s="105"/>
      <c r="F671" s="105"/>
      <c r="G671" s="105"/>
      <c r="H671" s="105"/>
      <c r="I671" s="505" t="b">
        <v>0</v>
      </c>
      <c r="J671" s="507" t="b">
        <v>0</v>
      </c>
      <c r="K671" s="112"/>
      <c r="L671" s="505" t="b">
        <v>0</v>
      </c>
      <c r="M671" s="504" t="b">
        <v>0</v>
      </c>
      <c r="N671" s="112"/>
      <c r="O671" s="505" t="b">
        <v>0</v>
      </c>
      <c r="P671" s="504" t="b">
        <v>0</v>
      </c>
      <c r="Q671" s="116"/>
      <c r="R671" s="505" t="b">
        <v>0</v>
      </c>
      <c r="S671" s="504" t="b">
        <v>0</v>
      </c>
      <c r="T671" s="117"/>
      <c r="U671" s="505" t="b">
        <v>0</v>
      </c>
      <c r="V671" s="504" t="b">
        <v>0</v>
      </c>
      <c r="W671" s="118"/>
      <c r="X671" s="505" t="b">
        <v>0</v>
      </c>
      <c r="Y671" s="504" t="b">
        <v>0</v>
      </c>
      <c r="Z671" s="119"/>
      <c r="AA671" s="505" t="b">
        <v>0</v>
      </c>
      <c r="AB671" s="504" t="b">
        <v>0</v>
      </c>
      <c r="AC671" s="121"/>
      <c r="AD671" s="505" t="b">
        <v>0</v>
      </c>
      <c r="AE671" s="504" t="b">
        <v>0</v>
      </c>
      <c r="AF671" s="125"/>
      <c r="AG671" s="505" t="b">
        <v>0</v>
      </c>
      <c r="AH671" s="504" t="b">
        <v>0</v>
      </c>
      <c r="AI671" s="105"/>
      <c r="AJ671" s="505" t="b">
        <v>0</v>
      </c>
      <c r="AK671" s="504" t="b">
        <v>0</v>
      </c>
      <c r="AL671" s="126"/>
      <c r="AM671" s="505" t="b">
        <v>0</v>
      </c>
      <c r="AN671" s="504" t="b">
        <v>0</v>
      </c>
      <c r="AO671" s="105"/>
      <c r="AP671" s="105"/>
      <c r="AQ671" s="105"/>
      <c r="AR671" s="105"/>
      <c r="AS671" s="105"/>
      <c r="AT671" s="105"/>
      <c r="AU671" s="105"/>
      <c r="AV671" s="105"/>
      <c r="AW671" s="105"/>
      <c r="AX671" s="105"/>
      <c r="AY671" s="105"/>
      <c r="AZ671" s="105"/>
      <c r="BA671" s="105"/>
    </row>
    <row r="672">
      <c r="A672" s="105"/>
      <c r="B672" s="105"/>
      <c r="C672" s="105"/>
      <c r="D672" s="105"/>
      <c r="E672" s="105"/>
      <c r="F672" s="105"/>
      <c r="G672" s="105"/>
      <c r="H672" s="105"/>
      <c r="I672" s="505" t="b">
        <v>0</v>
      </c>
      <c r="J672" s="507" t="b">
        <v>0</v>
      </c>
      <c r="K672" s="112"/>
      <c r="L672" s="505" t="b">
        <v>0</v>
      </c>
      <c r="M672" s="504" t="b">
        <v>0</v>
      </c>
      <c r="N672" s="112"/>
      <c r="O672" s="505" t="b">
        <v>0</v>
      </c>
      <c r="P672" s="504" t="b">
        <v>0</v>
      </c>
      <c r="Q672" s="116"/>
      <c r="R672" s="505" t="b">
        <v>0</v>
      </c>
      <c r="S672" s="504" t="b">
        <v>0</v>
      </c>
      <c r="T672" s="117"/>
      <c r="U672" s="505" t="b">
        <v>0</v>
      </c>
      <c r="V672" s="504" t="b">
        <v>0</v>
      </c>
      <c r="W672" s="118"/>
      <c r="X672" s="505" t="b">
        <v>0</v>
      </c>
      <c r="Y672" s="504" t="b">
        <v>0</v>
      </c>
      <c r="Z672" s="119"/>
      <c r="AA672" s="505" t="b">
        <v>0</v>
      </c>
      <c r="AB672" s="504" t="b">
        <v>0</v>
      </c>
      <c r="AC672" s="121"/>
      <c r="AD672" s="505" t="b">
        <v>0</v>
      </c>
      <c r="AE672" s="504" t="b">
        <v>0</v>
      </c>
      <c r="AF672" s="125"/>
      <c r="AG672" s="505" t="b">
        <v>0</v>
      </c>
      <c r="AH672" s="504" t="b">
        <v>0</v>
      </c>
      <c r="AI672" s="105"/>
      <c r="AJ672" s="505" t="b">
        <v>0</v>
      </c>
      <c r="AK672" s="504" t="b">
        <v>0</v>
      </c>
      <c r="AL672" s="126"/>
      <c r="AM672" s="505" t="b">
        <v>0</v>
      </c>
      <c r="AN672" s="504" t="b">
        <v>0</v>
      </c>
      <c r="AO672" s="105"/>
      <c r="AP672" s="105"/>
      <c r="AQ672" s="105"/>
      <c r="AR672" s="105"/>
      <c r="AS672" s="105"/>
      <c r="AT672" s="105"/>
      <c r="AU672" s="105"/>
      <c r="AV672" s="105"/>
      <c r="AW672" s="105"/>
      <c r="AX672" s="105"/>
      <c r="AY672" s="105"/>
      <c r="AZ672" s="105"/>
      <c r="BA672" s="105"/>
    </row>
    <row r="673">
      <c r="A673" s="105"/>
      <c r="B673" s="105"/>
      <c r="C673" s="105"/>
      <c r="D673" s="105"/>
      <c r="E673" s="105"/>
      <c r="F673" s="105"/>
      <c r="G673" s="105"/>
      <c r="H673" s="105"/>
      <c r="I673" s="505" t="b">
        <v>0</v>
      </c>
      <c r="J673" s="507" t="b">
        <v>0</v>
      </c>
      <c r="K673" s="112"/>
      <c r="L673" s="505" t="b">
        <v>0</v>
      </c>
      <c r="M673" s="504" t="b">
        <v>0</v>
      </c>
      <c r="N673" s="112"/>
      <c r="O673" s="505" t="b">
        <v>0</v>
      </c>
      <c r="P673" s="504" t="b">
        <v>0</v>
      </c>
      <c r="Q673" s="116"/>
      <c r="R673" s="505" t="b">
        <v>0</v>
      </c>
      <c r="S673" s="504" t="b">
        <v>0</v>
      </c>
      <c r="T673" s="117"/>
      <c r="U673" s="505" t="b">
        <v>0</v>
      </c>
      <c r="V673" s="504" t="b">
        <v>0</v>
      </c>
      <c r="W673" s="118"/>
      <c r="X673" s="505" t="b">
        <v>0</v>
      </c>
      <c r="Y673" s="504" t="b">
        <v>0</v>
      </c>
      <c r="Z673" s="119"/>
      <c r="AA673" s="505" t="b">
        <v>0</v>
      </c>
      <c r="AB673" s="504" t="b">
        <v>0</v>
      </c>
      <c r="AC673" s="121"/>
      <c r="AD673" s="505" t="b">
        <v>0</v>
      </c>
      <c r="AE673" s="504" t="b">
        <v>0</v>
      </c>
      <c r="AF673" s="125"/>
      <c r="AG673" s="505" t="b">
        <v>0</v>
      </c>
      <c r="AH673" s="504" t="b">
        <v>0</v>
      </c>
      <c r="AI673" s="105"/>
      <c r="AJ673" s="505" t="b">
        <v>0</v>
      </c>
      <c r="AK673" s="504" t="b">
        <v>0</v>
      </c>
      <c r="AL673" s="126"/>
      <c r="AM673" s="505" t="b">
        <v>0</v>
      </c>
      <c r="AN673" s="504" t="b">
        <v>0</v>
      </c>
      <c r="AO673" s="105"/>
      <c r="AP673" s="105"/>
      <c r="AQ673" s="105"/>
      <c r="AR673" s="105"/>
      <c r="AS673" s="105"/>
      <c r="AT673" s="105"/>
      <c r="AU673" s="105"/>
      <c r="AV673" s="105"/>
      <c r="AW673" s="105"/>
      <c r="AX673" s="105"/>
      <c r="AY673" s="105"/>
      <c r="AZ673" s="105"/>
      <c r="BA673" s="105"/>
    </row>
    <row r="674">
      <c r="A674" s="105"/>
      <c r="B674" s="105"/>
      <c r="C674" s="105"/>
      <c r="D674" s="105"/>
      <c r="E674" s="105"/>
      <c r="F674" s="105"/>
      <c r="G674" s="105"/>
      <c r="H674" s="105"/>
      <c r="I674" s="505" t="b">
        <v>0</v>
      </c>
      <c r="J674" s="507" t="b">
        <v>0</v>
      </c>
      <c r="K674" s="112"/>
      <c r="L674" s="505" t="b">
        <v>0</v>
      </c>
      <c r="M674" s="504" t="b">
        <v>0</v>
      </c>
      <c r="N674" s="112"/>
      <c r="O674" s="505" t="b">
        <v>0</v>
      </c>
      <c r="P674" s="504" t="b">
        <v>0</v>
      </c>
      <c r="Q674" s="116"/>
      <c r="R674" s="505" t="b">
        <v>0</v>
      </c>
      <c r="S674" s="504" t="b">
        <v>0</v>
      </c>
      <c r="T674" s="117"/>
      <c r="U674" s="505" t="b">
        <v>0</v>
      </c>
      <c r="V674" s="504" t="b">
        <v>0</v>
      </c>
      <c r="W674" s="118"/>
      <c r="X674" s="505" t="b">
        <v>0</v>
      </c>
      <c r="Y674" s="504" t="b">
        <v>0</v>
      </c>
      <c r="Z674" s="119"/>
      <c r="AA674" s="505" t="b">
        <v>0</v>
      </c>
      <c r="AB674" s="504" t="b">
        <v>0</v>
      </c>
      <c r="AC674" s="121"/>
      <c r="AD674" s="505" t="b">
        <v>0</v>
      </c>
      <c r="AE674" s="504" t="b">
        <v>0</v>
      </c>
      <c r="AF674" s="125"/>
      <c r="AG674" s="505" t="b">
        <v>0</v>
      </c>
      <c r="AH674" s="504" t="b">
        <v>0</v>
      </c>
      <c r="AI674" s="105"/>
      <c r="AJ674" s="505" t="b">
        <v>0</v>
      </c>
      <c r="AK674" s="504" t="b">
        <v>0</v>
      </c>
      <c r="AL674" s="126"/>
      <c r="AM674" s="505" t="b">
        <v>0</v>
      </c>
      <c r="AN674" s="504" t="b">
        <v>0</v>
      </c>
      <c r="AO674" s="105"/>
      <c r="AP674" s="105"/>
      <c r="AQ674" s="105"/>
      <c r="AR674" s="105"/>
      <c r="AS674" s="105"/>
      <c r="AT674" s="105"/>
      <c r="AU674" s="105"/>
      <c r="AV674" s="105"/>
      <c r="AW674" s="105"/>
      <c r="AX674" s="105"/>
      <c r="AY674" s="105"/>
      <c r="AZ674" s="105"/>
      <c r="BA674" s="105"/>
    </row>
    <row r="675">
      <c r="A675" s="105"/>
      <c r="B675" s="105"/>
      <c r="C675" s="105"/>
      <c r="D675" s="105"/>
      <c r="E675" s="105"/>
      <c r="F675" s="105"/>
      <c r="G675" s="105"/>
      <c r="H675" s="105"/>
      <c r="I675" s="505" t="b">
        <v>0</v>
      </c>
      <c r="J675" s="507" t="b">
        <v>0</v>
      </c>
      <c r="K675" s="112"/>
      <c r="L675" s="505" t="b">
        <v>0</v>
      </c>
      <c r="M675" s="504" t="b">
        <v>0</v>
      </c>
      <c r="N675" s="112"/>
      <c r="O675" s="505" t="b">
        <v>0</v>
      </c>
      <c r="P675" s="504" t="b">
        <v>0</v>
      </c>
      <c r="Q675" s="116"/>
      <c r="R675" s="505" t="b">
        <v>0</v>
      </c>
      <c r="S675" s="504" t="b">
        <v>0</v>
      </c>
      <c r="T675" s="117"/>
      <c r="U675" s="505" t="b">
        <v>0</v>
      </c>
      <c r="V675" s="504" t="b">
        <v>0</v>
      </c>
      <c r="W675" s="118"/>
      <c r="X675" s="505" t="b">
        <v>0</v>
      </c>
      <c r="Y675" s="504" t="b">
        <v>0</v>
      </c>
      <c r="Z675" s="119"/>
      <c r="AA675" s="505" t="b">
        <v>0</v>
      </c>
      <c r="AB675" s="504" t="b">
        <v>0</v>
      </c>
      <c r="AC675" s="121"/>
      <c r="AD675" s="505" t="b">
        <v>0</v>
      </c>
      <c r="AE675" s="504" t="b">
        <v>0</v>
      </c>
      <c r="AF675" s="125"/>
      <c r="AG675" s="505" t="b">
        <v>0</v>
      </c>
      <c r="AH675" s="504" t="b">
        <v>0</v>
      </c>
      <c r="AI675" s="105"/>
      <c r="AJ675" s="505" t="b">
        <v>0</v>
      </c>
      <c r="AK675" s="504" t="b">
        <v>0</v>
      </c>
      <c r="AL675" s="126"/>
      <c r="AM675" s="505" t="b">
        <v>0</v>
      </c>
      <c r="AN675" s="504" t="b">
        <v>0</v>
      </c>
      <c r="AO675" s="105"/>
      <c r="AP675" s="105"/>
      <c r="AQ675" s="105"/>
      <c r="AR675" s="105"/>
      <c r="AS675" s="105"/>
      <c r="AT675" s="105"/>
      <c r="AU675" s="105"/>
      <c r="AV675" s="105"/>
      <c r="AW675" s="105"/>
      <c r="AX675" s="105"/>
      <c r="AY675" s="105"/>
      <c r="AZ675" s="105"/>
      <c r="BA675" s="105"/>
    </row>
    <row r="676">
      <c r="A676" s="105"/>
      <c r="B676" s="105"/>
      <c r="C676" s="105"/>
      <c r="D676" s="105"/>
      <c r="E676" s="105"/>
      <c r="F676" s="105"/>
      <c r="G676" s="105"/>
      <c r="H676" s="105"/>
      <c r="I676" s="505" t="b">
        <v>0</v>
      </c>
      <c r="J676" s="507" t="b">
        <v>0</v>
      </c>
      <c r="K676" s="112"/>
      <c r="L676" s="505" t="b">
        <v>0</v>
      </c>
      <c r="M676" s="504" t="b">
        <v>0</v>
      </c>
      <c r="N676" s="112"/>
      <c r="O676" s="505" t="b">
        <v>0</v>
      </c>
      <c r="P676" s="504" t="b">
        <v>0</v>
      </c>
      <c r="Q676" s="116"/>
      <c r="R676" s="505" t="b">
        <v>0</v>
      </c>
      <c r="S676" s="504" t="b">
        <v>0</v>
      </c>
      <c r="T676" s="117"/>
      <c r="U676" s="505" t="b">
        <v>0</v>
      </c>
      <c r="V676" s="504" t="b">
        <v>0</v>
      </c>
      <c r="W676" s="118"/>
      <c r="X676" s="505" t="b">
        <v>0</v>
      </c>
      <c r="Y676" s="504" t="b">
        <v>0</v>
      </c>
      <c r="Z676" s="119"/>
      <c r="AA676" s="505" t="b">
        <v>0</v>
      </c>
      <c r="AB676" s="504" t="b">
        <v>0</v>
      </c>
      <c r="AC676" s="121"/>
      <c r="AD676" s="505" t="b">
        <v>0</v>
      </c>
      <c r="AE676" s="504" t="b">
        <v>0</v>
      </c>
      <c r="AF676" s="125"/>
      <c r="AG676" s="505" t="b">
        <v>0</v>
      </c>
      <c r="AH676" s="504" t="b">
        <v>0</v>
      </c>
      <c r="AI676" s="105"/>
      <c r="AJ676" s="505" t="b">
        <v>0</v>
      </c>
      <c r="AK676" s="504" t="b">
        <v>0</v>
      </c>
      <c r="AL676" s="126"/>
      <c r="AM676" s="505" t="b">
        <v>0</v>
      </c>
      <c r="AN676" s="504" t="b">
        <v>0</v>
      </c>
      <c r="AO676" s="105"/>
      <c r="AP676" s="105"/>
      <c r="AQ676" s="105"/>
      <c r="AR676" s="105"/>
      <c r="AS676" s="105"/>
      <c r="AT676" s="105"/>
      <c r="AU676" s="105"/>
      <c r="AV676" s="105"/>
      <c r="AW676" s="105"/>
      <c r="AX676" s="105"/>
      <c r="AY676" s="105"/>
      <c r="AZ676" s="105"/>
      <c r="BA676" s="105"/>
    </row>
    <row r="677">
      <c r="A677" s="105"/>
      <c r="B677" s="105"/>
      <c r="C677" s="105"/>
      <c r="D677" s="105"/>
      <c r="E677" s="105"/>
      <c r="F677" s="105"/>
      <c r="G677" s="105"/>
      <c r="H677" s="105"/>
      <c r="I677" s="505" t="b">
        <v>0</v>
      </c>
      <c r="J677" s="507" t="b">
        <v>0</v>
      </c>
      <c r="K677" s="112"/>
      <c r="L677" s="505" t="b">
        <v>0</v>
      </c>
      <c r="M677" s="504" t="b">
        <v>0</v>
      </c>
      <c r="N677" s="112"/>
      <c r="O677" s="505" t="b">
        <v>0</v>
      </c>
      <c r="P677" s="504" t="b">
        <v>0</v>
      </c>
      <c r="Q677" s="116"/>
      <c r="R677" s="505" t="b">
        <v>0</v>
      </c>
      <c r="S677" s="504" t="b">
        <v>0</v>
      </c>
      <c r="T677" s="117"/>
      <c r="U677" s="505" t="b">
        <v>0</v>
      </c>
      <c r="V677" s="504" t="b">
        <v>0</v>
      </c>
      <c r="W677" s="118"/>
      <c r="X677" s="505" t="b">
        <v>0</v>
      </c>
      <c r="Y677" s="504" t="b">
        <v>0</v>
      </c>
      <c r="Z677" s="119"/>
      <c r="AA677" s="505" t="b">
        <v>0</v>
      </c>
      <c r="AB677" s="504" t="b">
        <v>0</v>
      </c>
      <c r="AC677" s="121"/>
      <c r="AD677" s="505" t="b">
        <v>0</v>
      </c>
      <c r="AE677" s="504" t="b">
        <v>0</v>
      </c>
      <c r="AF677" s="125"/>
      <c r="AG677" s="505" t="b">
        <v>0</v>
      </c>
      <c r="AH677" s="504" t="b">
        <v>0</v>
      </c>
      <c r="AI677" s="105"/>
      <c r="AJ677" s="505" t="b">
        <v>0</v>
      </c>
      <c r="AK677" s="504" t="b">
        <v>0</v>
      </c>
      <c r="AL677" s="126"/>
      <c r="AM677" s="505" t="b">
        <v>0</v>
      </c>
      <c r="AN677" s="504" t="b">
        <v>0</v>
      </c>
      <c r="AO677" s="105"/>
      <c r="AP677" s="105"/>
      <c r="AQ677" s="105"/>
      <c r="AR677" s="105"/>
      <c r="AS677" s="105"/>
      <c r="AT677" s="105"/>
      <c r="AU677" s="105"/>
      <c r="AV677" s="105"/>
      <c r="AW677" s="105"/>
      <c r="AX677" s="105"/>
      <c r="AY677" s="105"/>
      <c r="AZ677" s="105"/>
      <c r="BA677" s="105"/>
    </row>
    <row r="678">
      <c r="A678" s="105"/>
      <c r="B678" s="105"/>
      <c r="C678" s="105"/>
      <c r="D678" s="105"/>
      <c r="E678" s="105"/>
      <c r="F678" s="105"/>
      <c r="G678" s="105"/>
      <c r="H678" s="105"/>
      <c r="I678" s="505" t="b">
        <v>0</v>
      </c>
      <c r="J678" s="507" t="b">
        <v>0</v>
      </c>
      <c r="K678" s="112"/>
      <c r="L678" s="505" t="b">
        <v>0</v>
      </c>
      <c r="M678" s="504" t="b">
        <v>0</v>
      </c>
      <c r="N678" s="112"/>
      <c r="O678" s="505" t="b">
        <v>0</v>
      </c>
      <c r="P678" s="504" t="b">
        <v>0</v>
      </c>
      <c r="Q678" s="116"/>
      <c r="R678" s="505" t="b">
        <v>0</v>
      </c>
      <c r="S678" s="504" t="b">
        <v>0</v>
      </c>
      <c r="T678" s="117"/>
      <c r="U678" s="505" t="b">
        <v>0</v>
      </c>
      <c r="V678" s="504" t="b">
        <v>0</v>
      </c>
      <c r="W678" s="118"/>
      <c r="X678" s="505" t="b">
        <v>0</v>
      </c>
      <c r="Y678" s="504" t="b">
        <v>0</v>
      </c>
      <c r="Z678" s="119"/>
      <c r="AA678" s="505" t="b">
        <v>0</v>
      </c>
      <c r="AB678" s="504" t="b">
        <v>0</v>
      </c>
      <c r="AC678" s="121"/>
      <c r="AD678" s="505" t="b">
        <v>0</v>
      </c>
      <c r="AE678" s="504" t="b">
        <v>0</v>
      </c>
      <c r="AF678" s="125"/>
      <c r="AG678" s="505" t="b">
        <v>0</v>
      </c>
      <c r="AH678" s="504" t="b">
        <v>0</v>
      </c>
      <c r="AI678" s="105"/>
      <c r="AJ678" s="505" t="b">
        <v>0</v>
      </c>
      <c r="AK678" s="504" t="b">
        <v>0</v>
      </c>
      <c r="AL678" s="126"/>
      <c r="AM678" s="505" t="b">
        <v>0</v>
      </c>
      <c r="AN678" s="504" t="b">
        <v>0</v>
      </c>
      <c r="AO678" s="105"/>
      <c r="AP678" s="105"/>
      <c r="AQ678" s="105"/>
      <c r="AR678" s="105"/>
      <c r="AS678" s="105"/>
      <c r="AT678" s="105"/>
      <c r="AU678" s="105"/>
      <c r="AV678" s="105"/>
      <c r="AW678" s="105"/>
      <c r="AX678" s="105"/>
      <c r="AY678" s="105"/>
      <c r="AZ678" s="105"/>
      <c r="BA678" s="105"/>
    </row>
    <row r="679">
      <c r="A679" s="105"/>
      <c r="B679" s="105"/>
      <c r="C679" s="105"/>
      <c r="D679" s="105"/>
      <c r="E679" s="105"/>
      <c r="F679" s="105"/>
      <c r="G679" s="105"/>
      <c r="H679" s="105"/>
      <c r="I679" s="505" t="b">
        <v>0</v>
      </c>
      <c r="J679" s="507" t="b">
        <v>0</v>
      </c>
      <c r="K679" s="112"/>
      <c r="L679" s="505" t="b">
        <v>0</v>
      </c>
      <c r="M679" s="504" t="b">
        <v>0</v>
      </c>
      <c r="N679" s="112"/>
      <c r="O679" s="505" t="b">
        <v>0</v>
      </c>
      <c r="P679" s="504" t="b">
        <v>0</v>
      </c>
      <c r="Q679" s="116"/>
      <c r="R679" s="505" t="b">
        <v>0</v>
      </c>
      <c r="S679" s="504" t="b">
        <v>0</v>
      </c>
      <c r="T679" s="117"/>
      <c r="U679" s="505" t="b">
        <v>0</v>
      </c>
      <c r="V679" s="504" t="b">
        <v>0</v>
      </c>
      <c r="W679" s="118"/>
      <c r="X679" s="505" t="b">
        <v>0</v>
      </c>
      <c r="Y679" s="504" t="b">
        <v>0</v>
      </c>
      <c r="Z679" s="119"/>
      <c r="AA679" s="505" t="b">
        <v>0</v>
      </c>
      <c r="AB679" s="504" t="b">
        <v>0</v>
      </c>
      <c r="AC679" s="121"/>
      <c r="AD679" s="505" t="b">
        <v>0</v>
      </c>
      <c r="AE679" s="504" t="b">
        <v>0</v>
      </c>
      <c r="AF679" s="125"/>
      <c r="AG679" s="505" t="b">
        <v>0</v>
      </c>
      <c r="AH679" s="504" t="b">
        <v>0</v>
      </c>
      <c r="AI679" s="105"/>
      <c r="AJ679" s="505" t="b">
        <v>0</v>
      </c>
      <c r="AK679" s="504" t="b">
        <v>0</v>
      </c>
      <c r="AL679" s="126"/>
      <c r="AM679" s="505" t="b">
        <v>0</v>
      </c>
      <c r="AN679" s="504" t="b">
        <v>0</v>
      </c>
      <c r="AO679" s="105"/>
      <c r="AP679" s="105"/>
      <c r="AQ679" s="105"/>
      <c r="AR679" s="105"/>
      <c r="AS679" s="105"/>
      <c r="AT679" s="105"/>
      <c r="AU679" s="105"/>
      <c r="AV679" s="105"/>
      <c r="AW679" s="105"/>
      <c r="AX679" s="105"/>
      <c r="AY679" s="105"/>
      <c r="AZ679" s="105"/>
      <c r="BA679" s="105"/>
    </row>
    <row r="680">
      <c r="A680" s="105"/>
      <c r="B680" s="105"/>
      <c r="C680" s="105"/>
      <c r="D680" s="105"/>
      <c r="E680" s="105"/>
      <c r="F680" s="105"/>
      <c r="G680" s="105"/>
      <c r="H680" s="105"/>
      <c r="I680" s="505" t="b">
        <v>0</v>
      </c>
      <c r="J680" s="507" t="b">
        <v>0</v>
      </c>
      <c r="K680" s="112"/>
      <c r="L680" s="505" t="b">
        <v>0</v>
      </c>
      <c r="M680" s="504" t="b">
        <v>0</v>
      </c>
      <c r="N680" s="112"/>
      <c r="O680" s="505" t="b">
        <v>0</v>
      </c>
      <c r="P680" s="504" t="b">
        <v>0</v>
      </c>
      <c r="Q680" s="116"/>
      <c r="R680" s="505" t="b">
        <v>0</v>
      </c>
      <c r="S680" s="504" t="b">
        <v>0</v>
      </c>
      <c r="T680" s="117"/>
      <c r="U680" s="505" t="b">
        <v>0</v>
      </c>
      <c r="V680" s="504" t="b">
        <v>0</v>
      </c>
      <c r="W680" s="118"/>
      <c r="X680" s="505" t="b">
        <v>0</v>
      </c>
      <c r="Y680" s="504" t="b">
        <v>0</v>
      </c>
      <c r="Z680" s="119"/>
      <c r="AA680" s="505" t="b">
        <v>0</v>
      </c>
      <c r="AB680" s="504" t="b">
        <v>0</v>
      </c>
      <c r="AC680" s="121"/>
      <c r="AD680" s="505" t="b">
        <v>0</v>
      </c>
      <c r="AE680" s="504" t="b">
        <v>0</v>
      </c>
      <c r="AF680" s="125"/>
      <c r="AG680" s="505" t="b">
        <v>0</v>
      </c>
      <c r="AH680" s="504" t="b">
        <v>0</v>
      </c>
      <c r="AI680" s="105"/>
      <c r="AJ680" s="505" t="b">
        <v>0</v>
      </c>
      <c r="AK680" s="504" t="b">
        <v>0</v>
      </c>
      <c r="AL680" s="126"/>
      <c r="AM680" s="505" t="b">
        <v>0</v>
      </c>
      <c r="AN680" s="504" t="b">
        <v>0</v>
      </c>
      <c r="AO680" s="105"/>
      <c r="AP680" s="105"/>
      <c r="AQ680" s="105"/>
      <c r="AR680" s="105"/>
      <c r="AS680" s="105"/>
      <c r="AT680" s="105"/>
      <c r="AU680" s="105"/>
      <c r="AV680" s="105"/>
      <c r="AW680" s="105"/>
      <c r="AX680" s="105"/>
      <c r="AY680" s="105"/>
      <c r="AZ680" s="105"/>
      <c r="BA680" s="105"/>
    </row>
    <row r="681">
      <c r="A681" s="105"/>
      <c r="B681" s="105"/>
      <c r="C681" s="105"/>
      <c r="D681" s="105"/>
      <c r="E681" s="105"/>
      <c r="F681" s="105"/>
      <c r="G681" s="105"/>
      <c r="H681" s="105"/>
      <c r="I681" s="505" t="b">
        <v>0</v>
      </c>
      <c r="J681" s="507" t="b">
        <v>0</v>
      </c>
      <c r="K681" s="112"/>
      <c r="L681" s="505" t="b">
        <v>0</v>
      </c>
      <c r="M681" s="504" t="b">
        <v>0</v>
      </c>
      <c r="N681" s="112"/>
      <c r="O681" s="505" t="b">
        <v>0</v>
      </c>
      <c r="P681" s="504" t="b">
        <v>0</v>
      </c>
      <c r="Q681" s="116"/>
      <c r="R681" s="505" t="b">
        <v>0</v>
      </c>
      <c r="S681" s="504" t="b">
        <v>0</v>
      </c>
      <c r="T681" s="117"/>
      <c r="U681" s="505" t="b">
        <v>0</v>
      </c>
      <c r="V681" s="504" t="b">
        <v>0</v>
      </c>
      <c r="W681" s="118"/>
      <c r="X681" s="505" t="b">
        <v>0</v>
      </c>
      <c r="Y681" s="504" t="b">
        <v>0</v>
      </c>
      <c r="Z681" s="119"/>
      <c r="AA681" s="505" t="b">
        <v>0</v>
      </c>
      <c r="AB681" s="504" t="b">
        <v>0</v>
      </c>
      <c r="AC681" s="121"/>
      <c r="AD681" s="505" t="b">
        <v>0</v>
      </c>
      <c r="AE681" s="504" t="b">
        <v>0</v>
      </c>
      <c r="AF681" s="125"/>
      <c r="AG681" s="505" t="b">
        <v>0</v>
      </c>
      <c r="AH681" s="504" t="b">
        <v>0</v>
      </c>
      <c r="AI681" s="105"/>
      <c r="AJ681" s="505" t="b">
        <v>0</v>
      </c>
      <c r="AK681" s="504" t="b">
        <v>0</v>
      </c>
      <c r="AL681" s="126"/>
      <c r="AM681" s="505" t="b">
        <v>0</v>
      </c>
      <c r="AN681" s="504" t="b">
        <v>0</v>
      </c>
      <c r="AO681" s="105"/>
      <c r="AP681" s="105"/>
      <c r="AQ681" s="105"/>
      <c r="AR681" s="105"/>
      <c r="AS681" s="105"/>
      <c r="AT681" s="105"/>
      <c r="AU681" s="105"/>
      <c r="AV681" s="105"/>
      <c r="AW681" s="105"/>
      <c r="AX681" s="105"/>
      <c r="AY681" s="105"/>
      <c r="AZ681" s="105"/>
      <c r="BA681" s="105"/>
    </row>
    <row r="682">
      <c r="A682" s="105"/>
      <c r="B682" s="105"/>
      <c r="C682" s="105"/>
      <c r="D682" s="105"/>
      <c r="E682" s="105"/>
      <c r="F682" s="105"/>
      <c r="G682" s="105"/>
      <c r="H682" s="105"/>
      <c r="I682" s="505" t="b">
        <v>0</v>
      </c>
      <c r="J682" s="507" t="b">
        <v>0</v>
      </c>
      <c r="K682" s="112"/>
      <c r="L682" s="505" t="b">
        <v>0</v>
      </c>
      <c r="M682" s="504" t="b">
        <v>0</v>
      </c>
      <c r="N682" s="112"/>
      <c r="O682" s="505" t="b">
        <v>0</v>
      </c>
      <c r="P682" s="504" t="b">
        <v>0</v>
      </c>
      <c r="Q682" s="116"/>
      <c r="R682" s="505" t="b">
        <v>0</v>
      </c>
      <c r="S682" s="504" t="b">
        <v>0</v>
      </c>
      <c r="T682" s="117"/>
      <c r="U682" s="505" t="b">
        <v>0</v>
      </c>
      <c r="V682" s="504" t="b">
        <v>0</v>
      </c>
      <c r="W682" s="118"/>
      <c r="X682" s="505" t="b">
        <v>0</v>
      </c>
      <c r="Y682" s="504" t="b">
        <v>0</v>
      </c>
      <c r="Z682" s="119"/>
      <c r="AA682" s="505" t="b">
        <v>0</v>
      </c>
      <c r="AB682" s="504" t="b">
        <v>0</v>
      </c>
      <c r="AC682" s="121"/>
      <c r="AD682" s="505" t="b">
        <v>0</v>
      </c>
      <c r="AE682" s="504" t="b">
        <v>0</v>
      </c>
      <c r="AF682" s="125"/>
      <c r="AG682" s="505" t="b">
        <v>0</v>
      </c>
      <c r="AH682" s="504" t="b">
        <v>0</v>
      </c>
      <c r="AI682" s="105"/>
      <c r="AJ682" s="505" t="b">
        <v>0</v>
      </c>
      <c r="AK682" s="504" t="b">
        <v>0</v>
      </c>
      <c r="AL682" s="126"/>
      <c r="AM682" s="505" t="b">
        <v>0</v>
      </c>
      <c r="AN682" s="504" t="b">
        <v>0</v>
      </c>
      <c r="AO682" s="105"/>
      <c r="AP682" s="105"/>
      <c r="AQ682" s="105"/>
      <c r="AR682" s="105"/>
      <c r="AS682" s="105"/>
      <c r="AT682" s="105"/>
      <c r="AU682" s="105"/>
      <c r="AV682" s="105"/>
      <c r="AW682" s="105"/>
      <c r="AX682" s="105"/>
      <c r="AY682" s="105"/>
      <c r="AZ682" s="105"/>
      <c r="BA682" s="105"/>
    </row>
    <row r="683">
      <c r="A683" s="105"/>
      <c r="B683" s="105"/>
      <c r="C683" s="105"/>
      <c r="D683" s="105"/>
      <c r="E683" s="105"/>
      <c r="F683" s="105"/>
      <c r="G683" s="105"/>
      <c r="H683" s="105"/>
      <c r="I683" s="505" t="b">
        <v>0</v>
      </c>
      <c r="J683" s="507" t="b">
        <v>0</v>
      </c>
      <c r="K683" s="112"/>
      <c r="L683" s="505" t="b">
        <v>0</v>
      </c>
      <c r="M683" s="504" t="b">
        <v>0</v>
      </c>
      <c r="N683" s="112"/>
      <c r="O683" s="505" t="b">
        <v>0</v>
      </c>
      <c r="P683" s="504" t="b">
        <v>0</v>
      </c>
      <c r="Q683" s="116"/>
      <c r="R683" s="505" t="b">
        <v>0</v>
      </c>
      <c r="S683" s="504" t="b">
        <v>0</v>
      </c>
      <c r="T683" s="117"/>
      <c r="U683" s="505" t="b">
        <v>0</v>
      </c>
      <c r="V683" s="504" t="b">
        <v>0</v>
      </c>
      <c r="W683" s="118"/>
      <c r="X683" s="505" t="b">
        <v>0</v>
      </c>
      <c r="Y683" s="504" t="b">
        <v>0</v>
      </c>
      <c r="Z683" s="119"/>
      <c r="AA683" s="505" t="b">
        <v>0</v>
      </c>
      <c r="AB683" s="504" t="b">
        <v>0</v>
      </c>
      <c r="AC683" s="121"/>
      <c r="AD683" s="505" t="b">
        <v>0</v>
      </c>
      <c r="AE683" s="504" t="b">
        <v>0</v>
      </c>
      <c r="AF683" s="125"/>
      <c r="AG683" s="505" t="b">
        <v>0</v>
      </c>
      <c r="AH683" s="504" t="b">
        <v>0</v>
      </c>
      <c r="AI683" s="105"/>
      <c r="AJ683" s="505" t="b">
        <v>0</v>
      </c>
      <c r="AK683" s="504" t="b">
        <v>0</v>
      </c>
      <c r="AL683" s="126"/>
      <c r="AM683" s="505" t="b">
        <v>0</v>
      </c>
      <c r="AN683" s="504" t="b">
        <v>0</v>
      </c>
      <c r="AO683" s="105"/>
      <c r="AP683" s="105"/>
      <c r="AQ683" s="105"/>
      <c r="AR683" s="105"/>
      <c r="AS683" s="105"/>
      <c r="AT683" s="105"/>
      <c r="AU683" s="105"/>
      <c r="AV683" s="105"/>
      <c r="AW683" s="105"/>
      <c r="AX683" s="105"/>
      <c r="AY683" s="105"/>
      <c r="AZ683" s="105"/>
      <c r="BA683" s="105"/>
    </row>
    <row r="684">
      <c r="A684" s="105"/>
      <c r="B684" s="105"/>
      <c r="C684" s="105"/>
      <c r="D684" s="105"/>
      <c r="E684" s="105"/>
      <c r="F684" s="105"/>
      <c r="G684" s="105"/>
      <c r="H684" s="105"/>
      <c r="I684" s="505" t="b">
        <v>0</v>
      </c>
      <c r="J684" s="507" t="b">
        <v>0</v>
      </c>
      <c r="K684" s="112"/>
      <c r="L684" s="505" t="b">
        <v>0</v>
      </c>
      <c r="M684" s="504" t="b">
        <v>0</v>
      </c>
      <c r="N684" s="112"/>
      <c r="O684" s="505" t="b">
        <v>0</v>
      </c>
      <c r="P684" s="504" t="b">
        <v>0</v>
      </c>
      <c r="Q684" s="116"/>
      <c r="R684" s="505" t="b">
        <v>0</v>
      </c>
      <c r="S684" s="504" t="b">
        <v>0</v>
      </c>
      <c r="T684" s="117"/>
      <c r="U684" s="505" t="b">
        <v>0</v>
      </c>
      <c r="V684" s="504" t="b">
        <v>0</v>
      </c>
      <c r="W684" s="118"/>
      <c r="X684" s="505" t="b">
        <v>0</v>
      </c>
      <c r="Y684" s="504" t="b">
        <v>0</v>
      </c>
      <c r="Z684" s="119"/>
      <c r="AA684" s="505" t="b">
        <v>0</v>
      </c>
      <c r="AB684" s="504" t="b">
        <v>0</v>
      </c>
      <c r="AC684" s="121"/>
      <c r="AD684" s="505" t="b">
        <v>0</v>
      </c>
      <c r="AE684" s="504" t="b">
        <v>0</v>
      </c>
      <c r="AF684" s="125"/>
      <c r="AG684" s="505" t="b">
        <v>0</v>
      </c>
      <c r="AH684" s="504" t="b">
        <v>0</v>
      </c>
      <c r="AI684" s="105"/>
      <c r="AJ684" s="505" t="b">
        <v>0</v>
      </c>
      <c r="AK684" s="504" t="b">
        <v>0</v>
      </c>
      <c r="AL684" s="126"/>
      <c r="AM684" s="505" t="b">
        <v>0</v>
      </c>
      <c r="AN684" s="504" t="b">
        <v>0</v>
      </c>
      <c r="AO684" s="105"/>
      <c r="AP684" s="105"/>
      <c r="AQ684" s="105"/>
      <c r="AR684" s="105"/>
      <c r="AS684" s="105"/>
      <c r="AT684" s="105"/>
      <c r="AU684" s="105"/>
      <c r="AV684" s="105"/>
      <c r="AW684" s="105"/>
      <c r="AX684" s="105"/>
      <c r="AY684" s="105"/>
      <c r="AZ684" s="105"/>
      <c r="BA684" s="105"/>
    </row>
    <row r="685">
      <c r="A685" s="105"/>
      <c r="B685" s="105"/>
      <c r="C685" s="105"/>
      <c r="D685" s="105"/>
      <c r="E685" s="105"/>
      <c r="F685" s="105"/>
      <c r="G685" s="105"/>
      <c r="H685" s="105"/>
      <c r="I685" s="505" t="b">
        <v>0</v>
      </c>
      <c r="J685" s="507" t="b">
        <v>0</v>
      </c>
      <c r="K685" s="112"/>
      <c r="L685" s="505" t="b">
        <v>0</v>
      </c>
      <c r="M685" s="504" t="b">
        <v>0</v>
      </c>
      <c r="N685" s="112"/>
      <c r="O685" s="505" t="b">
        <v>0</v>
      </c>
      <c r="P685" s="504" t="b">
        <v>0</v>
      </c>
      <c r="Q685" s="116"/>
      <c r="R685" s="505" t="b">
        <v>0</v>
      </c>
      <c r="S685" s="504" t="b">
        <v>0</v>
      </c>
      <c r="T685" s="117"/>
      <c r="U685" s="505" t="b">
        <v>0</v>
      </c>
      <c r="V685" s="504" t="b">
        <v>0</v>
      </c>
      <c r="W685" s="118"/>
      <c r="X685" s="505" t="b">
        <v>0</v>
      </c>
      <c r="Y685" s="504" t="b">
        <v>0</v>
      </c>
      <c r="Z685" s="119"/>
      <c r="AA685" s="505" t="b">
        <v>0</v>
      </c>
      <c r="AB685" s="504" t="b">
        <v>0</v>
      </c>
      <c r="AC685" s="121"/>
      <c r="AD685" s="505" t="b">
        <v>0</v>
      </c>
      <c r="AE685" s="504" t="b">
        <v>0</v>
      </c>
      <c r="AF685" s="125"/>
      <c r="AG685" s="505" t="b">
        <v>0</v>
      </c>
      <c r="AH685" s="504" t="b">
        <v>0</v>
      </c>
      <c r="AI685" s="105"/>
      <c r="AJ685" s="505" t="b">
        <v>0</v>
      </c>
      <c r="AK685" s="504" t="b">
        <v>0</v>
      </c>
      <c r="AL685" s="126"/>
      <c r="AM685" s="505" t="b">
        <v>0</v>
      </c>
      <c r="AN685" s="504" t="b">
        <v>0</v>
      </c>
      <c r="AO685" s="105"/>
      <c r="AP685" s="105"/>
      <c r="AQ685" s="105"/>
      <c r="AR685" s="105"/>
      <c r="AS685" s="105"/>
      <c r="AT685" s="105"/>
      <c r="AU685" s="105"/>
      <c r="AV685" s="105"/>
      <c r="AW685" s="105"/>
      <c r="AX685" s="105"/>
      <c r="AY685" s="105"/>
      <c r="AZ685" s="105"/>
      <c r="BA685" s="105"/>
    </row>
    <row r="686">
      <c r="A686" s="105"/>
      <c r="B686" s="105"/>
      <c r="C686" s="105"/>
      <c r="D686" s="105"/>
      <c r="E686" s="105"/>
      <c r="F686" s="105"/>
      <c r="G686" s="105"/>
      <c r="H686" s="105"/>
      <c r="I686" s="505" t="b">
        <v>0</v>
      </c>
      <c r="J686" s="507" t="b">
        <v>0</v>
      </c>
      <c r="K686" s="112"/>
      <c r="L686" s="505" t="b">
        <v>0</v>
      </c>
      <c r="M686" s="504" t="b">
        <v>0</v>
      </c>
      <c r="N686" s="112"/>
      <c r="O686" s="505" t="b">
        <v>0</v>
      </c>
      <c r="P686" s="504" t="b">
        <v>0</v>
      </c>
      <c r="Q686" s="116"/>
      <c r="R686" s="505" t="b">
        <v>0</v>
      </c>
      <c r="S686" s="504" t="b">
        <v>0</v>
      </c>
      <c r="T686" s="117"/>
      <c r="U686" s="505" t="b">
        <v>0</v>
      </c>
      <c r="V686" s="504" t="b">
        <v>0</v>
      </c>
      <c r="W686" s="118"/>
      <c r="X686" s="505" t="b">
        <v>0</v>
      </c>
      <c r="Y686" s="504" t="b">
        <v>0</v>
      </c>
      <c r="Z686" s="119"/>
      <c r="AA686" s="505" t="b">
        <v>0</v>
      </c>
      <c r="AB686" s="504" t="b">
        <v>0</v>
      </c>
      <c r="AC686" s="121"/>
      <c r="AD686" s="505" t="b">
        <v>0</v>
      </c>
      <c r="AE686" s="504" t="b">
        <v>0</v>
      </c>
      <c r="AF686" s="125"/>
      <c r="AG686" s="505" t="b">
        <v>0</v>
      </c>
      <c r="AH686" s="504" t="b">
        <v>0</v>
      </c>
      <c r="AI686" s="105"/>
      <c r="AJ686" s="505" t="b">
        <v>0</v>
      </c>
      <c r="AK686" s="504" t="b">
        <v>0</v>
      </c>
      <c r="AL686" s="126"/>
      <c r="AM686" s="505" t="b">
        <v>0</v>
      </c>
      <c r="AN686" s="504" t="b">
        <v>0</v>
      </c>
      <c r="AO686" s="105"/>
      <c r="AP686" s="105"/>
      <c r="AQ686" s="105"/>
      <c r="AR686" s="105"/>
      <c r="AS686" s="105"/>
      <c r="AT686" s="105"/>
      <c r="AU686" s="105"/>
      <c r="AV686" s="105"/>
      <c r="AW686" s="105"/>
      <c r="AX686" s="105"/>
      <c r="AY686" s="105"/>
      <c r="AZ686" s="105"/>
      <c r="BA686" s="105"/>
    </row>
    <row r="687">
      <c r="A687" s="105"/>
      <c r="B687" s="105"/>
      <c r="C687" s="105"/>
      <c r="D687" s="105"/>
      <c r="E687" s="105"/>
      <c r="F687" s="105"/>
      <c r="G687" s="105"/>
      <c r="H687" s="105"/>
      <c r="I687" s="505" t="b">
        <v>0</v>
      </c>
      <c r="J687" s="507" t="b">
        <v>0</v>
      </c>
      <c r="K687" s="112"/>
      <c r="L687" s="505" t="b">
        <v>0</v>
      </c>
      <c r="M687" s="504" t="b">
        <v>0</v>
      </c>
      <c r="N687" s="112"/>
      <c r="O687" s="505" t="b">
        <v>0</v>
      </c>
      <c r="P687" s="504" t="b">
        <v>0</v>
      </c>
      <c r="Q687" s="116"/>
      <c r="R687" s="505" t="b">
        <v>0</v>
      </c>
      <c r="S687" s="504" t="b">
        <v>0</v>
      </c>
      <c r="T687" s="117"/>
      <c r="U687" s="505" t="b">
        <v>0</v>
      </c>
      <c r="V687" s="504" t="b">
        <v>0</v>
      </c>
      <c r="W687" s="118"/>
      <c r="X687" s="505" t="b">
        <v>0</v>
      </c>
      <c r="Y687" s="504" t="b">
        <v>0</v>
      </c>
      <c r="Z687" s="119"/>
      <c r="AA687" s="505" t="b">
        <v>0</v>
      </c>
      <c r="AB687" s="504" t="b">
        <v>0</v>
      </c>
      <c r="AC687" s="121"/>
      <c r="AD687" s="505" t="b">
        <v>0</v>
      </c>
      <c r="AE687" s="504" t="b">
        <v>0</v>
      </c>
      <c r="AF687" s="125"/>
      <c r="AG687" s="505" t="b">
        <v>0</v>
      </c>
      <c r="AH687" s="504" t="b">
        <v>0</v>
      </c>
      <c r="AI687" s="105"/>
      <c r="AJ687" s="505" t="b">
        <v>0</v>
      </c>
      <c r="AK687" s="504" t="b">
        <v>0</v>
      </c>
      <c r="AL687" s="126"/>
      <c r="AM687" s="505" t="b">
        <v>0</v>
      </c>
      <c r="AN687" s="504" t="b">
        <v>0</v>
      </c>
      <c r="AO687" s="105"/>
      <c r="AP687" s="105"/>
      <c r="AQ687" s="105"/>
      <c r="AR687" s="105"/>
      <c r="AS687" s="105"/>
      <c r="AT687" s="105"/>
      <c r="AU687" s="105"/>
      <c r="AV687" s="105"/>
      <c r="AW687" s="105"/>
      <c r="AX687" s="105"/>
      <c r="AY687" s="105"/>
      <c r="AZ687" s="105"/>
      <c r="BA687" s="105"/>
    </row>
    <row r="688">
      <c r="A688" s="105"/>
      <c r="B688" s="105"/>
      <c r="C688" s="105"/>
      <c r="D688" s="105"/>
      <c r="E688" s="105"/>
      <c r="F688" s="105"/>
      <c r="G688" s="105"/>
      <c r="H688" s="105"/>
      <c r="I688" s="505" t="b">
        <v>0</v>
      </c>
      <c r="J688" s="507" t="b">
        <v>0</v>
      </c>
      <c r="K688" s="112"/>
      <c r="L688" s="505" t="b">
        <v>0</v>
      </c>
      <c r="M688" s="504" t="b">
        <v>0</v>
      </c>
      <c r="N688" s="112"/>
      <c r="O688" s="505" t="b">
        <v>0</v>
      </c>
      <c r="P688" s="504" t="b">
        <v>0</v>
      </c>
      <c r="Q688" s="116"/>
      <c r="R688" s="505" t="b">
        <v>0</v>
      </c>
      <c r="S688" s="504" t="b">
        <v>0</v>
      </c>
      <c r="T688" s="117"/>
      <c r="U688" s="505" t="b">
        <v>0</v>
      </c>
      <c r="V688" s="504" t="b">
        <v>0</v>
      </c>
      <c r="W688" s="118"/>
      <c r="X688" s="505" t="b">
        <v>0</v>
      </c>
      <c r="Y688" s="504" t="b">
        <v>0</v>
      </c>
      <c r="Z688" s="119"/>
      <c r="AA688" s="505" t="b">
        <v>0</v>
      </c>
      <c r="AB688" s="504" t="b">
        <v>0</v>
      </c>
      <c r="AC688" s="121"/>
      <c r="AD688" s="505" t="b">
        <v>0</v>
      </c>
      <c r="AE688" s="504" t="b">
        <v>0</v>
      </c>
      <c r="AF688" s="125"/>
      <c r="AG688" s="505" t="b">
        <v>0</v>
      </c>
      <c r="AH688" s="504" t="b">
        <v>0</v>
      </c>
      <c r="AI688" s="105"/>
      <c r="AJ688" s="505" t="b">
        <v>0</v>
      </c>
      <c r="AK688" s="504" t="b">
        <v>0</v>
      </c>
      <c r="AL688" s="126"/>
      <c r="AM688" s="505" t="b">
        <v>0</v>
      </c>
      <c r="AN688" s="504" t="b">
        <v>0</v>
      </c>
      <c r="AO688" s="105"/>
      <c r="AP688" s="105"/>
      <c r="AQ688" s="105"/>
      <c r="AR688" s="105"/>
      <c r="AS688" s="105"/>
      <c r="AT688" s="105"/>
      <c r="AU688" s="105"/>
      <c r="AV688" s="105"/>
      <c r="AW688" s="105"/>
      <c r="AX688" s="105"/>
      <c r="AY688" s="105"/>
      <c r="AZ688" s="105"/>
      <c r="BA688" s="105"/>
    </row>
    <row r="689">
      <c r="A689" s="105"/>
      <c r="B689" s="105"/>
      <c r="C689" s="105"/>
      <c r="D689" s="105"/>
      <c r="E689" s="105"/>
      <c r="F689" s="105"/>
      <c r="G689" s="105"/>
      <c r="H689" s="105"/>
      <c r="I689" s="505" t="b">
        <v>0</v>
      </c>
      <c r="J689" s="507" t="b">
        <v>0</v>
      </c>
      <c r="K689" s="112"/>
      <c r="L689" s="505" t="b">
        <v>0</v>
      </c>
      <c r="M689" s="504" t="b">
        <v>0</v>
      </c>
      <c r="N689" s="112"/>
      <c r="O689" s="505" t="b">
        <v>0</v>
      </c>
      <c r="P689" s="504" t="b">
        <v>0</v>
      </c>
      <c r="Q689" s="116"/>
      <c r="R689" s="505" t="b">
        <v>0</v>
      </c>
      <c r="S689" s="504" t="b">
        <v>0</v>
      </c>
      <c r="T689" s="117"/>
      <c r="U689" s="505" t="b">
        <v>0</v>
      </c>
      <c r="V689" s="504" t="b">
        <v>0</v>
      </c>
      <c r="W689" s="118"/>
      <c r="X689" s="505" t="b">
        <v>0</v>
      </c>
      <c r="Y689" s="504" t="b">
        <v>0</v>
      </c>
      <c r="Z689" s="119"/>
      <c r="AA689" s="505" t="b">
        <v>0</v>
      </c>
      <c r="AB689" s="504" t="b">
        <v>0</v>
      </c>
      <c r="AC689" s="121"/>
      <c r="AD689" s="505" t="b">
        <v>0</v>
      </c>
      <c r="AE689" s="504" t="b">
        <v>0</v>
      </c>
      <c r="AF689" s="125"/>
      <c r="AG689" s="505" t="b">
        <v>0</v>
      </c>
      <c r="AH689" s="504" t="b">
        <v>0</v>
      </c>
      <c r="AI689" s="105"/>
      <c r="AJ689" s="505" t="b">
        <v>0</v>
      </c>
      <c r="AK689" s="504" t="b">
        <v>0</v>
      </c>
      <c r="AL689" s="126"/>
      <c r="AM689" s="505" t="b">
        <v>0</v>
      </c>
      <c r="AN689" s="504" t="b">
        <v>0</v>
      </c>
      <c r="AO689" s="105"/>
      <c r="AP689" s="105"/>
      <c r="AQ689" s="105"/>
      <c r="AR689" s="105"/>
      <c r="AS689" s="105"/>
      <c r="AT689" s="105"/>
      <c r="AU689" s="105"/>
      <c r="AV689" s="105"/>
      <c r="AW689" s="105"/>
      <c r="AX689" s="105"/>
      <c r="AY689" s="105"/>
      <c r="AZ689" s="105"/>
      <c r="BA689" s="105"/>
    </row>
    <row r="690">
      <c r="A690" s="105"/>
      <c r="B690" s="105"/>
      <c r="C690" s="105"/>
      <c r="D690" s="105"/>
      <c r="E690" s="105"/>
      <c r="F690" s="105"/>
      <c r="G690" s="105"/>
      <c r="H690" s="105"/>
      <c r="I690" s="505" t="b">
        <v>0</v>
      </c>
      <c r="J690" s="507" t="b">
        <v>0</v>
      </c>
      <c r="K690" s="112"/>
      <c r="L690" s="505" t="b">
        <v>0</v>
      </c>
      <c r="M690" s="504" t="b">
        <v>0</v>
      </c>
      <c r="N690" s="112"/>
      <c r="O690" s="505" t="b">
        <v>0</v>
      </c>
      <c r="P690" s="504" t="b">
        <v>0</v>
      </c>
      <c r="Q690" s="116"/>
      <c r="R690" s="505" t="b">
        <v>0</v>
      </c>
      <c r="S690" s="504" t="b">
        <v>0</v>
      </c>
      <c r="T690" s="117"/>
      <c r="U690" s="505" t="b">
        <v>0</v>
      </c>
      <c r="V690" s="504" t="b">
        <v>0</v>
      </c>
      <c r="W690" s="118"/>
      <c r="X690" s="505" t="b">
        <v>0</v>
      </c>
      <c r="Y690" s="504" t="b">
        <v>0</v>
      </c>
      <c r="Z690" s="119"/>
      <c r="AA690" s="505" t="b">
        <v>0</v>
      </c>
      <c r="AB690" s="504" t="b">
        <v>0</v>
      </c>
      <c r="AC690" s="121"/>
      <c r="AD690" s="505" t="b">
        <v>0</v>
      </c>
      <c r="AE690" s="504" t="b">
        <v>0</v>
      </c>
      <c r="AF690" s="125"/>
      <c r="AG690" s="505" t="b">
        <v>0</v>
      </c>
      <c r="AH690" s="504" t="b">
        <v>0</v>
      </c>
      <c r="AI690" s="105"/>
      <c r="AJ690" s="505" t="b">
        <v>0</v>
      </c>
      <c r="AK690" s="504" t="b">
        <v>0</v>
      </c>
      <c r="AL690" s="126"/>
      <c r="AM690" s="505" t="b">
        <v>0</v>
      </c>
      <c r="AN690" s="504" t="b">
        <v>0</v>
      </c>
      <c r="AO690" s="105"/>
      <c r="AP690" s="105"/>
      <c r="AQ690" s="105"/>
      <c r="AR690" s="105"/>
      <c r="AS690" s="105"/>
      <c r="AT690" s="105"/>
      <c r="AU690" s="105"/>
      <c r="AV690" s="105"/>
      <c r="AW690" s="105"/>
      <c r="AX690" s="105"/>
      <c r="AY690" s="105"/>
      <c r="AZ690" s="105"/>
      <c r="BA690" s="105"/>
    </row>
    <row r="691">
      <c r="A691" s="105"/>
      <c r="B691" s="105"/>
      <c r="C691" s="105"/>
      <c r="D691" s="105"/>
      <c r="E691" s="105"/>
      <c r="F691" s="105"/>
      <c r="G691" s="105"/>
      <c r="H691" s="105"/>
      <c r="I691" s="505" t="b">
        <v>0</v>
      </c>
      <c r="J691" s="507" t="b">
        <v>0</v>
      </c>
      <c r="K691" s="112"/>
      <c r="L691" s="505" t="b">
        <v>0</v>
      </c>
      <c r="M691" s="504" t="b">
        <v>0</v>
      </c>
      <c r="N691" s="112"/>
      <c r="O691" s="505" t="b">
        <v>0</v>
      </c>
      <c r="P691" s="504" t="b">
        <v>0</v>
      </c>
      <c r="Q691" s="116"/>
      <c r="R691" s="505" t="b">
        <v>0</v>
      </c>
      <c r="S691" s="504" t="b">
        <v>0</v>
      </c>
      <c r="T691" s="117"/>
      <c r="U691" s="505" t="b">
        <v>0</v>
      </c>
      <c r="V691" s="504" t="b">
        <v>0</v>
      </c>
      <c r="W691" s="118"/>
      <c r="X691" s="505" t="b">
        <v>0</v>
      </c>
      <c r="Y691" s="504" t="b">
        <v>0</v>
      </c>
      <c r="Z691" s="119"/>
      <c r="AA691" s="505" t="b">
        <v>0</v>
      </c>
      <c r="AB691" s="504" t="b">
        <v>0</v>
      </c>
      <c r="AC691" s="121"/>
      <c r="AD691" s="505" t="b">
        <v>0</v>
      </c>
      <c r="AE691" s="504" t="b">
        <v>0</v>
      </c>
      <c r="AF691" s="125"/>
      <c r="AG691" s="505" t="b">
        <v>0</v>
      </c>
      <c r="AH691" s="504" t="b">
        <v>0</v>
      </c>
      <c r="AI691" s="105"/>
      <c r="AJ691" s="505" t="b">
        <v>0</v>
      </c>
      <c r="AK691" s="504" t="b">
        <v>0</v>
      </c>
      <c r="AL691" s="126"/>
      <c r="AM691" s="505" t="b">
        <v>0</v>
      </c>
      <c r="AN691" s="504" t="b">
        <v>0</v>
      </c>
      <c r="AO691" s="105"/>
      <c r="AP691" s="105"/>
      <c r="AQ691" s="105"/>
      <c r="AR691" s="105"/>
      <c r="AS691" s="105"/>
      <c r="AT691" s="105"/>
      <c r="AU691" s="105"/>
      <c r="AV691" s="105"/>
      <c r="AW691" s="105"/>
      <c r="AX691" s="105"/>
      <c r="AY691" s="105"/>
      <c r="AZ691" s="105"/>
      <c r="BA691" s="105"/>
    </row>
    <row r="692">
      <c r="A692" s="105"/>
      <c r="B692" s="105"/>
      <c r="C692" s="105"/>
      <c r="D692" s="105"/>
      <c r="E692" s="105"/>
      <c r="F692" s="105"/>
      <c r="G692" s="105"/>
      <c r="H692" s="105"/>
      <c r="I692" s="505" t="b">
        <v>0</v>
      </c>
      <c r="J692" s="507" t="b">
        <v>0</v>
      </c>
      <c r="K692" s="112"/>
      <c r="L692" s="505" t="b">
        <v>0</v>
      </c>
      <c r="M692" s="504" t="b">
        <v>0</v>
      </c>
      <c r="N692" s="112"/>
      <c r="O692" s="505" t="b">
        <v>0</v>
      </c>
      <c r="P692" s="504" t="b">
        <v>0</v>
      </c>
      <c r="Q692" s="116"/>
      <c r="R692" s="505" t="b">
        <v>0</v>
      </c>
      <c r="S692" s="504" t="b">
        <v>0</v>
      </c>
      <c r="T692" s="117"/>
      <c r="U692" s="505" t="b">
        <v>0</v>
      </c>
      <c r="V692" s="504" t="b">
        <v>0</v>
      </c>
      <c r="W692" s="118"/>
      <c r="X692" s="505" t="b">
        <v>0</v>
      </c>
      <c r="Y692" s="504" t="b">
        <v>0</v>
      </c>
      <c r="Z692" s="119"/>
      <c r="AA692" s="505" t="b">
        <v>0</v>
      </c>
      <c r="AB692" s="504" t="b">
        <v>0</v>
      </c>
      <c r="AC692" s="121"/>
      <c r="AD692" s="505" t="b">
        <v>0</v>
      </c>
      <c r="AE692" s="504" t="b">
        <v>0</v>
      </c>
      <c r="AF692" s="125"/>
      <c r="AG692" s="505" t="b">
        <v>0</v>
      </c>
      <c r="AH692" s="504" t="b">
        <v>0</v>
      </c>
      <c r="AI692" s="105"/>
      <c r="AJ692" s="505" t="b">
        <v>0</v>
      </c>
      <c r="AK692" s="504" t="b">
        <v>0</v>
      </c>
      <c r="AL692" s="126"/>
      <c r="AM692" s="505" t="b">
        <v>0</v>
      </c>
      <c r="AN692" s="504" t="b">
        <v>0</v>
      </c>
      <c r="AO692" s="105"/>
      <c r="AP692" s="105"/>
      <c r="AQ692" s="105"/>
      <c r="AR692" s="105"/>
      <c r="AS692" s="105"/>
      <c r="AT692" s="105"/>
      <c r="AU692" s="105"/>
      <c r="AV692" s="105"/>
      <c r="AW692" s="105"/>
      <c r="AX692" s="105"/>
      <c r="AY692" s="105"/>
      <c r="AZ692" s="105"/>
      <c r="BA692" s="105"/>
    </row>
    <row r="693">
      <c r="A693" s="105"/>
      <c r="B693" s="105"/>
      <c r="C693" s="105"/>
      <c r="D693" s="105"/>
      <c r="E693" s="105"/>
      <c r="F693" s="105"/>
      <c r="G693" s="105"/>
      <c r="H693" s="105"/>
      <c r="I693" s="505" t="b">
        <v>0</v>
      </c>
      <c r="J693" s="507" t="b">
        <v>0</v>
      </c>
      <c r="K693" s="112"/>
      <c r="L693" s="505" t="b">
        <v>0</v>
      </c>
      <c r="M693" s="504" t="b">
        <v>0</v>
      </c>
      <c r="N693" s="112"/>
      <c r="O693" s="505" t="b">
        <v>0</v>
      </c>
      <c r="P693" s="504" t="b">
        <v>0</v>
      </c>
      <c r="Q693" s="116"/>
      <c r="R693" s="505" t="b">
        <v>0</v>
      </c>
      <c r="S693" s="504" t="b">
        <v>0</v>
      </c>
      <c r="T693" s="117"/>
      <c r="U693" s="505" t="b">
        <v>0</v>
      </c>
      <c r="V693" s="504" t="b">
        <v>0</v>
      </c>
      <c r="W693" s="118"/>
      <c r="X693" s="505" t="b">
        <v>0</v>
      </c>
      <c r="Y693" s="504" t="b">
        <v>0</v>
      </c>
      <c r="Z693" s="119"/>
      <c r="AA693" s="505" t="b">
        <v>0</v>
      </c>
      <c r="AB693" s="504" t="b">
        <v>0</v>
      </c>
      <c r="AC693" s="121"/>
      <c r="AD693" s="505" t="b">
        <v>0</v>
      </c>
      <c r="AE693" s="504" t="b">
        <v>0</v>
      </c>
      <c r="AF693" s="125"/>
      <c r="AG693" s="505" t="b">
        <v>0</v>
      </c>
      <c r="AH693" s="504" t="b">
        <v>0</v>
      </c>
      <c r="AI693" s="105"/>
      <c r="AJ693" s="505" t="b">
        <v>0</v>
      </c>
      <c r="AK693" s="504" t="b">
        <v>0</v>
      </c>
      <c r="AL693" s="126"/>
      <c r="AM693" s="505" t="b">
        <v>0</v>
      </c>
      <c r="AN693" s="504" t="b">
        <v>0</v>
      </c>
      <c r="AO693" s="105"/>
      <c r="AP693" s="105"/>
      <c r="AQ693" s="105"/>
      <c r="AR693" s="105"/>
      <c r="AS693" s="105"/>
      <c r="AT693" s="105"/>
      <c r="AU693" s="105"/>
      <c r="AV693" s="105"/>
      <c r="AW693" s="105"/>
      <c r="AX693" s="105"/>
      <c r="AY693" s="105"/>
      <c r="AZ693" s="105"/>
      <c r="BA693" s="105"/>
    </row>
    <row r="694">
      <c r="A694" s="105"/>
      <c r="B694" s="105"/>
      <c r="C694" s="105"/>
      <c r="D694" s="105"/>
      <c r="E694" s="105"/>
      <c r="F694" s="105"/>
      <c r="G694" s="105"/>
      <c r="H694" s="105"/>
      <c r="I694" s="505" t="b">
        <v>0</v>
      </c>
      <c r="J694" s="507" t="b">
        <v>0</v>
      </c>
      <c r="K694" s="112"/>
      <c r="L694" s="505" t="b">
        <v>0</v>
      </c>
      <c r="M694" s="504" t="b">
        <v>0</v>
      </c>
      <c r="N694" s="112"/>
      <c r="O694" s="505" t="b">
        <v>0</v>
      </c>
      <c r="P694" s="504" t="b">
        <v>0</v>
      </c>
      <c r="Q694" s="116"/>
      <c r="R694" s="505" t="b">
        <v>0</v>
      </c>
      <c r="S694" s="504" t="b">
        <v>0</v>
      </c>
      <c r="T694" s="117"/>
      <c r="U694" s="505" t="b">
        <v>0</v>
      </c>
      <c r="V694" s="504" t="b">
        <v>0</v>
      </c>
      <c r="W694" s="118"/>
      <c r="X694" s="505" t="b">
        <v>0</v>
      </c>
      <c r="Y694" s="504" t="b">
        <v>0</v>
      </c>
      <c r="Z694" s="119"/>
      <c r="AA694" s="505" t="b">
        <v>0</v>
      </c>
      <c r="AB694" s="504" t="b">
        <v>0</v>
      </c>
      <c r="AC694" s="121"/>
      <c r="AD694" s="505" t="b">
        <v>0</v>
      </c>
      <c r="AE694" s="504" t="b">
        <v>0</v>
      </c>
      <c r="AF694" s="125"/>
      <c r="AG694" s="505" t="b">
        <v>0</v>
      </c>
      <c r="AH694" s="504" t="b">
        <v>0</v>
      </c>
      <c r="AI694" s="105"/>
      <c r="AJ694" s="505" t="b">
        <v>0</v>
      </c>
      <c r="AK694" s="504" t="b">
        <v>0</v>
      </c>
      <c r="AL694" s="126"/>
      <c r="AM694" s="505" t="b">
        <v>0</v>
      </c>
      <c r="AN694" s="504" t="b">
        <v>0</v>
      </c>
      <c r="AO694" s="105"/>
      <c r="AP694" s="105"/>
      <c r="AQ694" s="105"/>
      <c r="AR694" s="105"/>
      <c r="AS694" s="105"/>
      <c r="AT694" s="105"/>
      <c r="AU694" s="105"/>
      <c r="AV694" s="105"/>
      <c r="AW694" s="105"/>
      <c r="AX694" s="105"/>
      <c r="AY694" s="105"/>
      <c r="AZ694" s="105"/>
      <c r="BA694" s="105"/>
    </row>
    <row r="695">
      <c r="A695" s="105"/>
      <c r="B695" s="105"/>
      <c r="C695" s="105"/>
      <c r="D695" s="105"/>
      <c r="E695" s="105"/>
      <c r="F695" s="105"/>
      <c r="G695" s="105"/>
      <c r="H695" s="105"/>
      <c r="I695" s="505" t="b">
        <v>0</v>
      </c>
      <c r="J695" s="507" t="b">
        <v>0</v>
      </c>
      <c r="K695" s="112"/>
      <c r="L695" s="505" t="b">
        <v>0</v>
      </c>
      <c r="M695" s="504" t="b">
        <v>0</v>
      </c>
      <c r="N695" s="112"/>
      <c r="O695" s="505" t="b">
        <v>0</v>
      </c>
      <c r="P695" s="504" t="b">
        <v>0</v>
      </c>
      <c r="Q695" s="116"/>
      <c r="R695" s="505" t="b">
        <v>0</v>
      </c>
      <c r="S695" s="504" t="b">
        <v>0</v>
      </c>
      <c r="T695" s="117"/>
      <c r="U695" s="505" t="b">
        <v>0</v>
      </c>
      <c r="V695" s="504" t="b">
        <v>0</v>
      </c>
      <c r="W695" s="118"/>
      <c r="X695" s="505" t="b">
        <v>0</v>
      </c>
      <c r="Y695" s="504" t="b">
        <v>0</v>
      </c>
      <c r="Z695" s="119"/>
      <c r="AA695" s="505" t="b">
        <v>0</v>
      </c>
      <c r="AB695" s="504" t="b">
        <v>0</v>
      </c>
      <c r="AC695" s="121"/>
      <c r="AD695" s="505" t="b">
        <v>0</v>
      </c>
      <c r="AE695" s="504" t="b">
        <v>0</v>
      </c>
      <c r="AF695" s="125"/>
      <c r="AG695" s="505" t="b">
        <v>0</v>
      </c>
      <c r="AH695" s="504" t="b">
        <v>0</v>
      </c>
      <c r="AI695" s="105"/>
      <c r="AJ695" s="505" t="b">
        <v>0</v>
      </c>
      <c r="AK695" s="504" t="b">
        <v>0</v>
      </c>
      <c r="AL695" s="126"/>
      <c r="AM695" s="505" t="b">
        <v>0</v>
      </c>
      <c r="AN695" s="504" t="b">
        <v>0</v>
      </c>
      <c r="AO695" s="105"/>
      <c r="AP695" s="105"/>
      <c r="AQ695" s="105"/>
      <c r="AR695" s="105"/>
      <c r="AS695" s="105"/>
      <c r="AT695" s="105"/>
      <c r="AU695" s="105"/>
      <c r="AV695" s="105"/>
      <c r="AW695" s="105"/>
      <c r="AX695" s="105"/>
      <c r="AY695" s="105"/>
      <c r="AZ695" s="105"/>
      <c r="BA695" s="105"/>
    </row>
    <row r="696">
      <c r="A696" s="105"/>
      <c r="B696" s="105"/>
      <c r="C696" s="105"/>
      <c r="D696" s="105"/>
      <c r="E696" s="105"/>
      <c r="F696" s="105"/>
      <c r="G696" s="105"/>
      <c r="H696" s="105"/>
      <c r="I696" s="505" t="b">
        <v>0</v>
      </c>
      <c r="J696" s="507" t="b">
        <v>0</v>
      </c>
      <c r="K696" s="112"/>
      <c r="L696" s="505" t="b">
        <v>0</v>
      </c>
      <c r="M696" s="504" t="b">
        <v>0</v>
      </c>
      <c r="N696" s="112"/>
      <c r="O696" s="505" t="b">
        <v>0</v>
      </c>
      <c r="P696" s="504" t="b">
        <v>0</v>
      </c>
      <c r="Q696" s="116"/>
      <c r="R696" s="505" t="b">
        <v>0</v>
      </c>
      <c r="S696" s="504" t="b">
        <v>0</v>
      </c>
      <c r="T696" s="117"/>
      <c r="U696" s="505" t="b">
        <v>0</v>
      </c>
      <c r="V696" s="504" t="b">
        <v>0</v>
      </c>
      <c r="W696" s="118"/>
      <c r="X696" s="505" t="b">
        <v>0</v>
      </c>
      <c r="Y696" s="504" t="b">
        <v>0</v>
      </c>
      <c r="Z696" s="119"/>
      <c r="AA696" s="505" t="b">
        <v>0</v>
      </c>
      <c r="AB696" s="504" t="b">
        <v>0</v>
      </c>
      <c r="AC696" s="121"/>
      <c r="AD696" s="505" t="b">
        <v>0</v>
      </c>
      <c r="AE696" s="504" t="b">
        <v>0</v>
      </c>
      <c r="AF696" s="125"/>
      <c r="AG696" s="505" t="b">
        <v>0</v>
      </c>
      <c r="AH696" s="504" t="b">
        <v>0</v>
      </c>
      <c r="AI696" s="105"/>
      <c r="AJ696" s="505" t="b">
        <v>0</v>
      </c>
      <c r="AK696" s="504" t="b">
        <v>0</v>
      </c>
      <c r="AL696" s="126"/>
      <c r="AM696" s="505" t="b">
        <v>0</v>
      </c>
      <c r="AN696" s="504" t="b">
        <v>0</v>
      </c>
      <c r="AO696" s="105"/>
      <c r="AP696" s="105"/>
      <c r="AQ696" s="105"/>
      <c r="AR696" s="105"/>
      <c r="AS696" s="105"/>
      <c r="AT696" s="105"/>
      <c r="AU696" s="105"/>
      <c r="AV696" s="105"/>
      <c r="AW696" s="105"/>
      <c r="AX696" s="105"/>
      <c r="AY696" s="105"/>
      <c r="AZ696" s="105"/>
      <c r="BA696" s="105"/>
    </row>
    <row r="697">
      <c r="A697" s="105"/>
      <c r="B697" s="105"/>
      <c r="C697" s="105"/>
      <c r="D697" s="105"/>
      <c r="E697" s="105"/>
      <c r="F697" s="105"/>
      <c r="G697" s="105"/>
      <c r="H697" s="105"/>
      <c r="I697" s="505" t="b">
        <v>0</v>
      </c>
      <c r="J697" s="507" t="b">
        <v>0</v>
      </c>
      <c r="K697" s="112"/>
      <c r="L697" s="505" t="b">
        <v>0</v>
      </c>
      <c r="M697" s="504" t="b">
        <v>0</v>
      </c>
      <c r="N697" s="112"/>
      <c r="O697" s="505" t="b">
        <v>0</v>
      </c>
      <c r="P697" s="504" t="b">
        <v>0</v>
      </c>
      <c r="Q697" s="116"/>
      <c r="R697" s="505" t="b">
        <v>0</v>
      </c>
      <c r="S697" s="504" t="b">
        <v>0</v>
      </c>
      <c r="T697" s="117"/>
      <c r="U697" s="505" t="b">
        <v>0</v>
      </c>
      <c r="V697" s="504" t="b">
        <v>0</v>
      </c>
      <c r="W697" s="118"/>
      <c r="X697" s="505" t="b">
        <v>0</v>
      </c>
      <c r="Y697" s="504" t="b">
        <v>0</v>
      </c>
      <c r="Z697" s="119"/>
      <c r="AA697" s="505" t="b">
        <v>0</v>
      </c>
      <c r="AB697" s="504" t="b">
        <v>0</v>
      </c>
      <c r="AC697" s="121"/>
      <c r="AD697" s="505" t="b">
        <v>0</v>
      </c>
      <c r="AE697" s="504" t="b">
        <v>0</v>
      </c>
      <c r="AF697" s="125"/>
      <c r="AG697" s="505" t="b">
        <v>0</v>
      </c>
      <c r="AH697" s="504" t="b">
        <v>0</v>
      </c>
      <c r="AI697" s="105"/>
      <c r="AJ697" s="505" t="b">
        <v>0</v>
      </c>
      <c r="AK697" s="504" t="b">
        <v>0</v>
      </c>
      <c r="AL697" s="126"/>
      <c r="AM697" s="505" t="b">
        <v>0</v>
      </c>
      <c r="AN697" s="504" t="b">
        <v>0</v>
      </c>
      <c r="AO697" s="105"/>
      <c r="AP697" s="105"/>
      <c r="AQ697" s="105"/>
      <c r="AR697" s="105"/>
      <c r="AS697" s="105"/>
      <c r="AT697" s="105"/>
      <c r="AU697" s="105"/>
      <c r="AV697" s="105"/>
      <c r="AW697" s="105"/>
      <c r="AX697" s="105"/>
      <c r="AY697" s="105"/>
      <c r="AZ697" s="105"/>
      <c r="BA697" s="105"/>
    </row>
    <row r="698">
      <c r="A698" s="105"/>
      <c r="B698" s="105"/>
      <c r="C698" s="105"/>
      <c r="D698" s="105"/>
      <c r="E698" s="105"/>
      <c r="F698" s="105"/>
      <c r="G698" s="105"/>
      <c r="H698" s="105"/>
      <c r="I698" s="505" t="b">
        <v>0</v>
      </c>
      <c r="J698" s="507" t="b">
        <v>0</v>
      </c>
      <c r="K698" s="112"/>
      <c r="L698" s="505" t="b">
        <v>0</v>
      </c>
      <c r="M698" s="504" t="b">
        <v>0</v>
      </c>
      <c r="N698" s="112"/>
      <c r="O698" s="505" t="b">
        <v>0</v>
      </c>
      <c r="P698" s="504" t="b">
        <v>0</v>
      </c>
      <c r="Q698" s="116"/>
      <c r="R698" s="505" t="b">
        <v>0</v>
      </c>
      <c r="S698" s="504" t="b">
        <v>0</v>
      </c>
      <c r="T698" s="117"/>
      <c r="U698" s="505" t="b">
        <v>0</v>
      </c>
      <c r="V698" s="504" t="b">
        <v>0</v>
      </c>
      <c r="W698" s="118"/>
      <c r="X698" s="505" t="b">
        <v>0</v>
      </c>
      <c r="Y698" s="504" t="b">
        <v>0</v>
      </c>
      <c r="Z698" s="119"/>
      <c r="AA698" s="505" t="b">
        <v>0</v>
      </c>
      <c r="AB698" s="504" t="b">
        <v>0</v>
      </c>
      <c r="AC698" s="121"/>
      <c r="AD698" s="505" t="b">
        <v>0</v>
      </c>
      <c r="AE698" s="504" t="b">
        <v>0</v>
      </c>
      <c r="AF698" s="125"/>
      <c r="AG698" s="505" t="b">
        <v>0</v>
      </c>
      <c r="AH698" s="504" t="b">
        <v>0</v>
      </c>
      <c r="AI698" s="105"/>
      <c r="AJ698" s="505" t="b">
        <v>0</v>
      </c>
      <c r="AK698" s="504" t="b">
        <v>0</v>
      </c>
      <c r="AL698" s="126"/>
      <c r="AM698" s="505" t="b">
        <v>0</v>
      </c>
      <c r="AN698" s="504" t="b">
        <v>0</v>
      </c>
      <c r="AO698" s="105"/>
      <c r="AP698" s="105"/>
      <c r="AQ698" s="105"/>
      <c r="AR698" s="105"/>
      <c r="AS698" s="105"/>
      <c r="AT698" s="105"/>
      <c r="AU698" s="105"/>
      <c r="AV698" s="105"/>
      <c r="AW698" s="105"/>
      <c r="AX698" s="105"/>
      <c r="AY698" s="105"/>
      <c r="AZ698" s="105"/>
      <c r="BA698" s="105"/>
    </row>
    <row r="699">
      <c r="A699" s="105"/>
      <c r="B699" s="105"/>
      <c r="C699" s="105"/>
      <c r="D699" s="105"/>
      <c r="E699" s="105"/>
      <c r="F699" s="105"/>
      <c r="G699" s="105"/>
      <c r="H699" s="105"/>
      <c r="I699" s="505" t="b">
        <v>0</v>
      </c>
      <c r="J699" s="507" t="b">
        <v>0</v>
      </c>
      <c r="K699" s="112"/>
      <c r="L699" s="505" t="b">
        <v>0</v>
      </c>
      <c r="M699" s="504" t="b">
        <v>0</v>
      </c>
      <c r="N699" s="112"/>
      <c r="O699" s="505" t="b">
        <v>0</v>
      </c>
      <c r="P699" s="504" t="b">
        <v>0</v>
      </c>
      <c r="Q699" s="116"/>
      <c r="R699" s="505" t="b">
        <v>0</v>
      </c>
      <c r="S699" s="504" t="b">
        <v>0</v>
      </c>
      <c r="T699" s="117"/>
      <c r="U699" s="505" t="b">
        <v>0</v>
      </c>
      <c r="V699" s="504" t="b">
        <v>0</v>
      </c>
      <c r="W699" s="118"/>
      <c r="X699" s="505" t="b">
        <v>0</v>
      </c>
      <c r="Y699" s="504" t="b">
        <v>0</v>
      </c>
      <c r="Z699" s="119"/>
      <c r="AA699" s="505" t="b">
        <v>0</v>
      </c>
      <c r="AB699" s="504" t="b">
        <v>0</v>
      </c>
      <c r="AC699" s="121"/>
      <c r="AD699" s="505" t="b">
        <v>0</v>
      </c>
      <c r="AE699" s="504" t="b">
        <v>0</v>
      </c>
      <c r="AF699" s="125"/>
      <c r="AG699" s="505" t="b">
        <v>0</v>
      </c>
      <c r="AH699" s="504" t="b">
        <v>0</v>
      </c>
      <c r="AI699" s="105"/>
      <c r="AJ699" s="505" t="b">
        <v>0</v>
      </c>
      <c r="AK699" s="504" t="b">
        <v>0</v>
      </c>
      <c r="AL699" s="126"/>
      <c r="AM699" s="505" t="b">
        <v>0</v>
      </c>
      <c r="AN699" s="504" t="b">
        <v>0</v>
      </c>
      <c r="AO699" s="105"/>
      <c r="AP699" s="105"/>
      <c r="AQ699" s="105"/>
      <c r="AR699" s="105"/>
      <c r="AS699" s="105"/>
      <c r="AT699" s="105"/>
      <c r="AU699" s="105"/>
      <c r="AV699" s="105"/>
      <c r="AW699" s="105"/>
      <c r="AX699" s="105"/>
      <c r="AY699" s="105"/>
      <c r="AZ699" s="105"/>
      <c r="BA699" s="105"/>
    </row>
    <row r="700">
      <c r="A700" s="105"/>
      <c r="B700" s="105"/>
      <c r="C700" s="105"/>
      <c r="D700" s="105"/>
      <c r="E700" s="105"/>
      <c r="F700" s="105"/>
      <c r="G700" s="105"/>
      <c r="H700" s="105"/>
      <c r="I700" s="505" t="b">
        <v>0</v>
      </c>
      <c r="J700" s="507" t="b">
        <v>0</v>
      </c>
      <c r="K700" s="112"/>
      <c r="L700" s="505" t="b">
        <v>0</v>
      </c>
      <c r="M700" s="504" t="b">
        <v>0</v>
      </c>
      <c r="N700" s="112"/>
      <c r="O700" s="505" t="b">
        <v>0</v>
      </c>
      <c r="P700" s="504" t="b">
        <v>0</v>
      </c>
      <c r="Q700" s="116"/>
      <c r="R700" s="505" t="b">
        <v>0</v>
      </c>
      <c r="S700" s="504" t="b">
        <v>0</v>
      </c>
      <c r="T700" s="117"/>
      <c r="U700" s="505" t="b">
        <v>0</v>
      </c>
      <c r="V700" s="504" t="b">
        <v>0</v>
      </c>
      <c r="W700" s="118"/>
      <c r="X700" s="505" t="b">
        <v>0</v>
      </c>
      <c r="Y700" s="504" t="b">
        <v>0</v>
      </c>
      <c r="Z700" s="119"/>
      <c r="AA700" s="505" t="b">
        <v>0</v>
      </c>
      <c r="AB700" s="504" t="b">
        <v>0</v>
      </c>
      <c r="AC700" s="121"/>
      <c r="AD700" s="505" t="b">
        <v>0</v>
      </c>
      <c r="AE700" s="504" t="b">
        <v>0</v>
      </c>
      <c r="AF700" s="125"/>
      <c r="AG700" s="505" t="b">
        <v>0</v>
      </c>
      <c r="AH700" s="504" t="b">
        <v>0</v>
      </c>
      <c r="AI700" s="105"/>
      <c r="AJ700" s="505" t="b">
        <v>0</v>
      </c>
      <c r="AK700" s="504" t="b">
        <v>0</v>
      </c>
      <c r="AL700" s="126"/>
      <c r="AM700" s="505" t="b">
        <v>0</v>
      </c>
      <c r="AN700" s="504" t="b">
        <v>0</v>
      </c>
      <c r="AO700" s="105"/>
      <c r="AP700" s="105"/>
      <c r="AQ700" s="105"/>
      <c r="AR700" s="105"/>
      <c r="AS700" s="105"/>
      <c r="AT700" s="105"/>
      <c r="AU700" s="105"/>
      <c r="AV700" s="105"/>
      <c r="AW700" s="105"/>
      <c r="AX700" s="105"/>
      <c r="AY700" s="105"/>
      <c r="AZ700" s="105"/>
      <c r="BA700" s="105"/>
    </row>
    <row r="701">
      <c r="A701" s="105"/>
      <c r="B701" s="105"/>
      <c r="C701" s="105"/>
      <c r="D701" s="105"/>
      <c r="E701" s="105"/>
      <c r="F701" s="105"/>
      <c r="G701" s="105"/>
      <c r="H701" s="105"/>
      <c r="I701" s="505" t="b">
        <v>0</v>
      </c>
      <c r="J701" s="507" t="b">
        <v>0</v>
      </c>
      <c r="K701" s="112"/>
      <c r="L701" s="505" t="b">
        <v>0</v>
      </c>
      <c r="M701" s="504" t="b">
        <v>0</v>
      </c>
      <c r="N701" s="112"/>
      <c r="O701" s="505" t="b">
        <v>0</v>
      </c>
      <c r="P701" s="504" t="b">
        <v>0</v>
      </c>
      <c r="Q701" s="116"/>
      <c r="R701" s="505" t="b">
        <v>0</v>
      </c>
      <c r="S701" s="504" t="b">
        <v>0</v>
      </c>
      <c r="T701" s="117"/>
      <c r="U701" s="505" t="b">
        <v>0</v>
      </c>
      <c r="V701" s="504" t="b">
        <v>0</v>
      </c>
      <c r="W701" s="118"/>
      <c r="X701" s="505" t="b">
        <v>0</v>
      </c>
      <c r="Y701" s="504" t="b">
        <v>0</v>
      </c>
      <c r="Z701" s="119"/>
      <c r="AA701" s="505" t="b">
        <v>0</v>
      </c>
      <c r="AB701" s="504" t="b">
        <v>0</v>
      </c>
      <c r="AC701" s="121"/>
      <c r="AD701" s="505" t="b">
        <v>0</v>
      </c>
      <c r="AE701" s="504" t="b">
        <v>0</v>
      </c>
      <c r="AF701" s="125"/>
      <c r="AG701" s="505" t="b">
        <v>0</v>
      </c>
      <c r="AH701" s="504" t="b">
        <v>0</v>
      </c>
      <c r="AI701" s="105"/>
      <c r="AJ701" s="505" t="b">
        <v>0</v>
      </c>
      <c r="AK701" s="504" t="b">
        <v>0</v>
      </c>
      <c r="AL701" s="126"/>
      <c r="AM701" s="505" t="b">
        <v>0</v>
      </c>
      <c r="AN701" s="504" t="b">
        <v>0</v>
      </c>
      <c r="AO701" s="105"/>
      <c r="AP701" s="105"/>
      <c r="AQ701" s="105"/>
      <c r="AR701" s="105"/>
      <c r="AS701" s="105"/>
      <c r="AT701" s="105"/>
      <c r="AU701" s="105"/>
      <c r="AV701" s="105"/>
      <c r="AW701" s="105"/>
      <c r="AX701" s="105"/>
      <c r="AY701" s="105"/>
      <c r="AZ701" s="105"/>
      <c r="BA701" s="105"/>
    </row>
    <row r="702">
      <c r="A702" s="105"/>
      <c r="B702" s="105"/>
      <c r="C702" s="105"/>
      <c r="D702" s="105"/>
      <c r="E702" s="105"/>
      <c r="F702" s="105"/>
      <c r="G702" s="105"/>
      <c r="H702" s="105"/>
      <c r="I702" s="505" t="b">
        <v>0</v>
      </c>
      <c r="J702" s="507" t="b">
        <v>0</v>
      </c>
      <c r="K702" s="112"/>
      <c r="L702" s="505" t="b">
        <v>0</v>
      </c>
      <c r="M702" s="504" t="b">
        <v>0</v>
      </c>
      <c r="N702" s="112"/>
      <c r="O702" s="505" t="b">
        <v>0</v>
      </c>
      <c r="P702" s="504" t="b">
        <v>0</v>
      </c>
      <c r="Q702" s="116"/>
      <c r="R702" s="505" t="b">
        <v>0</v>
      </c>
      <c r="S702" s="504" t="b">
        <v>0</v>
      </c>
      <c r="T702" s="117"/>
      <c r="U702" s="505" t="b">
        <v>0</v>
      </c>
      <c r="V702" s="504" t="b">
        <v>0</v>
      </c>
      <c r="W702" s="118"/>
      <c r="X702" s="505" t="b">
        <v>0</v>
      </c>
      <c r="Y702" s="504" t="b">
        <v>0</v>
      </c>
      <c r="Z702" s="119"/>
      <c r="AA702" s="505" t="b">
        <v>0</v>
      </c>
      <c r="AB702" s="504" t="b">
        <v>0</v>
      </c>
      <c r="AC702" s="121"/>
      <c r="AD702" s="505" t="b">
        <v>0</v>
      </c>
      <c r="AE702" s="504" t="b">
        <v>0</v>
      </c>
      <c r="AF702" s="125"/>
      <c r="AG702" s="505" t="b">
        <v>0</v>
      </c>
      <c r="AH702" s="504" t="b">
        <v>0</v>
      </c>
      <c r="AI702" s="105"/>
      <c r="AJ702" s="505" t="b">
        <v>0</v>
      </c>
      <c r="AK702" s="504" t="b">
        <v>0</v>
      </c>
      <c r="AL702" s="126"/>
      <c r="AM702" s="505" t="b">
        <v>0</v>
      </c>
      <c r="AN702" s="504" t="b">
        <v>0</v>
      </c>
      <c r="AO702" s="105"/>
      <c r="AP702" s="105"/>
      <c r="AQ702" s="105"/>
      <c r="AR702" s="105"/>
      <c r="AS702" s="105"/>
      <c r="AT702" s="105"/>
      <c r="AU702" s="105"/>
      <c r="AV702" s="105"/>
      <c r="AW702" s="105"/>
      <c r="AX702" s="105"/>
      <c r="AY702" s="105"/>
      <c r="AZ702" s="105"/>
      <c r="BA702" s="105"/>
    </row>
    <row r="703">
      <c r="A703" s="105"/>
      <c r="B703" s="105"/>
      <c r="C703" s="105"/>
      <c r="D703" s="105"/>
      <c r="E703" s="105"/>
      <c r="F703" s="105"/>
      <c r="G703" s="105"/>
      <c r="H703" s="105"/>
      <c r="I703" s="505" t="b">
        <v>0</v>
      </c>
      <c r="J703" s="507" t="b">
        <v>0</v>
      </c>
      <c r="K703" s="112"/>
      <c r="L703" s="505" t="b">
        <v>0</v>
      </c>
      <c r="M703" s="504" t="b">
        <v>0</v>
      </c>
      <c r="N703" s="112"/>
      <c r="O703" s="505" t="b">
        <v>0</v>
      </c>
      <c r="P703" s="504" t="b">
        <v>0</v>
      </c>
      <c r="Q703" s="116"/>
      <c r="R703" s="505" t="b">
        <v>0</v>
      </c>
      <c r="S703" s="504" t="b">
        <v>0</v>
      </c>
      <c r="T703" s="117"/>
      <c r="U703" s="505" t="b">
        <v>0</v>
      </c>
      <c r="V703" s="504" t="b">
        <v>0</v>
      </c>
      <c r="W703" s="118"/>
      <c r="X703" s="505" t="b">
        <v>0</v>
      </c>
      <c r="Y703" s="504" t="b">
        <v>0</v>
      </c>
      <c r="Z703" s="119"/>
      <c r="AA703" s="505" t="b">
        <v>0</v>
      </c>
      <c r="AB703" s="504" t="b">
        <v>0</v>
      </c>
      <c r="AC703" s="121"/>
      <c r="AD703" s="505" t="b">
        <v>0</v>
      </c>
      <c r="AE703" s="504" t="b">
        <v>0</v>
      </c>
      <c r="AF703" s="125"/>
      <c r="AG703" s="505" t="b">
        <v>0</v>
      </c>
      <c r="AH703" s="504" t="b">
        <v>0</v>
      </c>
      <c r="AI703" s="105"/>
      <c r="AJ703" s="505" t="b">
        <v>0</v>
      </c>
      <c r="AK703" s="504" t="b">
        <v>0</v>
      </c>
      <c r="AL703" s="126"/>
      <c r="AM703" s="505" t="b">
        <v>0</v>
      </c>
      <c r="AN703" s="504" t="b">
        <v>0</v>
      </c>
      <c r="AO703" s="105"/>
      <c r="AP703" s="105"/>
      <c r="AQ703" s="105"/>
      <c r="AR703" s="105"/>
      <c r="AS703" s="105"/>
      <c r="AT703" s="105"/>
      <c r="AU703" s="105"/>
      <c r="AV703" s="105"/>
      <c r="AW703" s="105"/>
      <c r="AX703" s="105"/>
      <c r="AY703" s="105"/>
      <c r="AZ703" s="105"/>
      <c r="BA703" s="105"/>
    </row>
    <row r="704">
      <c r="A704" s="105"/>
      <c r="B704" s="105"/>
      <c r="C704" s="105"/>
      <c r="D704" s="105"/>
      <c r="E704" s="105"/>
      <c r="F704" s="105"/>
      <c r="G704" s="105"/>
      <c r="H704" s="105"/>
      <c r="I704" s="505" t="b">
        <v>0</v>
      </c>
      <c r="J704" s="507" t="b">
        <v>0</v>
      </c>
      <c r="K704" s="112"/>
      <c r="L704" s="505" t="b">
        <v>0</v>
      </c>
      <c r="M704" s="504" t="b">
        <v>0</v>
      </c>
      <c r="N704" s="112"/>
      <c r="O704" s="505" t="b">
        <v>0</v>
      </c>
      <c r="P704" s="504" t="b">
        <v>0</v>
      </c>
      <c r="Q704" s="116"/>
      <c r="R704" s="505" t="b">
        <v>0</v>
      </c>
      <c r="S704" s="504" t="b">
        <v>0</v>
      </c>
      <c r="T704" s="117"/>
      <c r="U704" s="505" t="b">
        <v>0</v>
      </c>
      <c r="V704" s="504" t="b">
        <v>0</v>
      </c>
      <c r="W704" s="118"/>
      <c r="X704" s="505" t="b">
        <v>0</v>
      </c>
      <c r="Y704" s="504" t="b">
        <v>0</v>
      </c>
      <c r="Z704" s="119"/>
      <c r="AA704" s="505" t="b">
        <v>0</v>
      </c>
      <c r="AB704" s="504" t="b">
        <v>0</v>
      </c>
      <c r="AC704" s="121"/>
      <c r="AD704" s="505" t="b">
        <v>0</v>
      </c>
      <c r="AE704" s="504" t="b">
        <v>0</v>
      </c>
      <c r="AF704" s="125"/>
      <c r="AG704" s="505" t="b">
        <v>0</v>
      </c>
      <c r="AH704" s="504" t="b">
        <v>0</v>
      </c>
      <c r="AI704" s="105"/>
      <c r="AJ704" s="505" t="b">
        <v>0</v>
      </c>
      <c r="AK704" s="504" t="b">
        <v>0</v>
      </c>
      <c r="AL704" s="126"/>
      <c r="AM704" s="505" t="b">
        <v>0</v>
      </c>
      <c r="AN704" s="504" t="b">
        <v>0</v>
      </c>
      <c r="AO704" s="105"/>
      <c r="AP704" s="105"/>
      <c r="AQ704" s="105"/>
      <c r="AR704" s="105"/>
      <c r="AS704" s="105"/>
      <c r="AT704" s="105"/>
      <c r="AU704" s="105"/>
      <c r="AV704" s="105"/>
      <c r="AW704" s="105"/>
      <c r="AX704" s="105"/>
      <c r="AY704" s="105"/>
      <c r="AZ704" s="105"/>
      <c r="BA704" s="105"/>
    </row>
    <row r="705">
      <c r="A705" s="105"/>
      <c r="B705" s="105"/>
      <c r="C705" s="105"/>
      <c r="D705" s="105"/>
      <c r="E705" s="105"/>
      <c r="F705" s="105"/>
      <c r="G705" s="105"/>
      <c r="H705" s="105"/>
      <c r="I705" s="505" t="b">
        <v>0</v>
      </c>
      <c r="J705" s="507" t="b">
        <v>0</v>
      </c>
      <c r="K705" s="112"/>
      <c r="L705" s="505" t="b">
        <v>0</v>
      </c>
      <c r="M705" s="504" t="b">
        <v>0</v>
      </c>
      <c r="N705" s="112"/>
      <c r="O705" s="505" t="b">
        <v>0</v>
      </c>
      <c r="P705" s="504" t="b">
        <v>0</v>
      </c>
      <c r="Q705" s="116"/>
      <c r="R705" s="505" t="b">
        <v>0</v>
      </c>
      <c r="S705" s="504" t="b">
        <v>0</v>
      </c>
      <c r="T705" s="117"/>
      <c r="U705" s="505" t="b">
        <v>0</v>
      </c>
      <c r="V705" s="504" t="b">
        <v>0</v>
      </c>
      <c r="W705" s="118"/>
      <c r="X705" s="505" t="b">
        <v>0</v>
      </c>
      <c r="Y705" s="504" t="b">
        <v>0</v>
      </c>
      <c r="Z705" s="119"/>
      <c r="AA705" s="505" t="b">
        <v>0</v>
      </c>
      <c r="AB705" s="504" t="b">
        <v>0</v>
      </c>
      <c r="AC705" s="121"/>
      <c r="AD705" s="505" t="b">
        <v>0</v>
      </c>
      <c r="AE705" s="504" t="b">
        <v>0</v>
      </c>
      <c r="AF705" s="125"/>
      <c r="AG705" s="505" t="b">
        <v>0</v>
      </c>
      <c r="AH705" s="504" t="b">
        <v>0</v>
      </c>
      <c r="AI705" s="105"/>
      <c r="AJ705" s="505" t="b">
        <v>0</v>
      </c>
      <c r="AK705" s="504" t="b">
        <v>0</v>
      </c>
      <c r="AL705" s="126"/>
      <c r="AM705" s="505" t="b">
        <v>0</v>
      </c>
      <c r="AN705" s="504" t="b">
        <v>0</v>
      </c>
      <c r="AO705" s="105"/>
      <c r="AP705" s="105"/>
      <c r="AQ705" s="105"/>
      <c r="AR705" s="105"/>
      <c r="AS705" s="105"/>
      <c r="AT705" s="105"/>
      <c r="AU705" s="105"/>
      <c r="AV705" s="105"/>
      <c r="AW705" s="105"/>
      <c r="AX705" s="105"/>
      <c r="AY705" s="105"/>
      <c r="AZ705" s="105"/>
      <c r="BA705" s="105"/>
    </row>
    <row r="706">
      <c r="A706" s="105"/>
      <c r="B706" s="105"/>
      <c r="C706" s="105"/>
      <c r="D706" s="105"/>
      <c r="E706" s="105"/>
      <c r="F706" s="105"/>
      <c r="G706" s="105"/>
      <c r="H706" s="105"/>
      <c r="I706" s="505" t="b">
        <v>0</v>
      </c>
      <c r="J706" s="507" t="b">
        <v>0</v>
      </c>
      <c r="K706" s="112"/>
      <c r="L706" s="505" t="b">
        <v>0</v>
      </c>
      <c r="M706" s="504" t="b">
        <v>0</v>
      </c>
      <c r="N706" s="112"/>
      <c r="O706" s="505" t="b">
        <v>0</v>
      </c>
      <c r="P706" s="504" t="b">
        <v>0</v>
      </c>
      <c r="Q706" s="116"/>
      <c r="R706" s="505" t="b">
        <v>0</v>
      </c>
      <c r="S706" s="504" t="b">
        <v>0</v>
      </c>
      <c r="T706" s="117"/>
      <c r="U706" s="505" t="b">
        <v>0</v>
      </c>
      <c r="V706" s="504" t="b">
        <v>0</v>
      </c>
      <c r="W706" s="118"/>
      <c r="X706" s="505" t="b">
        <v>0</v>
      </c>
      <c r="Y706" s="504" t="b">
        <v>0</v>
      </c>
      <c r="Z706" s="119"/>
      <c r="AA706" s="505" t="b">
        <v>0</v>
      </c>
      <c r="AB706" s="504" t="b">
        <v>0</v>
      </c>
      <c r="AC706" s="121"/>
      <c r="AD706" s="505" t="b">
        <v>0</v>
      </c>
      <c r="AE706" s="504" t="b">
        <v>0</v>
      </c>
      <c r="AF706" s="125"/>
      <c r="AG706" s="505" t="b">
        <v>0</v>
      </c>
      <c r="AH706" s="504" t="b">
        <v>0</v>
      </c>
      <c r="AI706" s="105"/>
      <c r="AJ706" s="505" t="b">
        <v>0</v>
      </c>
      <c r="AK706" s="504" t="b">
        <v>0</v>
      </c>
      <c r="AL706" s="126"/>
      <c r="AM706" s="505" t="b">
        <v>0</v>
      </c>
      <c r="AN706" s="504" t="b">
        <v>0</v>
      </c>
      <c r="AO706" s="105"/>
      <c r="AP706" s="105"/>
      <c r="AQ706" s="105"/>
      <c r="AR706" s="105"/>
      <c r="AS706" s="105"/>
      <c r="AT706" s="105"/>
      <c r="AU706" s="105"/>
      <c r="AV706" s="105"/>
      <c r="AW706" s="105"/>
      <c r="AX706" s="105"/>
      <c r="AY706" s="105"/>
      <c r="AZ706" s="105"/>
      <c r="BA706" s="105"/>
    </row>
    <row r="707">
      <c r="A707" s="105"/>
      <c r="B707" s="105"/>
      <c r="C707" s="105"/>
      <c r="D707" s="105"/>
      <c r="E707" s="105"/>
      <c r="F707" s="105"/>
      <c r="G707" s="105"/>
      <c r="H707" s="105"/>
      <c r="I707" s="505" t="b">
        <v>0</v>
      </c>
      <c r="J707" s="507" t="b">
        <v>0</v>
      </c>
      <c r="K707" s="112"/>
      <c r="L707" s="505" t="b">
        <v>0</v>
      </c>
      <c r="M707" s="504" t="b">
        <v>0</v>
      </c>
      <c r="N707" s="112"/>
      <c r="O707" s="505" t="b">
        <v>0</v>
      </c>
      <c r="P707" s="504" t="b">
        <v>0</v>
      </c>
      <c r="Q707" s="116"/>
      <c r="R707" s="505" t="b">
        <v>0</v>
      </c>
      <c r="S707" s="504" t="b">
        <v>0</v>
      </c>
      <c r="T707" s="117"/>
      <c r="U707" s="505" t="b">
        <v>0</v>
      </c>
      <c r="V707" s="504" t="b">
        <v>0</v>
      </c>
      <c r="W707" s="118"/>
      <c r="X707" s="505" t="b">
        <v>0</v>
      </c>
      <c r="Y707" s="504" t="b">
        <v>0</v>
      </c>
      <c r="Z707" s="119"/>
      <c r="AA707" s="505" t="b">
        <v>0</v>
      </c>
      <c r="AB707" s="504" t="b">
        <v>0</v>
      </c>
      <c r="AC707" s="121"/>
      <c r="AD707" s="505" t="b">
        <v>0</v>
      </c>
      <c r="AE707" s="504" t="b">
        <v>0</v>
      </c>
      <c r="AF707" s="125"/>
      <c r="AG707" s="505" t="b">
        <v>0</v>
      </c>
      <c r="AH707" s="504" t="b">
        <v>0</v>
      </c>
      <c r="AI707" s="105"/>
      <c r="AJ707" s="505" t="b">
        <v>0</v>
      </c>
      <c r="AK707" s="504" t="b">
        <v>0</v>
      </c>
      <c r="AL707" s="126"/>
      <c r="AM707" s="505" t="b">
        <v>0</v>
      </c>
      <c r="AN707" s="504" t="b">
        <v>0</v>
      </c>
      <c r="AO707" s="105"/>
      <c r="AP707" s="105"/>
      <c r="AQ707" s="105"/>
      <c r="AR707" s="105"/>
      <c r="AS707" s="105"/>
      <c r="AT707" s="105"/>
      <c r="AU707" s="105"/>
      <c r="AV707" s="105"/>
      <c r="AW707" s="105"/>
      <c r="AX707" s="105"/>
      <c r="AY707" s="105"/>
      <c r="AZ707" s="105"/>
      <c r="BA707" s="105"/>
    </row>
    <row r="708">
      <c r="A708" s="105"/>
      <c r="B708" s="105"/>
      <c r="C708" s="105"/>
      <c r="D708" s="105"/>
      <c r="E708" s="105"/>
      <c r="F708" s="105"/>
      <c r="G708" s="105"/>
      <c r="H708" s="105"/>
      <c r="I708" s="505" t="b">
        <v>0</v>
      </c>
      <c r="J708" s="507" t="b">
        <v>0</v>
      </c>
      <c r="K708" s="112"/>
      <c r="L708" s="505" t="b">
        <v>0</v>
      </c>
      <c r="M708" s="504" t="b">
        <v>0</v>
      </c>
      <c r="N708" s="112"/>
      <c r="O708" s="505" t="b">
        <v>0</v>
      </c>
      <c r="P708" s="504" t="b">
        <v>0</v>
      </c>
      <c r="Q708" s="116"/>
      <c r="R708" s="505" t="b">
        <v>0</v>
      </c>
      <c r="S708" s="504" t="b">
        <v>0</v>
      </c>
      <c r="T708" s="117"/>
      <c r="U708" s="505" t="b">
        <v>0</v>
      </c>
      <c r="V708" s="504" t="b">
        <v>0</v>
      </c>
      <c r="W708" s="118"/>
      <c r="X708" s="505" t="b">
        <v>0</v>
      </c>
      <c r="Y708" s="504" t="b">
        <v>0</v>
      </c>
      <c r="Z708" s="119"/>
      <c r="AA708" s="505" t="b">
        <v>0</v>
      </c>
      <c r="AB708" s="504" t="b">
        <v>0</v>
      </c>
      <c r="AC708" s="121"/>
      <c r="AD708" s="505" t="b">
        <v>0</v>
      </c>
      <c r="AE708" s="504" t="b">
        <v>0</v>
      </c>
      <c r="AF708" s="125"/>
      <c r="AG708" s="505" t="b">
        <v>0</v>
      </c>
      <c r="AH708" s="504" t="b">
        <v>0</v>
      </c>
      <c r="AI708" s="105"/>
      <c r="AJ708" s="505" t="b">
        <v>0</v>
      </c>
      <c r="AK708" s="504" t="b">
        <v>0</v>
      </c>
      <c r="AL708" s="126"/>
      <c r="AM708" s="505" t="b">
        <v>0</v>
      </c>
      <c r="AN708" s="504" t="b">
        <v>0</v>
      </c>
      <c r="AO708" s="105"/>
      <c r="AP708" s="105"/>
      <c r="AQ708" s="105"/>
      <c r="AR708" s="105"/>
      <c r="AS708" s="105"/>
      <c r="AT708" s="105"/>
      <c r="AU708" s="105"/>
      <c r="AV708" s="105"/>
      <c r="AW708" s="105"/>
      <c r="AX708" s="105"/>
      <c r="AY708" s="105"/>
      <c r="AZ708" s="105"/>
      <c r="BA708" s="105"/>
    </row>
    <row r="709">
      <c r="A709" s="105"/>
      <c r="B709" s="105"/>
      <c r="C709" s="105"/>
      <c r="D709" s="105"/>
      <c r="E709" s="105"/>
      <c r="F709" s="105"/>
      <c r="G709" s="105"/>
      <c r="H709" s="105"/>
      <c r="I709" s="505" t="b">
        <v>0</v>
      </c>
      <c r="J709" s="507" t="b">
        <v>0</v>
      </c>
      <c r="K709" s="112"/>
      <c r="L709" s="505" t="b">
        <v>0</v>
      </c>
      <c r="M709" s="504" t="b">
        <v>0</v>
      </c>
      <c r="N709" s="112"/>
      <c r="O709" s="505" t="b">
        <v>0</v>
      </c>
      <c r="P709" s="504" t="b">
        <v>0</v>
      </c>
      <c r="Q709" s="116"/>
      <c r="R709" s="505" t="b">
        <v>0</v>
      </c>
      <c r="S709" s="504" t="b">
        <v>0</v>
      </c>
      <c r="T709" s="117"/>
      <c r="U709" s="505" t="b">
        <v>0</v>
      </c>
      <c r="V709" s="504" t="b">
        <v>0</v>
      </c>
      <c r="W709" s="118"/>
      <c r="X709" s="505" t="b">
        <v>0</v>
      </c>
      <c r="Y709" s="504" t="b">
        <v>0</v>
      </c>
      <c r="Z709" s="119"/>
      <c r="AA709" s="505" t="b">
        <v>0</v>
      </c>
      <c r="AB709" s="504" t="b">
        <v>0</v>
      </c>
      <c r="AC709" s="121"/>
      <c r="AD709" s="505" t="b">
        <v>0</v>
      </c>
      <c r="AE709" s="504" t="b">
        <v>0</v>
      </c>
      <c r="AF709" s="125"/>
      <c r="AG709" s="505" t="b">
        <v>0</v>
      </c>
      <c r="AH709" s="504" t="b">
        <v>0</v>
      </c>
      <c r="AI709" s="105"/>
      <c r="AJ709" s="505" t="b">
        <v>0</v>
      </c>
      <c r="AK709" s="504" t="b">
        <v>0</v>
      </c>
      <c r="AL709" s="126"/>
      <c r="AM709" s="505" t="b">
        <v>0</v>
      </c>
      <c r="AN709" s="504" t="b">
        <v>0</v>
      </c>
      <c r="AO709" s="105"/>
      <c r="AP709" s="105"/>
      <c r="AQ709" s="105"/>
      <c r="AR709" s="105"/>
      <c r="AS709" s="105"/>
      <c r="AT709" s="105"/>
      <c r="AU709" s="105"/>
      <c r="AV709" s="105"/>
      <c r="AW709" s="105"/>
      <c r="AX709" s="105"/>
      <c r="AY709" s="105"/>
      <c r="AZ709" s="105"/>
      <c r="BA709" s="105"/>
    </row>
    <row r="710">
      <c r="A710" s="105"/>
      <c r="B710" s="105"/>
      <c r="C710" s="105"/>
      <c r="D710" s="105"/>
      <c r="E710" s="105"/>
      <c r="F710" s="105"/>
      <c r="G710" s="105"/>
      <c r="H710" s="105"/>
      <c r="I710" s="505" t="b">
        <v>0</v>
      </c>
      <c r="J710" s="507" t="b">
        <v>0</v>
      </c>
      <c r="K710" s="112"/>
      <c r="L710" s="505" t="b">
        <v>0</v>
      </c>
      <c r="M710" s="504" t="b">
        <v>0</v>
      </c>
      <c r="N710" s="112"/>
      <c r="O710" s="505" t="b">
        <v>0</v>
      </c>
      <c r="P710" s="504" t="b">
        <v>0</v>
      </c>
      <c r="Q710" s="116"/>
      <c r="R710" s="505" t="b">
        <v>0</v>
      </c>
      <c r="S710" s="504" t="b">
        <v>0</v>
      </c>
      <c r="T710" s="117"/>
      <c r="U710" s="505" t="b">
        <v>0</v>
      </c>
      <c r="V710" s="504" t="b">
        <v>0</v>
      </c>
      <c r="W710" s="118"/>
      <c r="X710" s="505" t="b">
        <v>0</v>
      </c>
      <c r="Y710" s="504" t="b">
        <v>0</v>
      </c>
      <c r="Z710" s="119"/>
      <c r="AA710" s="505" t="b">
        <v>0</v>
      </c>
      <c r="AB710" s="504" t="b">
        <v>0</v>
      </c>
      <c r="AC710" s="121"/>
      <c r="AD710" s="505" t="b">
        <v>0</v>
      </c>
      <c r="AE710" s="504" t="b">
        <v>0</v>
      </c>
      <c r="AF710" s="125"/>
      <c r="AG710" s="505" t="b">
        <v>0</v>
      </c>
      <c r="AH710" s="504" t="b">
        <v>0</v>
      </c>
      <c r="AI710" s="105"/>
      <c r="AJ710" s="505" t="b">
        <v>0</v>
      </c>
      <c r="AK710" s="504" t="b">
        <v>0</v>
      </c>
      <c r="AL710" s="126"/>
      <c r="AM710" s="505" t="b">
        <v>0</v>
      </c>
      <c r="AN710" s="504" t="b">
        <v>0</v>
      </c>
      <c r="AO710" s="105"/>
      <c r="AP710" s="105"/>
      <c r="AQ710" s="105"/>
      <c r="AR710" s="105"/>
      <c r="AS710" s="105"/>
      <c r="AT710" s="105"/>
      <c r="AU710" s="105"/>
      <c r="AV710" s="105"/>
      <c r="AW710" s="105"/>
      <c r="AX710" s="105"/>
      <c r="AY710" s="105"/>
      <c r="AZ710" s="105"/>
      <c r="BA710" s="105"/>
    </row>
    <row r="711">
      <c r="A711" s="105"/>
      <c r="B711" s="105"/>
      <c r="C711" s="105"/>
      <c r="D711" s="105"/>
      <c r="E711" s="105"/>
      <c r="F711" s="105"/>
      <c r="G711" s="105"/>
      <c r="H711" s="105"/>
      <c r="I711" s="505" t="b">
        <v>0</v>
      </c>
      <c r="J711" s="507" t="b">
        <v>0</v>
      </c>
      <c r="K711" s="112"/>
      <c r="L711" s="505" t="b">
        <v>0</v>
      </c>
      <c r="M711" s="504" t="b">
        <v>0</v>
      </c>
      <c r="N711" s="112"/>
      <c r="O711" s="505" t="b">
        <v>0</v>
      </c>
      <c r="P711" s="504" t="b">
        <v>0</v>
      </c>
      <c r="Q711" s="116"/>
      <c r="R711" s="505" t="b">
        <v>0</v>
      </c>
      <c r="S711" s="504" t="b">
        <v>0</v>
      </c>
      <c r="T711" s="117"/>
      <c r="U711" s="505" t="b">
        <v>0</v>
      </c>
      <c r="V711" s="504" t="b">
        <v>0</v>
      </c>
      <c r="W711" s="118"/>
      <c r="X711" s="505" t="b">
        <v>0</v>
      </c>
      <c r="Y711" s="504" t="b">
        <v>0</v>
      </c>
      <c r="Z711" s="119"/>
      <c r="AA711" s="505" t="b">
        <v>0</v>
      </c>
      <c r="AB711" s="504" t="b">
        <v>0</v>
      </c>
      <c r="AC711" s="121"/>
      <c r="AD711" s="505" t="b">
        <v>0</v>
      </c>
      <c r="AE711" s="504" t="b">
        <v>0</v>
      </c>
      <c r="AF711" s="125"/>
      <c r="AG711" s="505" t="b">
        <v>0</v>
      </c>
      <c r="AH711" s="504" t="b">
        <v>0</v>
      </c>
      <c r="AI711" s="105"/>
      <c r="AJ711" s="505" t="b">
        <v>0</v>
      </c>
      <c r="AK711" s="504" t="b">
        <v>0</v>
      </c>
      <c r="AL711" s="126"/>
      <c r="AM711" s="505" t="b">
        <v>0</v>
      </c>
      <c r="AN711" s="504" t="b">
        <v>0</v>
      </c>
      <c r="AO711" s="105"/>
      <c r="AP711" s="105"/>
      <c r="AQ711" s="105"/>
      <c r="AR711" s="105"/>
      <c r="AS711" s="105"/>
      <c r="AT711" s="105"/>
      <c r="AU711" s="105"/>
      <c r="AV711" s="105"/>
      <c r="AW711" s="105"/>
      <c r="AX711" s="105"/>
      <c r="AY711" s="105"/>
      <c r="AZ711" s="105"/>
      <c r="BA711" s="105"/>
    </row>
    <row r="712">
      <c r="A712" s="105"/>
      <c r="B712" s="105"/>
      <c r="C712" s="105"/>
      <c r="D712" s="105"/>
      <c r="E712" s="105"/>
      <c r="F712" s="105"/>
      <c r="G712" s="105"/>
      <c r="H712" s="105"/>
      <c r="I712" s="505" t="b">
        <v>0</v>
      </c>
      <c r="J712" s="507" t="b">
        <v>0</v>
      </c>
      <c r="K712" s="112"/>
      <c r="L712" s="505" t="b">
        <v>0</v>
      </c>
      <c r="M712" s="504" t="b">
        <v>0</v>
      </c>
      <c r="N712" s="112"/>
      <c r="O712" s="505" t="b">
        <v>0</v>
      </c>
      <c r="P712" s="504" t="b">
        <v>0</v>
      </c>
      <c r="Q712" s="116"/>
      <c r="R712" s="505" t="b">
        <v>0</v>
      </c>
      <c r="S712" s="504" t="b">
        <v>0</v>
      </c>
      <c r="T712" s="117"/>
      <c r="U712" s="505" t="b">
        <v>0</v>
      </c>
      <c r="V712" s="504" t="b">
        <v>0</v>
      </c>
      <c r="W712" s="118"/>
      <c r="X712" s="505" t="b">
        <v>0</v>
      </c>
      <c r="Y712" s="504" t="b">
        <v>0</v>
      </c>
      <c r="Z712" s="119"/>
      <c r="AA712" s="505" t="b">
        <v>0</v>
      </c>
      <c r="AB712" s="504" t="b">
        <v>0</v>
      </c>
      <c r="AC712" s="121"/>
      <c r="AD712" s="505" t="b">
        <v>0</v>
      </c>
      <c r="AE712" s="504" t="b">
        <v>0</v>
      </c>
      <c r="AF712" s="125"/>
      <c r="AG712" s="505" t="b">
        <v>0</v>
      </c>
      <c r="AH712" s="504" t="b">
        <v>0</v>
      </c>
      <c r="AI712" s="105"/>
      <c r="AJ712" s="505" t="b">
        <v>0</v>
      </c>
      <c r="AK712" s="504" t="b">
        <v>0</v>
      </c>
      <c r="AL712" s="126"/>
      <c r="AM712" s="505" t="b">
        <v>0</v>
      </c>
      <c r="AN712" s="504" t="b">
        <v>0</v>
      </c>
      <c r="AO712" s="105"/>
      <c r="AP712" s="105"/>
      <c r="AQ712" s="105"/>
      <c r="AR712" s="105"/>
      <c r="AS712" s="105"/>
      <c r="AT712" s="105"/>
      <c r="AU712" s="105"/>
      <c r="AV712" s="105"/>
      <c r="AW712" s="105"/>
      <c r="AX712" s="105"/>
      <c r="AY712" s="105"/>
      <c r="AZ712" s="105"/>
      <c r="BA712" s="105"/>
    </row>
    <row r="713">
      <c r="A713" s="105"/>
      <c r="B713" s="105"/>
      <c r="C713" s="105"/>
      <c r="D713" s="105"/>
      <c r="E713" s="105"/>
      <c r="F713" s="105"/>
      <c r="G713" s="105"/>
      <c r="H713" s="105"/>
      <c r="I713" s="505" t="b">
        <v>0</v>
      </c>
      <c r="J713" s="507" t="b">
        <v>0</v>
      </c>
      <c r="K713" s="112"/>
      <c r="L713" s="505" t="b">
        <v>0</v>
      </c>
      <c r="M713" s="504" t="b">
        <v>0</v>
      </c>
      <c r="N713" s="112"/>
      <c r="O713" s="505" t="b">
        <v>0</v>
      </c>
      <c r="P713" s="504" t="b">
        <v>0</v>
      </c>
      <c r="Q713" s="116"/>
      <c r="R713" s="505" t="b">
        <v>0</v>
      </c>
      <c r="S713" s="504" t="b">
        <v>0</v>
      </c>
      <c r="T713" s="117"/>
      <c r="U713" s="505" t="b">
        <v>0</v>
      </c>
      <c r="V713" s="504" t="b">
        <v>0</v>
      </c>
      <c r="W713" s="118"/>
      <c r="X713" s="505" t="b">
        <v>0</v>
      </c>
      <c r="Y713" s="504" t="b">
        <v>0</v>
      </c>
      <c r="Z713" s="119"/>
      <c r="AA713" s="505" t="b">
        <v>0</v>
      </c>
      <c r="AB713" s="504" t="b">
        <v>0</v>
      </c>
      <c r="AC713" s="121"/>
      <c r="AD713" s="505" t="b">
        <v>0</v>
      </c>
      <c r="AE713" s="504" t="b">
        <v>0</v>
      </c>
      <c r="AF713" s="125"/>
      <c r="AG713" s="505" t="b">
        <v>0</v>
      </c>
      <c r="AH713" s="504" t="b">
        <v>0</v>
      </c>
      <c r="AI713" s="105"/>
      <c r="AJ713" s="505" t="b">
        <v>0</v>
      </c>
      <c r="AK713" s="504" t="b">
        <v>0</v>
      </c>
      <c r="AL713" s="126"/>
      <c r="AM713" s="505" t="b">
        <v>0</v>
      </c>
      <c r="AN713" s="504" t="b">
        <v>0</v>
      </c>
      <c r="AO713" s="105"/>
      <c r="AP713" s="105"/>
      <c r="AQ713" s="105"/>
      <c r="AR713" s="105"/>
      <c r="AS713" s="105"/>
      <c r="AT713" s="105"/>
      <c r="AU713" s="105"/>
      <c r="AV713" s="105"/>
      <c r="AW713" s="105"/>
      <c r="AX713" s="105"/>
      <c r="AY713" s="105"/>
      <c r="AZ713" s="105"/>
      <c r="BA713" s="105"/>
    </row>
    <row r="714">
      <c r="A714" s="105"/>
      <c r="B714" s="105"/>
      <c r="C714" s="105"/>
      <c r="D714" s="105"/>
      <c r="E714" s="105"/>
      <c r="F714" s="105"/>
      <c r="G714" s="105"/>
      <c r="H714" s="105"/>
      <c r="I714" s="505" t="b">
        <v>0</v>
      </c>
      <c r="J714" s="507" t="b">
        <v>0</v>
      </c>
      <c r="K714" s="112"/>
      <c r="L714" s="505" t="b">
        <v>0</v>
      </c>
      <c r="M714" s="504" t="b">
        <v>0</v>
      </c>
      <c r="N714" s="112"/>
      <c r="O714" s="505" t="b">
        <v>0</v>
      </c>
      <c r="P714" s="504" t="b">
        <v>0</v>
      </c>
      <c r="Q714" s="116"/>
      <c r="R714" s="505" t="b">
        <v>0</v>
      </c>
      <c r="S714" s="504" t="b">
        <v>0</v>
      </c>
      <c r="T714" s="117"/>
      <c r="U714" s="505" t="b">
        <v>0</v>
      </c>
      <c r="V714" s="504" t="b">
        <v>0</v>
      </c>
      <c r="W714" s="118"/>
      <c r="X714" s="505" t="b">
        <v>0</v>
      </c>
      <c r="Y714" s="504" t="b">
        <v>0</v>
      </c>
      <c r="Z714" s="119"/>
      <c r="AA714" s="505" t="b">
        <v>0</v>
      </c>
      <c r="AB714" s="504" t="b">
        <v>0</v>
      </c>
      <c r="AC714" s="121"/>
      <c r="AD714" s="505" t="b">
        <v>0</v>
      </c>
      <c r="AE714" s="504" t="b">
        <v>0</v>
      </c>
      <c r="AF714" s="125"/>
      <c r="AG714" s="505" t="b">
        <v>0</v>
      </c>
      <c r="AH714" s="504" t="b">
        <v>0</v>
      </c>
      <c r="AI714" s="105"/>
      <c r="AJ714" s="505" t="b">
        <v>0</v>
      </c>
      <c r="AK714" s="504" t="b">
        <v>0</v>
      </c>
      <c r="AL714" s="126"/>
      <c r="AM714" s="505" t="b">
        <v>0</v>
      </c>
      <c r="AN714" s="504" t="b">
        <v>0</v>
      </c>
      <c r="AO714" s="105"/>
      <c r="AP714" s="105"/>
      <c r="AQ714" s="105"/>
      <c r="AR714" s="105"/>
      <c r="AS714" s="105"/>
      <c r="AT714" s="105"/>
      <c r="AU714" s="105"/>
      <c r="AV714" s="105"/>
      <c r="AW714" s="105"/>
      <c r="AX714" s="105"/>
      <c r="AY714" s="105"/>
      <c r="AZ714" s="105"/>
      <c r="BA714" s="105"/>
    </row>
    <row r="715">
      <c r="A715" s="105"/>
      <c r="B715" s="105"/>
      <c r="C715" s="105"/>
      <c r="D715" s="105"/>
      <c r="E715" s="105"/>
      <c r="F715" s="105"/>
      <c r="G715" s="105"/>
      <c r="H715" s="105"/>
      <c r="I715" s="505" t="b">
        <v>0</v>
      </c>
      <c r="J715" s="507" t="b">
        <v>0</v>
      </c>
      <c r="K715" s="112"/>
      <c r="L715" s="505" t="b">
        <v>0</v>
      </c>
      <c r="M715" s="504" t="b">
        <v>0</v>
      </c>
      <c r="N715" s="112"/>
      <c r="O715" s="505" t="b">
        <v>0</v>
      </c>
      <c r="P715" s="504" t="b">
        <v>0</v>
      </c>
      <c r="Q715" s="116"/>
      <c r="R715" s="505" t="b">
        <v>0</v>
      </c>
      <c r="S715" s="504" t="b">
        <v>0</v>
      </c>
      <c r="T715" s="117"/>
      <c r="U715" s="505" t="b">
        <v>0</v>
      </c>
      <c r="V715" s="504" t="b">
        <v>0</v>
      </c>
      <c r="W715" s="118"/>
      <c r="X715" s="505" t="b">
        <v>0</v>
      </c>
      <c r="Y715" s="504" t="b">
        <v>0</v>
      </c>
      <c r="Z715" s="119"/>
      <c r="AA715" s="505" t="b">
        <v>0</v>
      </c>
      <c r="AB715" s="504" t="b">
        <v>0</v>
      </c>
      <c r="AC715" s="121"/>
      <c r="AD715" s="505" t="b">
        <v>0</v>
      </c>
      <c r="AE715" s="504" t="b">
        <v>0</v>
      </c>
      <c r="AF715" s="125"/>
      <c r="AG715" s="505" t="b">
        <v>0</v>
      </c>
      <c r="AH715" s="504" t="b">
        <v>0</v>
      </c>
      <c r="AI715" s="105"/>
      <c r="AJ715" s="505" t="b">
        <v>0</v>
      </c>
      <c r="AK715" s="504" t="b">
        <v>0</v>
      </c>
      <c r="AL715" s="126"/>
      <c r="AM715" s="505" t="b">
        <v>0</v>
      </c>
      <c r="AN715" s="504" t="b">
        <v>0</v>
      </c>
      <c r="AO715" s="105"/>
      <c r="AP715" s="105"/>
      <c r="AQ715" s="105"/>
      <c r="AR715" s="105"/>
      <c r="AS715" s="105"/>
      <c r="AT715" s="105"/>
      <c r="AU715" s="105"/>
      <c r="AV715" s="105"/>
      <c r="AW715" s="105"/>
      <c r="AX715" s="105"/>
      <c r="AY715" s="105"/>
      <c r="AZ715" s="105"/>
      <c r="BA715" s="105"/>
    </row>
    <row r="716">
      <c r="A716" s="105"/>
      <c r="B716" s="105"/>
      <c r="C716" s="105"/>
      <c r="D716" s="105"/>
      <c r="E716" s="105"/>
      <c r="F716" s="105"/>
      <c r="G716" s="105"/>
      <c r="H716" s="105"/>
      <c r="I716" s="505" t="b">
        <v>0</v>
      </c>
      <c r="J716" s="507" t="b">
        <v>0</v>
      </c>
      <c r="K716" s="112"/>
      <c r="L716" s="505" t="b">
        <v>0</v>
      </c>
      <c r="M716" s="504" t="b">
        <v>0</v>
      </c>
      <c r="N716" s="112"/>
      <c r="O716" s="505" t="b">
        <v>0</v>
      </c>
      <c r="P716" s="504" t="b">
        <v>0</v>
      </c>
      <c r="Q716" s="116"/>
      <c r="R716" s="505" t="b">
        <v>0</v>
      </c>
      <c r="S716" s="504" t="b">
        <v>0</v>
      </c>
      <c r="T716" s="117"/>
      <c r="U716" s="505" t="b">
        <v>0</v>
      </c>
      <c r="V716" s="504" t="b">
        <v>0</v>
      </c>
      <c r="W716" s="118"/>
      <c r="X716" s="505" t="b">
        <v>0</v>
      </c>
      <c r="Y716" s="504" t="b">
        <v>0</v>
      </c>
      <c r="Z716" s="119"/>
      <c r="AA716" s="505" t="b">
        <v>0</v>
      </c>
      <c r="AB716" s="504" t="b">
        <v>0</v>
      </c>
      <c r="AC716" s="121"/>
      <c r="AD716" s="505" t="b">
        <v>0</v>
      </c>
      <c r="AE716" s="504" t="b">
        <v>0</v>
      </c>
      <c r="AF716" s="125"/>
      <c r="AG716" s="505" t="b">
        <v>0</v>
      </c>
      <c r="AH716" s="504" t="b">
        <v>0</v>
      </c>
      <c r="AI716" s="105"/>
      <c r="AJ716" s="505" t="b">
        <v>0</v>
      </c>
      <c r="AK716" s="504" t="b">
        <v>0</v>
      </c>
      <c r="AL716" s="126"/>
      <c r="AM716" s="505" t="b">
        <v>0</v>
      </c>
      <c r="AN716" s="504" t="b">
        <v>0</v>
      </c>
      <c r="AO716" s="105"/>
      <c r="AP716" s="105"/>
      <c r="AQ716" s="105"/>
      <c r="AR716" s="105"/>
      <c r="AS716" s="105"/>
      <c r="AT716" s="105"/>
      <c r="AU716" s="105"/>
      <c r="AV716" s="105"/>
      <c r="AW716" s="105"/>
      <c r="AX716" s="105"/>
      <c r="AY716" s="105"/>
      <c r="AZ716" s="105"/>
      <c r="BA716" s="105"/>
    </row>
    <row r="717">
      <c r="A717" s="105"/>
      <c r="B717" s="105"/>
      <c r="C717" s="105"/>
      <c r="D717" s="105"/>
      <c r="E717" s="105"/>
      <c r="F717" s="105"/>
      <c r="G717" s="105"/>
      <c r="H717" s="105"/>
      <c r="I717" s="505" t="b">
        <v>0</v>
      </c>
      <c r="J717" s="507" t="b">
        <v>0</v>
      </c>
      <c r="K717" s="112"/>
      <c r="L717" s="505" t="b">
        <v>0</v>
      </c>
      <c r="M717" s="504" t="b">
        <v>0</v>
      </c>
      <c r="N717" s="112"/>
      <c r="O717" s="505" t="b">
        <v>0</v>
      </c>
      <c r="P717" s="504" t="b">
        <v>0</v>
      </c>
      <c r="Q717" s="116"/>
      <c r="R717" s="505" t="b">
        <v>0</v>
      </c>
      <c r="S717" s="504" t="b">
        <v>0</v>
      </c>
      <c r="T717" s="117"/>
      <c r="U717" s="505" t="b">
        <v>0</v>
      </c>
      <c r="V717" s="504" t="b">
        <v>0</v>
      </c>
      <c r="W717" s="118"/>
      <c r="X717" s="505" t="b">
        <v>0</v>
      </c>
      <c r="Y717" s="504" t="b">
        <v>0</v>
      </c>
      <c r="Z717" s="119"/>
      <c r="AA717" s="505" t="b">
        <v>0</v>
      </c>
      <c r="AB717" s="504" t="b">
        <v>0</v>
      </c>
      <c r="AC717" s="121"/>
      <c r="AD717" s="505" t="b">
        <v>0</v>
      </c>
      <c r="AE717" s="504" t="b">
        <v>0</v>
      </c>
      <c r="AF717" s="125"/>
      <c r="AG717" s="505" t="b">
        <v>0</v>
      </c>
      <c r="AH717" s="504" t="b">
        <v>0</v>
      </c>
      <c r="AI717" s="105"/>
      <c r="AJ717" s="505" t="b">
        <v>0</v>
      </c>
      <c r="AK717" s="504" t="b">
        <v>0</v>
      </c>
      <c r="AL717" s="126"/>
      <c r="AM717" s="505" t="b">
        <v>0</v>
      </c>
      <c r="AN717" s="504" t="b">
        <v>0</v>
      </c>
      <c r="AO717" s="105"/>
      <c r="AP717" s="105"/>
      <c r="AQ717" s="105"/>
      <c r="AR717" s="105"/>
      <c r="AS717" s="105"/>
      <c r="AT717" s="105"/>
      <c r="AU717" s="105"/>
      <c r="AV717" s="105"/>
      <c r="AW717" s="105"/>
      <c r="AX717" s="105"/>
      <c r="AY717" s="105"/>
      <c r="AZ717" s="105"/>
      <c r="BA717" s="105"/>
    </row>
    <row r="718">
      <c r="A718" s="105"/>
      <c r="B718" s="105"/>
      <c r="C718" s="105"/>
      <c r="D718" s="105"/>
      <c r="E718" s="105"/>
      <c r="F718" s="105"/>
      <c r="G718" s="105"/>
      <c r="H718" s="105"/>
      <c r="I718" s="505" t="b">
        <v>0</v>
      </c>
      <c r="J718" s="507" t="b">
        <v>0</v>
      </c>
      <c r="K718" s="112"/>
      <c r="L718" s="505" t="b">
        <v>0</v>
      </c>
      <c r="M718" s="504" t="b">
        <v>0</v>
      </c>
      <c r="N718" s="112"/>
      <c r="O718" s="505" t="b">
        <v>0</v>
      </c>
      <c r="P718" s="504" t="b">
        <v>0</v>
      </c>
      <c r="Q718" s="116"/>
      <c r="R718" s="505" t="b">
        <v>0</v>
      </c>
      <c r="S718" s="504" t="b">
        <v>0</v>
      </c>
      <c r="T718" s="117"/>
      <c r="U718" s="505" t="b">
        <v>0</v>
      </c>
      <c r="V718" s="504" t="b">
        <v>0</v>
      </c>
      <c r="W718" s="118"/>
      <c r="X718" s="505" t="b">
        <v>0</v>
      </c>
      <c r="Y718" s="504" t="b">
        <v>0</v>
      </c>
      <c r="Z718" s="119"/>
      <c r="AA718" s="505" t="b">
        <v>0</v>
      </c>
      <c r="AB718" s="504" t="b">
        <v>0</v>
      </c>
      <c r="AC718" s="121"/>
      <c r="AD718" s="505" t="b">
        <v>0</v>
      </c>
      <c r="AE718" s="504" t="b">
        <v>0</v>
      </c>
      <c r="AF718" s="125"/>
      <c r="AG718" s="505" t="b">
        <v>0</v>
      </c>
      <c r="AH718" s="504" t="b">
        <v>0</v>
      </c>
      <c r="AI718" s="105"/>
      <c r="AJ718" s="505" t="b">
        <v>0</v>
      </c>
      <c r="AK718" s="504" t="b">
        <v>0</v>
      </c>
      <c r="AL718" s="126"/>
      <c r="AM718" s="505" t="b">
        <v>0</v>
      </c>
      <c r="AN718" s="504" t="b">
        <v>0</v>
      </c>
      <c r="AO718" s="105"/>
      <c r="AP718" s="105"/>
      <c r="AQ718" s="105"/>
      <c r="AR718" s="105"/>
      <c r="AS718" s="105"/>
      <c r="AT718" s="105"/>
      <c r="AU718" s="105"/>
      <c r="AV718" s="105"/>
      <c r="AW718" s="105"/>
      <c r="AX718" s="105"/>
      <c r="AY718" s="105"/>
      <c r="AZ718" s="105"/>
      <c r="BA718" s="105"/>
    </row>
    <row r="719">
      <c r="A719" s="105"/>
      <c r="B719" s="105"/>
      <c r="C719" s="105"/>
      <c r="D719" s="105"/>
      <c r="E719" s="105"/>
      <c r="F719" s="105"/>
      <c r="G719" s="105"/>
      <c r="H719" s="105"/>
      <c r="I719" s="505" t="b">
        <v>0</v>
      </c>
      <c r="J719" s="507" t="b">
        <v>0</v>
      </c>
      <c r="K719" s="112"/>
      <c r="L719" s="505" t="b">
        <v>0</v>
      </c>
      <c r="M719" s="504" t="b">
        <v>0</v>
      </c>
      <c r="N719" s="112"/>
      <c r="O719" s="505" t="b">
        <v>0</v>
      </c>
      <c r="P719" s="504" t="b">
        <v>0</v>
      </c>
      <c r="Q719" s="116"/>
      <c r="R719" s="505" t="b">
        <v>0</v>
      </c>
      <c r="S719" s="504" t="b">
        <v>0</v>
      </c>
      <c r="T719" s="117"/>
      <c r="U719" s="505" t="b">
        <v>0</v>
      </c>
      <c r="V719" s="504" t="b">
        <v>0</v>
      </c>
      <c r="W719" s="118"/>
      <c r="X719" s="505" t="b">
        <v>0</v>
      </c>
      <c r="Y719" s="504" t="b">
        <v>0</v>
      </c>
      <c r="Z719" s="119"/>
      <c r="AA719" s="505" t="b">
        <v>0</v>
      </c>
      <c r="AB719" s="504" t="b">
        <v>0</v>
      </c>
      <c r="AC719" s="121"/>
      <c r="AD719" s="505" t="b">
        <v>0</v>
      </c>
      <c r="AE719" s="504" t="b">
        <v>0</v>
      </c>
      <c r="AF719" s="125"/>
      <c r="AG719" s="505" t="b">
        <v>0</v>
      </c>
      <c r="AH719" s="504" t="b">
        <v>0</v>
      </c>
      <c r="AI719" s="105"/>
      <c r="AJ719" s="505" t="b">
        <v>0</v>
      </c>
      <c r="AK719" s="504" t="b">
        <v>0</v>
      </c>
      <c r="AL719" s="126"/>
      <c r="AM719" s="505" t="b">
        <v>0</v>
      </c>
      <c r="AN719" s="504" t="b">
        <v>0</v>
      </c>
      <c r="AO719" s="105"/>
      <c r="AP719" s="105"/>
      <c r="AQ719" s="105"/>
      <c r="AR719" s="105"/>
      <c r="AS719" s="105"/>
      <c r="AT719" s="105"/>
      <c r="AU719" s="105"/>
      <c r="AV719" s="105"/>
      <c r="AW719" s="105"/>
      <c r="AX719" s="105"/>
      <c r="AY719" s="105"/>
      <c r="AZ719" s="105"/>
      <c r="BA719" s="105"/>
    </row>
    <row r="720">
      <c r="A720" s="105"/>
      <c r="B720" s="105"/>
      <c r="C720" s="105"/>
      <c r="D720" s="105"/>
      <c r="E720" s="105"/>
      <c r="F720" s="105"/>
      <c r="G720" s="105"/>
      <c r="H720" s="105"/>
      <c r="I720" s="505" t="b">
        <v>0</v>
      </c>
      <c r="J720" s="507" t="b">
        <v>0</v>
      </c>
      <c r="K720" s="112"/>
      <c r="L720" s="505" t="b">
        <v>0</v>
      </c>
      <c r="M720" s="504" t="b">
        <v>0</v>
      </c>
      <c r="N720" s="112"/>
      <c r="O720" s="505" t="b">
        <v>0</v>
      </c>
      <c r="P720" s="504" t="b">
        <v>0</v>
      </c>
      <c r="Q720" s="116"/>
      <c r="R720" s="505" t="b">
        <v>0</v>
      </c>
      <c r="S720" s="504" t="b">
        <v>0</v>
      </c>
      <c r="T720" s="117"/>
      <c r="U720" s="505" t="b">
        <v>0</v>
      </c>
      <c r="V720" s="504" t="b">
        <v>0</v>
      </c>
      <c r="W720" s="118"/>
      <c r="X720" s="505" t="b">
        <v>0</v>
      </c>
      <c r="Y720" s="504" t="b">
        <v>0</v>
      </c>
      <c r="Z720" s="119"/>
      <c r="AA720" s="505" t="b">
        <v>0</v>
      </c>
      <c r="AB720" s="504" t="b">
        <v>0</v>
      </c>
      <c r="AC720" s="121"/>
      <c r="AD720" s="505" t="b">
        <v>0</v>
      </c>
      <c r="AE720" s="504" t="b">
        <v>0</v>
      </c>
      <c r="AF720" s="125"/>
      <c r="AG720" s="505" t="b">
        <v>0</v>
      </c>
      <c r="AH720" s="504" t="b">
        <v>0</v>
      </c>
      <c r="AI720" s="105"/>
      <c r="AJ720" s="505" t="b">
        <v>0</v>
      </c>
      <c r="AK720" s="504" t="b">
        <v>0</v>
      </c>
      <c r="AL720" s="126"/>
      <c r="AM720" s="505" t="b">
        <v>0</v>
      </c>
      <c r="AN720" s="504" t="b">
        <v>0</v>
      </c>
      <c r="AO720" s="105"/>
      <c r="AP720" s="105"/>
      <c r="AQ720" s="105"/>
      <c r="AR720" s="105"/>
      <c r="AS720" s="105"/>
      <c r="AT720" s="105"/>
      <c r="AU720" s="105"/>
      <c r="AV720" s="105"/>
      <c r="AW720" s="105"/>
      <c r="AX720" s="105"/>
      <c r="AY720" s="105"/>
      <c r="AZ720" s="105"/>
      <c r="BA720" s="105"/>
    </row>
    <row r="721">
      <c r="A721" s="105"/>
      <c r="B721" s="105"/>
      <c r="C721" s="105"/>
      <c r="D721" s="105"/>
      <c r="E721" s="105"/>
      <c r="F721" s="105"/>
      <c r="G721" s="105"/>
      <c r="H721" s="105"/>
      <c r="I721" s="505" t="b">
        <v>0</v>
      </c>
      <c r="J721" s="507" t="b">
        <v>0</v>
      </c>
      <c r="K721" s="112"/>
      <c r="L721" s="505" t="b">
        <v>0</v>
      </c>
      <c r="M721" s="504" t="b">
        <v>0</v>
      </c>
      <c r="N721" s="112"/>
      <c r="O721" s="505" t="b">
        <v>0</v>
      </c>
      <c r="P721" s="504" t="b">
        <v>0</v>
      </c>
      <c r="Q721" s="116"/>
      <c r="R721" s="505" t="b">
        <v>0</v>
      </c>
      <c r="S721" s="504" t="b">
        <v>0</v>
      </c>
      <c r="T721" s="117"/>
      <c r="U721" s="505" t="b">
        <v>0</v>
      </c>
      <c r="V721" s="504" t="b">
        <v>0</v>
      </c>
      <c r="W721" s="118"/>
      <c r="X721" s="505" t="b">
        <v>0</v>
      </c>
      <c r="Y721" s="504" t="b">
        <v>0</v>
      </c>
      <c r="Z721" s="119"/>
      <c r="AA721" s="505" t="b">
        <v>0</v>
      </c>
      <c r="AB721" s="504" t="b">
        <v>0</v>
      </c>
      <c r="AC721" s="121"/>
      <c r="AD721" s="505" t="b">
        <v>0</v>
      </c>
      <c r="AE721" s="504" t="b">
        <v>0</v>
      </c>
      <c r="AF721" s="125"/>
      <c r="AG721" s="505" t="b">
        <v>0</v>
      </c>
      <c r="AH721" s="504" t="b">
        <v>0</v>
      </c>
      <c r="AI721" s="105"/>
      <c r="AJ721" s="505" t="b">
        <v>0</v>
      </c>
      <c r="AK721" s="504" t="b">
        <v>0</v>
      </c>
      <c r="AL721" s="126"/>
      <c r="AM721" s="505" t="b">
        <v>0</v>
      </c>
      <c r="AN721" s="504" t="b">
        <v>0</v>
      </c>
      <c r="AO721" s="105"/>
      <c r="AP721" s="105"/>
      <c r="AQ721" s="105"/>
      <c r="AR721" s="105"/>
      <c r="AS721" s="105"/>
      <c r="AT721" s="105"/>
      <c r="AU721" s="105"/>
      <c r="AV721" s="105"/>
      <c r="AW721" s="105"/>
      <c r="AX721" s="105"/>
      <c r="AY721" s="105"/>
      <c r="AZ721" s="105"/>
      <c r="BA721" s="105"/>
    </row>
    <row r="722">
      <c r="A722" s="105"/>
      <c r="B722" s="105"/>
      <c r="C722" s="105"/>
      <c r="D722" s="105"/>
      <c r="E722" s="105"/>
      <c r="F722" s="105"/>
      <c r="G722" s="105"/>
      <c r="H722" s="105"/>
      <c r="I722" s="505" t="b">
        <v>0</v>
      </c>
      <c r="J722" s="507" t="b">
        <v>0</v>
      </c>
      <c r="K722" s="112"/>
      <c r="L722" s="505" t="b">
        <v>0</v>
      </c>
      <c r="M722" s="504" t="b">
        <v>0</v>
      </c>
      <c r="N722" s="112"/>
      <c r="O722" s="505" t="b">
        <v>0</v>
      </c>
      <c r="P722" s="504" t="b">
        <v>0</v>
      </c>
      <c r="Q722" s="116"/>
      <c r="R722" s="505" t="b">
        <v>0</v>
      </c>
      <c r="S722" s="504" t="b">
        <v>0</v>
      </c>
      <c r="T722" s="117"/>
      <c r="U722" s="505" t="b">
        <v>0</v>
      </c>
      <c r="V722" s="504" t="b">
        <v>0</v>
      </c>
      <c r="W722" s="118"/>
      <c r="X722" s="505" t="b">
        <v>0</v>
      </c>
      <c r="Y722" s="504" t="b">
        <v>0</v>
      </c>
      <c r="Z722" s="119"/>
      <c r="AA722" s="505" t="b">
        <v>0</v>
      </c>
      <c r="AB722" s="504" t="b">
        <v>0</v>
      </c>
      <c r="AC722" s="121"/>
      <c r="AD722" s="505" t="b">
        <v>0</v>
      </c>
      <c r="AE722" s="504" t="b">
        <v>0</v>
      </c>
      <c r="AF722" s="125"/>
      <c r="AG722" s="505" t="b">
        <v>0</v>
      </c>
      <c r="AH722" s="504" t="b">
        <v>0</v>
      </c>
      <c r="AI722" s="105"/>
      <c r="AJ722" s="505" t="b">
        <v>0</v>
      </c>
      <c r="AK722" s="504" t="b">
        <v>0</v>
      </c>
      <c r="AL722" s="126"/>
      <c r="AM722" s="505" t="b">
        <v>0</v>
      </c>
      <c r="AN722" s="504" t="b">
        <v>0</v>
      </c>
      <c r="AO722" s="105"/>
      <c r="AP722" s="105"/>
      <c r="AQ722" s="105"/>
      <c r="AR722" s="105"/>
      <c r="AS722" s="105"/>
      <c r="AT722" s="105"/>
      <c r="AU722" s="105"/>
      <c r="AV722" s="105"/>
      <c r="AW722" s="105"/>
      <c r="AX722" s="105"/>
      <c r="AY722" s="105"/>
      <c r="AZ722" s="105"/>
      <c r="BA722" s="105"/>
    </row>
    <row r="723">
      <c r="A723" s="105"/>
      <c r="B723" s="105"/>
      <c r="C723" s="105"/>
      <c r="D723" s="105"/>
      <c r="E723" s="105"/>
      <c r="F723" s="105"/>
      <c r="G723" s="105"/>
      <c r="H723" s="105"/>
      <c r="I723" s="505" t="b">
        <v>0</v>
      </c>
      <c r="J723" s="507" t="b">
        <v>0</v>
      </c>
      <c r="K723" s="112"/>
      <c r="L723" s="505" t="b">
        <v>0</v>
      </c>
      <c r="M723" s="504" t="b">
        <v>0</v>
      </c>
      <c r="N723" s="112"/>
      <c r="O723" s="505" t="b">
        <v>0</v>
      </c>
      <c r="P723" s="504" t="b">
        <v>0</v>
      </c>
      <c r="Q723" s="116"/>
      <c r="R723" s="505" t="b">
        <v>0</v>
      </c>
      <c r="S723" s="504" t="b">
        <v>0</v>
      </c>
      <c r="T723" s="117"/>
      <c r="U723" s="505" t="b">
        <v>0</v>
      </c>
      <c r="V723" s="504" t="b">
        <v>0</v>
      </c>
      <c r="W723" s="118"/>
      <c r="X723" s="505" t="b">
        <v>0</v>
      </c>
      <c r="Y723" s="504" t="b">
        <v>0</v>
      </c>
      <c r="Z723" s="119"/>
      <c r="AA723" s="505" t="b">
        <v>0</v>
      </c>
      <c r="AB723" s="504" t="b">
        <v>0</v>
      </c>
      <c r="AC723" s="121"/>
      <c r="AD723" s="505" t="b">
        <v>0</v>
      </c>
      <c r="AE723" s="504" t="b">
        <v>0</v>
      </c>
      <c r="AF723" s="125"/>
      <c r="AG723" s="505" t="b">
        <v>0</v>
      </c>
      <c r="AH723" s="504" t="b">
        <v>0</v>
      </c>
      <c r="AI723" s="105"/>
      <c r="AJ723" s="505" t="b">
        <v>0</v>
      </c>
      <c r="AK723" s="504" t="b">
        <v>0</v>
      </c>
      <c r="AL723" s="126"/>
      <c r="AM723" s="505" t="b">
        <v>0</v>
      </c>
      <c r="AN723" s="504" t="b">
        <v>0</v>
      </c>
      <c r="AO723" s="105"/>
      <c r="AP723" s="105"/>
      <c r="AQ723" s="105"/>
      <c r="AR723" s="105"/>
      <c r="AS723" s="105"/>
      <c r="AT723" s="105"/>
      <c r="AU723" s="105"/>
      <c r="AV723" s="105"/>
      <c r="AW723" s="105"/>
      <c r="AX723" s="105"/>
      <c r="AY723" s="105"/>
      <c r="AZ723" s="105"/>
      <c r="BA723" s="105"/>
    </row>
    <row r="724">
      <c r="A724" s="105"/>
      <c r="B724" s="105"/>
      <c r="C724" s="105"/>
      <c r="D724" s="105"/>
      <c r="E724" s="105"/>
      <c r="F724" s="105"/>
      <c r="G724" s="105"/>
      <c r="H724" s="105"/>
      <c r="I724" s="505" t="b">
        <v>0</v>
      </c>
      <c r="J724" s="507" t="b">
        <v>0</v>
      </c>
      <c r="K724" s="112"/>
      <c r="L724" s="505" t="b">
        <v>0</v>
      </c>
      <c r="M724" s="504" t="b">
        <v>0</v>
      </c>
      <c r="N724" s="112"/>
      <c r="O724" s="505" t="b">
        <v>0</v>
      </c>
      <c r="P724" s="504" t="b">
        <v>0</v>
      </c>
      <c r="Q724" s="116"/>
      <c r="R724" s="505" t="b">
        <v>0</v>
      </c>
      <c r="S724" s="504" t="b">
        <v>0</v>
      </c>
      <c r="T724" s="117"/>
      <c r="U724" s="505" t="b">
        <v>0</v>
      </c>
      <c r="V724" s="504" t="b">
        <v>0</v>
      </c>
      <c r="W724" s="118"/>
      <c r="X724" s="505" t="b">
        <v>0</v>
      </c>
      <c r="Y724" s="504" t="b">
        <v>0</v>
      </c>
      <c r="Z724" s="119"/>
      <c r="AA724" s="505" t="b">
        <v>0</v>
      </c>
      <c r="AB724" s="504" t="b">
        <v>0</v>
      </c>
      <c r="AC724" s="121"/>
      <c r="AD724" s="505" t="b">
        <v>0</v>
      </c>
      <c r="AE724" s="504" t="b">
        <v>0</v>
      </c>
      <c r="AF724" s="125"/>
      <c r="AG724" s="505" t="b">
        <v>0</v>
      </c>
      <c r="AH724" s="504" t="b">
        <v>0</v>
      </c>
      <c r="AI724" s="105"/>
      <c r="AJ724" s="505" t="b">
        <v>0</v>
      </c>
      <c r="AK724" s="504" t="b">
        <v>0</v>
      </c>
      <c r="AL724" s="126"/>
      <c r="AM724" s="505" t="b">
        <v>0</v>
      </c>
      <c r="AN724" s="504" t="b">
        <v>0</v>
      </c>
      <c r="AO724" s="105"/>
      <c r="AP724" s="105"/>
      <c r="AQ724" s="105"/>
      <c r="AR724" s="105"/>
      <c r="AS724" s="105"/>
      <c r="AT724" s="105"/>
      <c r="AU724" s="105"/>
      <c r="AV724" s="105"/>
      <c r="AW724" s="105"/>
      <c r="AX724" s="105"/>
      <c r="AY724" s="105"/>
      <c r="AZ724" s="105"/>
      <c r="BA724" s="105"/>
    </row>
    <row r="725">
      <c r="A725" s="105"/>
      <c r="B725" s="105"/>
      <c r="C725" s="105"/>
      <c r="D725" s="105"/>
      <c r="E725" s="105"/>
      <c r="F725" s="105"/>
      <c r="G725" s="105"/>
      <c r="H725" s="105"/>
      <c r="I725" s="505" t="b">
        <v>0</v>
      </c>
      <c r="J725" s="507" t="b">
        <v>0</v>
      </c>
      <c r="K725" s="112"/>
      <c r="L725" s="505" t="b">
        <v>0</v>
      </c>
      <c r="M725" s="504" t="b">
        <v>0</v>
      </c>
      <c r="N725" s="112"/>
      <c r="O725" s="505" t="b">
        <v>0</v>
      </c>
      <c r="P725" s="504" t="b">
        <v>0</v>
      </c>
      <c r="Q725" s="116"/>
      <c r="R725" s="505" t="b">
        <v>0</v>
      </c>
      <c r="S725" s="504" t="b">
        <v>0</v>
      </c>
      <c r="T725" s="117"/>
      <c r="U725" s="505" t="b">
        <v>0</v>
      </c>
      <c r="V725" s="504" t="b">
        <v>0</v>
      </c>
      <c r="W725" s="118"/>
      <c r="X725" s="505" t="b">
        <v>0</v>
      </c>
      <c r="Y725" s="504" t="b">
        <v>0</v>
      </c>
      <c r="Z725" s="119"/>
      <c r="AA725" s="505" t="b">
        <v>0</v>
      </c>
      <c r="AB725" s="504" t="b">
        <v>0</v>
      </c>
      <c r="AC725" s="121"/>
      <c r="AD725" s="505" t="b">
        <v>0</v>
      </c>
      <c r="AE725" s="504" t="b">
        <v>0</v>
      </c>
      <c r="AF725" s="125"/>
      <c r="AG725" s="505" t="b">
        <v>0</v>
      </c>
      <c r="AH725" s="504" t="b">
        <v>0</v>
      </c>
      <c r="AI725" s="105"/>
      <c r="AJ725" s="505" t="b">
        <v>0</v>
      </c>
      <c r="AK725" s="504" t="b">
        <v>0</v>
      </c>
      <c r="AL725" s="126"/>
      <c r="AM725" s="505" t="b">
        <v>0</v>
      </c>
      <c r="AN725" s="504" t="b">
        <v>0</v>
      </c>
      <c r="AO725" s="105"/>
      <c r="AP725" s="105"/>
      <c r="AQ725" s="105"/>
      <c r="AR725" s="105"/>
      <c r="AS725" s="105"/>
      <c r="AT725" s="105"/>
      <c r="AU725" s="105"/>
      <c r="AV725" s="105"/>
      <c r="AW725" s="105"/>
      <c r="AX725" s="105"/>
      <c r="AY725" s="105"/>
      <c r="AZ725" s="105"/>
      <c r="BA725" s="105"/>
    </row>
    <row r="726">
      <c r="A726" s="105"/>
      <c r="B726" s="105"/>
      <c r="C726" s="105"/>
      <c r="D726" s="105"/>
      <c r="E726" s="105"/>
      <c r="F726" s="105"/>
      <c r="G726" s="105"/>
      <c r="H726" s="105"/>
      <c r="I726" s="505" t="b">
        <v>0</v>
      </c>
      <c r="J726" s="507" t="b">
        <v>0</v>
      </c>
      <c r="K726" s="112"/>
      <c r="L726" s="505" t="b">
        <v>0</v>
      </c>
      <c r="M726" s="504" t="b">
        <v>0</v>
      </c>
      <c r="N726" s="112"/>
      <c r="O726" s="505" t="b">
        <v>0</v>
      </c>
      <c r="P726" s="504" t="b">
        <v>0</v>
      </c>
      <c r="Q726" s="116"/>
      <c r="R726" s="505" t="b">
        <v>0</v>
      </c>
      <c r="S726" s="504" t="b">
        <v>0</v>
      </c>
      <c r="T726" s="117"/>
      <c r="U726" s="505" t="b">
        <v>0</v>
      </c>
      <c r="V726" s="504" t="b">
        <v>0</v>
      </c>
      <c r="W726" s="118"/>
      <c r="X726" s="505" t="b">
        <v>0</v>
      </c>
      <c r="Y726" s="504" t="b">
        <v>0</v>
      </c>
      <c r="Z726" s="119"/>
      <c r="AA726" s="505" t="b">
        <v>0</v>
      </c>
      <c r="AB726" s="504" t="b">
        <v>0</v>
      </c>
      <c r="AC726" s="121"/>
      <c r="AD726" s="505" t="b">
        <v>0</v>
      </c>
      <c r="AE726" s="504" t="b">
        <v>0</v>
      </c>
      <c r="AF726" s="125"/>
      <c r="AG726" s="505" t="b">
        <v>0</v>
      </c>
      <c r="AH726" s="504" t="b">
        <v>0</v>
      </c>
      <c r="AI726" s="105"/>
      <c r="AJ726" s="505" t="b">
        <v>0</v>
      </c>
      <c r="AK726" s="504" t="b">
        <v>0</v>
      </c>
      <c r="AL726" s="126"/>
      <c r="AM726" s="505" t="b">
        <v>0</v>
      </c>
      <c r="AN726" s="504" t="b">
        <v>0</v>
      </c>
      <c r="AO726" s="105"/>
      <c r="AP726" s="105"/>
      <c r="AQ726" s="105"/>
      <c r="AR726" s="105"/>
      <c r="AS726" s="105"/>
      <c r="AT726" s="105"/>
      <c r="AU726" s="105"/>
      <c r="AV726" s="105"/>
      <c r="AW726" s="105"/>
      <c r="AX726" s="105"/>
      <c r="AY726" s="105"/>
      <c r="AZ726" s="105"/>
      <c r="BA726" s="105"/>
    </row>
    <row r="727">
      <c r="A727" s="105"/>
      <c r="B727" s="105"/>
      <c r="C727" s="105"/>
      <c r="D727" s="105"/>
      <c r="E727" s="105"/>
      <c r="F727" s="105"/>
      <c r="G727" s="105"/>
      <c r="H727" s="105"/>
      <c r="I727" s="505" t="b">
        <v>0</v>
      </c>
      <c r="J727" s="507" t="b">
        <v>0</v>
      </c>
      <c r="K727" s="112"/>
      <c r="L727" s="505" t="b">
        <v>0</v>
      </c>
      <c r="M727" s="504" t="b">
        <v>0</v>
      </c>
      <c r="N727" s="112"/>
      <c r="O727" s="505" t="b">
        <v>0</v>
      </c>
      <c r="P727" s="504" t="b">
        <v>0</v>
      </c>
      <c r="Q727" s="116"/>
      <c r="R727" s="505" t="b">
        <v>0</v>
      </c>
      <c r="S727" s="504" t="b">
        <v>0</v>
      </c>
      <c r="T727" s="117"/>
      <c r="U727" s="505" t="b">
        <v>0</v>
      </c>
      <c r="V727" s="504" t="b">
        <v>0</v>
      </c>
      <c r="W727" s="118"/>
      <c r="X727" s="505" t="b">
        <v>0</v>
      </c>
      <c r="Y727" s="504" t="b">
        <v>0</v>
      </c>
      <c r="Z727" s="119"/>
      <c r="AA727" s="505" t="b">
        <v>0</v>
      </c>
      <c r="AB727" s="504" t="b">
        <v>0</v>
      </c>
      <c r="AC727" s="121"/>
      <c r="AD727" s="505" t="b">
        <v>0</v>
      </c>
      <c r="AE727" s="504" t="b">
        <v>0</v>
      </c>
      <c r="AF727" s="125"/>
      <c r="AG727" s="505" t="b">
        <v>0</v>
      </c>
      <c r="AH727" s="504" t="b">
        <v>0</v>
      </c>
      <c r="AI727" s="105"/>
      <c r="AJ727" s="505" t="b">
        <v>0</v>
      </c>
      <c r="AK727" s="504" t="b">
        <v>0</v>
      </c>
      <c r="AL727" s="126"/>
      <c r="AM727" s="505" t="b">
        <v>0</v>
      </c>
      <c r="AN727" s="504" t="b">
        <v>0</v>
      </c>
      <c r="AO727" s="105"/>
      <c r="AP727" s="105"/>
      <c r="AQ727" s="105"/>
      <c r="AR727" s="105"/>
      <c r="AS727" s="105"/>
      <c r="AT727" s="105"/>
      <c r="AU727" s="105"/>
      <c r="AV727" s="105"/>
      <c r="AW727" s="105"/>
      <c r="AX727" s="105"/>
      <c r="AY727" s="105"/>
      <c r="AZ727" s="105"/>
      <c r="BA727" s="105"/>
    </row>
    <row r="728">
      <c r="A728" s="105"/>
      <c r="B728" s="105"/>
      <c r="C728" s="105"/>
      <c r="D728" s="105"/>
      <c r="E728" s="105"/>
      <c r="F728" s="105"/>
      <c r="G728" s="105"/>
      <c r="H728" s="105"/>
      <c r="I728" s="505" t="b">
        <v>0</v>
      </c>
      <c r="J728" s="507" t="b">
        <v>0</v>
      </c>
      <c r="K728" s="112"/>
      <c r="L728" s="505" t="b">
        <v>0</v>
      </c>
      <c r="M728" s="504" t="b">
        <v>0</v>
      </c>
      <c r="N728" s="112"/>
      <c r="O728" s="505" t="b">
        <v>0</v>
      </c>
      <c r="P728" s="504" t="b">
        <v>0</v>
      </c>
      <c r="Q728" s="116"/>
      <c r="R728" s="505" t="b">
        <v>0</v>
      </c>
      <c r="S728" s="504" t="b">
        <v>0</v>
      </c>
      <c r="T728" s="117"/>
      <c r="U728" s="505" t="b">
        <v>0</v>
      </c>
      <c r="V728" s="504" t="b">
        <v>0</v>
      </c>
      <c r="W728" s="118"/>
      <c r="X728" s="505" t="b">
        <v>0</v>
      </c>
      <c r="Y728" s="504" t="b">
        <v>0</v>
      </c>
      <c r="Z728" s="119"/>
      <c r="AA728" s="505" t="b">
        <v>0</v>
      </c>
      <c r="AB728" s="504" t="b">
        <v>0</v>
      </c>
      <c r="AC728" s="121"/>
      <c r="AD728" s="505" t="b">
        <v>0</v>
      </c>
      <c r="AE728" s="504" t="b">
        <v>0</v>
      </c>
      <c r="AF728" s="125"/>
      <c r="AG728" s="505" t="b">
        <v>0</v>
      </c>
      <c r="AH728" s="504" t="b">
        <v>0</v>
      </c>
      <c r="AI728" s="105"/>
      <c r="AJ728" s="505" t="b">
        <v>0</v>
      </c>
      <c r="AK728" s="504" t="b">
        <v>0</v>
      </c>
      <c r="AL728" s="126"/>
      <c r="AM728" s="505" t="b">
        <v>0</v>
      </c>
      <c r="AN728" s="504" t="b">
        <v>0</v>
      </c>
      <c r="AO728" s="105"/>
      <c r="AP728" s="105"/>
      <c r="AQ728" s="105"/>
      <c r="AR728" s="105"/>
      <c r="AS728" s="105"/>
      <c r="AT728" s="105"/>
      <c r="AU728" s="105"/>
      <c r="AV728" s="105"/>
      <c r="AW728" s="105"/>
      <c r="AX728" s="105"/>
      <c r="AY728" s="105"/>
      <c r="AZ728" s="105"/>
      <c r="BA728" s="105"/>
    </row>
    <row r="729">
      <c r="A729" s="105"/>
      <c r="B729" s="105"/>
      <c r="C729" s="105"/>
      <c r="D729" s="105"/>
      <c r="E729" s="105"/>
      <c r="F729" s="105"/>
      <c r="G729" s="105"/>
      <c r="H729" s="105"/>
      <c r="I729" s="505" t="b">
        <v>0</v>
      </c>
      <c r="J729" s="507" t="b">
        <v>0</v>
      </c>
      <c r="K729" s="112"/>
      <c r="L729" s="505" t="b">
        <v>0</v>
      </c>
      <c r="M729" s="504" t="b">
        <v>0</v>
      </c>
      <c r="N729" s="112"/>
      <c r="O729" s="505" t="b">
        <v>0</v>
      </c>
      <c r="P729" s="504" t="b">
        <v>0</v>
      </c>
      <c r="Q729" s="116"/>
      <c r="R729" s="505" t="b">
        <v>0</v>
      </c>
      <c r="S729" s="504" t="b">
        <v>0</v>
      </c>
      <c r="T729" s="117"/>
      <c r="U729" s="505" t="b">
        <v>0</v>
      </c>
      <c r="V729" s="504" t="b">
        <v>0</v>
      </c>
      <c r="W729" s="118"/>
      <c r="X729" s="505" t="b">
        <v>0</v>
      </c>
      <c r="Y729" s="504" t="b">
        <v>0</v>
      </c>
      <c r="Z729" s="119"/>
      <c r="AA729" s="505" t="b">
        <v>0</v>
      </c>
      <c r="AB729" s="504" t="b">
        <v>0</v>
      </c>
      <c r="AC729" s="121"/>
      <c r="AD729" s="505" t="b">
        <v>0</v>
      </c>
      <c r="AE729" s="504" t="b">
        <v>0</v>
      </c>
      <c r="AF729" s="125"/>
      <c r="AG729" s="505" t="b">
        <v>0</v>
      </c>
      <c r="AH729" s="504" t="b">
        <v>0</v>
      </c>
      <c r="AI729" s="105"/>
      <c r="AJ729" s="505" t="b">
        <v>0</v>
      </c>
      <c r="AK729" s="504" t="b">
        <v>0</v>
      </c>
      <c r="AL729" s="126"/>
      <c r="AM729" s="505" t="b">
        <v>0</v>
      </c>
      <c r="AN729" s="504" t="b">
        <v>0</v>
      </c>
      <c r="AO729" s="105"/>
      <c r="AP729" s="105"/>
      <c r="AQ729" s="105"/>
      <c r="AR729" s="105"/>
      <c r="AS729" s="105"/>
      <c r="AT729" s="105"/>
      <c r="AU729" s="105"/>
      <c r="AV729" s="105"/>
      <c r="AW729" s="105"/>
      <c r="AX729" s="105"/>
      <c r="AY729" s="105"/>
      <c r="AZ729" s="105"/>
      <c r="BA729" s="105"/>
    </row>
    <row r="730">
      <c r="A730" s="105"/>
      <c r="B730" s="105"/>
      <c r="C730" s="105"/>
      <c r="D730" s="105"/>
      <c r="E730" s="105"/>
      <c r="F730" s="105"/>
      <c r="G730" s="105"/>
      <c r="H730" s="105"/>
      <c r="I730" s="505" t="b">
        <v>0</v>
      </c>
      <c r="J730" s="507" t="b">
        <v>0</v>
      </c>
      <c r="K730" s="112"/>
      <c r="L730" s="505" t="b">
        <v>0</v>
      </c>
      <c r="M730" s="504" t="b">
        <v>0</v>
      </c>
      <c r="N730" s="112"/>
      <c r="O730" s="505" t="b">
        <v>0</v>
      </c>
      <c r="P730" s="504" t="b">
        <v>0</v>
      </c>
      <c r="Q730" s="116"/>
      <c r="R730" s="505" t="b">
        <v>0</v>
      </c>
      <c r="S730" s="504" t="b">
        <v>0</v>
      </c>
      <c r="T730" s="117"/>
      <c r="U730" s="505" t="b">
        <v>0</v>
      </c>
      <c r="V730" s="504" t="b">
        <v>0</v>
      </c>
      <c r="W730" s="118"/>
      <c r="X730" s="505" t="b">
        <v>0</v>
      </c>
      <c r="Y730" s="504" t="b">
        <v>0</v>
      </c>
      <c r="Z730" s="119"/>
      <c r="AA730" s="505" t="b">
        <v>0</v>
      </c>
      <c r="AB730" s="504" t="b">
        <v>0</v>
      </c>
      <c r="AC730" s="121"/>
      <c r="AD730" s="505" t="b">
        <v>0</v>
      </c>
      <c r="AE730" s="504" t="b">
        <v>0</v>
      </c>
      <c r="AF730" s="125"/>
      <c r="AG730" s="505" t="b">
        <v>0</v>
      </c>
      <c r="AH730" s="504" t="b">
        <v>0</v>
      </c>
      <c r="AI730" s="105"/>
      <c r="AJ730" s="505" t="b">
        <v>0</v>
      </c>
      <c r="AK730" s="504" t="b">
        <v>0</v>
      </c>
      <c r="AL730" s="126"/>
      <c r="AM730" s="505" t="b">
        <v>0</v>
      </c>
      <c r="AN730" s="504" t="b">
        <v>0</v>
      </c>
      <c r="AO730" s="105"/>
      <c r="AP730" s="105"/>
      <c r="AQ730" s="105"/>
      <c r="AR730" s="105"/>
      <c r="AS730" s="105"/>
      <c r="AT730" s="105"/>
      <c r="AU730" s="105"/>
      <c r="AV730" s="105"/>
      <c r="AW730" s="105"/>
      <c r="AX730" s="105"/>
      <c r="AY730" s="105"/>
      <c r="AZ730" s="105"/>
      <c r="BA730" s="105"/>
    </row>
    <row r="731">
      <c r="A731" s="105"/>
      <c r="B731" s="105"/>
      <c r="C731" s="105"/>
      <c r="D731" s="105"/>
      <c r="E731" s="105"/>
      <c r="F731" s="105"/>
      <c r="G731" s="105"/>
      <c r="H731" s="105"/>
      <c r="I731" s="505" t="b">
        <v>0</v>
      </c>
      <c r="J731" s="507" t="b">
        <v>0</v>
      </c>
      <c r="K731" s="112"/>
      <c r="L731" s="505" t="b">
        <v>0</v>
      </c>
      <c r="M731" s="504" t="b">
        <v>0</v>
      </c>
      <c r="N731" s="112"/>
      <c r="O731" s="505" t="b">
        <v>0</v>
      </c>
      <c r="P731" s="504" t="b">
        <v>0</v>
      </c>
      <c r="Q731" s="116"/>
      <c r="R731" s="505" t="b">
        <v>0</v>
      </c>
      <c r="S731" s="504" t="b">
        <v>0</v>
      </c>
      <c r="T731" s="117"/>
      <c r="U731" s="505" t="b">
        <v>0</v>
      </c>
      <c r="V731" s="504" t="b">
        <v>0</v>
      </c>
      <c r="W731" s="118"/>
      <c r="X731" s="505" t="b">
        <v>0</v>
      </c>
      <c r="Y731" s="504" t="b">
        <v>0</v>
      </c>
      <c r="Z731" s="119"/>
      <c r="AA731" s="505" t="b">
        <v>0</v>
      </c>
      <c r="AB731" s="504" t="b">
        <v>0</v>
      </c>
      <c r="AC731" s="121"/>
      <c r="AD731" s="505" t="b">
        <v>0</v>
      </c>
      <c r="AE731" s="504" t="b">
        <v>0</v>
      </c>
      <c r="AF731" s="125"/>
      <c r="AG731" s="505" t="b">
        <v>0</v>
      </c>
      <c r="AH731" s="504" t="b">
        <v>0</v>
      </c>
      <c r="AI731" s="105"/>
      <c r="AJ731" s="505" t="b">
        <v>0</v>
      </c>
      <c r="AK731" s="504" t="b">
        <v>0</v>
      </c>
      <c r="AL731" s="126"/>
      <c r="AM731" s="505" t="b">
        <v>0</v>
      </c>
      <c r="AN731" s="504" t="b">
        <v>0</v>
      </c>
      <c r="AO731" s="105"/>
      <c r="AP731" s="105"/>
      <c r="AQ731" s="105"/>
      <c r="AR731" s="105"/>
      <c r="AS731" s="105"/>
      <c r="AT731" s="105"/>
      <c r="AU731" s="105"/>
      <c r="AV731" s="105"/>
      <c r="AW731" s="105"/>
      <c r="AX731" s="105"/>
      <c r="AY731" s="105"/>
      <c r="AZ731" s="105"/>
      <c r="BA731" s="105"/>
    </row>
    <row r="732">
      <c r="A732" s="105"/>
      <c r="B732" s="105"/>
      <c r="C732" s="105"/>
      <c r="D732" s="105"/>
      <c r="E732" s="105"/>
      <c r="F732" s="105"/>
      <c r="G732" s="105"/>
      <c r="H732" s="105"/>
      <c r="I732" s="505" t="b">
        <v>0</v>
      </c>
      <c r="J732" s="507" t="b">
        <v>0</v>
      </c>
      <c r="K732" s="112"/>
      <c r="L732" s="505" t="b">
        <v>0</v>
      </c>
      <c r="M732" s="504" t="b">
        <v>0</v>
      </c>
      <c r="N732" s="112"/>
      <c r="O732" s="505" t="b">
        <v>0</v>
      </c>
      <c r="P732" s="504" t="b">
        <v>0</v>
      </c>
      <c r="Q732" s="116"/>
      <c r="R732" s="505" t="b">
        <v>0</v>
      </c>
      <c r="S732" s="504" t="b">
        <v>0</v>
      </c>
      <c r="T732" s="117"/>
      <c r="U732" s="505" t="b">
        <v>0</v>
      </c>
      <c r="V732" s="504" t="b">
        <v>0</v>
      </c>
      <c r="W732" s="118"/>
      <c r="X732" s="505" t="b">
        <v>0</v>
      </c>
      <c r="Y732" s="504" t="b">
        <v>0</v>
      </c>
      <c r="Z732" s="119"/>
      <c r="AA732" s="505" t="b">
        <v>0</v>
      </c>
      <c r="AB732" s="504" t="b">
        <v>0</v>
      </c>
      <c r="AC732" s="121"/>
      <c r="AD732" s="505" t="b">
        <v>0</v>
      </c>
      <c r="AE732" s="504" t="b">
        <v>0</v>
      </c>
      <c r="AF732" s="125"/>
      <c r="AG732" s="505" t="b">
        <v>0</v>
      </c>
      <c r="AH732" s="504" t="b">
        <v>0</v>
      </c>
      <c r="AI732" s="105"/>
      <c r="AJ732" s="505" t="b">
        <v>0</v>
      </c>
      <c r="AK732" s="504" t="b">
        <v>0</v>
      </c>
      <c r="AL732" s="126"/>
      <c r="AM732" s="505" t="b">
        <v>0</v>
      </c>
      <c r="AN732" s="504" t="b">
        <v>0</v>
      </c>
      <c r="AO732" s="105"/>
      <c r="AP732" s="105"/>
      <c r="AQ732" s="105"/>
      <c r="AR732" s="105"/>
      <c r="AS732" s="105"/>
      <c r="AT732" s="105"/>
      <c r="AU732" s="105"/>
      <c r="AV732" s="105"/>
      <c r="AW732" s="105"/>
      <c r="AX732" s="105"/>
      <c r="AY732" s="105"/>
      <c r="AZ732" s="105"/>
      <c r="BA732" s="105"/>
    </row>
    <row r="733">
      <c r="A733" s="105"/>
      <c r="B733" s="105"/>
      <c r="C733" s="105"/>
      <c r="D733" s="105"/>
      <c r="E733" s="105"/>
      <c r="F733" s="105"/>
      <c r="G733" s="105"/>
      <c r="H733" s="105"/>
      <c r="I733" s="505" t="b">
        <v>0</v>
      </c>
      <c r="J733" s="507" t="b">
        <v>0</v>
      </c>
      <c r="K733" s="112"/>
      <c r="L733" s="505" t="b">
        <v>0</v>
      </c>
      <c r="M733" s="504" t="b">
        <v>0</v>
      </c>
      <c r="N733" s="112"/>
      <c r="O733" s="505" t="b">
        <v>0</v>
      </c>
      <c r="P733" s="504" t="b">
        <v>0</v>
      </c>
      <c r="Q733" s="116"/>
      <c r="R733" s="505" t="b">
        <v>0</v>
      </c>
      <c r="S733" s="504" t="b">
        <v>0</v>
      </c>
      <c r="T733" s="117"/>
      <c r="U733" s="505" t="b">
        <v>0</v>
      </c>
      <c r="V733" s="504" t="b">
        <v>0</v>
      </c>
      <c r="W733" s="118"/>
      <c r="X733" s="505" t="b">
        <v>0</v>
      </c>
      <c r="Y733" s="504" t="b">
        <v>0</v>
      </c>
      <c r="Z733" s="119"/>
      <c r="AA733" s="505" t="b">
        <v>0</v>
      </c>
      <c r="AB733" s="504" t="b">
        <v>0</v>
      </c>
      <c r="AC733" s="121"/>
      <c r="AD733" s="505" t="b">
        <v>0</v>
      </c>
      <c r="AE733" s="504" t="b">
        <v>0</v>
      </c>
      <c r="AF733" s="125"/>
      <c r="AG733" s="505" t="b">
        <v>0</v>
      </c>
      <c r="AH733" s="504" t="b">
        <v>0</v>
      </c>
      <c r="AI733" s="105"/>
      <c r="AJ733" s="505" t="b">
        <v>0</v>
      </c>
      <c r="AK733" s="504" t="b">
        <v>0</v>
      </c>
      <c r="AL733" s="126"/>
      <c r="AM733" s="505" t="b">
        <v>0</v>
      </c>
      <c r="AN733" s="504" t="b">
        <v>0</v>
      </c>
      <c r="AO733" s="105"/>
      <c r="AP733" s="105"/>
      <c r="AQ733" s="105"/>
      <c r="AR733" s="105"/>
      <c r="AS733" s="105"/>
      <c r="AT733" s="105"/>
      <c r="AU733" s="105"/>
      <c r="AV733" s="105"/>
      <c r="AW733" s="105"/>
      <c r="AX733" s="105"/>
      <c r="AY733" s="105"/>
      <c r="AZ733" s="105"/>
      <c r="BA733" s="105"/>
    </row>
    <row r="734">
      <c r="A734" s="105"/>
      <c r="B734" s="105"/>
      <c r="C734" s="105"/>
      <c r="D734" s="105"/>
      <c r="E734" s="105"/>
      <c r="F734" s="105"/>
      <c r="G734" s="105"/>
      <c r="H734" s="105"/>
      <c r="I734" s="505" t="b">
        <v>0</v>
      </c>
      <c r="J734" s="507" t="b">
        <v>0</v>
      </c>
      <c r="K734" s="112"/>
      <c r="L734" s="505" t="b">
        <v>0</v>
      </c>
      <c r="M734" s="504" t="b">
        <v>0</v>
      </c>
      <c r="N734" s="112"/>
      <c r="O734" s="505" t="b">
        <v>0</v>
      </c>
      <c r="P734" s="504" t="b">
        <v>0</v>
      </c>
      <c r="Q734" s="116"/>
      <c r="R734" s="505" t="b">
        <v>0</v>
      </c>
      <c r="S734" s="504" t="b">
        <v>0</v>
      </c>
      <c r="T734" s="117"/>
      <c r="U734" s="505" t="b">
        <v>0</v>
      </c>
      <c r="V734" s="504" t="b">
        <v>0</v>
      </c>
      <c r="W734" s="118"/>
      <c r="X734" s="505" t="b">
        <v>0</v>
      </c>
      <c r="Y734" s="504" t="b">
        <v>0</v>
      </c>
      <c r="Z734" s="119"/>
      <c r="AA734" s="505" t="b">
        <v>0</v>
      </c>
      <c r="AB734" s="504" t="b">
        <v>0</v>
      </c>
      <c r="AC734" s="121"/>
      <c r="AD734" s="505" t="b">
        <v>0</v>
      </c>
      <c r="AE734" s="504" t="b">
        <v>0</v>
      </c>
      <c r="AF734" s="125"/>
      <c r="AG734" s="505" t="b">
        <v>0</v>
      </c>
      <c r="AH734" s="504" t="b">
        <v>0</v>
      </c>
      <c r="AI734" s="105"/>
      <c r="AJ734" s="505" t="b">
        <v>0</v>
      </c>
      <c r="AK734" s="504" t="b">
        <v>0</v>
      </c>
      <c r="AL734" s="126"/>
      <c r="AM734" s="505" t="b">
        <v>0</v>
      </c>
      <c r="AN734" s="504" t="b">
        <v>0</v>
      </c>
      <c r="AO734" s="105"/>
      <c r="AP734" s="105"/>
      <c r="AQ734" s="105"/>
      <c r="AR734" s="105"/>
      <c r="AS734" s="105"/>
      <c r="AT734" s="105"/>
      <c r="AU734" s="105"/>
      <c r="AV734" s="105"/>
      <c r="AW734" s="105"/>
      <c r="AX734" s="105"/>
      <c r="AY734" s="105"/>
      <c r="AZ734" s="105"/>
      <c r="BA734" s="105"/>
    </row>
    <row r="735">
      <c r="A735" s="105"/>
      <c r="B735" s="105"/>
      <c r="C735" s="105"/>
      <c r="D735" s="105"/>
      <c r="E735" s="105"/>
      <c r="F735" s="105"/>
      <c r="G735" s="105"/>
      <c r="H735" s="105"/>
      <c r="I735" s="505" t="b">
        <v>0</v>
      </c>
      <c r="J735" s="507" t="b">
        <v>0</v>
      </c>
      <c r="K735" s="112"/>
      <c r="L735" s="505" t="b">
        <v>0</v>
      </c>
      <c r="M735" s="504" t="b">
        <v>0</v>
      </c>
      <c r="N735" s="112"/>
      <c r="O735" s="505" t="b">
        <v>0</v>
      </c>
      <c r="P735" s="504" t="b">
        <v>0</v>
      </c>
      <c r="Q735" s="116"/>
      <c r="R735" s="505" t="b">
        <v>0</v>
      </c>
      <c r="S735" s="504" t="b">
        <v>0</v>
      </c>
      <c r="T735" s="117"/>
      <c r="U735" s="505" t="b">
        <v>0</v>
      </c>
      <c r="V735" s="504" t="b">
        <v>0</v>
      </c>
      <c r="W735" s="118"/>
      <c r="X735" s="505" t="b">
        <v>0</v>
      </c>
      <c r="Y735" s="504" t="b">
        <v>0</v>
      </c>
      <c r="Z735" s="119"/>
      <c r="AA735" s="505" t="b">
        <v>0</v>
      </c>
      <c r="AB735" s="504" t="b">
        <v>0</v>
      </c>
      <c r="AC735" s="121"/>
      <c r="AD735" s="505" t="b">
        <v>0</v>
      </c>
      <c r="AE735" s="504" t="b">
        <v>0</v>
      </c>
      <c r="AF735" s="125"/>
      <c r="AG735" s="505" t="b">
        <v>0</v>
      </c>
      <c r="AH735" s="504" t="b">
        <v>0</v>
      </c>
      <c r="AI735" s="105"/>
      <c r="AJ735" s="505" t="b">
        <v>0</v>
      </c>
      <c r="AK735" s="504" t="b">
        <v>0</v>
      </c>
      <c r="AL735" s="126"/>
      <c r="AM735" s="505" t="b">
        <v>0</v>
      </c>
      <c r="AN735" s="504" t="b">
        <v>0</v>
      </c>
      <c r="AO735" s="105"/>
      <c r="AP735" s="105"/>
      <c r="AQ735" s="105"/>
      <c r="AR735" s="105"/>
      <c r="AS735" s="105"/>
      <c r="AT735" s="105"/>
      <c r="AU735" s="105"/>
      <c r="AV735" s="105"/>
      <c r="AW735" s="105"/>
      <c r="AX735" s="105"/>
      <c r="AY735" s="105"/>
      <c r="AZ735" s="105"/>
      <c r="BA735" s="105"/>
    </row>
    <row r="736">
      <c r="A736" s="105"/>
      <c r="B736" s="105"/>
      <c r="C736" s="105"/>
      <c r="D736" s="105"/>
      <c r="E736" s="105"/>
      <c r="F736" s="105"/>
      <c r="G736" s="105"/>
      <c r="H736" s="105"/>
      <c r="I736" s="505" t="b">
        <v>0</v>
      </c>
      <c r="J736" s="507" t="b">
        <v>0</v>
      </c>
      <c r="K736" s="112"/>
      <c r="L736" s="505" t="b">
        <v>0</v>
      </c>
      <c r="M736" s="504" t="b">
        <v>0</v>
      </c>
      <c r="N736" s="112"/>
      <c r="O736" s="505" t="b">
        <v>0</v>
      </c>
      <c r="P736" s="504" t="b">
        <v>0</v>
      </c>
      <c r="Q736" s="116"/>
      <c r="R736" s="505" t="b">
        <v>0</v>
      </c>
      <c r="S736" s="504" t="b">
        <v>0</v>
      </c>
      <c r="T736" s="117"/>
      <c r="U736" s="505" t="b">
        <v>0</v>
      </c>
      <c r="V736" s="504" t="b">
        <v>0</v>
      </c>
      <c r="W736" s="118"/>
      <c r="X736" s="505" t="b">
        <v>0</v>
      </c>
      <c r="Y736" s="504" t="b">
        <v>0</v>
      </c>
      <c r="Z736" s="119"/>
      <c r="AA736" s="505" t="b">
        <v>0</v>
      </c>
      <c r="AB736" s="504" t="b">
        <v>0</v>
      </c>
      <c r="AC736" s="121"/>
      <c r="AD736" s="505" t="b">
        <v>0</v>
      </c>
      <c r="AE736" s="504" t="b">
        <v>0</v>
      </c>
      <c r="AF736" s="125"/>
      <c r="AG736" s="505" t="b">
        <v>0</v>
      </c>
      <c r="AH736" s="504" t="b">
        <v>0</v>
      </c>
      <c r="AI736" s="105"/>
      <c r="AJ736" s="505" t="b">
        <v>0</v>
      </c>
      <c r="AK736" s="504" t="b">
        <v>0</v>
      </c>
      <c r="AL736" s="126"/>
      <c r="AM736" s="505" t="b">
        <v>0</v>
      </c>
      <c r="AN736" s="504" t="b">
        <v>0</v>
      </c>
      <c r="AO736" s="105"/>
      <c r="AP736" s="105"/>
      <c r="AQ736" s="105"/>
      <c r="AR736" s="105"/>
      <c r="AS736" s="105"/>
      <c r="AT736" s="105"/>
      <c r="AU736" s="105"/>
      <c r="AV736" s="105"/>
      <c r="AW736" s="105"/>
      <c r="AX736" s="105"/>
      <c r="AY736" s="105"/>
      <c r="AZ736" s="105"/>
      <c r="BA736" s="105"/>
    </row>
    <row r="737">
      <c r="A737" s="105"/>
      <c r="B737" s="105"/>
      <c r="C737" s="105"/>
      <c r="D737" s="105"/>
      <c r="E737" s="105"/>
      <c r="F737" s="105"/>
      <c r="G737" s="105"/>
      <c r="H737" s="105"/>
      <c r="I737" s="505" t="b">
        <v>0</v>
      </c>
      <c r="J737" s="507" t="b">
        <v>0</v>
      </c>
      <c r="K737" s="112"/>
      <c r="L737" s="505" t="b">
        <v>0</v>
      </c>
      <c r="M737" s="504" t="b">
        <v>0</v>
      </c>
      <c r="N737" s="112"/>
      <c r="O737" s="505" t="b">
        <v>0</v>
      </c>
      <c r="P737" s="504" t="b">
        <v>0</v>
      </c>
      <c r="Q737" s="116"/>
      <c r="R737" s="505" t="b">
        <v>0</v>
      </c>
      <c r="S737" s="504" t="b">
        <v>0</v>
      </c>
      <c r="T737" s="117"/>
      <c r="U737" s="505" t="b">
        <v>0</v>
      </c>
      <c r="V737" s="504" t="b">
        <v>0</v>
      </c>
      <c r="W737" s="118"/>
      <c r="X737" s="505" t="b">
        <v>0</v>
      </c>
      <c r="Y737" s="504" t="b">
        <v>0</v>
      </c>
      <c r="Z737" s="119"/>
      <c r="AA737" s="505" t="b">
        <v>0</v>
      </c>
      <c r="AB737" s="504" t="b">
        <v>0</v>
      </c>
      <c r="AC737" s="121"/>
      <c r="AD737" s="505" t="b">
        <v>0</v>
      </c>
      <c r="AE737" s="504" t="b">
        <v>0</v>
      </c>
      <c r="AF737" s="125"/>
      <c r="AG737" s="505" t="b">
        <v>0</v>
      </c>
      <c r="AH737" s="504" t="b">
        <v>0</v>
      </c>
      <c r="AI737" s="105"/>
      <c r="AJ737" s="505" t="b">
        <v>0</v>
      </c>
      <c r="AK737" s="504" t="b">
        <v>0</v>
      </c>
      <c r="AL737" s="126"/>
      <c r="AM737" s="505" t="b">
        <v>0</v>
      </c>
      <c r="AN737" s="504" t="b">
        <v>0</v>
      </c>
      <c r="AO737" s="105"/>
      <c r="AP737" s="105"/>
      <c r="AQ737" s="105"/>
      <c r="AR737" s="105"/>
      <c r="AS737" s="105"/>
      <c r="AT737" s="105"/>
      <c r="AU737" s="105"/>
      <c r="AV737" s="105"/>
      <c r="AW737" s="105"/>
      <c r="AX737" s="105"/>
      <c r="AY737" s="105"/>
      <c r="AZ737" s="105"/>
      <c r="BA737" s="105"/>
    </row>
    <row r="738">
      <c r="A738" s="105"/>
      <c r="B738" s="105"/>
      <c r="C738" s="105"/>
      <c r="D738" s="105"/>
      <c r="E738" s="105"/>
      <c r="F738" s="105"/>
      <c r="G738" s="105"/>
      <c r="H738" s="105"/>
      <c r="I738" s="505" t="b">
        <v>0</v>
      </c>
      <c r="J738" s="507" t="b">
        <v>0</v>
      </c>
      <c r="K738" s="112"/>
      <c r="L738" s="505" t="b">
        <v>0</v>
      </c>
      <c r="M738" s="504" t="b">
        <v>0</v>
      </c>
      <c r="N738" s="112"/>
      <c r="O738" s="505" t="b">
        <v>0</v>
      </c>
      <c r="P738" s="504" t="b">
        <v>0</v>
      </c>
      <c r="Q738" s="116"/>
      <c r="R738" s="505" t="b">
        <v>0</v>
      </c>
      <c r="S738" s="504" t="b">
        <v>0</v>
      </c>
      <c r="T738" s="117"/>
      <c r="U738" s="505" t="b">
        <v>0</v>
      </c>
      <c r="V738" s="504" t="b">
        <v>0</v>
      </c>
      <c r="W738" s="118"/>
      <c r="X738" s="505" t="b">
        <v>0</v>
      </c>
      <c r="Y738" s="504" t="b">
        <v>0</v>
      </c>
      <c r="Z738" s="119"/>
      <c r="AA738" s="505" t="b">
        <v>0</v>
      </c>
      <c r="AB738" s="504" t="b">
        <v>0</v>
      </c>
      <c r="AC738" s="121"/>
      <c r="AD738" s="505" t="b">
        <v>0</v>
      </c>
      <c r="AE738" s="504" t="b">
        <v>0</v>
      </c>
      <c r="AF738" s="125"/>
      <c r="AG738" s="505" t="b">
        <v>0</v>
      </c>
      <c r="AH738" s="504" t="b">
        <v>0</v>
      </c>
      <c r="AI738" s="105"/>
      <c r="AJ738" s="505" t="b">
        <v>0</v>
      </c>
      <c r="AK738" s="504" t="b">
        <v>0</v>
      </c>
      <c r="AL738" s="126"/>
      <c r="AM738" s="505" t="b">
        <v>0</v>
      </c>
      <c r="AN738" s="504" t="b">
        <v>0</v>
      </c>
      <c r="AO738" s="105"/>
      <c r="AP738" s="105"/>
      <c r="AQ738" s="105"/>
      <c r="AR738" s="105"/>
      <c r="AS738" s="105"/>
      <c r="AT738" s="105"/>
      <c r="AU738" s="105"/>
      <c r="AV738" s="105"/>
      <c r="AW738" s="105"/>
      <c r="AX738" s="105"/>
      <c r="AY738" s="105"/>
      <c r="AZ738" s="105"/>
      <c r="BA738" s="105"/>
    </row>
    <row r="739">
      <c r="A739" s="105"/>
      <c r="B739" s="105"/>
      <c r="C739" s="105"/>
      <c r="D739" s="105"/>
      <c r="E739" s="105"/>
      <c r="F739" s="105"/>
      <c r="G739" s="105"/>
      <c r="H739" s="105"/>
      <c r="I739" s="505" t="b">
        <v>0</v>
      </c>
      <c r="J739" s="507" t="b">
        <v>0</v>
      </c>
      <c r="K739" s="112"/>
      <c r="L739" s="505" t="b">
        <v>0</v>
      </c>
      <c r="M739" s="504" t="b">
        <v>0</v>
      </c>
      <c r="N739" s="112"/>
      <c r="O739" s="505" t="b">
        <v>0</v>
      </c>
      <c r="P739" s="504" t="b">
        <v>0</v>
      </c>
      <c r="Q739" s="116"/>
      <c r="R739" s="505" t="b">
        <v>0</v>
      </c>
      <c r="S739" s="504" t="b">
        <v>0</v>
      </c>
      <c r="T739" s="117"/>
      <c r="U739" s="505" t="b">
        <v>0</v>
      </c>
      <c r="V739" s="504" t="b">
        <v>0</v>
      </c>
      <c r="W739" s="118"/>
      <c r="X739" s="505" t="b">
        <v>0</v>
      </c>
      <c r="Y739" s="504" t="b">
        <v>0</v>
      </c>
      <c r="Z739" s="119"/>
      <c r="AA739" s="505" t="b">
        <v>0</v>
      </c>
      <c r="AB739" s="504" t="b">
        <v>0</v>
      </c>
      <c r="AC739" s="121"/>
      <c r="AD739" s="505" t="b">
        <v>0</v>
      </c>
      <c r="AE739" s="504" t="b">
        <v>0</v>
      </c>
      <c r="AF739" s="125"/>
      <c r="AG739" s="505" t="b">
        <v>0</v>
      </c>
      <c r="AH739" s="504" t="b">
        <v>0</v>
      </c>
      <c r="AI739" s="105"/>
      <c r="AJ739" s="505" t="b">
        <v>0</v>
      </c>
      <c r="AK739" s="504" t="b">
        <v>0</v>
      </c>
      <c r="AL739" s="126"/>
      <c r="AM739" s="505" t="b">
        <v>0</v>
      </c>
      <c r="AN739" s="504" t="b">
        <v>0</v>
      </c>
      <c r="AO739" s="105"/>
      <c r="AP739" s="105"/>
      <c r="AQ739" s="105"/>
      <c r="AR739" s="105"/>
      <c r="AS739" s="105"/>
      <c r="AT739" s="105"/>
      <c r="AU739" s="105"/>
      <c r="AV739" s="105"/>
      <c r="AW739" s="105"/>
      <c r="AX739" s="105"/>
      <c r="AY739" s="105"/>
      <c r="AZ739" s="105"/>
      <c r="BA739" s="105"/>
    </row>
    <row r="740">
      <c r="A740" s="105"/>
      <c r="B740" s="105"/>
      <c r="C740" s="105"/>
      <c r="D740" s="105"/>
      <c r="E740" s="105"/>
      <c r="F740" s="105"/>
      <c r="G740" s="105"/>
      <c r="H740" s="105"/>
      <c r="I740" s="505" t="b">
        <v>0</v>
      </c>
      <c r="J740" s="507" t="b">
        <v>0</v>
      </c>
      <c r="K740" s="112"/>
      <c r="L740" s="505" t="b">
        <v>0</v>
      </c>
      <c r="M740" s="504" t="b">
        <v>0</v>
      </c>
      <c r="N740" s="112"/>
      <c r="O740" s="505" t="b">
        <v>0</v>
      </c>
      <c r="P740" s="504" t="b">
        <v>0</v>
      </c>
      <c r="Q740" s="116"/>
      <c r="R740" s="505" t="b">
        <v>0</v>
      </c>
      <c r="S740" s="504" t="b">
        <v>0</v>
      </c>
      <c r="T740" s="117"/>
      <c r="U740" s="505" t="b">
        <v>0</v>
      </c>
      <c r="V740" s="504" t="b">
        <v>0</v>
      </c>
      <c r="W740" s="118"/>
      <c r="X740" s="505" t="b">
        <v>0</v>
      </c>
      <c r="Y740" s="504" t="b">
        <v>0</v>
      </c>
      <c r="Z740" s="119"/>
      <c r="AA740" s="505" t="b">
        <v>0</v>
      </c>
      <c r="AB740" s="504" t="b">
        <v>0</v>
      </c>
      <c r="AC740" s="121"/>
      <c r="AD740" s="505" t="b">
        <v>0</v>
      </c>
      <c r="AE740" s="504" t="b">
        <v>0</v>
      </c>
      <c r="AF740" s="125"/>
      <c r="AG740" s="505" t="b">
        <v>0</v>
      </c>
      <c r="AH740" s="504" t="b">
        <v>0</v>
      </c>
      <c r="AI740" s="105"/>
      <c r="AJ740" s="505" t="b">
        <v>0</v>
      </c>
      <c r="AK740" s="504" t="b">
        <v>0</v>
      </c>
      <c r="AL740" s="126"/>
      <c r="AM740" s="505" t="b">
        <v>0</v>
      </c>
      <c r="AN740" s="504" t="b">
        <v>0</v>
      </c>
      <c r="AO740" s="105"/>
      <c r="AP740" s="105"/>
      <c r="AQ740" s="105"/>
      <c r="AR740" s="105"/>
      <c r="AS740" s="105"/>
      <c r="AT740" s="105"/>
      <c r="AU740" s="105"/>
      <c r="AV740" s="105"/>
      <c r="AW740" s="105"/>
      <c r="AX740" s="105"/>
      <c r="AY740" s="105"/>
      <c r="AZ740" s="105"/>
      <c r="BA740" s="105"/>
    </row>
    <row r="741">
      <c r="A741" s="105"/>
      <c r="B741" s="105"/>
      <c r="C741" s="105"/>
      <c r="D741" s="105"/>
      <c r="E741" s="105"/>
      <c r="F741" s="105"/>
      <c r="G741" s="105"/>
      <c r="H741" s="105"/>
      <c r="I741" s="505" t="b">
        <v>0</v>
      </c>
      <c r="J741" s="507" t="b">
        <v>0</v>
      </c>
      <c r="K741" s="112"/>
      <c r="L741" s="505" t="b">
        <v>0</v>
      </c>
      <c r="M741" s="504" t="b">
        <v>0</v>
      </c>
      <c r="N741" s="112"/>
      <c r="O741" s="505" t="b">
        <v>0</v>
      </c>
      <c r="P741" s="504" t="b">
        <v>0</v>
      </c>
      <c r="Q741" s="116"/>
      <c r="R741" s="505" t="b">
        <v>0</v>
      </c>
      <c r="S741" s="504" t="b">
        <v>0</v>
      </c>
      <c r="T741" s="117"/>
      <c r="U741" s="505" t="b">
        <v>0</v>
      </c>
      <c r="V741" s="504" t="b">
        <v>0</v>
      </c>
      <c r="W741" s="118"/>
      <c r="X741" s="505" t="b">
        <v>0</v>
      </c>
      <c r="Y741" s="504" t="b">
        <v>0</v>
      </c>
      <c r="Z741" s="119"/>
      <c r="AA741" s="505" t="b">
        <v>0</v>
      </c>
      <c r="AB741" s="504" t="b">
        <v>0</v>
      </c>
      <c r="AC741" s="121"/>
      <c r="AD741" s="505" t="b">
        <v>0</v>
      </c>
      <c r="AE741" s="504" t="b">
        <v>0</v>
      </c>
      <c r="AF741" s="125"/>
      <c r="AG741" s="505" t="b">
        <v>0</v>
      </c>
      <c r="AH741" s="504" t="b">
        <v>0</v>
      </c>
      <c r="AI741" s="105"/>
      <c r="AJ741" s="505" t="b">
        <v>0</v>
      </c>
      <c r="AK741" s="504" t="b">
        <v>0</v>
      </c>
      <c r="AL741" s="126"/>
      <c r="AM741" s="505" t="b">
        <v>0</v>
      </c>
      <c r="AN741" s="504" t="b">
        <v>0</v>
      </c>
      <c r="AO741" s="105"/>
      <c r="AP741" s="105"/>
      <c r="AQ741" s="105"/>
      <c r="AR741" s="105"/>
      <c r="AS741" s="105"/>
      <c r="AT741" s="105"/>
      <c r="AU741" s="105"/>
      <c r="AV741" s="105"/>
      <c r="AW741" s="105"/>
      <c r="AX741" s="105"/>
      <c r="AY741" s="105"/>
      <c r="AZ741" s="105"/>
      <c r="BA741" s="105"/>
    </row>
    <row r="742">
      <c r="A742" s="105"/>
      <c r="B742" s="105"/>
      <c r="C742" s="105"/>
      <c r="D742" s="105"/>
      <c r="E742" s="105"/>
      <c r="F742" s="105"/>
      <c r="G742" s="105"/>
      <c r="H742" s="105"/>
      <c r="I742" s="505" t="b">
        <v>0</v>
      </c>
      <c r="J742" s="507" t="b">
        <v>0</v>
      </c>
      <c r="K742" s="112"/>
      <c r="L742" s="505" t="b">
        <v>0</v>
      </c>
      <c r="M742" s="504" t="b">
        <v>0</v>
      </c>
      <c r="N742" s="112"/>
      <c r="O742" s="505" t="b">
        <v>0</v>
      </c>
      <c r="P742" s="504" t="b">
        <v>0</v>
      </c>
      <c r="Q742" s="116"/>
      <c r="R742" s="505" t="b">
        <v>0</v>
      </c>
      <c r="S742" s="504" t="b">
        <v>0</v>
      </c>
      <c r="T742" s="117"/>
      <c r="U742" s="505" t="b">
        <v>0</v>
      </c>
      <c r="V742" s="504" t="b">
        <v>0</v>
      </c>
      <c r="W742" s="118"/>
      <c r="X742" s="505" t="b">
        <v>0</v>
      </c>
      <c r="Y742" s="504" t="b">
        <v>0</v>
      </c>
      <c r="Z742" s="119"/>
      <c r="AA742" s="505" t="b">
        <v>0</v>
      </c>
      <c r="AB742" s="504" t="b">
        <v>0</v>
      </c>
      <c r="AC742" s="121"/>
      <c r="AD742" s="505" t="b">
        <v>0</v>
      </c>
      <c r="AE742" s="504" t="b">
        <v>0</v>
      </c>
      <c r="AF742" s="125"/>
      <c r="AG742" s="505" t="b">
        <v>0</v>
      </c>
      <c r="AH742" s="504" t="b">
        <v>0</v>
      </c>
      <c r="AI742" s="105"/>
      <c r="AJ742" s="505" t="b">
        <v>0</v>
      </c>
      <c r="AK742" s="504" t="b">
        <v>0</v>
      </c>
      <c r="AL742" s="126"/>
      <c r="AM742" s="505" t="b">
        <v>0</v>
      </c>
      <c r="AN742" s="504" t="b">
        <v>0</v>
      </c>
      <c r="AO742" s="105"/>
      <c r="AP742" s="105"/>
      <c r="AQ742" s="105"/>
      <c r="AR742" s="105"/>
      <c r="AS742" s="105"/>
      <c r="AT742" s="105"/>
      <c r="AU742" s="105"/>
      <c r="AV742" s="105"/>
      <c r="AW742" s="105"/>
      <c r="AX742" s="105"/>
      <c r="AY742" s="105"/>
      <c r="AZ742" s="105"/>
      <c r="BA742" s="105"/>
    </row>
    <row r="743">
      <c r="A743" s="105"/>
      <c r="B743" s="105"/>
      <c r="C743" s="105"/>
      <c r="D743" s="105"/>
      <c r="E743" s="105"/>
      <c r="F743" s="105"/>
      <c r="G743" s="105"/>
      <c r="H743" s="105"/>
      <c r="I743" s="505" t="b">
        <v>0</v>
      </c>
      <c r="J743" s="507" t="b">
        <v>0</v>
      </c>
      <c r="K743" s="112"/>
      <c r="L743" s="505" t="b">
        <v>0</v>
      </c>
      <c r="M743" s="504" t="b">
        <v>0</v>
      </c>
      <c r="N743" s="112"/>
      <c r="O743" s="505" t="b">
        <v>0</v>
      </c>
      <c r="P743" s="504" t="b">
        <v>0</v>
      </c>
      <c r="Q743" s="116"/>
      <c r="R743" s="505" t="b">
        <v>0</v>
      </c>
      <c r="S743" s="504" t="b">
        <v>0</v>
      </c>
      <c r="T743" s="117"/>
      <c r="U743" s="505" t="b">
        <v>0</v>
      </c>
      <c r="V743" s="504" t="b">
        <v>0</v>
      </c>
      <c r="W743" s="118"/>
      <c r="X743" s="505" t="b">
        <v>0</v>
      </c>
      <c r="Y743" s="504" t="b">
        <v>0</v>
      </c>
      <c r="Z743" s="119"/>
      <c r="AA743" s="505" t="b">
        <v>0</v>
      </c>
      <c r="AB743" s="504" t="b">
        <v>0</v>
      </c>
      <c r="AC743" s="121"/>
      <c r="AD743" s="505" t="b">
        <v>0</v>
      </c>
      <c r="AE743" s="504" t="b">
        <v>0</v>
      </c>
      <c r="AF743" s="125"/>
      <c r="AG743" s="505" t="b">
        <v>0</v>
      </c>
      <c r="AH743" s="504" t="b">
        <v>0</v>
      </c>
      <c r="AI743" s="105"/>
      <c r="AJ743" s="505" t="b">
        <v>0</v>
      </c>
      <c r="AK743" s="504" t="b">
        <v>0</v>
      </c>
      <c r="AL743" s="126"/>
      <c r="AM743" s="505" t="b">
        <v>0</v>
      </c>
      <c r="AN743" s="504" t="b">
        <v>0</v>
      </c>
      <c r="AO743" s="105"/>
      <c r="AP743" s="105"/>
      <c r="AQ743" s="105"/>
      <c r="AR743" s="105"/>
      <c r="AS743" s="105"/>
      <c r="AT743" s="105"/>
      <c r="AU743" s="105"/>
      <c r="AV743" s="105"/>
      <c r="AW743" s="105"/>
      <c r="AX743" s="105"/>
      <c r="AY743" s="105"/>
      <c r="AZ743" s="105"/>
      <c r="BA743" s="105"/>
    </row>
    <row r="744">
      <c r="A744" s="105"/>
      <c r="B744" s="105"/>
      <c r="C744" s="105"/>
      <c r="D744" s="105"/>
      <c r="E744" s="105"/>
      <c r="F744" s="105"/>
      <c r="G744" s="105"/>
      <c r="H744" s="105"/>
      <c r="I744" s="505" t="b">
        <v>0</v>
      </c>
      <c r="J744" s="507" t="b">
        <v>0</v>
      </c>
      <c r="K744" s="112"/>
      <c r="L744" s="505" t="b">
        <v>0</v>
      </c>
      <c r="M744" s="504" t="b">
        <v>0</v>
      </c>
      <c r="N744" s="112"/>
      <c r="O744" s="505" t="b">
        <v>0</v>
      </c>
      <c r="P744" s="504" t="b">
        <v>0</v>
      </c>
      <c r="Q744" s="116"/>
      <c r="R744" s="505" t="b">
        <v>0</v>
      </c>
      <c r="S744" s="504" t="b">
        <v>0</v>
      </c>
      <c r="T744" s="117"/>
      <c r="U744" s="505" t="b">
        <v>0</v>
      </c>
      <c r="V744" s="504" t="b">
        <v>0</v>
      </c>
      <c r="W744" s="118"/>
      <c r="X744" s="505" t="b">
        <v>0</v>
      </c>
      <c r="Y744" s="504" t="b">
        <v>0</v>
      </c>
      <c r="Z744" s="119"/>
      <c r="AA744" s="505" t="b">
        <v>0</v>
      </c>
      <c r="AB744" s="504" t="b">
        <v>0</v>
      </c>
      <c r="AC744" s="121"/>
      <c r="AD744" s="505" t="b">
        <v>0</v>
      </c>
      <c r="AE744" s="504" t="b">
        <v>0</v>
      </c>
      <c r="AF744" s="125"/>
      <c r="AG744" s="505" t="b">
        <v>0</v>
      </c>
      <c r="AH744" s="504" t="b">
        <v>0</v>
      </c>
      <c r="AI744" s="105"/>
      <c r="AJ744" s="505" t="b">
        <v>0</v>
      </c>
      <c r="AK744" s="504" t="b">
        <v>0</v>
      </c>
      <c r="AL744" s="126"/>
      <c r="AM744" s="505" t="b">
        <v>0</v>
      </c>
      <c r="AN744" s="504" t="b">
        <v>0</v>
      </c>
      <c r="AO744" s="105"/>
      <c r="AP744" s="105"/>
      <c r="AQ744" s="105"/>
      <c r="AR744" s="105"/>
      <c r="AS744" s="105"/>
      <c r="AT744" s="105"/>
      <c r="AU744" s="105"/>
      <c r="AV744" s="105"/>
      <c r="AW744" s="105"/>
      <c r="AX744" s="105"/>
      <c r="AY744" s="105"/>
      <c r="AZ744" s="105"/>
      <c r="BA744" s="105"/>
    </row>
    <row r="745">
      <c r="A745" s="105"/>
      <c r="B745" s="105"/>
      <c r="C745" s="105"/>
      <c r="D745" s="105"/>
      <c r="E745" s="105"/>
      <c r="F745" s="105"/>
      <c r="G745" s="105"/>
      <c r="H745" s="105"/>
      <c r="I745" s="505" t="b">
        <v>0</v>
      </c>
      <c r="J745" s="507" t="b">
        <v>0</v>
      </c>
      <c r="K745" s="112"/>
      <c r="L745" s="505" t="b">
        <v>0</v>
      </c>
      <c r="M745" s="504" t="b">
        <v>0</v>
      </c>
      <c r="N745" s="112"/>
      <c r="O745" s="505" t="b">
        <v>0</v>
      </c>
      <c r="P745" s="504" t="b">
        <v>0</v>
      </c>
      <c r="Q745" s="116"/>
      <c r="R745" s="505" t="b">
        <v>0</v>
      </c>
      <c r="S745" s="504" t="b">
        <v>0</v>
      </c>
      <c r="T745" s="117"/>
      <c r="U745" s="505" t="b">
        <v>0</v>
      </c>
      <c r="V745" s="504" t="b">
        <v>0</v>
      </c>
      <c r="W745" s="118"/>
      <c r="X745" s="505" t="b">
        <v>0</v>
      </c>
      <c r="Y745" s="504" t="b">
        <v>0</v>
      </c>
      <c r="Z745" s="119"/>
      <c r="AA745" s="505" t="b">
        <v>0</v>
      </c>
      <c r="AB745" s="504" t="b">
        <v>0</v>
      </c>
      <c r="AC745" s="121"/>
      <c r="AD745" s="505" t="b">
        <v>0</v>
      </c>
      <c r="AE745" s="504" t="b">
        <v>0</v>
      </c>
      <c r="AF745" s="125"/>
      <c r="AG745" s="505" t="b">
        <v>0</v>
      </c>
      <c r="AH745" s="504" t="b">
        <v>0</v>
      </c>
      <c r="AI745" s="105"/>
      <c r="AJ745" s="505" t="b">
        <v>0</v>
      </c>
      <c r="AK745" s="504" t="b">
        <v>0</v>
      </c>
      <c r="AL745" s="126"/>
      <c r="AM745" s="505" t="b">
        <v>0</v>
      </c>
      <c r="AN745" s="504" t="b">
        <v>0</v>
      </c>
      <c r="AO745" s="105"/>
      <c r="AP745" s="105"/>
      <c r="AQ745" s="105"/>
      <c r="AR745" s="105"/>
      <c r="AS745" s="105"/>
      <c r="AT745" s="105"/>
      <c r="AU745" s="105"/>
      <c r="AV745" s="105"/>
      <c r="AW745" s="105"/>
      <c r="AX745" s="105"/>
      <c r="AY745" s="105"/>
      <c r="AZ745" s="105"/>
      <c r="BA745" s="105"/>
    </row>
    <row r="746">
      <c r="A746" s="105"/>
      <c r="B746" s="105"/>
      <c r="C746" s="105"/>
      <c r="D746" s="105"/>
      <c r="E746" s="105"/>
      <c r="F746" s="105"/>
      <c r="G746" s="105"/>
      <c r="H746" s="105"/>
      <c r="I746" s="505" t="b">
        <v>0</v>
      </c>
      <c r="J746" s="507" t="b">
        <v>0</v>
      </c>
      <c r="K746" s="112"/>
      <c r="L746" s="505" t="b">
        <v>0</v>
      </c>
      <c r="M746" s="504" t="b">
        <v>0</v>
      </c>
      <c r="N746" s="112"/>
      <c r="O746" s="505" t="b">
        <v>0</v>
      </c>
      <c r="P746" s="504" t="b">
        <v>0</v>
      </c>
      <c r="Q746" s="116"/>
      <c r="R746" s="505" t="b">
        <v>0</v>
      </c>
      <c r="S746" s="504" t="b">
        <v>0</v>
      </c>
      <c r="T746" s="117"/>
      <c r="U746" s="505" t="b">
        <v>0</v>
      </c>
      <c r="V746" s="504" t="b">
        <v>0</v>
      </c>
      <c r="W746" s="118"/>
      <c r="X746" s="505" t="b">
        <v>0</v>
      </c>
      <c r="Y746" s="504" t="b">
        <v>0</v>
      </c>
      <c r="Z746" s="119"/>
      <c r="AA746" s="505" t="b">
        <v>0</v>
      </c>
      <c r="AB746" s="504" t="b">
        <v>0</v>
      </c>
      <c r="AC746" s="121"/>
      <c r="AD746" s="505" t="b">
        <v>0</v>
      </c>
      <c r="AE746" s="504" t="b">
        <v>0</v>
      </c>
      <c r="AF746" s="125"/>
      <c r="AG746" s="505" t="b">
        <v>0</v>
      </c>
      <c r="AH746" s="504" t="b">
        <v>0</v>
      </c>
      <c r="AI746" s="105"/>
      <c r="AJ746" s="505" t="b">
        <v>0</v>
      </c>
      <c r="AK746" s="504" t="b">
        <v>0</v>
      </c>
      <c r="AL746" s="126"/>
      <c r="AM746" s="505" t="b">
        <v>0</v>
      </c>
      <c r="AN746" s="504" t="b">
        <v>0</v>
      </c>
      <c r="AO746" s="105"/>
      <c r="AP746" s="105"/>
      <c r="AQ746" s="105"/>
      <c r="AR746" s="105"/>
      <c r="AS746" s="105"/>
      <c r="AT746" s="105"/>
      <c r="AU746" s="105"/>
      <c r="AV746" s="105"/>
      <c r="AW746" s="105"/>
      <c r="AX746" s="105"/>
      <c r="AY746" s="105"/>
      <c r="AZ746" s="105"/>
      <c r="BA746" s="105"/>
    </row>
    <row r="747">
      <c r="A747" s="105"/>
      <c r="B747" s="105"/>
      <c r="C747" s="105"/>
      <c r="D747" s="105"/>
      <c r="E747" s="105"/>
      <c r="F747" s="105"/>
      <c r="G747" s="105"/>
      <c r="H747" s="105"/>
      <c r="I747" s="505" t="b">
        <v>0</v>
      </c>
      <c r="J747" s="507" t="b">
        <v>0</v>
      </c>
      <c r="K747" s="112"/>
      <c r="L747" s="505" t="b">
        <v>0</v>
      </c>
      <c r="M747" s="504" t="b">
        <v>0</v>
      </c>
      <c r="N747" s="112"/>
      <c r="O747" s="505" t="b">
        <v>0</v>
      </c>
      <c r="P747" s="504" t="b">
        <v>0</v>
      </c>
      <c r="Q747" s="116"/>
      <c r="R747" s="505" t="b">
        <v>0</v>
      </c>
      <c r="S747" s="504" t="b">
        <v>0</v>
      </c>
      <c r="T747" s="117"/>
      <c r="U747" s="505" t="b">
        <v>0</v>
      </c>
      <c r="V747" s="504" t="b">
        <v>0</v>
      </c>
      <c r="W747" s="118"/>
      <c r="X747" s="505" t="b">
        <v>0</v>
      </c>
      <c r="Y747" s="504" t="b">
        <v>0</v>
      </c>
      <c r="Z747" s="119"/>
      <c r="AA747" s="505" t="b">
        <v>0</v>
      </c>
      <c r="AB747" s="504" t="b">
        <v>0</v>
      </c>
      <c r="AC747" s="121"/>
      <c r="AD747" s="505" t="b">
        <v>0</v>
      </c>
      <c r="AE747" s="504" t="b">
        <v>0</v>
      </c>
      <c r="AF747" s="125"/>
      <c r="AG747" s="505" t="b">
        <v>0</v>
      </c>
      <c r="AH747" s="504" t="b">
        <v>0</v>
      </c>
      <c r="AI747" s="105"/>
      <c r="AJ747" s="505" t="b">
        <v>0</v>
      </c>
      <c r="AK747" s="504" t="b">
        <v>0</v>
      </c>
      <c r="AL747" s="126"/>
      <c r="AM747" s="505" t="b">
        <v>0</v>
      </c>
      <c r="AN747" s="504" t="b">
        <v>0</v>
      </c>
      <c r="AO747" s="105"/>
      <c r="AP747" s="105"/>
      <c r="AQ747" s="105"/>
      <c r="AR747" s="105"/>
      <c r="AS747" s="105"/>
      <c r="AT747" s="105"/>
      <c r="AU747" s="105"/>
      <c r="AV747" s="105"/>
      <c r="AW747" s="105"/>
      <c r="AX747" s="105"/>
      <c r="AY747" s="105"/>
      <c r="AZ747" s="105"/>
      <c r="BA747" s="105"/>
    </row>
    <row r="748">
      <c r="A748" s="105"/>
      <c r="B748" s="105"/>
      <c r="C748" s="105"/>
      <c r="D748" s="105"/>
      <c r="E748" s="105"/>
      <c r="F748" s="105"/>
      <c r="G748" s="105"/>
      <c r="H748" s="105"/>
      <c r="I748" s="505" t="b">
        <v>0</v>
      </c>
      <c r="J748" s="507" t="b">
        <v>0</v>
      </c>
      <c r="K748" s="112"/>
      <c r="L748" s="505" t="b">
        <v>0</v>
      </c>
      <c r="M748" s="504" t="b">
        <v>0</v>
      </c>
      <c r="N748" s="112"/>
      <c r="O748" s="505" t="b">
        <v>0</v>
      </c>
      <c r="P748" s="504" t="b">
        <v>0</v>
      </c>
      <c r="Q748" s="116"/>
      <c r="R748" s="505" t="b">
        <v>0</v>
      </c>
      <c r="S748" s="504" t="b">
        <v>0</v>
      </c>
      <c r="T748" s="117"/>
      <c r="U748" s="505" t="b">
        <v>0</v>
      </c>
      <c r="V748" s="504" t="b">
        <v>0</v>
      </c>
      <c r="W748" s="118"/>
      <c r="X748" s="505" t="b">
        <v>0</v>
      </c>
      <c r="Y748" s="504" t="b">
        <v>0</v>
      </c>
      <c r="Z748" s="119"/>
      <c r="AA748" s="505" t="b">
        <v>0</v>
      </c>
      <c r="AB748" s="504" t="b">
        <v>0</v>
      </c>
      <c r="AC748" s="121"/>
      <c r="AD748" s="505" t="b">
        <v>0</v>
      </c>
      <c r="AE748" s="504" t="b">
        <v>0</v>
      </c>
      <c r="AF748" s="125"/>
      <c r="AG748" s="505" t="b">
        <v>0</v>
      </c>
      <c r="AH748" s="504" t="b">
        <v>0</v>
      </c>
      <c r="AI748" s="105"/>
      <c r="AJ748" s="505" t="b">
        <v>0</v>
      </c>
      <c r="AK748" s="504" t="b">
        <v>0</v>
      </c>
      <c r="AL748" s="126"/>
      <c r="AM748" s="505" t="b">
        <v>0</v>
      </c>
      <c r="AN748" s="504" t="b">
        <v>0</v>
      </c>
      <c r="AO748" s="105"/>
      <c r="AP748" s="105"/>
      <c r="AQ748" s="105"/>
      <c r="AR748" s="105"/>
      <c r="AS748" s="105"/>
      <c r="AT748" s="105"/>
      <c r="AU748" s="105"/>
      <c r="AV748" s="105"/>
      <c r="AW748" s="105"/>
      <c r="AX748" s="105"/>
      <c r="AY748" s="105"/>
      <c r="AZ748" s="105"/>
      <c r="BA748" s="105"/>
    </row>
    <row r="749">
      <c r="A749" s="105"/>
      <c r="B749" s="105"/>
      <c r="C749" s="105"/>
      <c r="D749" s="105"/>
      <c r="E749" s="105"/>
      <c r="F749" s="105"/>
      <c r="G749" s="105"/>
      <c r="H749" s="105"/>
      <c r="I749" s="505" t="b">
        <v>0</v>
      </c>
      <c r="J749" s="507" t="b">
        <v>0</v>
      </c>
      <c r="K749" s="112"/>
      <c r="L749" s="505" t="b">
        <v>0</v>
      </c>
      <c r="M749" s="504" t="b">
        <v>0</v>
      </c>
      <c r="N749" s="112"/>
      <c r="O749" s="505" t="b">
        <v>0</v>
      </c>
      <c r="P749" s="504" t="b">
        <v>0</v>
      </c>
      <c r="Q749" s="116"/>
      <c r="R749" s="505" t="b">
        <v>0</v>
      </c>
      <c r="S749" s="504" t="b">
        <v>0</v>
      </c>
      <c r="T749" s="117"/>
      <c r="U749" s="505" t="b">
        <v>0</v>
      </c>
      <c r="V749" s="504" t="b">
        <v>0</v>
      </c>
      <c r="W749" s="118"/>
      <c r="X749" s="505" t="b">
        <v>0</v>
      </c>
      <c r="Y749" s="504" t="b">
        <v>0</v>
      </c>
      <c r="Z749" s="119"/>
      <c r="AA749" s="505" t="b">
        <v>0</v>
      </c>
      <c r="AB749" s="504" t="b">
        <v>0</v>
      </c>
      <c r="AC749" s="121"/>
      <c r="AD749" s="505" t="b">
        <v>0</v>
      </c>
      <c r="AE749" s="504" t="b">
        <v>0</v>
      </c>
      <c r="AF749" s="125"/>
      <c r="AG749" s="505" t="b">
        <v>0</v>
      </c>
      <c r="AH749" s="504" t="b">
        <v>0</v>
      </c>
      <c r="AI749" s="105"/>
      <c r="AJ749" s="505" t="b">
        <v>0</v>
      </c>
      <c r="AK749" s="504" t="b">
        <v>0</v>
      </c>
      <c r="AL749" s="126"/>
      <c r="AM749" s="505" t="b">
        <v>0</v>
      </c>
      <c r="AN749" s="504" t="b">
        <v>0</v>
      </c>
      <c r="AO749" s="105"/>
      <c r="AP749" s="105"/>
      <c r="AQ749" s="105"/>
      <c r="AR749" s="105"/>
      <c r="AS749" s="105"/>
      <c r="AT749" s="105"/>
      <c r="AU749" s="105"/>
      <c r="AV749" s="105"/>
      <c r="AW749" s="105"/>
      <c r="AX749" s="105"/>
      <c r="AY749" s="105"/>
      <c r="AZ749" s="105"/>
      <c r="BA749" s="105"/>
    </row>
    <row r="750">
      <c r="A750" s="105"/>
      <c r="B750" s="105"/>
      <c r="C750" s="105"/>
      <c r="D750" s="105"/>
      <c r="E750" s="105"/>
      <c r="F750" s="105"/>
      <c r="G750" s="105"/>
      <c r="H750" s="105"/>
      <c r="I750" s="505" t="b">
        <v>0</v>
      </c>
      <c r="J750" s="507" t="b">
        <v>0</v>
      </c>
      <c r="K750" s="112"/>
      <c r="L750" s="505" t="b">
        <v>0</v>
      </c>
      <c r="M750" s="504" t="b">
        <v>0</v>
      </c>
      <c r="N750" s="112"/>
      <c r="O750" s="505" t="b">
        <v>0</v>
      </c>
      <c r="P750" s="504" t="b">
        <v>0</v>
      </c>
      <c r="Q750" s="116"/>
      <c r="R750" s="505" t="b">
        <v>0</v>
      </c>
      <c r="S750" s="504" t="b">
        <v>0</v>
      </c>
      <c r="T750" s="117"/>
      <c r="U750" s="505" t="b">
        <v>0</v>
      </c>
      <c r="V750" s="504" t="b">
        <v>0</v>
      </c>
      <c r="W750" s="118"/>
      <c r="X750" s="505" t="b">
        <v>0</v>
      </c>
      <c r="Y750" s="504" t="b">
        <v>0</v>
      </c>
      <c r="Z750" s="119"/>
      <c r="AA750" s="505" t="b">
        <v>0</v>
      </c>
      <c r="AB750" s="504" t="b">
        <v>0</v>
      </c>
      <c r="AC750" s="121"/>
      <c r="AD750" s="505" t="b">
        <v>0</v>
      </c>
      <c r="AE750" s="504" t="b">
        <v>0</v>
      </c>
      <c r="AF750" s="125"/>
      <c r="AG750" s="505" t="b">
        <v>0</v>
      </c>
      <c r="AH750" s="504" t="b">
        <v>0</v>
      </c>
      <c r="AI750" s="105"/>
      <c r="AJ750" s="505" t="b">
        <v>0</v>
      </c>
      <c r="AK750" s="504" t="b">
        <v>0</v>
      </c>
      <c r="AL750" s="126"/>
      <c r="AM750" s="505" t="b">
        <v>0</v>
      </c>
      <c r="AN750" s="504" t="b">
        <v>0</v>
      </c>
      <c r="AO750" s="105"/>
      <c r="AP750" s="105"/>
      <c r="AQ750" s="105"/>
      <c r="AR750" s="105"/>
      <c r="AS750" s="105"/>
      <c r="AT750" s="105"/>
      <c r="AU750" s="105"/>
      <c r="AV750" s="105"/>
      <c r="AW750" s="105"/>
      <c r="AX750" s="105"/>
      <c r="AY750" s="105"/>
      <c r="AZ750" s="105"/>
      <c r="BA750" s="105"/>
    </row>
    <row r="751">
      <c r="A751" s="105"/>
      <c r="B751" s="105"/>
      <c r="C751" s="105"/>
      <c r="D751" s="105"/>
      <c r="E751" s="105"/>
      <c r="F751" s="105"/>
      <c r="G751" s="105"/>
      <c r="H751" s="105"/>
      <c r="I751" s="505" t="b">
        <v>0</v>
      </c>
      <c r="J751" s="507" t="b">
        <v>0</v>
      </c>
      <c r="K751" s="112"/>
      <c r="L751" s="505" t="b">
        <v>0</v>
      </c>
      <c r="M751" s="504" t="b">
        <v>0</v>
      </c>
      <c r="N751" s="112"/>
      <c r="O751" s="505" t="b">
        <v>0</v>
      </c>
      <c r="P751" s="504" t="b">
        <v>0</v>
      </c>
      <c r="Q751" s="116"/>
      <c r="R751" s="505" t="b">
        <v>0</v>
      </c>
      <c r="S751" s="504" t="b">
        <v>0</v>
      </c>
      <c r="T751" s="117"/>
      <c r="U751" s="505" t="b">
        <v>0</v>
      </c>
      <c r="V751" s="504" t="b">
        <v>0</v>
      </c>
      <c r="W751" s="118"/>
      <c r="X751" s="505" t="b">
        <v>0</v>
      </c>
      <c r="Y751" s="504" t="b">
        <v>0</v>
      </c>
      <c r="Z751" s="119"/>
      <c r="AA751" s="505" t="b">
        <v>0</v>
      </c>
      <c r="AB751" s="504" t="b">
        <v>0</v>
      </c>
      <c r="AC751" s="121"/>
      <c r="AD751" s="505" t="b">
        <v>0</v>
      </c>
      <c r="AE751" s="504" t="b">
        <v>0</v>
      </c>
      <c r="AF751" s="125"/>
      <c r="AG751" s="505" t="b">
        <v>0</v>
      </c>
      <c r="AH751" s="504" t="b">
        <v>0</v>
      </c>
      <c r="AI751" s="105"/>
      <c r="AJ751" s="505" t="b">
        <v>0</v>
      </c>
      <c r="AK751" s="504" t="b">
        <v>0</v>
      </c>
      <c r="AL751" s="126"/>
      <c r="AM751" s="505" t="b">
        <v>0</v>
      </c>
      <c r="AN751" s="504" t="b">
        <v>0</v>
      </c>
      <c r="AO751" s="105"/>
      <c r="AP751" s="105"/>
      <c r="AQ751" s="105"/>
      <c r="AR751" s="105"/>
      <c r="AS751" s="105"/>
      <c r="AT751" s="105"/>
      <c r="AU751" s="105"/>
      <c r="AV751" s="105"/>
      <c r="AW751" s="105"/>
      <c r="AX751" s="105"/>
      <c r="AY751" s="105"/>
      <c r="AZ751" s="105"/>
      <c r="BA751" s="105"/>
    </row>
    <row r="752">
      <c r="A752" s="105"/>
      <c r="B752" s="105"/>
      <c r="C752" s="105"/>
      <c r="D752" s="105"/>
      <c r="E752" s="105"/>
      <c r="F752" s="105"/>
      <c r="G752" s="105"/>
      <c r="H752" s="105"/>
      <c r="I752" s="505" t="b">
        <v>0</v>
      </c>
      <c r="J752" s="507" t="b">
        <v>0</v>
      </c>
      <c r="K752" s="112"/>
      <c r="L752" s="505" t="b">
        <v>0</v>
      </c>
      <c r="M752" s="504" t="b">
        <v>0</v>
      </c>
      <c r="N752" s="112"/>
      <c r="O752" s="505" t="b">
        <v>0</v>
      </c>
      <c r="P752" s="504" t="b">
        <v>0</v>
      </c>
      <c r="Q752" s="116"/>
      <c r="R752" s="505" t="b">
        <v>0</v>
      </c>
      <c r="S752" s="504" t="b">
        <v>0</v>
      </c>
      <c r="T752" s="117"/>
      <c r="U752" s="505" t="b">
        <v>0</v>
      </c>
      <c r="V752" s="504" t="b">
        <v>0</v>
      </c>
      <c r="W752" s="118"/>
      <c r="X752" s="505" t="b">
        <v>0</v>
      </c>
      <c r="Y752" s="504" t="b">
        <v>0</v>
      </c>
      <c r="Z752" s="119"/>
      <c r="AA752" s="505" t="b">
        <v>0</v>
      </c>
      <c r="AB752" s="504" t="b">
        <v>0</v>
      </c>
      <c r="AC752" s="121"/>
      <c r="AD752" s="505" t="b">
        <v>0</v>
      </c>
      <c r="AE752" s="504" t="b">
        <v>0</v>
      </c>
      <c r="AF752" s="125"/>
      <c r="AG752" s="505" t="b">
        <v>0</v>
      </c>
      <c r="AH752" s="504" t="b">
        <v>0</v>
      </c>
      <c r="AI752" s="105"/>
      <c r="AJ752" s="505" t="b">
        <v>0</v>
      </c>
      <c r="AK752" s="504" t="b">
        <v>0</v>
      </c>
      <c r="AL752" s="126"/>
      <c r="AM752" s="505" t="b">
        <v>0</v>
      </c>
      <c r="AN752" s="504" t="b">
        <v>0</v>
      </c>
      <c r="AO752" s="105"/>
      <c r="AP752" s="105"/>
      <c r="AQ752" s="105"/>
      <c r="AR752" s="105"/>
      <c r="AS752" s="105"/>
      <c r="AT752" s="105"/>
      <c r="AU752" s="105"/>
      <c r="AV752" s="105"/>
      <c r="AW752" s="105"/>
      <c r="AX752" s="105"/>
      <c r="AY752" s="105"/>
      <c r="AZ752" s="105"/>
      <c r="BA752" s="105"/>
    </row>
    <row r="753">
      <c r="A753" s="105"/>
      <c r="B753" s="105"/>
      <c r="C753" s="105"/>
      <c r="D753" s="105"/>
      <c r="E753" s="105"/>
      <c r="F753" s="105"/>
      <c r="G753" s="105"/>
      <c r="H753" s="105"/>
      <c r="I753" s="505" t="b">
        <v>0</v>
      </c>
      <c r="J753" s="507" t="b">
        <v>0</v>
      </c>
      <c r="K753" s="112"/>
      <c r="L753" s="505" t="b">
        <v>0</v>
      </c>
      <c r="M753" s="504" t="b">
        <v>0</v>
      </c>
      <c r="N753" s="112"/>
      <c r="O753" s="505" t="b">
        <v>0</v>
      </c>
      <c r="P753" s="504" t="b">
        <v>0</v>
      </c>
      <c r="Q753" s="116"/>
      <c r="R753" s="505" t="b">
        <v>0</v>
      </c>
      <c r="S753" s="504" t="b">
        <v>0</v>
      </c>
      <c r="T753" s="117"/>
      <c r="U753" s="505" t="b">
        <v>0</v>
      </c>
      <c r="V753" s="504" t="b">
        <v>0</v>
      </c>
      <c r="W753" s="118"/>
      <c r="X753" s="505" t="b">
        <v>0</v>
      </c>
      <c r="Y753" s="504" t="b">
        <v>0</v>
      </c>
      <c r="Z753" s="119"/>
      <c r="AA753" s="505" t="b">
        <v>0</v>
      </c>
      <c r="AB753" s="504" t="b">
        <v>0</v>
      </c>
      <c r="AC753" s="121"/>
      <c r="AD753" s="505" t="b">
        <v>0</v>
      </c>
      <c r="AE753" s="504" t="b">
        <v>0</v>
      </c>
      <c r="AF753" s="125"/>
      <c r="AG753" s="505" t="b">
        <v>0</v>
      </c>
      <c r="AH753" s="504" t="b">
        <v>0</v>
      </c>
      <c r="AI753" s="105"/>
      <c r="AJ753" s="505" t="b">
        <v>0</v>
      </c>
      <c r="AK753" s="504" t="b">
        <v>0</v>
      </c>
      <c r="AL753" s="126"/>
      <c r="AM753" s="505" t="b">
        <v>0</v>
      </c>
      <c r="AN753" s="504" t="b">
        <v>0</v>
      </c>
      <c r="AO753" s="105"/>
      <c r="AP753" s="105"/>
      <c r="AQ753" s="105"/>
      <c r="AR753" s="105"/>
      <c r="AS753" s="105"/>
      <c r="AT753" s="105"/>
      <c r="AU753" s="105"/>
      <c r="AV753" s="105"/>
      <c r="AW753" s="105"/>
      <c r="AX753" s="105"/>
      <c r="AY753" s="105"/>
      <c r="AZ753" s="105"/>
      <c r="BA753" s="105"/>
    </row>
    <row r="754">
      <c r="A754" s="105"/>
      <c r="B754" s="105"/>
      <c r="C754" s="105"/>
      <c r="D754" s="105"/>
      <c r="E754" s="105"/>
      <c r="F754" s="105"/>
      <c r="G754" s="105"/>
      <c r="H754" s="105"/>
      <c r="I754" s="505" t="b">
        <v>0</v>
      </c>
      <c r="J754" s="507" t="b">
        <v>0</v>
      </c>
      <c r="K754" s="112"/>
      <c r="L754" s="505" t="b">
        <v>0</v>
      </c>
      <c r="M754" s="504" t="b">
        <v>0</v>
      </c>
      <c r="N754" s="112"/>
      <c r="O754" s="505" t="b">
        <v>0</v>
      </c>
      <c r="P754" s="504" t="b">
        <v>0</v>
      </c>
      <c r="Q754" s="116"/>
      <c r="R754" s="505" t="b">
        <v>0</v>
      </c>
      <c r="S754" s="504" t="b">
        <v>0</v>
      </c>
      <c r="T754" s="117"/>
      <c r="U754" s="505" t="b">
        <v>0</v>
      </c>
      <c r="V754" s="504" t="b">
        <v>0</v>
      </c>
      <c r="W754" s="118"/>
      <c r="X754" s="505" t="b">
        <v>0</v>
      </c>
      <c r="Y754" s="504" t="b">
        <v>0</v>
      </c>
      <c r="Z754" s="119"/>
      <c r="AA754" s="505" t="b">
        <v>0</v>
      </c>
      <c r="AB754" s="504" t="b">
        <v>0</v>
      </c>
      <c r="AC754" s="121"/>
      <c r="AD754" s="505" t="b">
        <v>0</v>
      </c>
      <c r="AE754" s="504" t="b">
        <v>0</v>
      </c>
      <c r="AF754" s="125"/>
      <c r="AG754" s="505" t="b">
        <v>0</v>
      </c>
      <c r="AH754" s="504" t="b">
        <v>0</v>
      </c>
      <c r="AI754" s="105"/>
      <c r="AJ754" s="505" t="b">
        <v>0</v>
      </c>
      <c r="AK754" s="504" t="b">
        <v>0</v>
      </c>
      <c r="AL754" s="126"/>
      <c r="AM754" s="505" t="b">
        <v>0</v>
      </c>
      <c r="AN754" s="504" t="b">
        <v>0</v>
      </c>
      <c r="AO754" s="105"/>
      <c r="AP754" s="105"/>
      <c r="AQ754" s="105"/>
      <c r="AR754" s="105"/>
      <c r="AS754" s="105"/>
      <c r="AT754" s="105"/>
      <c r="AU754" s="105"/>
      <c r="AV754" s="105"/>
      <c r="AW754" s="105"/>
      <c r="AX754" s="105"/>
      <c r="AY754" s="105"/>
      <c r="AZ754" s="105"/>
      <c r="BA754" s="105"/>
    </row>
    <row r="755">
      <c r="A755" s="105"/>
      <c r="B755" s="105"/>
      <c r="C755" s="105"/>
      <c r="D755" s="105"/>
      <c r="E755" s="105"/>
      <c r="F755" s="105"/>
      <c r="G755" s="105"/>
      <c r="H755" s="105"/>
      <c r="I755" s="505" t="b">
        <v>0</v>
      </c>
      <c r="J755" s="507" t="b">
        <v>0</v>
      </c>
      <c r="K755" s="112"/>
      <c r="L755" s="505" t="b">
        <v>0</v>
      </c>
      <c r="M755" s="504" t="b">
        <v>0</v>
      </c>
      <c r="N755" s="112"/>
      <c r="O755" s="505" t="b">
        <v>0</v>
      </c>
      <c r="P755" s="504" t="b">
        <v>0</v>
      </c>
      <c r="Q755" s="116"/>
      <c r="R755" s="505" t="b">
        <v>0</v>
      </c>
      <c r="S755" s="504" t="b">
        <v>0</v>
      </c>
      <c r="T755" s="117"/>
      <c r="U755" s="505" t="b">
        <v>0</v>
      </c>
      <c r="V755" s="504" t="b">
        <v>0</v>
      </c>
      <c r="W755" s="118"/>
      <c r="X755" s="505" t="b">
        <v>0</v>
      </c>
      <c r="Y755" s="504" t="b">
        <v>0</v>
      </c>
      <c r="Z755" s="119"/>
      <c r="AA755" s="505" t="b">
        <v>0</v>
      </c>
      <c r="AB755" s="504" t="b">
        <v>0</v>
      </c>
      <c r="AC755" s="121"/>
      <c r="AD755" s="505" t="b">
        <v>0</v>
      </c>
      <c r="AE755" s="504" t="b">
        <v>0</v>
      </c>
      <c r="AF755" s="125"/>
      <c r="AG755" s="505" t="b">
        <v>0</v>
      </c>
      <c r="AH755" s="504" t="b">
        <v>0</v>
      </c>
      <c r="AI755" s="105"/>
      <c r="AJ755" s="505" t="b">
        <v>0</v>
      </c>
      <c r="AK755" s="504" t="b">
        <v>0</v>
      </c>
      <c r="AL755" s="126"/>
      <c r="AM755" s="505" t="b">
        <v>0</v>
      </c>
      <c r="AN755" s="504" t="b">
        <v>0</v>
      </c>
      <c r="AO755" s="105"/>
      <c r="AP755" s="105"/>
      <c r="AQ755" s="105"/>
      <c r="AR755" s="105"/>
      <c r="AS755" s="105"/>
      <c r="AT755" s="105"/>
      <c r="AU755" s="105"/>
      <c r="AV755" s="105"/>
      <c r="AW755" s="105"/>
      <c r="AX755" s="105"/>
      <c r="AY755" s="105"/>
      <c r="AZ755" s="105"/>
      <c r="BA755" s="105"/>
    </row>
    <row r="756">
      <c r="A756" s="105"/>
      <c r="B756" s="105"/>
      <c r="C756" s="105"/>
      <c r="D756" s="105"/>
      <c r="E756" s="105"/>
      <c r="F756" s="105"/>
      <c r="G756" s="105"/>
      <c r="H756" s="105"/>
      <c r="I756" s="505" t="b">
        <v>0</v>
      </c>
      <c r="J756" s="507" t="b">
        <v>0</v>
      </c>
      <c r="K756" s="112"/>
      <c r="L756" s="505" t="b">
        <v>0</v>
      </c>
      <c r="M756" s="504" t="b">
        <v>0</v>
      </c>
      <c r="N756" s="112"/>
      <c r="O756" s="505" t="b">
        <v>0</v>
      </c>
      <c r="P756" s="504" t="b">
        <v>0</v>
      </c>
      <c r="Q756" s="116"/>
      <c r="R756" s="505" t="b">
        <v>0</v>
      </c>
      <c r="S756" s="504" t="b">
        <v>0</v>
      </c>
      <c r="T756" s="117"/>
      <c r="U756" s="505" t="b">
        <v>0</v>
      </c>
      <c r="V756" s="504" t="b">
        <v>0</v>
      </c>
      <c r="W756" s="118"/>
      <c r="X756" s="505" t="b">
        <v>0</v>
      </c>
      <c r="Y756" s="504" t="b">
        <v>0</v>
      </c>
      <c r="Z756" s="119"/>
      <c r="AA756" s="505" t="b">
        <v>0</v>
      </c>
      <c r="AB756" s="504" t="b">
        <v>0</v>
      </c>
      <c r="AC756" s="121"/>
      <c r="AD756" s="505" t="b">
        <v>0</v>
      </c>
      <c r="AE756" s="504" t="b">
        <v>0</v>
      </c>
      <c r="AF756" s="125"/>
      <c r="AG756" s="505" t="b">
        <v>0</v>
      </c>
      <c r="AH756" s="504" t="b">
        <v>0</v>
      </c>
      <c r="AI756" s="105"/>
      <c r="AJ756" s="505" t="b">
        <v>0</v>
      </c>
      <c r="AK756" s="504" t="b">
        <v>0</v>
      </c>
      <c r="AL756" s="126"/>
      <c r="AM756" s="505" t="b">
        <v>0</v>
      </c>
      <c r="AN756" s="504" t="b">
        <v>0</v>
      </c>
      <c r="AO756" s="105"/>
      <c r="AP756" s="105"/>
      <c r="AQ756" s="105"/>
      <c r="AR756" s="105"/>
      <c r="AS756" s="105"/>
      <c r="AT756" s="105"/>
      <c r="AU756" s="105"/>
      <c r="AV756" s="105"/>
      <c r="AW756" s="105"/>
      <c r="AX756" s="105"/>
      <c r="AY756" s="105"/>
      <c r="AZ756" s="105"/>
      <c r="BA756" s="105"/>
    </row>
    <row r="757">
      <c r="A757" s="105"/>
      <c r="B757" s="105"/>
      <c r="C757" s="105"/>
      <c r="D757" s="105"/>
      <c r="E757" s="105"/>
      <c r="F757" s="105"/>
      <c r="G757" s="105"/>
      <c r="H757" s="105"/>
      <c r="I757" s="505" t="b">
        <v>0</v>
      </c>
      <c r="J757" s="507" t="b">
        <v>0</v>
      </c>
      <c r="K757" s="112"/>
      <c r="L757" s="505" t="b">
        <v>0</v>
      </c>
      <c r="M757" s="504" t="b">
        <v>0</v>
      </c>
      <c r="N757" s="112"/>
      <c r="O757" s="505" t="b">
        <v>0</v>
      </c>
      <c r="P757" s="504" t="b">
        <v>0</v>
      </c>
      <c r="Q757" s="116"/>
      <c r="R757" s="505" t="b">
        <v>0</v>
      </c>
      <c r="S757" s="504" t="b">
        <v>0</v>
      </c>
      <c r="T757" s="117"/>
      <c r="U757" s="505" t="b">
        <v>0</v>
      </c>
      <c r="V757" s="504" t="b">
        <v>0</v>
      </c>
      <c r="W757" s="118"/>
      <c r="X757" s="505" t="b">
        <v>0</v>
      </c>
      <c r="Y757" s="504" t="b">
        <v>0</v>
      </c>
      <c r="Z757" s="119"/>
      <c r="AA757" s="505" t="b">
        <v>0</v>
      </c>
      <c r="AB757" s="504" t="b">
        <v>0</v>
      </c>
      <c r="AC757" s="121"/>
      <c r="AD757" s="505" t="b">
        <v>0</v>
      </c>
      <c r="AE757" s="504" t="b">
        <v>0</v>
      </c>
      <c r="AF757" s="125"/>
      <c r="AG757" s="505" t="b">
        <v>0</v>
      </c>
      <c r="AH757" s="504" t="b">
        <v>0</v>
      </c>
      <c r="AI757" s="105"/>
      <c r="AJ757" s="505" t="b">
        <v>0</v>
      </c>
      <c r="AK757" s="504" t="b">
        <v>0</v>
      </c>
      <c r="AL757" s="126"/>
      <c r="AM757" s="505" t="b">
        <v>0</v>
      </c>
      <c r="AN757" s="504" t="b">
        <v>0</v>
      </c>
      <c r="AO757" s="105"/>
      <c r="AP757" s="105"/>
      <c r="AQ757" s="105"/>
      <c r="AR757" s="105"/>
      <c r="AS757" s="105"/>
      <c r="AT757" s="105"/>
      <c r="AU757" s="105"/>
      <c r="AV757" s="105"/>
      <c r="AW757" s="105"/>
      <c r="AX757" s="105"/>
      <c r="AY757" s="105"/>
      <c r="AZ757" s="105"/>
      <c r="BA757" s="105"/>
    </row>
    <row r="758">
      <c r="A758" s="105"/>
      <c r="B758" s="105"/>
      <c r="C758" s="105"/>
      <c r="D758" s="105"/>
      <c r="E758" s="105"/>
      <c r="F758" s="105"/>
      <c r="G758" s="105"/>
      <c r="H758" s="105"/>
      <c r="I758" s="505" t="b">
        <v>0</v>
      </c>
      <c r="J758" s="507" t="b">
        <v>0</v>
      </c>
      <c r="K758" s="112"/>
      <c r="L758" s="505" t="b">
        <v>0</v>
      </c>
      <c r="M758" s="504" t="b">
        <v>0</v>
      </c>
      <c r="N758" s="112"/>
      <c r="O758" s="505" t="b">
        <v>0</v>
      </c>
      <c r="P758" s="504" t="b">
        <v>0</v>
      </c>
      <c r="Q758" s="116"/>
      <c r="R758" s="505" t="b">
        <v>0</v>
      </c>
      <c r="S758" s="504" t="b">
        <v>0</v>
      </c>
      <c r="T758" s="117"/>
      <c r="U758" s="505" t="b">
        <v>0</v>
      </c>
      <c r="V758" s="504" t="b">
        <v>0</v>
      </c>
      <c r="W758" s="118"/>
      <c r="X758" s="505" t="b">
        <v>0</v>
      </c>
      <c r="Y758" s="504" t="b">
        <v>0</v>
      </c>
      <c r="Z758" s="119"/>
      <c r="AA758" s="505" t="b">
        <v>0</v>
      </c>
      <c r="AB758" s="504" t="b">
        <v>0</v>
      </c>
      <c r="AC758" s="121"/>
      <c r="AD758" s="505" t="b">
        <v>0</v>
      </c>
      <c r="AE758" s="504" t="b">
        <v>0</v>
      </c>
      <c r="AF758" s="125"/>
      <c r="AG758" s="505" t="b">
        <v>0</v>
      </c>
      <c r="AH758" s="504" t="b">
        <v>0</v>
      </c>
      <c r="AI758" s="105"/>
      <c r="AJ758" s="505" t="b">
        <v>0</v>
      </c>
      <c r="AK758" s="504" t="b">
        <v>0</v>
      </c>
      <c r="AL758" s="126"/>
      <c r="AM758" s="505" t="b">
        <v>0</v>
      </c>
      <c r="AN758" s="504" t="b">
        <v>0</v>
      </c>
      <c r="AO758" s="105"/>
      <c r="AP758" s="105"/>
      <c r="AQ758" s="105"/>
      <c r="AR758" s="105"/>
      <c r="AS758" s="105"/>
      <c r="AT758" s="105"/>
      <c r="AU758" s="105"/>
      <c r="AV758" s="105"/>
      <c r="AW758" s="105"/>
      <c r="AX758" s="105"/>
      <c r="AY758" s="105"/>
      <c r="AZ758" s="105"/>
      <c r="BA758" s="105"/>
    </row>
    <row r="759">
      <c r="A759" s="105"/>
      <c r="B759" s="105"/>
      <c r="C759" s="105"/>
      <c r="D759" s="105"/>
      <c r="E759" s="105"/>
      <c r="F759" s="105"/>
      <c r="G759" s="105"/>
      <c r="H759" s="105"/>
      <c r="I759" s="505" t="b">
        <v>0</v>
      </c>
      <c r="J759" s="507" t="b">
        <v>0</v>
      </c>
      <c r="K759" s="112"/>
      <c r="L759" s="505" t="b">
        <v>0</v>
      </c>
      <c r="M759" s="504" t="b">
        <v>0</v>
      </c>
      <c r="N759" s="112"/>
      <c r="O759" s="505" t="b">
        <v>0</v>
      </c>
      <c r="P759" s="504" t="b">
        <v>0</v>
      </c>
      <c r="Q759" s="116"/>
      <c r="R759" s="505" t="b">
        <v>0</v>
      </c>
      <c r="S759" s="504" t="b">
        <v>0</v>
      </c>
      <c r="T759" s="117"/>
      <c r="U759" s="505" t="b">
        <v>0</v>
      </c>
      <c r="V759" s="504" t="b">
        <v>0</v>
      </c>
      <c r="W759" s="118"/>
      <c r="X759" s="505" t="b">
        <v>0</v>
      </c>
      <c r="Y759" s="504" t="b">
        <v>0</v>
      </c>
      <c r="Z759" s="119"/>
      <c r="AA759" s="505" t="b">
        <v>0</v>
      </c>
      <c r="AB759" s="504" t="b">
        <v>0</v>
      </c>
      <c r="AC759" s="121"/>
      <c r="AD759" s="505" t="b">
        <v>0</v>
      </c>
      <c r="AE759" s="504" t="b">
        <v>0</v>
      </c>
      <c r="AF759" s="125"/>
      <c r="AG759" s="505" t="b">
        <v>0</v>
      </c>
      <c r="AH759" s="504" t="b">
        <v>0</v>
      </c>
      <c r="AI759" s="105"/>
      <c r="AJ759" s="505" t="b">
        <v>0</v>
      </c>
      <c r="AK759" s="504" t="b">
        <v>0</v>
      </c>
      <c r="AL759" s="126"/>
      <c r="AM759" s="505" t="b">
        <v>0</v>
      </c>
      <c r="AN759" s="504" t="b">
        <v>0</v>
      </c>
      <c r="AO759" s="105"/>
      <c r="AP759" s="105"/>
      <c r="AQ759" s="105"/>
      <c r="AR759" s="105"/>
      <c r="AS759" s="105"/>
      <c r="AT759" s="105"/>
      <c r="AU759" s="105"/>
      <c r="AV759" s="105"/>
      <c r="AW759" s="105"/>
      <c r="AX759" s="105"/>
      <c r="AY759" s="105"/>
      <c r="AZ759" s="105"/>
      <c r="BA759" s="105"/>
    </row>
    <row r="760">
      <c r="A760" s="105"/>
      <c r="B760" s="105"/>
      <c r="C760" s="105"/>
      <c r="D760" s="105"/>
      <c r="E760" s="105"/>
      <c r="F760" s="105"/>
      <c r="G760" s="105"/>
      <c r="H760" s="105"/>
      <c r="I760" s="505" t="b">
        <v>0</v>
      </c>
      <c r="J760" s="507" t="b">
        <v>0</v>
      </c>
      <c r="K760" s="112"/>
      <c r="L760" s="505" t="b">
        <v>0</v>
      </c>
      <c r="M760" s="504" t="b">
        <v>0</v>
      </c>
      <c r="N760" s="112"/>
      <c r="O760" s="505" t="b">
        <v>0</v>
      </c>
      <c r="P760" s="504" t="b">
        <v>0</v>
      </c>
      <c r="Q760" s="116"/>
      <c r="R760" s="505" t="b">
        <v>0</v>
      </c>
      <c r="S760" s="504" t="b">
        <v>0</v>
      </c>
      <c r="T760" s="117"/>
      <c r="U760" s="505" t="b">
        <v>0</v>
      </c>
      <c r="V760" s="504" t="b">
        <v>0</v>
      </c>
      <c r="W760" s="118"/>
      <c r="X760" s="505" t="b">
        <v>0</v>
      </c>
      <c r="Y760" s="504" t="b">
        <v>0</v>
      </c>
      <c r="Z760" s="119"/>
      <c r="AA760" s="505" t="b">
        <v>0</v>
      </c>
      <c r="AB760" s="504" t="b">
        <v>0</v>
      </c>
      <c r="AC760" s="121"/>
      <c r="AD760" s="505" t="b">
        <v>0</v>
      </c>
      <c r="AE760" s="504" t="b">
        <v>0</v>
      </c>
      <c r="AF760" s="125"/>
      <c r="AG760" s="505" t="b">
        <v>0</v>
      </c>
      <c r="AH760" s="504" t="b">
        <v>0</v>
      </c>
      <c r="AI760" s="105"/>
      <c r="AJ760" s="505" t="b">
        <v>0</v>
      </c>
      <c r="AK760" s="504" t="b">
        <v>0</v>
      </c>
      <c r="AL760" s="126"/>
      <c r="AM760" s="505" t="b">
        <v>0</v>
      </c>
      <c r="AN760" s="504" t="b">
        <v>0</v>
      </c>
      <c r="AO760" s="105"/>
      <c r="AP760" s="105"/>
      <c r="AQ760" s="105"/>
      <c r="AR760" s="105"/>
      <c r="AS760" s="105"/>
      <c r="AT760" s="105"/>
      <c r="AU760" s="105"/>
      <c r="AV760" s="105"/>
      <c r="AW760" s="105"/>
      <c r="AX760" s="105"/>
      <c r="AY760" s="105"/>
      <c r="AZ760" s="105"/>
      <c r="BA760" s="105"/>
    </row>
    <row r="761">
      <c r="A761" s="105"/>
      <c r="B761" s="105"/>
      <c r="C761" s="105"/>
      <c r="D761" s="105"/>
      <c r="E761" s="105"/>
      <c r="F761" s="105"/>
      <c r="G761" s="105"/>
      <c r="H761" s="105"/>
      <c r="I761" s="505" t="b">
        <v>0</v>
      </c>
      <c r="J761" s="507" t="b">
        <v>0</v>
      </c>
      <c r="K761" s="112"/>
      <c r="L761" s="505" t="b">
        <v>0</v>
      </c>
      <c r="M761" s="504" t="b">
        <v>0</v>
      </c>
      <c r="N761" s="112"/>
      <c r="O761" s="505" t="b">
        <v>0</v>
      </c>
      <c r="P761" s="504" t="b">
        <v>0</v>
      </c>
      <c r="Q761" s="116"/>
      <c r="R761" s="505" t="b">
        <v>0</v>
      </c>
      <c r="S761" s="504" t="b">
        <v>0</v>
      </c>
      <c r="T761" s="117"/>
      <c r="U761" s="505" t="b">
        <v>0</v>
      </c>
      <c r="V761" s="504" t="b">
        <v>0</v>
      </c>
      <c r="W761" s="118"/>
      <c r="X761" s="505" t="b">
        <v>0</v>
      </c>
      <c r="Y761" s="504" t="b">
        <v>0</v>
      </c>
      <c r="Z761" s="119"/>
      <c r="AA761" s="505" t="b">
        <v>0</v>
      </c>
      <c r="AB761" s="504" t="b">
        <v>0</v>
      </c>
      <c r="AC761" s="121"/>
      <c r="AD761" s="505" t="b">
        <v>0</v>
      </c>
      <c r="AE761" s="504" t="b">
        <v>0</v>
      </c>
      <c r="AF761" s="125"/>
      <c r="AG761" s="505" t="b">
        <v>0</v>
      </c>
      <c r="AH761" s="504" t="b">
        <v>0</v>
      </c>
      <c r="AI761" s="105"/>
      <c r="AJ761" s="505" t="b">
        <v>0</v>
      </c>
      <c r="AK761" s="504" t="b">
        <v>0</v>
      </c>
      <c r="AL761" s="126"/>
      <c r="AM761" s="505" t="b">
        <v>0</v>
      </c>
      <c r="AN761" s="504" t="b">
        <v>0</v>
      </c>
      <c r="AO761" s="105"/>
      <c r="AP761" s="105"/>
      <c r="AQ761" s="105"/>
      <c r="AR761" s="105"/>
      <c r="AS761" s="105"/>
      <c r="AT761" s="105"/>
      <c r="AU761" s="105"/>
      <c r="AV761" s="105"/>
      <c r="AW761" s="105"/>
      <c r="AX761" s="105"/>
      <c r="AY761" s="105"/>
      <c r="AZ761" s="105"/>
      <c r="BA761" s="105"/>
    </row>
    <row r="762">
      <c r="A762" s="105"/>
      <c r="B762" s="105"/>
      <c r="C762" s="105"/>
      <c r="D762" s="105"/>
      <c r="E762" s="105"/>
      <c r="F762" s="105"/>
      <c r="G762" s="105"/>
      <c r="H762" s="105"/>
      <c r="I762" s="505" t="b">
        <v>0</v>
      </c>
      <c r="J762" s="507" t="b">
        <v>0</v>
      </c>
      <c r="K762" s="112"/>
      <c r="L762" s="505" t="b">
        <v>0</v>
      </c>
      <c r="M762" s="504" t="b">
        <v>0</v>
      </c>
      <c r="N762" s="112"/>
      <c r="O762" s="505" t="b">
        <v>0</v>
      </c>
      <c r="P762" s="504" t="b">
        <v>0</v>
      </c>
      <c r="Q762" s="116"/>
      <c r="R762" s="505" t="b">
        <v>0</v>
      </c>
      <c r="S762" s="504" t="b">
        <v>0</v>
      </c>
      <c r="T762" s="117"/>
      <c r="U762" s="505" t="b">
        <v>0</v>
      </c>
      <c r="V762" s="504" t="b">
        <v>0</v>
      </c>
      <c r="W762" s="118"/>
      <c r="X762" s="505" t="b">
        <v>0</v>
      </c>
      <c r="Y762" s="504" t="b">
        <v>0</v>
      </c>
      <c r="Z762" s="119"/>
      <c r="AA762" s="505" t="b">
        <v>0</v>
      </c>
      <c r="AB762" s="504" t="b">
        <v>0</v>
      </c>
      <c r="AC762" s="121"/>
      <c r="AD762" s="505" t="b">
        <v>0</v>
      </c>
      <c r="AE762" s="504" t="b">
        <v>0</v>
      </c>
      <c r="AF762" s="125"/>
      <c r="AG762" s="505" t="b">
        <v>0</v>
      </c>
      <c r="AH762" s="504" t="b">
        <v>0</v>
      </c>
      <c r="AI762" s="105"/>
      <c r="AJ762" s="505" t="b">
        <v>0</v>
      </c>
      <c r="AK762" s="504" t="b">
        <v>0</v>
      </c>
      <c r="AL762" s="126"/>
      <c r="AM762" s="505" t="b">
        <v>0</v>
      </c>
      <c r="AN762" s="504" t="b">
        <v>0</v>
      </c>
      <c r="AO762" s="105"/>
      <c r="AP762" s="105"/>
      <c r="AQ762" s="105"/>
      <c r="AR762" s="105"/>
      <c r="AS762" s="105"/>
      <c r="AT762" s="105"/>
      <c r="AU762" s="105"/>
      <c r="AV762" s="105"/>
      <c r="AW762" s="105"/>
      <c r="AX762" s="105"/>
      <c r="AY762" s="105"/>
      <c r="AZ762" s="105"/>
      <c r="BA762" s="105"/>
    </row>
    <row r="763">
      <c r="A763" s="105"/>
      <c r="B763" s="105"/>
      <c r="C763" s="105"/>
      <c r="D763" s="105"/>
      <c r="E763" s="105"/>
      <c r="F763" s="105"/>
      <c r="G763" s="105"/>
      <c r="H763" s="105"/>
      <c r="I763" s="505" t="b">
        <v>0</v>
      </c>
      <c r="J763" s="507" t="b">
        <v>0</v>
      </c>
      <c r="K763" s="112"/>
      <c r="L763" s="505" t="b">
        <v>0</v>
      </c>
      <c r="M763" s="504" t="b">
        <v>0</v>
      </c>
      <c r="N763" s="112"/>
      <c r="O763" s="505" t="b">
        <v>0</v>
      </c>
      <c r="P763" s="504" t="b">
        <v>0</v>
      </c>
      <c r="Q763" s="116"/>
      <c r="R763" s="505" t="b">
        <v>0</v>
      </c>
      <c r="S763" s="504" t="b">
        <v>0</v>
      </c>
      <c r="T763" s="117"/>
      <c r="U763" s="505" t="b">
        <v>0</v>
      </c>
      <c r="V763" s="504" t="b">
        <v>0</v>
      </c>
      <c r="W763" s="118"/>
      <c r="X763" s="505" t="b">
        <v>0</v>
      </c>
      <c r="Y763" s="504" t="b">
        <v>0</v>
      </c>
      <c r="Z763" s="119"/>
      <c r="AA763" s="505" t="b">
        <v>0</v>
      </c>
      <c r="AB763" s="504" t="b">
        <v>0</v>
      </c>
      <c r="AC763" s="121"/>
      <c r="AD763" s="505" t="b">
        <v>0</v>
      </c>
      <c r="AE763" s="504" t="b">
        <v>0</v>
      </c>
      <c r="AF763" s="125"/>
      <c r="AG763" s="505" t="b">
        <v>0</v>
      </c>
      <c r="AH763" s="504" t="b">
        <v>0</v>
      </c>
      <c r="AI763" s="105"/>
      <c r="AJ763" s="505" t="b">
        <v>0</v>
      </c>
      <c r="AK763" s="504" t="b">
        <v>0</v>
      </c>
      <c r="AL763" s="126"/>
      <c r="AM763" s="505" t="b">
        <v>0</v>
      </c>
      <c r="AN763" s="504" t="b">
        <v>0</v>
      </c>
      <c r="AO763" s="105"/>
      <c r="AP763" s="105"/>
      <c r="AQ763" s="105"/>
      <c r="AR763" s="105"/>
      <c r="AS763" s="105"/>
      <c r="AT763" s="105"/>
      <c r="AU763" s="105"/>
      <c r="AV763" s="105"/>
      <c r="AW763" s="105"/>
      <c r="AX763" s="105"/>
      <c r="AY763" s="105"/>
      <c r="AZ763" s="105"/>
      <c r="BA763" s="105"/>
    </row>
    <row r="764">
      <c r="A764" s="105"/>
      <c r="B764" s="105"/>
      <c r="C764" s="105"/>
      <c r="D764" s="105"/>
      <c r="E764" s="105"/>
      <c r="F764" s="105"/>
      <c r="G764" s="105"/>
      <c r="H764" s="105"/>
      <c r="I764" s="505" t="b">
        <v>0</v>
      </c>
      <c r="J764" s="507" t="b">
        <v>0</v>
      </c>
      <c r="K764" s="112"/>
      <c r="L764" s="505" t="b">
        <v>0</v>
      </c>
      <c r="M764" s="504" t="b">
        <v>0</v>
      </c>
      <c r="N764" s="112"/>
      <c r="O764" s="505" t="b">
        <v>0</v>
      </c>
      <c r="P764" s="504" t="b">
        <v>0</v>
      </c>
      <c r="Q764" s="116"/>
      <c r="R764" s="505" t="b">
        <v>0</v>
      </c>
      <c r="S764" s="504" t="b">
        <v>0</v>
      </c>
      <c r="T764" s="117"/>
      <c r="U764" s="505" t="b">
        <v>0</v>
      </c>
      <c r="V764" s="504" t="b">
        <v>0</v>
      </c>
      <c r="W764" s="118"/>
      <c r="X764" s="505" t="b">
        <v>0</v>
      </c>
      <c r="Y764" s="504" t="b">
        <v>0</v>
      </c>
      <c r="Z764" s="119"/>
      <c r="AA764" s="505" t="b">
        <v>0</v>
      </c>
      <c r="AB764" s="504" t="b">
        <v>0</v>
      </c>
      <c r="AC764" s="121"/>
      <c r="AD764" s="505" t="b">
        <v>0</v>
      </c>
      <c r="AE764" s="504" t="b">
        <v>0</v>
      </c>
      <c r="AF764" s="125"/>
      <c r="AG764" s="505" t="b">
        <v>0</v>
      </c>
      <c r="AH764" s="504" t="b">
        <v>0</v>
      </c>
      <c r="AI764" s="105"/>
      <c r="AJ764" s="505" t="b">
        <v>0</v>
      </c>
      <c r="AK764" s="504" t="b">
        <v>0</v>
      </c>
      <c r="AL764" s="126"/>
      <c r="AM764" s="505" t="b">
        <v>0</v>
      </c>
      <c r="AN764" s="504" t="b">
        <v>0</v>
      </c>
      <c r="AO764" s="105"/>
      <c r="AP764" s="105"/>
      <c r="AQ764" s="105"/>
      <c r="AR764" s="105"/>
      <c r="AS764" s="105"/>
      <c r="AT764" s="105"/>
      <c r="AU764" s="105"/>
      <c r="AV764" s="105"/>
      <c r="AW764" s="105"/>
      <c r="AX764" s="105"/>
      <c r="AY764" s="105"/>
      <c r="AZ764" s="105"/>
      <c r="BA764" s="105"/>
    </row>
    <row r="765">
      <c r="A765" s="105"/>
      <c r="B765" s="105"/>
      <c r="C765" s="105"/>
      <c r="D765" s="105"/>
      <c r="E765" s="105"/>
      <c r="F765" s="105"/>
      <c r="G765" s="105"/>
      <c r="H765" s="105"/>
      <c r="I765" s="505" t="b">
        <v>0</v>
      </c>
      <c r="J765" s="507" t="b">
        <v>0</v>
      </c>
      <c r="K765" s="112"/>
      <c r="L765" s="505" t="b">
        <v>0</v>
      </c>
      <c r="M765" s="504" t="b">
        <v>0</v>
      </c>
      <c r="N765" s="112"/>
      <c r="O765" s="505" t="b">
        <v>0</v>
      </c>
      <c r="P765" s="504" t="b">
        <v>0</v>
      </c>
      <c r="Q765" s="116"/>
      <c r="R765" s="505" t="b">
        <v>0</v>
      </c>
      <c r="S765" s="504" t="b">
        <v>0</v>
      </c>
      <c r="T765" s="117"/>
      <c r="U765" s="505" t="b">
        <v>0</v>
      </c>
      <c r="V765" s="504" t="b">
        <v>0</v>
      </c>
      <c r="W765" s="118"/>
      <c r="X765" s="505" t="b">
        <v>0</v>
      </c>
      <c r="Y765" s="504" t="b">
        <v>0</v>
      </c>
      <c r="Z765" s="119"/>
      <c r="AA765" s="505" t="b">
        <v>0</v>
      </c>
      <c r="AB765" s="504" t="b">
        <v>0</v>
      </c>
      <c r="AC765" s="121"/>
      <c r="AD765" s="505" t="b">
        <v>0</v>
      </c>
      <c r="AE765" s="504" t="b">
        <v>0</v>
      </c>
      <c r="AF765" s="125"/>
      <c r="AG765" s="505" t="b">
        <v>0</v>
      </c>
      <c r="AH765" s="504" t="b">
        <v>0</v>
      </c>
      <c r="AI765" s="105"/>
      <c r="AJ765" s="505" t="b">
        <v>0</v>
      </c>
      <c r="AK765" s="504" t="b">
        <v>0</v>
      </c>
      <c r="AL765" s="126"/>
      <c r="AM765" s="505" t="b">
        <v>0</v>
      </c>
      <c r="AN765" s="504" t="b">
        <v>0</v>
      </c>
      <c r="AO765" s="105"/>
      <c r="AP765" s="105"/>
      <c r="AQ765" s="105"/>
      <c r="AR765" s="105"/>
      <c r="AS765" s="105"/>
      <c r="AT765" s="105"/>
      <c r="AU765" s="105"/>
      <c r="AV765" s="105"/>
      <c r="AW765" s="105"/>
      <c r="AX765" s="105"/>
      <c r="AY765" s="105"/>
      <c r="AZ765" s="105"/>
      <c r="BA765" s="105"/>
    </row>
    <row r="766">
      <c r="A766" s="105"/>
      <c r="B766" s="105"/>
      <c r="C766" s="105"/>
      <c r="D766" s="105"/>
      <c r="E766" s="105"/>
      <c r="F766" s="105"/>
      <c r="G766" s="105"/>
      <c r="H766" s="105"/>
      <c r="I766" s="505" t="b">
        <v>0</v>
      </c>
      <c r="J766" s="507" t="b">
        <v>0</v>
      </c>
      <c r="K766" s="112"/>
      <c r="L766" s="505" t="b">
        <v>0</v>
      </c>
      <c r="M766" s="504" t="b">
        <v>0</v>
      </c>
      <c r="N766" s="112"/>
      <c r="O766" s="505" t="b">
        <v>0</v>
      </c>
      <c r="P766" s="504" t="b">
        <v>0</v>
      </c>
      <c r="Q766" s="116"/>
      <c r="R766" s="505" t="b">
        <v>0</v>
      </c>
      <c r="S766" s="504" t="b">
        <v>0</v>
      </c>
      <c r="T766" s="117"/>
      <c r="U766" s="505" t="b">
        <v>0</v>
      </c>
      <c r="V766" s="504" t="b">
        <v>0</v>
      </c>
      <c r="W766" s="118"/>
      <c r="X766" s="505" t="b">
        <v>0</v>
      </c>
      <c r="Y766" s="504" t="b">
        <v>0</v>
      </c>
      <c r="Z766" s="119"/>
      <c r="AA766" s="505" t="b">
        <v>0</v>
      </c>
      <c r="AB766" s="504" t="b">
        <v>0</v>
      </c>
      <c r="AC766" s="121"/>
      <c r="AD766" s="505" t="b">
        <v>0</v>
      </c>
      <c r="AE766" s="504" t="b">
        <v>0</v>
      </c>
      <c r="AF766" s="125"/>
      <c r="AG766" s="505" t="b">
        <v>0</v>
      </c>
      <c r="AH766" s="504" t="b">
        <v>0</v>
      </c>
      <c r="AI766" s="105"/>
      <c r="AJ766" s="505" t="b">
        <v>0</v>
      </c>
      <c r="AK766" s="504" t="b">
        <v>0</v>
      </c>
      <c r="AL766" s="126"/>
      <c r="AM766" s="505" t="b">
        <v>0</v>
      </c>
      <c r="AN766" s="504" t="b">
        <v>0</v>
      </c>
      <c r="AO766" s="105"/>
      <c r="AP766" s="105"/>
      <c r="AQ766" s="105"/>
      <c r="AR766" s="105"/>
      <c r="AS766" s="105"/>
      <c r="AT766" s="105"/>
      <c r="AU766" s="105"/>
      <c r="AV766" s="105"/>
      <c r="AW766" s="105"/>
      <c r="AX766" s="105"/>
      <c r="AY766" s="105"/>
      <c r="AZ766" s="105"/>
      <c r="BA766" s="105"/>
    </row>
    <row r="767">
      <c r="A767" s="105"/>
      <c r="B767" s="105"/>
      <c r="C767" s="105"/>
      <c r="D767" s="105"/>
      <c r="E767" s="105"/>
      <c r="F767" s="105"/>
      <c r="G767" s="105"/>
      <c r="H767" s="105"/>
      <c r="I767" s="505" t="b">
        <v>0</v>
      </c>
      <c r="J767" s="507" t="b">
        <v>0</v>
      </c>
      <c r="K767" s="112"/>
      <c r="L767" s="505" t="b">
        <v>0</v>
      </c>
      <c r="M767" s="504" t="b">
        <v>0</v>
      </c>
      <c r="N767" s="112"/>
      <c r="O767" s="505" t="b">
        <v>0</v>
      </c>
      <c r="P767" s="504" t="b">
        <v>0</v>
      </c>
      <c r="Q767" s="116"/>
      <c r="R767" s="505" t="b">
        <v>0</v>
      </c>
      <c r="S767" s="504" t="b">
        <v>0</v>
      </c>
      <c r="T767" s="117"/>
      <c r="U767" s="505" t="b">
        <v>0</v>
      </c>
      <c r="V767" s="504" t="b">
        <v>0</v>
      </c>
      <c r="W767" s="118"/>
      <c r="X767" s="505" t="b">
        <v>0</v>
      </c>
      <c r="Y767" s="504" t="b">
        <v>0</v>
      </c>
      <c r="Z767" s="119"/>
      <c r="AA767" s="505" t="b">
        <v>0</v>
      </c>
      <c r="AB767" s="504" t="b">
        <v>0</v>
      </c>
      <c r="AC767" s="121"/>
      <c r="AD767" s="505" t="b">
        <v>0</v>
      </c>
      <c r="AE767" s="504" t="b">
        <v>0</v>
      </c>
      <c r="AF767" s="125"/>
      <c r="AG767" s="505" t="b">
        <v>0</v>
      </c>
      <c r="AH767" s="504" t="b">
        <v>0</v>
      </c>
      <c r="AI767" s="105"/>
      <c r="AJ767" s="505" t="b">
        <v>0</v>
      </c>
      <c r="AK767" s="504" t="b">
        <v>0</v>
      </c>
      <c r="AL767" s="126"/>
      <c r="AM767" s="505" t="b">
        <v>0</v>
      </c>
      <c r="AN767" s="504" t="b">
        <v>0</v>
      </c>
      <c r="AO767" s="105"/>
      <c r="AP767" s="105"/>
      <c r="AQ767" s="105"/>
      <c r="AR767" s="105"/>
      <c r="AS767" s="105"/>
      <c r="AT767" s="105"/>
      <c r="AU767" s="105"/>
      <c r="AV767" s="105"/>
      <c r="AW767" s="105"/>
      <c r="AX767" s="105"/>
      <c r="AY767" s="105"/>
      <c r="AZ767" s="105"/>
      <c r="BA767" s="105"/>
    </row>
    <row r="768">
      <c r="A768" s="105"/>
      <c r="B768" s="105"/>
      <c r="C768" s="105"/>
      <c r="D768" s="105"/>
      <c r="E768" s="105"/>
      <c r="F768" s="105"/>
      <c r="G768" s="105"/>
      <c r="H768" s="105"/>
      <c r="I768" s="505" t="b">
        <v>0</v>
      </c>
      <c r="J768" s="507" t="b">
        <v>0</v>
      </c>
      <c r="K768" s="112"/>
      <c r="L768" s="505" t="b">
        <v>0</v>
      </c>
      <c r="M768" s="504" t="b">
        <v>0</v>
      </c>
      <c r="N768" s="112"/>
      <c r="O768" s="505" t="b">
        <v>0</v>
      </c>
      <c r="P768" s="504" t="b">
        <v>0</v>
      </c>
      <c r="Q768" s="116"/>
      <c r="R768" s="505" t="b">
        <v>0</v>
      </c>
      <c r="S768" s="504" t="b">
        <v>0</v>
      </c>
      <c r="T768" s="117"/>
      <c r="U768" s="505" t="b">
        <v>0</v>
      </c>
      <c r="V768" s="504" t="b">
        <v>0</v>
      </c>
      <c r="W768" s="118"/>
      <c r="X768" s="505" t="b">
        <v>0</v>
      </c>
      <c r="Y768" s="504" t="b">
        <v>0</v>
      </c>
      <c r="Z768" s="119"/>
      <c r="AA768" s="505" t="b">
        <v>0</v>
      </c>
      <c r="AB768" s="504" t="b">
        <v>0</v>
      </c>
      <c r="AC768" s="121"/>
      <c r="AD768" s="505" t="b">
        <v>0</v>
      </c>
      <c r="AE768" s="504" t="b">
        <v>0</v>
      </c>
      <c r="AF768" s="125"/>
      <c r="AG768" s="505" t="b">
        <v>0</v>
      </c>
      <c r="AH768" s="504" t="b">
        <v>0</v>
      </c>
      <c r="AI768" s="105"/>
      <c r="AJ768" s="505" t="b">
        <v>0</v>
      </c>
      <c r="AK768" s="504" t="b">
        <v>0</v>
      </c>
      <c r="AL768" s="126"/>
      <c r="AM768" s="505" t="b">
        <v>0</v>
      </c>
      <c r="AN768" s="504" t="b">
        <v>0</v>
      </c>
      <c r="AO768" s="105"/>
      <c r="AP768" s="105"/>
      <c r="AQ768" s="105"/>
      <c r="AR768" s="105"/>
      <c r="AS768" s="105"/>
      <c r="AT768" s="105"/>
      <c r="AU768" s="105"/>
      <c r="AV768" s="105"/>
      <c r="AW768" s="105"/>
      <c r="AX768" s="105"/>
      <c r="AY768" s="105"/>
      <c r="AZ768" s="105"/>
      <c r="BA768" s="105"/>
    </row>
    <row r="769">
      <c r="A769" s="105"/>
      <c r="B769" s="105"/>
      <c r="C769" s="105"/>
      <c r="D769" s="105"/>
      <c r="E769" s="105"/>
      <c r="F769" s="105"/>
      <c r="G769" s="105"/>
      <c r="H769" s="105"/>
      <c r="I769" s="505" t="b">
        <v>0</v>
      </c>
      <c r="J769" s="507" t="b">
        <v>0</v>
      </c>
      <c r="K769" s="112"/>
      <c r="L769" s="505" t="b">
        <v>0</v>
      </c>
      <c r="M769" s="504" t="b">
        <v>0</v>
      </c>
      <c r="N769" s="112"/>
      <c r="O769" s="505" t="b">
        <v>0</v>
      </c>
      <c r="P769" s="504" t="b">
        <v>0</v>
      </c>
      <c r="Q769" s="116"/>
      <c r="R769" s="505" t="b">
        <v>0</v>
      </c>
      <c r="S769" s="504" t="b">
        <v>0</v>
      </c>
      <c r="T769" s="117"/>
      <c r="U769" s="505" t="b">
        <v>0</v>
      </c>
      <c r="V769" s="504" t="b">
        <v>0</v>
      </c>
      <c r="W769" s="118"/>
      <c r="X769" s="505" t="b">
        <v>0</v>
      </c>
      <c r="Y769" s="504" t="b">
        <v>0</v>
      </c>
      <c r="Z769" s="119"/>
      <c r="AA769" s="505" t="b">
        <v>0</v>
      </c>
      <c r="AB769" s="504" t="b">
        <v>0</v>
      </c>
      <c r="AC769" s="121"/>
      <c r="AD769" s="505" t="b">
        <v>0</v>
      </c>
      <c r="AE769" s="504" t="b">
        <v>0</v>
      </c>
      <c r="AF769" s="125"/>
      <c r="AG769" s="505" t="b">
        <v>0</v>
      </c>
      <c r="AH769" s="504" t="b">
        <v>0</v>
      </c>
      <c r="AI769" s="105"/>
      <c r="AJ769" s="505" t="b">
        <v>0</v>
      </c>
      <c r="AK769" s="504" t="b">
        <v>0</v>
      </c>
      <c r="AL769" s="126"/>
      <c r="AM769" s="505" t="b">
        <v>0</v>
      </c>
      <c r="AN769" s="504" t="b">
        <v>0</v>
      </c>
      <c r="AO769" s="105"/>
      <c r="AP769" s="105"/>
      <c r="AQ769" s="105"/>
      <c r="AR769" s="105"/>
      <c r="AS769" s="105"/>
      <c r="AT769" s="105"/>
      <c r="AU769" s="105"/>
      <c r="AV769" s="105"/>
      <c r="AW769" s="105"/>
      <c r="AX769" s="105"/>
      <c r="AY769" s="105"/>
      <c r="AZ769" s="105"/>
      <c r="BA769" s="105"/>
    </row>
    <row r="770">
      <c r="A770" s="105"/>
      <c r="B770" s="105"/>
      <c r="C770" s="105"/>
      <c r="D770" s="105"/>
      <c r="E770" s="105"/>
      <c r="F770" s="105"/>
      <c r="G770" s="105"/>
      <c r="H770" s="105"/>
      <c r="I770" s="505" t="b">
        <v>0</v>
      </c>
      <c r="J770" s="507" t="b">
        <v>0</v>
      </c>
      <c r="K770" s="112"/>
      <c r="L770" s="505" t="b">
        <v>0</v>
      </c>
      <c r="M770" s="504" t="b">
        <v>0</v>
      </c>
      <c r="N770" s="112"/>
      <c r="O770" s="505" t="b">
        <v>0</v>
      </c>
      <c r="P770" s="504" t="b">
        <v>0</v>
      </c>
      <c r="Q770" s="116"/>
      <c r="R770" s="505" t="b">
        <v>0</v>
      </c>
      <c r="S770" s="504" t="b">
        <v>0</v>
      </c>
      <c r="T770" s="117"/>
      <c r="U770" s="505" t="b">
        <v>0</v>
      </c>
      <c r="V770" s="504" t="b">
        <v>0</v>
      </c>
      <c r="W770" s="118"/>
      <c r="X770" s="505" t="b">
        <v>0</v>
      </c>
      <c r="Y770" s="504" t="b">
        <v>0</v>
      </c>
      <c r="Z770" s="119"/>
      <c r="AA770" s="505" t="b">
        <v>0</v>
      </c>
      <c r="AB770" s="504" t="b">
        <v>0</v>
      </c>
      <c r="AC770" s="121"/>
      <c r="AD770" s="505" t="b">
        <v>0</v>
      </c>
      <c r="AE770" s="504" t="b">
        <v>0</v>
      </c>
      <c r="AF770" s="125"/>
      <c r="AG770" s="505" t="b">
        <v>0</v>
      </c>
      <c r="AH770" s="504" t="b">
        <v>0</v>
      </c>
      <c r="AI770" s="105"/>
      <c r="AJ770" s="505" t="b">
        <v>0</v>
      </c>
      <c r="AK770" s="504" t="b">
        <v>0</v>
      </c>
      <c r="AL770" s="126"/>
      <c r="AM770" s="505" t="b">
        <v>0</v>
      </c>
      <c r="AN770" s="504" t="b">
        <v>0</v>
      </c>
      <c r="AO770" s="105"/>
      <c r="AP770" s="105"/>
      <c r="AQ770" s="105"/>
      <c r="AR770" s="105"/>
      <c r="AS770" s="105"/>
      <c r="AT770" s="105"/>
      <c r="AU770" s="105"/>
      <c r="AV770" s="105"/>
      <c r="AW770" s="105"/>
      <c r="AX770" s="105"/>
      <c r="AY770" s="105"/>
      <c r="AZ770" s="105"/>
      <c r="BA770" s="105"/>
    </row>
    <row r="771">
      <c r="A771" s="105"/>
      <c r="B771" s="105"/>
      <c r="C771" s="105"/>
      <c r="D771" s="105"/>
      <c r="E771" s="105"/>
      <c r="F771" s="105"/>
      <c r="G771" s="105"/>
      <c r="H771" s="105"/>
      <c r="I771" s="505" t="b">
        <v>0</v>
      </c>
      <c r="J771" s="507" t="b">
        <v>0</v>
      </c>
      <c r="K771" s="112"/>
      <c r="L771" s="505" t="b">
        <v>0</v>
      </c>
      <c r="M771" s="504" t="b">
        <v>0</v>
      </c>
      <c r="N771" s="112"/>
      <c r="O771" s="505" t="b">
        <v>0</v>
      </c>
      <c r="P771" s="504" t="b">
        <v>0</v>
      </c>
      <c r="Q771" s="116"/>
      <c r="R771" s="505" t="b">
        <v>0</v>
      </c>
      <c r="S771" s="504" t="b">
        <v>0</v>
      </c>
      <c r="T771" s="117"/>
      <c r="U771" s="505" t="b">
        <v>0</v>
      </c>
      <c r="V771" s="504" t="b">
        <v>0</v>
      </c>
      <c r="W771" s="118"/>
      <c r="X771" s="505" t="b">
        <v>0</v>
      </c>
      <c r="Y771" s="504" t="b">
        <v>0</v>
      </c>
      <c r="Z771" s="119"/>
      <c r="AA771" s="505" t="b">
        <v>0</v>
      </c>
      <c r="AB771" s="504" t="b">
        <v>0</v>
      </c>
      <c r="AC771" s="121"/>
      <c r="AD771" s="505" t="b">
        <v>0</v>
      </c>
      <c r="AE771" s="504" t="b">
        <v>0</v>
      </c>
      <c r="AF771" s="125"/>
      <c r="AG771" s="505" t="b">
        <v>0</v>
      </c>
      <c r="AH771" s="504" t="b">
        <v>0</v>
      </c>
      <c r="AI771" s="105"/>
      <c r="AJ771" s="505" t="b">
        <v>0</v>
      </c>
      <c r="AK771" s="504" t="b">
        <v>0</v>
      </c>
      <c r="AL771" s="126"/>
      <c r="AM771" s="505" t="b">
        <v>0</v>
      </c>
      <c r="AN771" s="504" t="b">
        <v>0</v>
      </c>
      <c r="AO771" s="105"/>
      <c r="AP771" s="105"/>
      <c r="AQ771" s="105"/>
      <c r="AR771" s="105"/>
      <c r="AS771" s="105"/>
      <c r="AT771" s="105"/>
      <c r="AU771" s="105"/>
      <c r="AV771" s="105"/>
      <c r="AW771" s="105"/>
      <c r="AX771" s="105"/>
      <c r="AY771" s="105"/>
      <c r="AZ771" s="105"/>
      <c r="BA771" s="105"/>
    </row>
    <row r="772">
      <c r="A772" s="105"/>
      <c r="B772" s="105"/>
      <c r="C772" s="105"/>
      <c r="D772" s="105"/>
      <c r="E772" s="105"/>
      <c r="F772" s="105"/>
      <c r="G772" s="105"/>
      <c r="H772" s="105"/>
      <c r="I772" s="505" t="b">
        <v>0</v>
      </c>
      <c r="J772" s="507" t="b">
        <v>0</v>
      </c>
      <c r="K772" s="112"/>
      <c r="L772" s="505" t="b">
        <v>0</v>
      </c>
      <c r="M772" s="504" t="b">
        <v>0</v>
      </c>
      <c r="N772" s="112"/>
      <c r="O772" s="505" t="b">
        <v>0</v>
      </c>
      <c r="P772" s="504" t="b">
        <v>0</v>
      </c>
      <c r="Q772" s="116"/>
      <c r="R772" s="505" t="b">
        <v>0</v>
      </c>
      <c r="S772" s="504" t="b">
        <v>0</v>
      </c>
      <c r="T772" s="117"/>
      <c r="U772" s="505" t="b">
        <v>0</v>
      </c>
      <c r="V772" s="504" t="b">
        <v>0</v>
      </c>
      <c r="W772" s="118"/>
      <c r="X772" s="505" t="b">
        <v>0</v>
      </c>
      <c r="Y772" s="504" t="b">
        <v>0</v>
      </c>
      <c r="Z772" s="119"/>
      <c r="AA772" s="505" t="b">
        <v>0</v>
      </c>
      <c r="AB772" s="504" t="b">
        <v>0</v>
      </c>
      <c r="AC772" s="121"/>
      <c r="AD772" s="505" t="b">
        <v>0</v>
      </c>
      <c r="AE772" s="504" t="b">
        <v>0</v>
      </c>
      <c r="AF772" s="125"/>
      <c r="AG772" s="505" t="b">
        <v>0</v>
      </c>
      <c r="AH772" s="504" t="b">
        <v>0</v>
      </c>
      <c r="AI772" s="105"/>
      <c r="AJ772" s="505" t="b">
        <v>0</v>
      </c>
      <c r="AK772" s="504" t="b">
        <v>0</v>
      </c>
      <c r="AL772" s="126"/>
      <c r="AM772" s="505" t="b">
        <v>0</v>
      </c>
      <c r="AN772" s="504" t="b">
        <v>0</v>
      </c>
      <c r="AO772" s="105"/>
      <c r="AP772" s="105"/>
      <c r="AQ772" s="105"/>
      <c r="AR772" s="105"/>
      <c r="AS772" s="105"/>
      <c r="AT772" s="105"/>
      <c r="AU772" s="105"/>
      <c r="AV772" s="105"/>
      <c r="AW772" s="105"/>
      <c r="AX772" s="105"/>
      <c r="AY772" s="105"/>
      <c r="AZ772" s="105"/>
      <c r="BA772" s="105"/>
    </row>
    <row r="773">
      <c r="A773" s="105"/>
      <c r="B773" s="105"/>
      <c r="C773" s="105"/>
      <c r="D773" s="105"/>
      <c r="E773" s="105"/>
      <c r="F773" s="105"/>
      <c r="G773" s="105"/>
      <c r="H773" s="105"/>
      <c r="I773" s="505" t="b">
        <v>0</v>
      </c>
      <c r="J773" s="507" t="b">
        <v>0</v>
      </c>
      <c r="K773" s="112"/>
      <c r="L773" s="505" t="b">
        <v>0</v>
      </c>
      <c r="M773" s="504" t="b">
        <v>0</v>
      </c>
      <c r="N773" s="112"/>
      <c r="O773" s="505" t="b">
        <v>0</v>
      </c>
      <c r="P773" s="504" t="b">
        <v>0</v>
      </c>
      <c r="Q773" s="116"/>
      <c r="R773" s="505" t="b">
        <v>0</v>
      </c>
      <c r="S773" s="504" t="b">
        <v>0</v>
      </c>
      <c r="T773" s="117"/>
      <c r="U773" s="505" t="b">
        <v>0</v>
      </c>
      <c r="V773" s="504" t="b">
        <v>0</v>
      </c>
      <c r="W773" s="118"/>
      <c r="X773" s="505" t="b">
        <v>0</v>
      </c>
      <c r="Y773" s="504" t="b">
        <v>0</v>
      </c>
      <c r="Z773" s="119"/>
      <c r="AA773" s="505" t="b">
        <v>0</v>
      </c>
      <c r="AB773" s="504" t="b">
        <v>0</v>
      </c>
      <c r="AC773" s="121"/>
      <c r="AD773" s="505" t="b">
        <v>0</v>
      </c>
      <c r="AE773" s="504" t="b">
        <v>0</v>
      </c>
      <c r="AF773" s="125"/>
      <c r="AG773" s="505" t="b">
        <v>0</v>
      </c>
      <c r="AH773" s="504" t="b">
        <v>0</v>
      </c>
      <c r="AI773" s="105"/>
      <c r="AJ773" s="505" t="b">
        <v>0</v>
      </c>
      <c r="AK773" s="504" t="b">
        <v>0</v>
      </c>
      <c r="AL773" s="126"/>
      <c r="AM773" s="505" t="b">
        <v>0</v>
      </c>
      <c r="AN773" s="504" t="b">
        <v>0</v>
      </c>
      <c r="AO773" s="105"/>
      <c r="AP773" s="105"/>
      <c r="AQ773" s="105"/>
      <c r="AR773" s="105"/>
      <c r="AS773" s="105"/>
      <c r="AT773" s="105"/>
      <c r="AU773" s="105"/>
      <c r="AV773" s="105"/>
      <c r="AW773" s="105"/>
      <c r="AX773" s="105"/>
      <c r="AY773" s="105"/>
      <c r="AZ773" s="105"/>
      <c r="BA773" s="105"/>
    </row>
    <row r="774">
      <c r="A774" s="105"/>
      <c r="B774" s="105"/>
      <c r="C774" s="105"/>
      <c r="D774" s="105"/>
      <c r="E774" s="105"/>
      <c r="F774" s="105"/>
      <c r="G774" s="105"/>
      <c r="H774" s="105"/>
      <c r="I774" s="505" t="b">
        <v>0</v>
      </c>
      <c r="J774" s="507" t="b">
        <v>0</v>
      </c>
      <c r="K774" s="112"/>
      <c r="L774" s="505" t="b">
        <v>0</v>
      </c>
      <c r="M774" s="504" t="b">
        <v>0</v>
      </c>
      <c r="N774" s="112"/>
      <c r="O774" s="505" t="b">
        <v>0</v>
      </c>
      <c r="P774" s="504" t="b">
        <v>0</v>
      </c>
      <c r="Q774" s="116"/>
      <c r="R774" s="505" t="b">
        <v>0</v>
      </c>
      <c r="S774" s="504" t="b">
        <v>0</v>
      </c>
      <c r="T774" s="117"/>
      <c r="U774" s="505" t="b">
        <v>0</v>
      </c>
      <c r="V774" s="504" t="b">
        <v>0</v>
      </c>
      <c r="W774" s="118"/>
      <c r="X774" s="505" t="b">
        <v>0</v>
      </c>
      <c r="Y774" s="504" t="b">
        <v>0</v>
      </c>
      <c r="Z774" s="119"/>
      <c r="AA774" s="505" t="b">
        <v>0</v>
      </c>
      <c r="AB774" s="504" t="b">
        <v>0</v>
      </c>
      <c r="AC774" s="121"/>
      <c r="AD774" s="505" t="b">
        <v>0</v>
      </c>
      <c r="AE774" s="504" t="b">
        <v>0</v>
      </c>
      <c r="AF774" s="125"/>
      <c r="AG774" s="505" t="b">
        <v>0</v>
      </c>
      <c r="AH774" s="504" t="b">
        <v>0</v>
      </c>
      <c r="AI774" s="105"/>
      <c r="AJ774" s="505" t="b">
        <v>0</v>
      </c>
      <c r="AK774" s="504" t="b">
        <v>0</v>
      </c>
      <c r="AL774" s="126"/>
      <c r="AM774" s="505" t="b">
        <v>0</v>
      </c>
      <c r="AN774" s="504" t="b">
        <v>0</v>
      </c>
      <c r="AO774" s="105"/>
      <c r="AP774" s="105"/>
      <c r="AQ774" s="105"/>
      <c r="AR774" s="105"/>
      <c r="AS774" s="105"/>
      <c r="AT774" s="105"/>
      <c r="AU774" s="105"/>
      <c r="AV774" s="105"/>
      <c r="AW774" s="105"/>
      <c r="AX774" s="105"/>
      <c r="AY774" s="105"/>
      <c r="AZ774" s="105"/>
      <c r="BA774" s="105"/>
    </row>
    <row r="775">
      <c r="A775" s="105"/>
      <c r="B775" s="105"/>
      <c r="C775" s="105"/>
      <c r="D775" s="105"/>
      <c r="E775" s="105"/>
      <c r="F775" s="105"/>
      <c r="G775" s="105"/>
      <c r="H775" s="105"/>
      <c r="I775" s="505" t="b">
        <v>0</v>
      </c>
      <c r="J775" s="507" t="b">
        <v>0</v>
      </c>
      <c r="K775" s="112"/>
      <c r="L775" s="505" t="b">
        <v>0</v>
      </c>
      <c r="M775" s="504" t="b">
        <v>0</v>
      </c>
      <c r="N775" s="112"/>
      <c r="O775" s="505" t="b">
        <v>0</v>
      </c>
      <c r="P775" s="504" t="b">
        <v>0</v>
      </c>
      <c r="Q775" s="116"/>
      <c r="R775" s="505" t="b">
        <v>0</v>
      </c>
      <c r="S775" s="504" t="b">
        <v>0</v>
      </c>
      <c r="T775" s="117"/>
      <c r="U775" s="505" t="b">
        <v>0</v>
      </c>
      <c r="V775" s="504" t="b">
        <v>0</v>
      </c>
      <c r="W775" s="118"/>
      <c r="X775" s="505" t="b">
        <v>0</v>
      </c>
      <c r="Y775" s="504" t="b">
        <v>0</v>
      </c>
      <c r="Z775" s="119"/>
      <c r="AA775" s="505" t="b">
        <v>0</v>
      </c>
      <c r="AB775" s="504" t="b">
        <v>0</v>
      </c>
      <c r="AC775" s="121"/>
      <c r="AD775" s="505" t="b">
        <v>0</v>
      </c>
      <c r="AE775" s="504" t="b">
        <v>0</v>
      </c>
      <c r="AF775" s="125"/>
      <c r="AG775" s="505" t="b">
        <v>0</v>
      </c>
      <c r="AH775" s="504" t="b">
        <v>0</v>
      </c>
      <c r="AI775" s="105"/>
      <c r="AJ775" s="505" t="b">
        <v>0</v>
      </c>
      <c r="AK775" s="504" t="b">
        <v>0</v>
      </c>
      <c r="AL775" s="126"/>
      <c r="AM775" s="505" t="b">
        <v>0</v>
      </c>
      <c r="AN775" s="504" t="b">
        <v>0</v>
      </c>
      <c r="AO775" s="105"/>
      <c r="AP775" s="105"/>
      <c r="AQ775" s="105"/>
      <c r="AR775" s="105"/>
      <c r="AS775" s="105"/>
      <c r="AT775" s="105"/>
      <c r="AU775" s="105"/>
      <c r="AV775" s="105"/>
      <c r="AW775" s="105"/>
      <c r="AX775" s="105"/>
      <c r="AY775" s="105"/>
      <c r="AZ775" s="105"/>
      <c r="BA775" s="105"/>
    </row>
    <row r="776">
      <c r="A776" s="105"/>
      <c r="B776" s="105"/>
      <c r="C776" s="105"/>
      <c r="D776" s="105"/>
      <c r="E776" s="105"/>
      <c r="F776" s="105"/>
      <c r="G776" s="105"/>
      <c r="H776" s="105"/>
      <c r="I776" s="505" t="b">
        <v>0</v>
      </c>
      <c r="J776" s="507" t="b">
        <v>0</v>
      </c>
      <c r="K776" s="112"/>
      <c r="L776" s="505" t="b">
        <v>0</v>
      </c>
      <c r="M776" s="504" t="b">
        <v>0</v>
      </c>
      <c r="N776" s="112"/>
      <c r="O776" s="505" t="b">
        <v>0</v>
      </c>
      <c r="P776" s="504" t="b">
        <v>0</v>
      </c>
      <c r="Q776" s="116"/>
      <c r="R776" s="505" t="b">
        <v>0</v>
      </c>
      <c r="S776" s="504" t="b">
        <v>0</v>
      </c>
      <c r="T776" s="117"/>
      <c r="U776" s="505" t="b">
        <v>0</v>
      </c>
      <c r="V776" s="504" t="b">
        <v>0</v>
      </c>
      <c r="W776" s="118"/>
      <c r="X776" s="505" t="b">
        <v>0</v>
      </c>
      <c r="Y776" s="504" t="b">
        <v>0</v>
      </c>
      <c r="Z776" s="119"/>
      <c r="AA776" s="505" t="b">
        <v>0</v>
      </c>
      <c r="AB776" s="504" t="b">
        <v>0</v>
      </c>
      <c r="AC776" s="121"/>
      <c r="AD776" s="505" t="b">
        <v>0</v>
      </c>
      <c r="AE776" s="504" t="b">
        <v>0</v>
      </c>
      <c r="AF776" s="125"/>
      <c r="AG776" s="505" t="b">
        <v>0</v>
      </c>
      <c r="AH776" s="504" t="b">
        <v>0</v>
      </c>
      <c r="AI776" s="105"/>
      <c r="AJ776" s="505" t="b">
        <v>0</v>
      </c>
      <c r="AK776" s="504" t="b">
        <v>0</v>
      </c>
      <c r="AL776" s="126"/>
      <c r="AM776" s="505" t="b">
        <v>0</v>
      </c>
      <c r="AN776" s="504" t="b">
        <v>0</v>
      </c>
      <c r="AO776" s="105"/>
      <c r="AP776" s="105"/>
      <c r="AQ776" s="105"/>
      <c r="AR776" s="105"/>
      <c r="AS776" s="105"/>
      <c r="AT776" s="105"/>
      <c r="AU776" s="105"/>
      <c r="AV776" s="105"/>
      <c r="AW776" s="105"/>
      <c r="AX776" s="105"/>
      <c r="AY776" s="105"/>
      <c r="AZ776" s="105"/>
      <c r="BA776" s="105"/>
    </row>
    <row r="777">
      <c r="A777" s="105"/>
      <c r="B777" s="105"/>
      <c r="C777" s="105"/>
      <c r="D777" s="105"/>
      <c r="E777" s="105"/>
      <c r="F777" s="105"/>
      <c r="G777" s="105"/>
      <c r="H777" s="105"/>
      <c r="I777" s="505" t="b">
        <v>0</v>
      </c>
      <c r="J777" s="507" t="b">
        <v>0</v>
      </c>
      <c r="K777" s="112"/>
      <c r="L777" s="505" t="b">
        <v>0</v>
      </c>
      <c r="M777" s="504" t="b">
        <v>0</v>
      </c>
      <c r="N777" s="112"/>
      <c r="O777" s="505" t="b">
        <v>0</v>
      </c>
      <c r="P777" s="504" t="b">
        <v>0</v>
      </c>
      <c r="Q777" s="116"/>
      <c r="R777" s="505" t="b">
        <v>0</v>
      </c>
      <c r="S777" s="504" t="b">
        <v>0</v>
      </c>
      <c r="T777" s="117"/>
      <c r="U777" s="505" t="b">
        <v>0</v>
      </c>
      <c r="V777" s="504" t="b">
        <v>0</v>
      </c>
      <c r="W777" s="118"/>
      <c r="X777" s="505" t="b">
        <v>0</v>
      </c>
      <c r="Y777" s="504" t="b">
        <v>0</v>
      </c>
      <c r="Z777" s="119"/>
      <c r="AA777" s="505" t="b">
        <v>0</v>
      </c>
      <c r="AB777" s="504" t="b">
        <v>0</v>
      </c>
      <c r="AC777" s="121"/>
      <c r="AD777" s="505" t="b">
        <v>0</v>
      </c>
      <c r="AE777" s="504" t="b">
        <v>0</v>
      </c>
      <c r="AF777" s="125"/>
      <c r="AG777" s="505" t="b">
        <v>0</v>
      </c>
      <c r="AH777" s="504" t="b">
        <v>0</v>
      </c>
      <c r="AI777" s="105"/>
      <c r="AJ777" s="505" t="b">
        <v>0</v>
      </c>
      <c r="AK777" s="504" t="b">
        <v>0</v>
      </c>
      <c r="AL777" s="126"/>
      <c r="AM777" s="505" t="b">
        <v>0</v>
      </c>
      <c r="AN777" s="504" t="b">
        <v>0</v>
      </c>
      <c r="AO777" s="105"/>
      <c r="AP777" s="105"/>
      <c r="AQ777" s="105"/>
      <c r="AR777" s="105"/>
      <c r="AS777" s="105"/>
      <c r="AT777" s="105"/>
      <c r="AU777" s="105"/>
      <c r="AV777" s="105"/>
      <c r="AW777" s="105"/>
      <c r="AX777" s="105"/>
      <c r="AY777" s="105"/>
      <c r="AZ777" s="105"/>
      <c r="BA777" s="105"/>
    </row>
    <row r="778">
      <c r="A778" s="105"/>
      <c r="B778" s="105"/>
      <c r="C778" s="105"/>
      <c r="D778" s="105"/>
      <c r="E778" s="105"/>
      <c r="F778" s="105"/>
      <c r="G778" s="105"/>
      <c r="H778" s="105"/>
      <c r="I778" s="505" t="b">
        <v>0</v>
      </c>
      <c r="J778" s="507" t="b">
        <v>0</v>
      </c>
      <c r="K778" s="112"/>
      <c r="L778" s="505" t="b">
        <v>0</v>
      </c>
      <c r="M778" s="504" t="b">
        <v>0</v>
      </c>
      <c r="N778" s="112"/>
      <c r="O778" s="505" t="b">
        <v>0</v>
      </c>
      <c r="P778" s="504" t="b">
        <v>0</v>
      </c>
      <c r="Q778" s="116"/>
      <c r="R778" s="505" t="b">
        <v>0</v>
      </c>
      <c r="S778" s="504" t="b">
        <v>0</v>
      </c>
      <c r="T778" s="117"/>
      <c r="U778" s="505" t="b">
        <v>0</v>
      </c>
      <c r="V778" s="504" t="b">
        <v>0</v>
      </c>
      <c r="W778" s="118"/>
      <c r="X778" s="505" t="b">
        <v>0</v>
      </c>
      <c r="Y778" s="504" t="b">
        <v>0</v>
      </c>
      <c r="Z778" s="119"/>
      <c r="AA778" s="505" t="b">
        <v>0</v>
      </c>
      <c r="AB778" s="504" t="b">
        <v>0</v>
      </c>
      <c r="AC778" s="121"/>
      <c r="AD778" s="505" t="b">
        <v>0</v>
      </c>
      <c r="AE778" s="504" t="b">
        <v>0</v>
      </c>
      <c r="AF778" s="125"/>
      <c r="AG778" s="505" t="b">
        <v>0</v>
      </c>
      <c r="AH778" s="504" t="b">
        <v>0</v>
      </c>
      <c r="AI778" s="105"/>
      <c r="AJ778" s="505" t="b">
        <v>0</v>
      </c>
      <c r="AK778" s="504" t="b">
        <v>0</v>
      </c>
      <c r="AL778" s="126"/>
      <c r="AM778" s="505" t="b">
        <v>0</v>
      </c>
      <c r="AN778" s="504" t="b">
        <v>0</v>
      </c>
      <c r="AO778" s="105"/>
      <c r="AP778" s="105"/>
      <c r="AQ778" s="105"/>
      <c r="AR778" s="105"/>
      <c r="AS778" s="105"/>
      <c r="AT778" s="105"/>
      <c r="AU778" s="105"/>
      <c r="AV778" s="105"/>
      <c r="AW778" s="105"/>
      <c r="AX778" s="105"/>
      <c r="AY778" s="105"/>
      <c r="AZ778" s="105"/>
      <c r="BA778" s="105"/>
    </row>
    <row r="779">
      <c r="A779" s="105"/>
      <c r="B779" s="105"/>
      <c r="C779" s="105"/>
      <c r="D779" s="105"/>
      <c r="E779" s="105"/>
      <c r="F779" s="105"/>
      <c r="G779" s="105"/>
      <c r="H779" s="105"/>
      <c r="I779" s="505" t="b">
        <v>0</v>
      </c>
      <c r="J779" s="507" t="b">
        <v>0</v>
      </c>
      <c r="K779" s="112"/>
      <c r="L779" s="505" t="b">
        <v>0</v>
      </c>
      <c r="M779" s="504" t="b">
        <v>0</v>
      </c>
      <c r="N779" s="112"/>
      <c r="O779" s="505" t="b">
        <v>0</v>
      </c>
      <c r="P779" s="504" t="b">
        <v>0</v>
      </c>
      <c r="Q779" s="116"/>
      <c r="R779" s="505" t="b">
        <v>0</v>
      </c>
      <c r="S779" s="504" t="b">
        <v>0</v>
      </c>
      <c r="T779" s="117"/>
      <c r="U779" s="505" t="b">
        <v>0</v>
      </c>
      <c r="V779" s="504" t="b">
        <v>0</v>
      </c>
      <c r="W779" s="118"/>
      <c r="X779" s="505" t="b">
        <v>0</v>
      </c>
      <c r="Y779" s="504" t="b">
        <v>0</v>
      </c>
      <c r="Z779" s="119"/>
      <c r="AA779" s="505" t="b">
        <v>0</v>
      </c>
      <c r="AB779" s="504" t="b">
        <v>0</v>
      </c>
      <c r="AC779" s="121"/>
      <c r="AD779" s="505" t="b">
        <v>0</v>
      </c>
      <c r="AE779" s="504" t="b">
        <v>0</v>
      </c>
      <c r="AF779" s="125"/>
      <c r="AG779" s="505" t="b">
        <v>0</v>
      </c>
      <c r="AH779" s="504" t="b">
        <v>0</v>
      </c>
      <c r="AI779" s="105"/>
      <c r="AJ779" s="505" t="b">
        <v>0</v>
      </c>
      <c r="AK779" s="504" t="b">
        <v>0</v>
      </c>
      <c r="AL779" s="126"/>
      <c r="AM779" s="505" t="b">
        <v>0</v>
      </c>
      <c r="AN779" s="504" t="b">
        <v>0</v>
      </c>
      <c r="AO779" s="105"/>
      <c r="AP779" s="105"/>
      <c r="AQ779" s="105"/>
      <c r="AR779" s="105"/>
      <c r="AS779" s="105"/>
      <c r="AT779" s="105"/>
      <c r="AU779" s="105"/>
      <c r="AV779" s="105"/>
      <c r="AW779" s="105"/>
      <c r="AX779" s="105"/>
      <c r="AY779" s="105"/>
      <c r="AZ779" s="105"/>
      <c r="BA779" s="105"/>
    </row>
    <row r="780">
      <c r="A780" s="105"/>
      <c r="B780" s="105"/>
      <c r="C780" s="105"/>
      <c r="D780" s="105"/>
      <c r="E780" s="105"/>
      <c r="F780" s="105"/>
      <c r="G780" s="105"/>
      <c r="H780" s="105"/>
      <c r="I780" s="505" t="b">
        <v>0</v>
      </c>
      <c r="J780" s="507" t="b">
        <v>0</v>
      </c>
      <c r="K780" s="112"/>
      <c r="L780" s="505" t="b">
        <v>0</v>
      </c>
      <c r="M780" s="504" t="b">
        <v>0</v>
      </c>
      <c r="N780" s="112"/>
      <c r="O780" s="505" t="b">
        <v>0</v>
      </c>
      <c r="P780" s="504" t="b">
        <v>0</v>
      </c>
      <c r="Q780" s="116"/>
      <c r="R780" s="505" t="b">
        <v>0</v>
      </c>
      <c r="S780" s="504" t="b">
        <v>0</v>
      </c>
      <c r="T780" s="117"/>
      <c r="U780" s="505" t="b">
        <v>0</v>
      </c>
      <c r="V780" s="504" t="b">
        <v>0</v>
      </c>
      <c r="W780" s="118"/>
      <c r="X780" s="505" t="b">
        <v>0</v>
      </c>
      <c r="Y780" s="504" t="b">
        <v>0</v>
      </c>
      <c r="Z780" s="119"/>
      <c r="AA780" s="505" t="b">
        <v>0</v>
      </c>
      <c r="AB780" s="504" t="b">
        <v>0</v>
      </c>
      <c r="AC780" s="121"/>
      <c r="AD780" s="505" t="b">
        <v>0</v>
      </c>
      <c r="AE780" s="504" t="b">
        <v>0</v>
      </c>
      <c r="AF780" s="125"/>
      <c r="AG780" s="505" t="b">
        <v>0</v>
      </c>
      <c r="AH780" s="504" t="b">
        <v>0</v>
      </c>
      <c r="AI780" s="105"/>
      <c r="AJ780" s="505" t="b">
        <v>0</v>
      </c>
      <c r="AK780" s="504" t="b">
        <v>0</v>
      </c>
      <c r="AL780" s="126"/>
      <c r="AM780" s="505" t="b">
        <v>0</v>
      </c>
      <c r="AN780" s="504" t="b">
        <v>0</v>
      </c>
      <c r="AO780" s="105"/>
      <c r="AP780" s="105"/>
      <c r="AQ780" s="105"/>
      <c r="AR780" s="105"/>
      <c r="AS780" s="105"/>
      <c r="AT780" s="105"/>
      <c r="AU780" s="105"/>
      <c r="AV780" s="105"/>
      <c r="AW780" s="105"/>
      <c r="AX780" s="105"/>
      <c r="AY780" s="105"/>
      <c r="AZ780" s="105"/>
      <c r="BA780" s="105"/>
    </row>
    <row r="781">
      <c r="A781" s="105"/>
      <c r="B781" s="105"/>
      <c r="C781" s="105"/>
      <c r="D781" s="105"/>
      <c r="E781" s="105"/>
      <c r="F781" s="105"/>
      <c r="G781" s="105"/>
      <c r="H781" s="105"/>
      <c r="I781" s="505" t="b">
        <v>0</v>
      </c>
      <c r="J781" s="507" t="b">
        <v>0</v>
      </c>
      <c r="K781" s="112"/>
      <c r="L781" s="505" t="b">
        <v>0</v>
      </c>
      <c r="M781" s="504" t="b">
        <v>0</v>
      </c>
      <c r="N781" s="112"/>
      <c r="O781" s="505" t="b">
        <v>0</v>
      </c>
      <c r="P781" s="504" t="b">
        <v>0</v>
      </c>
      <c r="Q781" s="116"/>
      <c r="R781" s="505" t="b">
        <v>0</v>
      </c>
      <c r="S781" s="504" t="b">
        <v>0</v>
      </c>
      <c r="T781" s="117"/>
      <c r="U781" s="505" t="b">
        <v>0</v>
      </c>
      <c r="V781" s="504" t="b">
        <v>0</v>
      </c>
      <c r="W781" s="118"/>
      <c r="X781" s="505" t="b">
        <v>0</v>
      </c>
      <c r="Y781" s="504" t="b">
        <v>0</v>
      </c>
      <c r="Z781" s="119"/>
      <c r="AA781" s="505" t="b">
        <v>0</v>
      </c>
      <c r="AB781" s="504" t="b">
        <v>0</v>
      </c>
      <c r="AC781" s="121"/>
      <c r="AD781" s="505" t="b">
        <v>0</v>
      </c>
      <c r="AE781" s="504" t="b">
        <v>0</v>
      </c>
      <c r="AF781" s="125"/>
      <c r="AG781" s="505" t="b">
        <v>0</v>
      </c>
      <c r="AH781" s="504" t="b">
        <v>0</v>
      </c>
      <c r="AI781" s="105"/>
      <c r="AJ781" s="505" t="b">
        <v>0</v>
      </c>
      <c r="AK781" s="504" t="b">
        <v>0</v>
      </c>
      <c r="AL781" s="126"/>
      <c r="AM781" s="505" t="b">
        <v>0</v>
      </c>
      <c r="AN781" s="504" t="b">
        <v>0</v>
      </c>
      <c r="AO781" s="105"/>
      <c r="AP781" s="105"/>
      <c r="AQ781" s="105"/>
      <c r="AR781" s="105"/>
      <c r="AS781" s="105"/>
      <c r="AT781" s="105"/>
      <c r="AU781" s="105"/>
      <c r="AV781" s="105"/>
      <c r="AW781" s="105"/>
      <c r="AX781" s="105"/>
      <c r="AY781" s="105"/>
      <c r="AZ781" s="105"/>
      <c r="BA781" s="105"/>
    </row>
    <row r="782">
      <c r="A782" s="105"/>
      <c r="B782" s="105"/>
      <c r="C782" s="105"/>
      <c r="D782" s="105"/>
      <c r="E782" s="105"/>
      <c r="F782" s="105"/>
      <c r="G782" s="105"/>
      <c r="H782" s="105"/>
      <c r="I782" s="505" t="b">
        <v>0</v>
      </c>
      <c r="J782" s="507" t="b">
        <v>0</v>
      </c>
      <c r="K782" s="112"/>
      <c r="L782" s="505" t="b">
        <v>0</v>
      </c>
      <c r="M782" s="504" t="b">
        <v>0</v>
      </c>
      <c r="N782" s="112"/>
      <c r="O782" s="505" t="b">
        <v>0</v>
      </c>
      <c r="P782" s="504" t="b">
        <v>0</v>
      </c>
      <c r="Q782" s="116"/>
      <c r="R782" s="505" t="b">
        <v>0</v>
      </c>
      <c r="S782" s="504" t="b">
        <v>0</v>
      </c>
      <c r="T782" s="117"/>
      <c r="U782" s="505" t="b">
        <v>0</v>
      </c>
      <c r="V782" s="504" t="b">
        <v>0</v>
      </c>
      <c r="W782" s="118"/>
      <c r="X782" s="505" t="b">
        <v>0</v>
      </c>
      <c r="Y782" s="504" t="b">
        <v>0</v>
      </c>
      <c r="Z782" s="119"/>
      <c r="AA782" s="505" t="b">
        <v>0</v>
      </c>
      <c r="AB782" s="504" t="b">
        <v>0</v>
      </c>
      <c r="AC782" s="121"/>
      <c r="AD782" s="505" t="b">
        <v>0</v>
      </c>
      <c r="AE782" s="504" t="b">
        <v>0</v>
      </c>
      <c r="AF782" s="125"/>
      <c r="AG782" s="505" t="b">
        <v>0</v>
      </c>
      <c r="AH782" s="504" t="b">
        <v>0</v>
      </c>
      <c r="AI782" s="105"/>
      <c r="AJ782" s="505" t="b">
        <v>0</v>
      </c>
      <c r="AK782" s="504" t="b">
        <v>0</v>
      </c>
      <c r="AL782" s="126"/>
      <c r="AM782" s="505" t="b">
        <v>0</v>
      </c>
      <c r="AN782" s="504" t="b">
        <v>0</v>
      </c>
      <c r="AO782" s="105"/>
      <c r="AP782" s="105"/>
      <c r="AQ782" s="105"/>
      <c r="AR782" s="105"/>
      <c r="AS782" s="105"/>
      <c r="AT782" s="105"/>
      <c r="AU782" s="105"/>
      <c r="AV782" s="105"/>
      <c r="AW782" s="105"/>
      <c r="AX782" s="105"/>
      <c r="AY782" s="105"/>
      <c r="AZ782" s="105"/>
      <c r="BA782" s="105"/>
    </row>
    <row r="783">
      <c r="A783" s="105"/>
      <c r="B783" s="105"/>
      <c r="C783" s="105"/>
      <c r="D783" s="105"/>
      <c r="E783" s="105"/>
      <c r="F783" s="105"/>
      <c r="G783" s="105"/>
      <c r="H783" s="105"/>
      <c r="I783" s="505" t="b">
        <v>0</v>
      </c>
      <c r="J783" s="507" t="b">
        <v>0</v>
      </c>
      <c r="K783" s="112"/>
      <c r="L783" s="505" t="b">
        <v>0</v>
      </c>
      <c r="M783" s="504" t="b">
        <v>0</v>
      </c>
      <c r="N783" s="112"/>
      <c r="O783" s="505" t="b">
        <v>0</v>
      </c>
      <c r="P783" s="504" t="b">
        <v>0</v>
      </c>
      <c r="Q783" s="116"/>
      <c r="R783" s="505" t="b">
        <v>0</v>
      </c>
      <c r="S783" s="504" t="b">
        <v>0</v>
      </c>
      <c r="T783" s="117"/>
      <c r="U783" s="505" t="b">
        <v>0</v>
      </c>
      <c r="V783" s="504" t="b">
        <v>0</v>
      </c>
      <c r="W783" s="118"/>
      <c r="X783" s="505" t="b">
        <v>0</v>
      </c>
      <c r="Y783" s="504" t="b">
        <v>0</v>
      </c>
      <c r="Z783" s="119"/>
      <c r="AA783" s="505" t="b">
        <v>0</v>
      </c>
      <c r="AB783" s="504" t="b">
        <v>0</v>
      </c>
      <c r="AC783" s="121"/>
      <c r="AD783" s="505" t="b">
        <v>0</v>
      </c>
      <c r="AE783" s="504" t="b">
        <v>0</v>
      </c>
      <c r="AF783" s="125"/>
      <c r="AG783" s="505" t="b">
        <v>0</v>
      </c>
      <c r="AH783" s="504" t="b">
        <v>0</v>
      </c>
      <c r="AI783" s="105"/>
      <c r="AJ783" s="505" t="b">
        <v>0</v>
      </c>
      <c r="AK783" s="504" t="b">
        <v>0</v>
      </c>
      <c r="AL783" s="126"/>
      <c r="AM783" s="505" t="b">
        <v>0</v>
      </c>
      <c r="AN783" s="504" t="b">
        <v>0</v>
      </c>
      <c r="AO783" s="105"/>
      <c r="AP783" s="105"/>
      <c r="AQ783" s="105"/>
      <c r="AR783" s="105"/>
      <c r="AS783" s="105"/>
      <c r="AT783" s="105"/>
      <c r="AU783" s="105"/>
      <c r="AV783" s="105"/>
      <c r="AW783" s="105"/>
      <c r="AX783" s="105"/>
      <c r="AY783" s="105"/>
      <c r="AZ783" s="105"/>
      <c r="BA783" s="105"/>
    </row>
    <row r="784">
      <c r="A784" s="105"/>
      <c r="B784" s="105"/>
      <c r="C784" s="105"/>
      <c r="D784" s="105"/>
      <c r="E784" s="105"/>
      <c r="F784" s="105"/>
      <c r="G784" s="105"/>
      <c r="H784" s="105"/>
      <c r="I784" s="505" t="b">
        <v>0</v>
      </c>
      <c r="J784" s="507" t="b">
        <v>0</v>
      </c>
      <c r="K784" s="112"/>
      <c r="L784" s="505" t="b">
        <v>0</v>
      </c>
      <c r="M784" s="504" t="b">
        <v>0</v>
      </c>
      <c r="N784" s="112"/>
      <c r="O784" s="505" t="b">
        <v>0</v>
      </c>
      <c r="P784" s="504" t="b">
        <v>0</v>
      </c>
      <c r="Q784" s="116"/>
      <c r="R784" s="505" t="b">
        <v>0</v>
      </c>
      <c r="S784" s="504" t="b">
        <v>0</v>
      </c>
      <c r="T784" s="117"/>
      <c r="U784" s="505" t="b">
        <v>0</v>
      </c>
      <c r="V784" s="504" t="b">
        <v>0</v>
      </c>
      <c r="W784" s="118"/>
      <c r="X784" s="505" t="b">
        <v>0</v>
      </c>
      <c r="Y784" s="504" t="b">
        <v>0</v>
      </c>
      <c r="Z784" s="119"/>
      <c r="AA784" s="505" t="b">
        <v>0</v>
      </c>
      <c r="AB784" s="504" t="b">
        <v>0</v>
      </c>
      <c r="AC784" s="121"/>
      <c r="AD784" s="505" t="b">
        <v>0</v>
      </c>
      <c r="AE784" s="504" t="b">
        <v>0</v>
      </c>
      <c r="AF784" s="125"/>
      <c r="AG784" s="505" t="b">
        <v>0</v>
      </c>
      <c r="AH784" s="504" t="b">
        <v>0</v>
      </c>
      <c r="AI784" s="105"/>
      <c r="AJ784" s="505" t="b">
        <v>0</v>
      </c>
      <c r="AK784" s="504" t="b">
        <v>0</v>
      </c>
      <c r="AL784" s="126"/>
      <c r="AM784" s="505" t="b">
        <v>0</v>
      </c>
      <c r="AN784" s="504" t="b">
        <v>0</v>
      </c>
      <c r="AO784" s="105"/>
      <c r="AP784" s="105"/>
      <c r="AQ784" s="105"/>
      <c r="AR784" s="105"/>
      <c r="AS784" s="105"/>
      <c r="AT784" s="105"/>
      <c r="AU784" s="105"/>
      <c r="AV784" s="105"/>
      <c r="AW784" s="105"/>
      <c r="AX784" s="105"/>
      <c r="AY784" s="105"/>
      <c r="AZ784" s="105"/>
      <c r="BA784" s="105"/>
    </row>
    <row r="785">
      <c r="A785" s="105"/>
      <c r="B785" s="105"/>
      <c r="C785" s="105"/>
      <c r="D785" s="105"/>
      <c r="E785" s="105"/>
      <c r="F785" s="105"/>
      <c r="G785" s="105"/>
      <c r="H785" s="105"/>
      <c r="I785" s="505" t="b">
        <v>0</v>
      </c>
      <c r="J785" s="507" t="b">
        <v>0</v>
      </c>
      <c r="K785" s="112"/>
      <c r="L785" s="505" t="b">
        <v>0</v>
      </c>
      <c r="M785" s="504" t="b">
        <v>0</v>
      </c>
      <c r="N785" s="112"/>
      <c r="O785" s="505" t="b">
        <v>0</v>
      </c>
      <c r="P785" s="504" t="b">
        <v>0</v>
      </c>
      <c r="Q785" s="116"/>
      <c r="R785" s="505" t="b">
        <v>0</v>
      </c>
      <c r="S785" s="504" t="b">
        <v>0</v>
      </c>
      <c r="T785" s="117"/>
      <c r="U785" s="505" t="b">
        <v>0</v>
      </c>
      <c r="V785" s="504" t="b">
        <v>0</v>
      </c>
      <c r="W785" s="118"/>
      <c r="X785" s="505" t="b">
        <v>0</v>
      </c>
      <c r="Y785" s="504" t="b">
        <v>0</v>
      </c>
      <c r="Z785" s="119"/>
      <c r="AA785" s="505" t="b">
        <v>0</v>
      </c>
      <c r="AB785" s="504" t="b">
        <v>0</v>
      </c>
      <c r="AC785" s="121"/>
      <c r="AD785" s="505" t="b">
        <v>0</v>
      </c>
      <c r="AE785" s="504" t="b">
        <v>0</v>
      </c>
      <c r="AF785" s="125"/>
      <c r="AG785" s="505" t="b">
        <v>0</v>
      </c>
      <c r="AH785" s="504" t="b">
        <v>0</v>
      </c>
      <c r="AI785" s="105"/>
      <c r="AJ785" s="505" t="b">
        <v>0</v>
      </c>
      <c r="AK785" s="504" t="b">
        <v>0</v>
      </c>
      <c r="AL785" s="126"/>
      <c r="AM785" s="505" t="b">
        <v>0</v>
      </c>
      <c r="AN785" s="504" t="b">
        <v>0</v>
      </c>
      <c r="AO785" s="105"/>
      <c r="AP785" s="105"/>
      <c r="AQ785" s="105"/>
      <c r="AR785" s="105"/>
      <c r="AS785" s="105"/>
      <c r="AT785" s="105"/>
      <c r="AU785" s="105"/>
      <c r="AV785" s="105"/>
      <c r="AW785" s="105"/>
      <c r="AX785" s="105"/>
      <c r="AY785" s="105"/>
      <c r="AZ785" s="105"/>
      <c r="BA785" s="105"/>
    </row>
    <row r="786">
      <c r="A786" s="105"/>
      <c r="B786" s="105"/>
      <c r="C786" s="105"/>
      <c r="D786" s="105"/>
      <c r="E786" s="105"/>
      <c r="F786" s="105"/>
      <c r="G786" s="105"/>
      <c r="H786" s="105"/>
      <c r="I786" s="505" t="b">
        <v>0</v>
      </c>
      <c r="J786" s="507" t="b">
        <v>0</v>
      </c>
      <c r="K786" s="112"/>
      <c r="L786" s="505" t="b">
        <v>0</v>
      </c>
      <c r="M786" s="504" t="b">
        <v>0</v>
      </c>
      <c r="N786" s="112"/>
      <c r="O786" s="505" t="b">
        <v>0</v>
      </c>
      <c r="P786" s="504" t="b">
        <v>0</v>
      </c>
      <c r="Q786" s="116"/>
      <c r="R786" s="505" t="b">
        <v>0</v>
      </c>
      <c r="S786" s="504" t="b">
        <v>0</v>
      </c>
      <c r="T786" s="117"/>
      <c r="U786" s="505" t="b">
        <v>0</v>
      </c>
      <c r="V786" s="504" t="b">
        <v>0</v>
      </c>
      <c r="W786" s="118"/>
      <c r="X786" s="505" t="b">
        <v>0</v>
      </c>
      <c r="Y786" s="504" t="b">
        <v>0</v>
      </c>
      <c r="Z786" s="119"/>
      <c r="AA786" s="505" t="b">
        <v>0</v>
      </c>
      <c r="AB786" s="504" t="b">
        <v>0</v>
      </c>
      <c r="AC786" s="121"/>
      <c r="AD786" s="505" t="b">
        <v>0</v>
      </c>
      <c r="AE786" s="504" t="b">
        <v>0</v>
      </c>
      <c r="AF786" s="125"/>
      <c r="AG786" s="505" t="b">
        <v>0</v>
      </c>
      <c r="AH786" s="504" t="b">
        <v>0</v>
      </c>
      <c r="AI786" s="105"/>
      <c r="AJ786" s="505" t="b">
        <v>0</v>
      </c>
      <c r="AK786" s="504" t="b">
        <v>0</v>
      </c>
      <c r="AL786" s="126"/>
      <c r="AM786" s="505" t="b">
        <v>0</v>
      </c>
      <c r="AN786" s="504" t="b">
        <v>0</v>
      </c>
      <c r="AO786" s="105"/>
      <c r="AP786" s="105"/>
      <c r="AQ786" s="105"/>
      <c r="AR786" s="105"/>
      <c r="AS786" s="105"/>
      <c r="AT786" s="105"/>
      <c r="AU786" s="105"/>
      <c r="AV786" s="105"/>
      <c r="AW786" s="105"/>
      <c r="AX786" s="105"/>
      <c r="AY786" s="105"/>
      <c r="AZ786" s="105"/>
      <c r="BA786" s="105"/>
    </row>
    <row r="787">
      <c r="A787" s="105"/>
      <c r="B787" s="105"/>
      <c r="C787" s="105"/>
      <c r="D787" s="105"/>
      <c r="E787" s="105"/>
      <c r="F787" s="105"/>
      <c r="G787" s="105"/>
      <c r="H787" s="105"/>
      <c r="I787" s="505" t="b">
        <v>0</v>
      </c>
      <c r="J787" s="507" t="b">
        <v>0</v>
      </c>
      <c r="K787" s="112"/>
      <c r="L787" s="505" t="b">
        <v>0</v>
      </c>
      <c r="M787" s="504" t="b">
        <v>0</v>
      </c>
      <c r="N787" s="112"/>
      <c r="O787" s="505" t="b">
        <v>0</v>
      </c>
      <c r="P787" s="504" t="b">
        <v>0</v>
      </c>
      <c r="Q787" s="116"/>
      <c r="R787" s="505" t="b">
        <v>0</v>
      </c>
      <c r="S787" s="504" t="b">
        <v>0</v>
      </c>
      <c r="T787" s="117"/>
      <c r="U787" s="505" t="b">
        <v>0</v>
      </c>
      <c r="V787" s="504" t="b">
        <v>0</v>
      </c>
      <c r="W787" s="118"/>
      <c r="X787" s="505" t="b">
        <v>0</v>
      </c>
      <c r="Y787" s="504" t="b">
        <v>0</v>
      </c>
      <c r="Z787" s="119"/>
      <c r="AA787" s="505" t="b">
        <v>0</v>
      </c>
      <c r="AB787" s="504" t="b">
        <v>0</v>
      </c>
      <c r="AC787" s="121"/>
      <c r="AD787" s="505" t="b">
        <v>0</v>
      </c>
      <c r="AE787" s="504" t="b">
        <v>0</v>
      </c>
      <c r="AF787" s="125"/>
      <c r="AG787" s="505" t="b">
        <v>0</v>
      </c>
      <c r="AH787" s="504" t="b">
        <v>0</v>
      </c>
      <c r="AI787" s="105"/>
      <c r="AJ787" s="505" t="b">
        <v>0</v>
      </c>
      <c r="AK787" s="504" t="b">
        <v>0</v>
      </c>
      <c r="AL787" s="126"/>
      <c r="AM787" s="505" t="b">
        <v>0</v>
      </c>
      <c r="AN787" s="504" t="b">
        <v>0</v>
      </c>
      <c r="AO787" s="105"/>
      <c r="AP787" s="105"/>
      <c r="AQ787" s="105"/>
      <c r="AR787" s="105"/>
      <c r="AS787" s="105"/>
      <c r="AT787" s="105"/>
      <c r="AU787" s="105"/>
      <c r="AV787" s="105"/>
      <c r="AW787" s="105"/>
      <c r="AX787" s="105"/>
      <c r="AY787" s="105"/>
      <c r="AZ787" s="105"/>
      <c r="BA787" s="105"/>
    </row>
    <row r="788">
      <c r="A788" s="105"/>
      <c r="B788" s="105"/>
      <c r="C788" s="105"/>
      <c r="D788" s="105"/>
      <c r="E788" s="105"/>
      <c r="F788" s="105"/>
      <c r="G788" s="105"/>
      <c r="H788" s="105"/>
      <c r="I788" s="505" t="b">
        <v>0</v>
      </c>
      <c r="J788" s="507" t="b">
        <v>0</v>
      </c>
      <c r="K788" s="112"/>
      <c r="L788" s="505" t="b">
        <v>0</v>
      </c>
      <c r="M788" s="504" t="b">
        <v>0</v>
      </c>
      <c r="N788" s="112"/>
      <c r="O788" s="505" t="b">
        <v>0</v>
      </c>
      <c r="P788" s="504" t="b">
        <v>0</v>
      </c>
      <c r="Q788" s="116"/>
      <c r="R788" s="505" t="b">
        <v>0</v>
      </c>
      <c r="S788" s="504" t="b">
        <v>0</v>
      </c>
      <c r="T788" s="117"/>
      <c r="U788" s="505" t="b">
        <v>0</v>
      </c>
      <c r="V788" s="504" t="b">
        <v>0</v>
      </c>
      <c r="W788" s="118"/>
      <c r="X788" s="505" t="b">
        <v>0</v>
      </c>
      <c r="Y788" s="504" t="b">
        <v>0</v>
      </c>
      <c r="Z788" s="119"/>
      <c r="AA788" s="505" t="b">
        <v>0</v>
      </c>
      <c r="AB788" s="504" t="b">
        <v>0</v>
      </c>
      <c r="AC788" s="121"/>
      <c r="AD788" s="505" t="b">
        <v>0</v>
      </c>
      <c r="AE788" s="504" t="b">
        <v>0</v>
      </c>
      <c r="AF788" s="125"/>
      <c r="AG788" s="505" t="b">
        <v>0</v>
      </c>
      <c r="AH788" s="504" t="b">
        <v>0</v>
      </c>
      <c r="AI788" s="105"/>
      <c r="AJ788" s="505" t="b">
        <v>0</v>
      </c>
      <c r="AK788" s="504" t="b">
        <v>0</v>
      </c>
      <c r="AL788" s="126"/>
      <c r="AM788" s="505" t="b">
        <v>0</v>
      </c>
      <c r="AN788" s="504" t="b">
        <v>0</v>
      </c>
      <c r="AO788" s="105"/>
      <c r="AP788" s="105"/>
      <c r="AQ788" s="105"/>
      <c r="AR788" s="105"/>
      <c r="AS788" s="105"/>
      <c r="AT788" s="105"/>
      <c r="AU788" s="105"/>
      <c r="AV788" s="105"/>
      <c r="AW788" s="105"/>
      <c r="AX788" s="105"/>
      <c r="AY788" s="105"/>
      <c r="AZ788" s="105"/>
      <c r="BA788" s="105"/>
    </row>
    <row r="789">
      <c r="A789" s="105"/>
      <c r="B789" s="105"/>
      <c r="C789" s="105"/>
      <c r="D789" s="105"/>
      <c r="E789" s="105"/>
      <c r="F789" s="105"/>
      <c r="G789" s="105"/>
      <c r="H789" s="105"/>
      <c r="I789" s="505" t="b">
        <v>0</v>
      </c>
      <c r="J789" s="507" t="b">
        <v>0</v>
      </c>
      <c r="K789" s="112"/>
      <c r="L789" s="505" t="b">
        <v>0</v>
      </c>
      <c r="M789" s="504" t="b">
        <v>0</v>
      </c>
      <c r="N789" s="112"/>
      <c r="O789" s="505" t="b">
        <v>0</v>
      </c>
      <c r="P789" s="504" t="b">
        <v>0</v>
      </c>
      <c r="Q789" s="116"/>
      <c r="R789" s="505" t="b">
        <v>0</v>
      </c>
      <c r="S789" s="504" t="b">
        <v>0</v>
      </c>
      <c r="T789" s="117"/>
      <c r="U789" s="505" t="b">
        <v>0</v>
      </c>
      <c r="V789" s="504" t="b">
        <v>0</v>
      </c>
      <c r="W789" s="118"/>
      <c r="X789" s="505" t="b">
        <v>0</v>
      </c>
      <c r="Y789" s="504" t="b">
        <v>0</v>
      </c>
      <c r="Z789" s="119"/>
      <c r="AA789" s="505" t="b">
        <v>0</v>
      </c>
      <c r="AB789" s="504" t="b">
        <v>0</v>
      </c>
      <c r="AC789" s="121"/>
      <c r="AD789" s="505" t="b">
        <v>0</v>
      </c>
      <c r="AE789" s="504" t="b">
        <v>0</v>
      </c>
      <c r="AF789" s="125"/>
      <c r="AG789" s="505" t="b">
        <v>0</v>
      </c>
      <c r="AH789" s="504" t="b">
        <v>0</v>
      </c>
      <c r="AI789" s="105"/>
      <c r="AJ789" s="505" t="b">
        <v>0</v>
      </c>
      <c r="AK789" s="504" t="b">
        <v>0</v>
      </c>
      <c r="AL789" s="126"/>
      <c r="AM789" s="505" t="b">
        <v>0</v>
      </c>
      <c r="AN789" s="504" t="b">
        <v>0</v>
      </c>
      <c r="AO789" s="105"/>
      <c r="AP789" s="105"/>
      <c r="AQ789" s="105"/>
      <c r="AR789" s="105"/>
      <c r="AS789" s="105"/>
      <c r="AT789" s="105"/>
      <c r="AU789" s="105"/>
      <c r="AV789" s="105"/>
      <c r="AW789" s="105"/>
      <c r="AX789" s="105"/>
      <c r="AY789" s="105"/>
      <c r="AZ789" s="105"/>
      <c r="BA789" s="105"/>
    </row>
    <row r="790">
      <c r="A790" s="105"/>
      <c r="B790" s="105"/>
      <c r="C790" s="105"/>
      <c r="D790" s="105"/>
      <c r="E790" s="105"/>
      <c r="F790" s="105"/>
      <c r="G790" s="105"/>
      <c r="H790" s="105"/>
      <c r="I790" s="505" t="b">
        <v>0</v>
      </c>
      <c r="J790" s="507" t="b">
        <v>0</v>
      </c>
      <c r="K790" s="112"/>
      <c r="L790" s="505" t="b">
        <v>0</v>
      </c>
      <c r="M790" s="504" t="b">
        <v>0</v>
      </c>
      <c r="N790" s="112"/>
      <c r="O790" s="505" t="b">
        <v>0</v>
      </c>
      <c r="P790" s="504" t="b">
        <v>0</v>
      </c>
      <c r="Q790" s="116"/>
      <c r="R790" s="505" t="b">
        <v>0</v>
      </c>
      <c r="S790" s="504" t="b">
        <v>0</v>
      </c>
      <c r="T790" s="117"/>
      <c r="U790" s="505" t="b">
        <v>0</v>
      </c>
      <c r="V790" s="504" t="b">
        <v>0</v>
      </c>
      <c r="W790" s="118"/>
      <c r="X790" s="505" t="b">
        <v>0</v>
      </c>
      <c r="Y790" s="504" t="b">
        <v>0</v>
      </c>
      <c r="Z790" s="119"/>
      <c r="AA790" s="505" t="b">
        <v>0</v>
      </c>
      <c r="AB790" s="504" t="b">
        <v>0</v>
      </c>
      <c r="AC790" s="121"/>
      <c r="AD790" s="505" t="b">
        <v>0</v>
      </c>
      <c r="AE790" s="504" t="b">
        <v>0</v>
      </c>
      <c r="AF790" s="125"/>
      <c r="AG790" s="505" t="b">
        <v>0</v>
      </c>
      <c r="AH790" s="504" t="b">
        <v>0</v>
      </c>
      <c r="AI790" s="105"/>
      <c r="AJ790" s="505" t="b">
        <v>0</v>
      </c>
      <c r="AK790" s="504" t="b">
        <v>0</v>
      </c>
      <c r="AL790" s="126"/>
      <c r="AM790" s="505" t="b">
        <v>0</v>
      </c>
      <c r="AN790" s="504" t="b">
        <v>0</v>
      </c>
      <c r="AO790" s="105"/>
      <c r="AP790" s="105"/>
      <c r="AQ790" s="105"/>
      <c r="AR790" s="105"/>
      <c r="AS790" s="105"/>
      <c r="AT790" s="105"/>
      <c r="AU790" s="105"/>
      <c r="AV790" s="105"/>
      <c r="AW790" s="105"/>
      <c r="AX790" s="105"/>
      <c r="AY790" s="105"/>
      <c r="AZ790" s="105"/>
      <c r="BA790" s="105"/>
    </row>
    <row r="791">
      <c r="A791" s="105"/>
      <c r="B791" s="105"/>
      <c r="C791" s="105"/>
      <c r="D791" s="105"/>
      <c r="E791" s="105"/>
      <c r="F791" s="105"/>
      <c r="G791" s="105"/>
      <c r="H791" s="105"/>
      <c r="I791" s="505" t="b">
        <v>0</v>
      </c>
      <c r="J791" s="507" t="b">
        <v>0</v>
      </c>
      <c r="K791" s="112"/>
      <c r="L791" s="505" t="b">
        <v>0</v>
      </c>
      <c r="M791" s="504" t="b">
        <v>0</v>
      </c>
      <c r="N791" s="112"/>
      <c r="O791" s="505" t="b">
        <v>0</v>
      </c>
      <c r="P791" s="504" t="b">
        <v>0</v>
      </c>
      <c r="Q791" s="116"/>
      <c r="R791" s="505" t="b">
        <v>0</v>
      </c>
      <c r="S791" s="504" t="b">
        <v>0</v>
      </c>
      <c r="T791" s="117"/>
      <c r="U791" s="505" t="b">
        <v>0</v>
      </c>
      <c r="V791" s="504" t="b">
        <v>0</v>
      </c>
      <c r="W791" s="118"/>
      <c r="X791" s="505" t="b">
        <v>0</v>
      </c>
      <c r="Y791" s="504" t="b">
        <v>0</v>
      </c>
      <c r="Z791" s="119"/>
      <c r="AA791" s="505" t="b">
        <v>0</v>
      </c>
      <c r="AB791" s="504" t="b">
        <v>0</v>
      </c>
      <c r="AC791" s="121"/>
      <c r="AD791" s="505" t="b">
        <v>0</v>
      </c>
      <c r="AE791" s="504" t="b">
        <v>0</v>
      </c>
      <c r="AF791" s="125"/>
      <c r="AG791" s="505" t="b">
        <v>0</v>
      </c>
      <c r="AH791" s="504" t="b">
        <v>0</v>
      </c>
      <c r="AI791" s="105"/>
      <c r="AJ791" s="505" t="b">
        <v>0</v>
      </c>
      <c r="AK791" s="504" t="b">
        <v>0</v>
      </c>
      <c r="AL791" s="126"/>
      <c r="AM791" s="505" t="b">
        <v>0</v>
      </c>
      <c r="AN791" s="504" t="b">
        <v>0</v>
      </c>
      <c r="AO791" s="105"/>
      <c r="AP791" s="105"/>
      <c r="AQ791" s="105"/>
      <c r="AR791" s="105"/>
      <c r="AS791" s="105"/>
      <c r="AT791" s="105"/>
      <c r="AU791" s="105"/>
      <c r="AV791" s="105"/>
      <c r="AW791" s="105"/>
      <c r="AX791" s="105"/>
      <c r="AY791" s="105"/>
      <c r="AZ791" s="105"/>
      <c r="BA791" s="105"/>
    </row>
    <row r="792">
      <c r="A792" s="105"/>
      <c r="B792" s="105"/>
      <c r="C792" s="105"/>
      <c r="D792" s="105"/>
      <c r="E792" s="105"/>
      <c r="F792" s="105"/>
      <c r="G792" s="105"/>
      <c r="H792" s="105"/>
      <c r="I792" s="505" t="b">
        <v>0</v>
      </c>
      <c r="J792" s="507" t="b">
        <v>0</v>
      </c>
      <c r="K792" s="112"/>
      <c r="L792" s="505" t="b">
        <v>0</v>
      </c>
      <c r="M792" s="504" t="b">
        <v>0</v>
      </c>
      <c r="N792" s="112"/>
      <c r="O792" s="505" t="b">
        <v>0</v>
      </c>
      <c r="P792" s="504" t="b">
        <v>0</v>
      </c>
      <c r="Q792" s="116"/>
      <c r="R792" s="505" t="b">
        <v>0</v>
      </c>
      <c r="S792" s="504" t="b">
        <v>0</v>
      </c>
      <c r="T792" s="117"/>
      <c r="U792" s="505" t="b">
        <v>0</v>
      </c>
      <c r="V792" s="504" t="b">
        <v>0</v>
      </c>
      <c r="W792" s="118"/>
      <c r="X792" s="505" t="b">
        <v>0</v>
      </c>
      <c r="Y792" s="504" t="b">
        <v>0</v>
      </c>
      <c r="Z792" s="119"/>
      <c r="AA792" s="505" t="b">
        <v>0</v>
      </c>
      <c r="AB792" s="504" t="b">
        <v>0</v>
      </c>
      <c r="AC792" s="121"/>
      <c r="AD792" s="505" t="b">
        <v>0</v>
      </c>
      <c r="AE792" s="504" t="b">
        <v>0</v>
      </c>
      <c r="AF792" s="125"/>
      <c r="AG792" s="505" t="b">
        <v>0</v>
      </c>
      <c r="AH792" s="504" t="b">
        <v>0</v>
      </c>
      <c r="AI792" s="105"/>
      <c r="AJ792" s="505" t="b">
        <v>0</v>
      </c>
      <c r="AK792" s="504" t="b">
        <v>0</v>
      </c>
      <c r="AL792" s="126"/>
      <c r="AM792" s="505" t="b">
        <v>0</v>
      </c>
      <c r="AN792" s="504" t="b">
        <v>0</v>
      </c>
      <c r="AO792" s="105"/>
      <c r="AP792" s="105"/>
      <c r="AQ792" s="105"/>
      <c r="AR792" s="105"/>
      <c r="AS792" s="105"/>
      <c r="AT792" s="105"/>
      <c r="AU792" s="105"/>
      <c r="AV792" s="105"/>
      <c r="AW792" s="105"/>
      <c r="AX792" s="105"/>
      <c r="AY792" s="105"/>
      <c r="AZ792" s="105"/>
      <c r="BA792" s="105"/>
    </row>
    <row r="793">
      <c r="A793" s="105"/>
      <c r="B793" s="105"/>
      <c r="C793" s="105"/>
      <c r="D793" s="105"/>
      <c r="E793" s="105"/>
      <c r="F793" s="105"/>
      <c r="G793" s="105"/>
      <c r="H793" s="105"/>
      <c r="I793" s="505" t="b">
        <v>0</v>
      </c>
      <c r="J793" s="507" t="b">
        <v>0</v>
      </c>
      <c r="K793" s="112"/>
      <c r="L793" s="505" t="b">
        <v>0</v>
      </c>
      <c r="M793" s="504" t="b">
        <v>0</v>
      </c>
      <c r="N793" s="112"/>
      <c r="O793" s="505" t="b">
        <v>0</v>
      </c>
      <c r="P793" s="504" t="b">
        <v>0</v>
      </c>
      <c r="Q793" s="116"/>
      <c r="R793" s="505" t="b">
        <v>0</v>
      </c>
      <c r="S793" s="504" t="b">
        <v>0</v>
      </c>
      <c r="T793" s="117"/>
      <c r="U793" s="505" t="b">
        <v>0</v>
      </c>
      <c r="V793" s="504" t="b">
        <v>0</v>
      </c>
      <c r="W793" s="118"/>
      <c r="X793" s="505" t="b">
        <v>0</v>
      </c>
      <c r="Y793" s="504" t="b">
        <v>0</v>
      </c>
      <c r="Z793" s="119"/>
      <c r="AA793" s="505" t="b">
        <v>0</v>
      </c>
      <c r="AB793" s="504" t="b">
        <v>0</v>
      </c>
      <c r="AC793" s="121"/>
      <c r="AD793" s="505" t="b">
        <v>0</v>
      </c>
      <c r="AE793" s="504" t="b">
        <v>0</v>
      </c>
      <c r="AF793" s="125"/>
      <c r="AG793" s="505" t="b">
        <v>0</v>
      </c>
      <c r="AH793" s="504" t="b">
        <v>0</v>
      </c>
      <c r="AI793" s="105"/>
      <c r="AJ793" s="505" t="b">
        <v>0</v>
      </c>
      <c r="AK793" s="504" t="b">
        <v>0</v>
      </c>
      <c r="AL793" s="126"/>
      <c r="AM793" s="505" t="b">
        <v>0</v>
      </c>
      <c r="AN793" s="504" t="b">
        <v>0</v>
      </c>
      <c r="AO793" s="105"/>
      <c r="AP793" s="105"/>
      <c r="AQ793" s="105"/>
      <c r="AR793" s="105"/>
      <c r="AS793" s="105"/>
      <c r="AT793" s="105"/>
      <c r="AU793" s="105"/>
      <c r="AV793" s="105"/>
      <c r="AW793" s="105"/>
      <c r="AX793" s="105"/>
      <c r="AY793" s="105"/>
      <c r="AZ793" s="105"/>
      <c r="BA793" s="105"/>
    </row>
    <row r="794">
      <c r="A794" s="105"/>
      <c r="B794" s="105"/>
      <c r="C794" s="105"/>
      <c r="D794" s="105"/>
      <c r="E794" s="105"/>
      <c r="F794" s="105"/>
      <c r="G794" s="105"/>
      <c r="H794" s="105"/>
      <c r="I794" s="505" t="b">
        <v>0</v>
      </c>
      <c r="J794" s="507" t="b">
        <v>0</v>
      </c>
      <c r="K794" s="112"/>
      <c r="L794" s="505" t="b">
        <v>0</v>
      </c>
      <c r="M794" s="504" t="b">
        <v>0</v>
      </c>
      <c r="N794" s="112"/>
      <c r="O794" s="505" t="b">
        <v>0</v>
      </c>
      <c r="P794" s="504" t="b">
        <v>0</v>
      </c>
      <c r="Q794" s="116"/>
      <c r="R794" s="505" t="b">
        <v>0</v>
      </c>
      <c r="S794" s="504" t="b">
        <v>0</v>
      </c>
      <c r="T794" s="117"/>
      <c r="U794" s="505" t="b">
        <v>0</v>
      </c>
      <c r="V794" s="504" t="b">
        <v>0</v>
      </c>
      <c r="W794" s="118"/>
      <c r="X794" s="505" t="b">
        <v>0</v>
      </c>
      <c r="Y794" s="504" t="b">
        <v>0</v>
      </c>
      <c r="Z794" s="119"/>
      <c r="AA794" s="505" t="b">
        <v>0</v>
      </c>
      <c r="AB794" s="504" t="b">
        <v>0</v>
      </c>
      <c r="AC794" s="121"/>
      <c r="AD794" s="505" t="b">
        <v>0</v>
      </c>
      <c r="AE794" s="504" t="b">
        <v>0</v>
      </c>
      <c r="AF794" s="125"/>
      <c r="AG794" s="505" t="b">
        <v>0</v>
      </c>
      <c r="AH794" s="504" t="b">
        <v>0</v>
      </c>
      <c r="AI794" s="105"/>
      <c r="AJ794" s="505" t="b">
        <v>0</v>
      </c>
      <c r="AK794" s="504" t="b">
        <v>0</v>
      </c>
      <c r="AL794" s="126"/>
      <c r="AM794" s="505" t="b">
        <v>0</v>
      </c>
      <c r="AN794" s="504" t="b">
        <v>0</v>
      </c>
      <c r="AO794" s="105"/>
      <c r="AP794" s="105"/>
      <c r="AQ794" s="105"/>
      <c r="AR794" s="105"/>
      <c r="AS794" s="105"/>
      <c r="AT794" s="105"/>
      <c r="AU794" s="105"/>
      <c r="AV794" s="105"/>
      <c r="AW794" s="105"/>
      <c r="AX794" s="105"/>
      <c r="AY794" s="105"/>
      <c r="AZ794" s="105"/>
      <c r="BA794" s="105"/>
    </row>
    <row r="795">
      <c r="A795" s="105"/>
      <c r="B795" s="105"/>
      <c r="C795" s="105"/>
      <c r="D795" s="105"/>
      <c r="E795" s="105"/>
      <c r="F795" s="105"/>
      <c r="G795" s="105"/>
      <c r="H795" s="105"/>
      <c r="I795" s="505" t="b">
        <v>0</v>
      </c>
      <c r="J795" s="507" t="b">
        <v>0</v>
      </c>
      <c r="K795" s="112"/>
      <c r="L795" s="505" t="b">
        <v>0</v>
      </c>
      <c r="M795" s="504" t="b">
        <v>0</v>
      </c>
      <c r="N795" s="112"/>
      <c r="O795" s="505" t="b">
        <v>0</v>
      </c>
      <c r="P795" s="504" t="b">
        <v>0</v>
      </c>
      <c r="Q795" s="116"/>
      <c r="R795" s="505" t="b">
        <v>0</v>
      </c>
      <c r="S795" s="504" t="b">
        <v>0</v>
      </c>
      <c r="T795" s="117"/>
      <c r="U795" s="505" t="b">
        <v>0</v>
      </c>
      <c r="V795" s="504" t="b">
        <v>0</v>
      </c>
      <c r="W795" s="118"/>
      <c r="X795" s="505" t="b">
        <v>0</v>
      </c>
      <c r="Y795" s="504" t="b">
        <v>0</v>
      </c>
      <c r="Z795" s="119"/>
      <c r="AA795" s="505" t="b">
        <v>0</v>
      </c>
      <c r="AB795" s="504" t="b">
        <v>0</v>
      </c>
      <c r="AC795" s="121"/>
      <c r="AD795" s="505" t="b">
        <v>0</v>
      </c>
      <c r="AE795" s="504" t="b">
        <v>0</v>
      </c>
      <c r="AF795" s="125"/>
      <c r="AG795" s="505" t="b">
        <v>0</v>
      </c>
      <c r="AH795" s="504" t="b">
        <v>0</v>
      </c>
      <c r="AI795" s="105"/>
      <c r="AJ795" s="505" t="b">
        <v>0</v>
      </c>
      <c r="AK795" s="504" t="b">
        <v>0</v>
      </c>
      <c r="AL795" s="126"/>
      <c r="AM795" s="505" t="b">
        <v>0</v>
      </c>
      <c r="AN795" s="504" t="b">
        <v>0</v>
      </c>
      <c r="AO795" s="105"/>
      <c r="AP795" s="105"/>
      <c r="AQ795" s="105"/>
      <c r="AR795" s="105"/>
      <c r="AS795" s="105"/>
      <c r="AT795" s="105"/>
      <c r="AU795" s="105"/>
      <c r="AV795" s="105"/>
      <c r="AW795" s="105"/>
      <c r="AX795" s="105"/>
      <c r="AY795" s="105"/>
      <c r="AZ795" s="105"/>
      <c r="BA795" s="105"/>
    </row>
    <row r="796">
      <c r="A796" s="105"/>
      <c r="B796" s="105"/>
      <c r="C796" s="105"/>
      <c r="D796" s="105"/>
      <c r="E796" s="105"/>
      <c r="F796" s="105"/>
      <c r="G796" s="105"/>
      <c r="H796" s="105"/>
      <c r="I796" s="505" t="b">
        <v>0</v>
      </c>
      <c r="J796" s="507" t="b">
        <v>0</v>
      </c>
      <c r="K796" s="112"/>
      <c r="L796" s="505" t="b">
        <v>0</v>
      </c>
      <c r="M796" s="504" t="b">
        <v>0</v>
      </c>
      <c r="N796" s="112"/>
      <c r="O796" s="505" t="b">
        <v>0</v>
      </c>
      <c r="P796" s="504" t="b">
        <v>0</v>
      </c>
      <c r="Q796" s="116"/>
      <c r="R796" s="505" t="b">
        <v>0</v>
      </c>
      <c r="S796" s="504" t="b">
        <v>0</v>
      </c>
      <c r="T796" s="117"/>
      <c r="U796" s="505" t="b">
        <v>0</v>
      </c>
      <c r="V796" s="504" t="b">
        <v>0</v>
      </c>
      <c r="W796" s="118"/>
      <c r="X796" s="505" t="b">
        <v>0</v>
      </c>
      <c r="Y796" s="504" t="b">
        <v>0</v>
      </c>
      <c r="Z796" s="119"/>
      <c r="AA796" s="505" t="b">
        <v>0</v>
      </c>
      <c r="AB796" s="504" t="b">
        <v>0</v>
      </c>
      <c r="AC796" s="121"/>
      <c r="AD796" s="505" t="b">
        <v>0</v>
      </c>
      <c r="AE796" s="504" t="b">
        <v>0</v>
      </c>
      <c r="AF796" s="125"/>
      <c r="AG796" s="505" t="b">
        <v>0</v>
      </c>
      <c r="AH796" s="504" t="b">
        <v>0</v>
      </c>
      <c r="AI796" s="105"/>
      <c r="AJ796" s="505" t="b">
        <v>0</v>
      </c>
      <c r="AK796" s="504" t="b">
        <v>0</v>
      </c>
      <c r="AL796" s="126"/>
      <c r="AM796" s="505" t="b">
        <v>0</v>
      </c>
      <c r="AN796" s="504" t="b">
        <v>0</v>
      </c>
      <c r="AO796" s="105"/>
      <c r="AP796" s="105"/>
      <c r="AQ796" s="105"/>
      <c r="AR796" s="105"/>
      <c r="AS796" s="105"/>
      <c r="AT796" s="105"/>
      <c r="AU796" s="105"/>
      <c r="AV796" s="105"/>
      <c r="AW796" s="105"/>
      <c r="AX796" s="105"/>
      <c r="AY796" s="105"/>
      <c r="AZ796" s="105"/>
      <c r="BA796" s="105"/>
    </row>
    <row r="797">
      <c r="A797" s="105"/>
      <c r="B797" s="105"/>
      <c r="C797" s="105"/>
      <c r="D797" s="105"/>
      <c r="E797" s="105"/>
      <c r="F797" s="105"/>
      <c r="G797" s="105"/>
      <c r="H797" s="105"/>
      <c r="I797" s="505" t="b">
        <v>0</v>
      </c>
      <c r="J797" s="507" t="b">
        <v>0</v>
      </c>
      <c r="K797" s="112"/>
      <c r="L797" s="505" t="b">
        <v>0</v>
      </c>
      <c r="M797" s="504" t="b">
        <v>0</v>
      </c>
      <c r="N797" s="112"/>
      <c r="O797" s="505" t="b">
        <v>0</v>
      </c>
      <c r="P797" s="504" t="b">
        <v>0</v>
      </c>
      <c r="Q797" s="116"/>
      <c r="R797" s="505" t="b">
        <v>0</v>
      </c>
      <c r="S797" s="504" t="b">
        <v>0</v>
      </c>
      <c r="T797" s="117"/>
      <c r="U797" s="505" t="b">
        <v>0</v>
      </c>
      <c r="V797" s="504" t="b">
        <v>0</v>
      </c>
      <c r="W797" s="118"/>
      <c r="X797" s="505" t="b">
        <v>0</v>
      </c>
      <c r="Y797" s="504" t="b">
        <v>0</v>
      </c>
      <c r="Z797" s="119"/>
      <c r="AA797" s="505" t="b">
        <v>0</v>
      </c>
      <c r="AB797" s="504" t="b">
        <v>0</v>
      </c>
      <c r="AC797" s="121"/>
      <c r="AD797" s="505" t="b">
        <v>0</v>
      </c>
      <c r="AE797" s="504" t="b">
        <v>0</v>
      </c>
      <c r="AF797" s="125"/>
      <c r="AG797" s="505" t="b">
        <v>0</v>
      </c>
      <c r="AH797" s="504" t="b">
        <v>0</v>
      </c>
      <c r="AI797" s="105"/>
      <c r="AJ797" s="505" t="b">
        <v>0</v>
      </c>
      <c r="AK797" s="504" t="b">
        <v>0</v>
      </c>
      <c r="AL797" s="126"/>
      <c r="AM797" s="505" t="b">
        <v>0</v>
      </c>
      <c r="AN797" s="504" t="b">
        <v>0</v>
      </c>
      <c r="AO797" s="105"/>
      <c r="AP797" s="105"/>
      <c r="AQ797" s="105"/>
      <c r="AR797" s="105"/>
      <c r="AS797" s="105"/>
      <c r="AT797" s="105"/>
      <c r="AU797" s="105"/>
      <c r="AV797" s="105"/>
      <c r="AW797" s="105"/>
      <c r="AX797" s="105"/>
      <c r="AY797" s="105"/>
      <c r="AZ797" s="105"/>
      <c r="BA797" s="105"/>
    </row>
    <row r="798">
      <c r="A798" s="105"/>
      <c r="B798" s="105"/>
      <c r="C798" s="105"/>
      <c r="D798" s="105"/>
      <c r="E798" s="105"/>
      <c r="F798" s="105"/>
      <c r="G798" s="105"/>
      <c r="H798" s="105"/>
      <c r="I798" s="505" t="b">
        <v>0</v>
      </c>
      <c r="J798" s="507" t="b">
        <v>0</v>
      </c>
      <c r="K798" s="112"/>
      <c r="L798" s="505" t="b">
        <v>0</v>
      </c>
      <c r="M798" s="504" t="b">
        <v>0</v>
      </c>
      <c r="N798" s="112"/>
      <c r="O798" s="505" t="b">
        <v>0</v>
      </c>
      <c r="P798" s="504" t="b">
        <v>0</v>
      </c>
      <c r="Q798" s="116"/>
      <c r="R798" s="505" t="b">
        <v>0</v>
      </c>
      <c r="S798" s="504" t="b">
        <v>0</v>
      </c>
      <c r="T798" s="117"/>
      <c r="U798" s="505" t="b">
        <v>0</v>
      </c>
      <c r="V798" s="504" t="b">
        <v>0</v>
      </c>
      <c r="W798" s="118"/>
      <c r="X798" s="505" t="b">
        <v>0</v>
      </c>
      <c r="Y798" s="504" t="b">
        <v>0</v>
      </c>
      <c r="Z798" s="119"/>
      <c r="AA798" s="505" t="b">
        <v>0</v>
      </c>
      <c r="AB798" s="504" t="b">
        <v>0</v>
      </c>
      <c r="AC798" s="121"/>
      <c r="AD798" s="505" t="b">
        <v>0</v>
      </c>
      <c r="AE798" s="504" t="b">
        <v>0</v>
      </c>
      <c r="AF798" s="125"/>
      <c r="AG798" s="505" t="b">
        <v>0</v>
      </c>
      <c r="AH798" s="504" t="b">
        <v>0</v>
      </c>
      <c r="AI798" s="105"/>
      <c r="AJ798" s="505" t="b">
        <v>0</v>
      </c>
      <c r="AK798" s="504" t="b">
        <v>0</v>
      </c>
      <c r="AL798" s="126"/>
      <c r="AM798" s="505" t="b">
        <v>0</v>
      </c>
      <c r="AN798" s="504" t="b">
        <v>0</v>
      </c>
      <c r="AO798" s="105"/>
      <c r="AP798" s="105"/>
      <c r="AQ798" s="105"/>
      <c r="AR798" s="105"/>
      <c r="AS798" s="105"/>
      <c r="AT798" s="105"/>
      <c r="AU798" s="105"/>
      <c r="AV798" s="105"/>
      <c r="AW798" s="105"/>
      <c r="AX798" s="105"/>
      <c r="AY798" s="105"/>
      <c r="AZ798" s="105"/>
      <c r="BA798" s="105"/>
    </row>
    <row r="799">
      <c r="A799" s="105"/>
      <c r="B799" s="105"/>
      <c r="C799" s="105"/>
      <c r="D799" s="105"/>
      <c r="E799" s="105"/>
      <c r="F799" s="105"/>
      <c r="G799" s="105"/>
      <c r="H799" s="105"/>
      <c r="I799" s="505" t="b">
        <v>0</v>
      </c>
      <c r="J799" s="507" t="b">
        <v>0</v>
      </c>
      <c r="K799" s="112"/>
      <c r="L799" s="505" t="b">
        <v>0</v>
      </c>
      <c r="M799" s="504" t="b">
        <v>0</v>
      </c>
      <c r="N799" s="112"/>
      <c r="O799" s="505" t="b">
        <v>0</v>
      </c>
      <c r="P799" s="504" t="b">
        <v>0</v>
      </c>
      <c r="Q799" s="116"/>
      <c r="R799" s="505" t="b">
        <v>0</v>
      </c>
      <c r="S799" s="504" t="b">
        <v>0</v>
      </c>
      <c r="T799" s="117"/>
      <c r="U799" s="505" t="b">
        <v>0</v>
      </c>
      <c r="V799" s="504" t="b">
        <v>0</v>
      </c>
      <c r="W799" s="118"/>
      <c r="X799" s="505" t="b">
        <v>0</v>
      </c>
      <c r="Y799" s="504" t="b">
        <v>0</v>
      </c>
      <c r="Z799" s="119"/>
      <c r="AA799" s="505" t="b">
        <v>0</v>
      </c>
      <c r="AB799" s="504" t="b">
        <v>0</v>
      </c>
      <c r="AC799" s="121"/>
      <c r="AD799" s="505" t="b">
        <v>0</v>
      </c>
      <c r="AE799" s="504" t="b">
        <v>0</v>
      </c>
      <c r="AF799" s="125"/>
      <c r="AG799" s="505" t="b">
        <v>0</v>
      </c>
      <c r="AH799" s="504" t="b">
        <v>0</v>
      </c>
      <c r="AI799" s="105"/>
      <c r="AJ799" s="505" t="b">
        <v>0</v>
      </c>
      <c r="AK799" s="504" t="b">
        <v>0</v>
      </c>
      <c r="AL799" s="126"/>
      <c r="AM799" s="505" t="b">
        <v>0</v>
      </c>
      <c r="AN799" s="504" t="b">
        <v>0</v>
      </c>
      <c r="AO799" s="105"/>
      <c r="AP799" s="105"/>
      <c r="AQ799" s="105"/>
      <c r="AR799" s="105"/>
      <c r="AS799" s="105"/>
      <c r="AT799" s="105"/>
      <c r="AU799" s="105"/>
      <c r="AV799" s="105"/>
      <c r="AW799" s="105"/>
      <c r="AX799" s="105"/>
      <c r="AY799" s="105"/>
      <c r="AZ799" s="105"/>
      <c r="BA799" s="105"/>
    </row>
    <row r="800">
      <c r="A800" s="105"/>
      <c r="B800" s="105"/>
      <c r="C800" s="105"/>
      <c r="D800" s="105"/>
      <c r="E800" s="105"/>
      <c r="F800" s="105"/>
      <c r="G800" s="105"/>
      <c r="H800" s="105"/>
      <c r="I800" s="505" t="b">
        <v>0</v>
      </c>
      <c r="J800" s="507" t="b">
        <v>0</v>
      </c>
      <c r="K800" s="112"/>
      <c r="L800" s="505" t="b">
        <v>0</v>
      </c>
      <c r="M800" s="504" t="b">
        <v>0</v>
      </c>
      <c r="N800" s="112"/>
      <c r="O800" s="505" t="b">
        <v>0</v>
      </c>
      <c r="P800" s="504" t="b">
        <v>0</v>
      </c>
      <c r="Q800" s="116"/>
      <c r="R800" s="505" t="b">
        <v>0</v>
      </c>
      <c r="S800" s="504" t="b">
        <v>0</v>
      </c>
      <c r="T800" s="117"/>
      <c r="U800" s="505" t="b">
        <v>0</v>
      </c>
      <c r="V800" s="504" t="b">
        <v>0</v>
      </c>
      <c r="W800" s="118"/>
      <c r="X800" s="505" t="b">
        <v>0</v>
      </c>
      <c r="Y800" s="504" t="b">
        <v>0</v>
      </c>
      <c r="Z800" s="119"/>
      <c r="AA800" s="505" t="b">
        <v>0</v>
      </c>
      <c r="AB800" s="504" t="b">
        <v>0</v>
      </c>
      <c r="AC800" s="121"/>
      <c r="AD800" s="505" t="b">
        <v>0</v>
      </c>
      <c r="AE800" s="504" t="b">
        <v>0</v>
      </c>
      <c r="AF800" s="125"/>
      <c r="AG800" s="505" t="b">
        <v>0</v>
      </c>
      <c r="AH800" s="504" t="b">
        <v>0</v>
      </c>
      <c r="AI800" s="105"/>
      <c r="AJ800" s="505" t="b">
        <v>0</v>
      </c>
      <c r="AK800" s="504" t="b">
        <v>0</v>
      </c>
      <c r="AL800" s="126"/>
      <c r="AM800" s="505" t="b">
        <v>0</v>
      </c>
      <c r="AN800" s="504" t="b">
        <v>0</v>
      </c>
      <c r="AO800" s="105"/>
      <c r="AP800" s="105"/>
      <c r="AQ800" s="105"/>
      <c r="AR800" s="105"/>
      <c r="AS800" s="105"/>
      <c r="AT800" s="105"/>
      <c r="AU800" s="105"/>
      <c r="AV800" s="105"/>
      <c r="AW800" s="105"/>
      <c r="AX800" s="105"/>
      <c r="AY800" s="105"/>
      <c r="AZ800" s="105"/>
      <c r="BA800" s="105"/>
    </row>
    <row r="801">
      <c r="A801" s="105"/>
      <c r="B801" s="105"/>
      <c r="C801" s="105"/>
      <c r="D801" s="105"/>
      <c r="E801" s="105"/>
      <c r="F801" s="105"/>
      <c r="G801" s="105"/>
      <c r="H801" s="105"/>
      <c r="I801" s="505" t="b">
        <v>0</v>
      </c>
      <c r="J801" s="507" t="b">
        <v>0</v>
      </c>
      <c r="K801" s="112"/>
      <c r="L801" s="505" t="b">
        <v>0</v>
      </c>
      <c r="M801" s="504" t="b">
        <v>0</v>
      </c>
      <c r="N801" s="112"/>
      <c r="O801" s="505" t="b">
        <v>0</v>
      </c>
      <c r="P801" s="504" t="b">
        <v>0</v>
      </c>
      <c r="Q801" s="116"/>
      <c r="R801" s="505" t="b">
        <v>0</v>
      </c>
      <c r="S801" s="504" t="b">
        <v>0</v>
      </c>
      <c r="T801" s="117"/>
      <c r="U801" s="505" t="b">
        <v>0</v>
      </c>
      <c r="V801" s="504" t="b">
        <v>0</v>
      </c>
      <c r="W801" s="118"/>
      <c r="X801" s="505" t="b">
        <v>0</v>
      </c>
      <c r="Y801" s="504" t="b">
        <v>0</v>
      </c>
      <c r="Z801" s="119"/>
      <c r="AA801" s="505" t="b">
        <v>0</v>
      </c>
      <c r="AB801" s="504" t="b">
        <v>0</v>
      </c>
      <c r="AC801" s="121"/>
      <c r="AD801" s="505" t="b">
        <v>0</v>
      </c>
      <c r="AE801" s="504" t="b">
        <v>0</v>
      </c>
      <c r="AF801" s="125"/>
      <c r="AG801" s="505" t="b">
        <v>0</v>
      </c>
      <c r="AH801" s="504" t="b">
        <v>0</v>
      </c>
      <c r="AI801" s="105"/>
      <c r="AJ801" s="505" t="b">
        <v>0</v>
      </c>
      <c r="AK801" s="504" t="b">
        <v>0</v>
      </c>
      <c r="AL801" s="126"/>
      <c r="AM801" s="505" t="b">
        <v>0</v>
      </c>
      <c r="AN801" s="504" t="b">
        <v>0</v>
      </c>
      <c r="AO801" s="105"/>
      <c r="AP801" s="105"/>
      <c r="AQ801" s="105"/>
      <c r="AR801" s="105"/>
      <c r="AS801" s="105"/>
      <c r="AT801" s="105"/>
      <c r="AU801" s="105"/>
      <c r="AV801" s="105"/>
      <c r="AW801" s="105"/>
      <c r="AX801" s="105"/>
      <c r="AY801" s="105"/>
      <c r="AZ801" s="105"/>
      <c r="BA801" s="105"/>
    </row>
    <row r="802">
      <c r="A802" s="105"/>
      <c r="B802" s="105"/>
      <c r="C802" s="105"/>
      <c r="D802" s="105"/>
      <c r="E802" s="105"/>
      <c r="F802" s="105"/>
      <c r="G802" s="105"/>
      <c r="H802" s="105"/>
      <c r="I802" s="505" t="b">
        <v>0</v>
      </c>
      <c r="J802" s="507" t="b">
        <v>0</v>
      </c>
      <c r="K802" s="112"/>
      <c r="L802" s="505" t="b">
        <v>0</v>
      </c>
      <c r="M802" s="504" t="b">
        <v>0</v>
      </c>
      <c r="N802" s="112"/>
      <c r="O802" s="505" t="b">
        <v>0</v>
      </c>
      <c r="P802" s="504" t="b">
        <v>0</v>
      </c>
      <c r="Q802" s="116"/>
      <c r="R802" s="505" t="b">
        <v>0</v>
      </c>
      <c r="S802" s="504" t="b">
        <v>0</v>
      </c>
      <c r="T802" s="117"/>
      <c r="U802" s="505" t="b">
        <v>0</v>
      </c>
      <c r="V802" s="504" t="b">
        <v>0</v>
      </c>
      <c r="W802" s="118"/>
      <c r="X802" s="505" t="b">
        <v>0</v>
      </c>
      <c r="Y802" s="504" t="b">
        <v>0</v>
      </c>
      <c r="Z802" s="119"/>
      <c r="AA802" s="505" t="b">
        <v>0</v>
      </c>
      <c r="AB802" s="504" t="b">
        <v>0</v>
      </c>
      <c r="AC802" s="121"/>
      <c r="AD802" s="505" t="b">
        <v>0</v>
      </c>
      <c r="AE802" s="504" t="b">
        <v>0</v>
      </c>
      <c r="AF802" s="125"/>
      <c r="AG802" s="505" t="b">
        <v>0</v>
      </c>
      <c r="AH802" s="504" t="b">
        <v>0</v>
      </c>
      <c r="AI802" s="105"/>
      <c r="AJ802" s="505" t="b">
        <v>0</v>
      </c>
      <c r="AK802" s="504" t="b">
        <v>0</v>
      </c>
      <c r="AL802" s="126"/>
      <c r="AM802" s="505" t="b">
        <v>0</v>
      </c>
      <c r="AN802" s="504" t="b">
        <v>0</v>
      </c>
      <c r="AO802" s="105"/>
      <c r="AP802" s="105"/>
      <c r="AQ802" s="105"/>
      <c r="AR802" s="105"/>
      <c r="AS802" s="105"/>
      <c r="AT802" s="105"/>
      <c r="AU802" s="105"/>
      <c r="AV802" s="105"/>
      <c r="AW802" s="105"/>
      <c r="AX802" s="105"/>
      <c r="AY802" s="105"/>
      <c r="AZ802" s="105"/>
      <c r="BA802" s="105"/>
    </row>
    <row r="803">
      <c r="A803" s="105"/>
      <c r="B803" s="105"/>
      <c r="C803" s="105"/>
      <c r="D803" s="105"/>
      <c r="E803" s="105"/>
      <c r="F803" s="105"/>
      <c r="G803" s="105"/>
      <c r="H803" s="105"/>
      <c r="I803" s="505" t="b">
        <v>0</v>
      </c>
      <c r="J803" s="507" t="b">
        <v>0</v>
      </c>
      <c r="K803" s="112"/>
      <c r="L803" s="505" t="b">
        <v>0</v>
      </c>
      <c r="M803" s="504" t="b">
        <v>0</v>
      </c>
      <c r="N803" s="112"/>
      <c r="O803" s="505" t="b">
        <v>0</v>
      </c>
      <c r="P803" s="504" t="b">
        <v>0</v>
      </c>
      <c r="Q803" s="116"/>
      <c r="R803" s="505" t="b">
        <v>0</v>
      </c>
      <c r="S803" s="504" t="b">
        <v>0</v>
      </c>
      <c r="T803" s="117"/>
      <c r="U803" s="505" t="b">
        <v>0</v>
      </c>
      <c r="V803" s="504" t="b">
        <v>0</v>
      </c>
      <c r="W803" s="118"/>
      <c r="X803" s="505" t="b">
        <v>0</v>
      </c>
      <c r="Y803" s="504" t="b">
        <v>0</v>
      </c>
      <c r="Z803" s="119"/>
      <c r="AA803" s="505" t="b">
        <v>0</v>
      </c>
      <c r="AB803" s="504" t="b">
        <v>0</v>
      </c>
      <c r="AC803" s="121"/>
      <c r="AD803" s="505" t="b">
        <v>0</v>
      </c>
      <c r="AE803" s="504" t="b">
        <v>0</v>
      </c>
      <c r="AF803" s="125"/>
      <c r="AG803" s="505" t="b">
        <v>0</v>
      </c>
      <c r="AH803" s="504" t="b">
        <v>0</v>
      </c>
      <c r="AI803" s="105"/>
      <c r="AJ803" s="505" t="b">
        <v>0</v>
      </c>
      <c r="AK803" s="504" t="b">
        <v>0</v>
      </c>
      <c r="AL803" s="126"/>
      <c r="AM803" s="505" t="b">
        <v>0</v>
      </c>
      <c r="AN803" s="504" t="b">
        <v>0</v>
      </c>
      <c r="AO803" s="105"/>
      <c r="AP803" s="105"/>
      <c r="AQ803" s="105"/>
      <c r="AR803" s="105"/>
      <c r="AS803" s="105"/>
      <c r="AT803" s="105"/>
      <c r="AU803" s="105"/>
      <c r="AV803" s="105"/>
      <c r="AW803" s="105"/>
      <c r="AX803" s="105"/>
      <c r="AY803" s="105"/>
      <c r="AZ803" s="105"/>
      <c r="BA803" s="105"/>
    </row>
    <row r="804">
      <c r="A804" s="105"/>
      <c r="B804" s="105"/>
      <c r="C804" s="105"/>
      <c r="D804" s="105"/>
      <c r="E804" s="105"/>
      <c r="F804" s="105"/>
      <c r="G804" s="105"/>
      <c r="H804" s="105"/>
      <c r="I804" s="505" t="b">
        <v>0</v>
      </c>
      <c r="J804" s="507" t="b">
        <v>0</v>
      </c>
      <c r="K804" s="112"/>
      <c r="L804" s="505" t="b">
        <v>0</v>
      </c>
      <c r="M804" s="504" t="b">
        <v>0</v>
      </c>
      <c r="N804" s="112"/>
      <c r="O804" s="505" t="b">
        <v>0</v>
      </c>
      <c r="P804" s="504" t="b">
        <v>0</v>
      </c>
      <c r="Q804" s="116"/>
      <c r="R804" s="505" t="b">
        <v>0</v>
      </c>
      <c r="S804" s="504" t="b">
        <v>0</v>
      </c>
      <c r="T804" s="117"/>
      <c r="U804" s="505" t="b">
        <v>0</v>
      </c>
      <c r="V804" s="504" t="b">
        <v>0</v>
      </c>
      <c r="W804" s="118"/>
      <c r="X804" s="505" t="b">
        <v>0</v>
      </c>
      <c r="Y804" s="504" t="b">
        <v>0</v>
      </c>
      <c r="Z804" s="119"/>
      <c r="AA804" s="505" t="b">
        <v>0</v>
      </c>
      <c r="AB804" s="504" t="b">
        <v>0</v>
      </c>
      <c r="AC804" s="121"/>
      <c r="AD804" s="505" t="b">
        <v>0</v>
      </c>
      <c r="AE804" s="504" t="b">
        <v>0</v>
      </c>
      <c r="AF804" s="125"/>
      <c r="AG804" s="505" t="b">
        <v>0</v>
      </c>
      <c r="AH804" s="504" t="b">
        <v>0</v>
      </c>
      <c r="AI804" s="105"/>
      <c r="AJ804" s="505" t="b">
        <v>0</v>
      </c>
      <c r="AK804" s="504" t="b">
        <v>0</v>
      </c>
      <c r="AL804" s="126"/>
      <c r="AM804" s="505" t="b">
        <v>0</v>
      </c>
      <c r="AN804" s="504" t="b">
        <v>0</v>
      </c>
      <c r="AO804" s="105"/>
      <c r="AP804" s="105"/>
      <c r="AQ804" s="105"/>
      <c r="AR804" s="105"/>
      <c r="AS804" s="105"/>
      <c r="AT804" s="105"/>
      <c r="AU804" s="105"/>
      <c r="AV804" s="105"/>
      <c r="AW804" s="105"/>
      <c r="AX804" s="105"/>
      <c r="AY804" s="105"/>
      <c r="AZ804" s="105"/>
      <c r="BA804" s="105"/>
    </row>
    <row r="805">
      <c r="A805" s="105"/>
      <c r="B805" s="105"/>
      <c r="C805" s="105"/>
      <c r="D805" s="105"/>
      <c r="E805" s="105"/>
      <c r="F805" s="105"/>
      <c r="G805" s="105"/>
      <c r="H805" s="105"/>
      <c r="I805" s="505" t="b">
        <v>0</v>
      </c>
      <c r="J805" s="507" t="b">
        <v>0</v>
      </c>
      <c r="K805" s="112"/>
      <c r="L805" s="505" t="b">
        <v>0</v>
      </c>
      <c r="M805" s="504" t="b">
        <v>0</v>
      </c>
      <c r="N805" s="112"/>
      <c r="O805" s="505" t="b">
        <v>0</v>
      </c>
      <c r="P805" s="504" t="b">
        <v>0</v>
      </c>
      <c r="Q805" s="116"/>
      <c r="R805" s="505" t="b">
        <v>0</v>
      </c>
      <c r="S805" s="504" t="b">
        <v>0</v>
      </c>
      <c r="T805" s="117"/>
      <c r="U805" s="505" t="b">
        <v>0</v>
      </c>
      <c r="V805" s="504" t="b">
        <v>0</v>
      </c>
      <c r="W805" s="118"/>
      <c r="X805" s="505" t="b">
        <v>0</v>
      </c>
      <c r="Y805" s="504" t="b">
        <v>0</v>
      </c>
      <c r="Z805" s="119"/>
      <c r="AA805" s="505" t="b">
        <v>0</v>
      </c>
      <c r="AB805" s="504" t="b">
        <v>0</v>
      </c>
      <c r="AC805" s="121"/>
      <c r="AD805" s="505" t="b">
        <v>0</v>
      </c>
      <c r="AE805" s="504" t="b">
        <v>0</v>
      </c>
      <c r="AF805" s="125"/>
      <c r="AG805" s="505" t="b">
        <v>0</v>
      </c>
      <c r="AH805" s="504" t="b">
        <v>0</v>
      </c>
      <c r="AI805" s="105"/>
      <c r="AJ805" s="505" t="b">
        <v>0</v>
      </c>
      <c r="AK805" s="504" t="b">
        <v>0</v>
      </c>
      <c r="AL805" s="126"/>
      <c r="AM805" s="505" t="b">
        <v>0</v>
      </c>
      <c r="AN805" s="504" t="b">
        <v>0</v>
      </c>
      <c r="AO805" s="105"/>
      <c r="AP805" s="105"/>
      <c r="AQ805" s="105"/>
      <c r="AR805" s="105"/>
      <c r="AS805" s="105"/>
      <c r="AT805" s="105"/>
      <c r="AU805" s="105"/>
      <c r="AV805" s="105"/>
      <c r="AW805" s="105"/>
      <c r="AX805" s="105"/>
      <c r="AY805" s="105"/>
      <c r="AZ805" s="105"/>
      <c r="BA805" s="105"/>
    </row>
    <row r="806">
      <c r="A806" s="105"/>
      <c r="B806" s="105"/>
      <c r="C806" s="105"/>
      <c r="D806" s="105"/>
      <c r="E806" s="105"/>
      <c r="F806" s="105"/>
      <c r="G806" s="105"/>
      <c r="H806" s="105"/>
      <c r="I806" s="505" t="b">
        <v>0</v>
      </c>
      <c r="J806" s="507" t="b">
        <v>0</v>
      </c>
      <c r="K806" s="112"/>
      <c r="L806" s="505" t="b">
        <v>0</v>
      </c>
      <c r="M806" s="504" t="b">
        <v>0</v>
      </c>
      <c r="N806" s="112"/>
      <c r="O806" s="505" t="b">
        <v>0</v>
      </c>
      <c r="P806" s="504" t="b">
        <v>0</v>
      </c>
      <c r="Q806" s="116"/>
      <c r="R806" s="505" t="b">
        <v>0</v>
      </c>
      <c r="S806" s="504" t="b">
        <v>0</v>
      </c>
      <c r="T806" s="117"/>
      <c r="U806" s="505" t="b">
        <v>0</v>
      </c>
      <c r="V806" s="504" t="b">
        <v>0</v>
      </c>
      <c r="W806" s="118"/>
      <c r="X806" s="505" t="b">
        <v>0</v>
      </c>
      <c r="Y806" s="504" t="b">
        <v>0</v>
      </c>
      <c r="Z806" s="119"/>
      <c r="AA806" s="505" t="b">
        <v>0</v>
      </c>
      <c r="AB806" s="504" t="b">
        <v>0</v>
      </c>
      <c r="AC806" s="121"/>
      <c r="AD806" s="505" t="b">
        <v>0</v>
      </c>
      <c r="AE806" s="504" t="b">
        <v>0</v>
      </c>
      <c r="AF806" s="125"/>
      <c r="AG806" s="505" t="b">
        <v>0</v>
      </c>
      <c r="AH806" s="504" t="b">
        <v>0</v>
      </c>
      <c r="AI806" s="105"/>
      <c r="AJ806" s="505" t="b">
        <v>0</v>
      </c>
      <c r="AK806" s="504" t="b">
        <v>0</v>
      </c>
      <c r="AL806" s="126"/>
      <c r="AM806" s="505" t="b">
        <v>0</v>
      </c>
      <c r="AN806" s="504" t="b">
        <v>0</v>
      </c>
      <c r="AO806" s="105"/>
      <c r="AP806" s="105"/>
      <c r="AQ806" s="105"/>
      <c r="AR806" s="105"/>
      <c r="AS806" s="105"/>
      <c r="AT806" s="105"/>
      <c r="AU806" s="105"/>
      <c r="AV806" s="105"/>
      <c r="AW806" s="105"/>
      <c r="AX806" s="105"/>
      <c r="AY806" s="105"/>
      <c r="AZ806" s="105"/>
      <c r="BA806" s="105"/>
    </row>
    <row r="807">
      <c r="A807" s="105"/>
      <c r="B807" s="105"/>
      <c r="C807" s="105"/>
      <c r="D807" s="105"/>
      <c r="E807" s="105"/>
      <c r="F807" s="105"/>
      <c r="G807" s="105"/>
      <c r="H807" s="105"/>
      <c r="I807" s="505" t="b">
        <v>0</v>
      </c>
      <c r="J807" s="507" t="b">
        <v>0</v>
      </c>
      <c r="K807" s="112"/>
      <c r="L807" s="505" t="b">
        <v>0</v>
      </c>
      <c r="M807" s="504" t="b">
        <v>0</v>
      </c>
      <c r="N807" s="112"/>
      <c r="O807" s="505" t="b">
        <v>0</v>
      </c>
      <c r="P807" s="504" t="b">
        <v>0</v>
      </c>
      <c r="Q807" s="116"/>
      <c r="R807" s="505" t="b">
        <v>0</v>
      </c>
      <c r="S807" s="504" t="b">
        <v>0</v>
      </c>
      <c r="T807" s="117"/>
      <c r="U807" s="505" t="b">
        <v>0</v>
      </c>
      <c r="V807" s="504" t="b">
        <v>0</v>
      </c>
      <c r="W807" s="118"/>
      <c r="X807" s="505" t="b">
        <v>0</v>
      </c>
      <c r="Y807" s="504" t="b">
        <v>0</v>
      </c>
      <c r="Z807" s="119"/>
      <c r="AA807" s="505" t="b">
        <v>0</v>
      </c>
      <c r="AB807" s="504" t="b">
        <v>0</v>
      </c>
      <c r="AC807" s="121"/>
      <c r="AD807" s="505" t="b">
        <v>0</v>
      </c>
      <c r="AE807" s="504" t="b">
        <v>0</v>
      </c>
      <c r="AF807" s="125"/>
      <c r="AG807" s="505" t="b">
        <v>0</v>
      </c>
      <c r="AH807" s="504" t="b">
        <v>0</v>
      </c>
      <c r="AI807" s="105"/>
      <c r="AJ807" s="505" t="b">
        <v>0</v>
      </c>
      <c r="AK807" s="504" t="b">
        <v>0</v>
      </c>
      <c r="AL807" s="126"/>
      <c r="AM807" s="505" t="b">
        <v>0</v>
      </c>
      <c r="AN807" s="504" t="b">
        <v>0</v>
      </c>
      <c r="AO807" s="105"/>
      <c r="AP807" s="105"/>
      <c r="AQ807" s="105"/>
      <c r="AR807" s="105"/>
      <c r="AS807" s="105"/>
      <c r="AT807" s="105"/>
      <c r="AU807" s="105"/>
      <c r="AV807" s="105"/>
      <c r="AW807" s="105"/>
      <c r="AX807" s="105"/>
      <c r="AY807" s="105"/>
      <c r="AZ807" s="105"/>
      <c r="BA807" s="105"/>
    </row>
    <row r="808">
      <c r="A808" s="105"/>
      <c r="B808" s="105"/>
      <c r="C808" s="105"/>
      <c r="D808" s="105"/>
      <c r="E808" s="105"/>
      <c r="F808" s="105"/>
      <c r="G808" s="105"/>
      <c r="H808" s="105"/>
      <c r="I808" s="505" t="b">
        <v>0</v>
      </c>
      <c r="J808" s="507" t="b">
        <v>0</v>
      </c>
      <c r="K808" s="112"/>
      <c r="L808" s="505" t="b">
        <v>0</v>
      </c>
      <c r="M808" s="504" t="b">
        <v>0</v>
      </c>
      <c r="N808" s="112"/>
      <c r="O808" s="505" t="b">
        <v>0</v>
      </c>
      <c r="P808" s="504" t="b">
        <v>0</v>
      </c>
      <c r="Q808" s="116"/>
      <c r="R808" s="505" t="b">
        <v>0</v>
      </c>
      <c r="S808" s="504" t="b">
        <v>0</v>
      </c>
      <c r="T808" s="117"/>
      <c r="U808" s="505" t="b">
        <v>0</v>
      </c>
      <c r="V808" s="504" t="b">
        <v>0</v>
      </c>
      <c r="W808" s="118"/>
      <c r="X808" s="505" t="b">
        <v>0</v>
      </c>
      <c r="Y808" s="504" t="b">
        <v>0</v>
      </c>
      <c r="Z808" s="119"/>
      <c r="AA808" s="505" t="b">
        <v>0</v>
      </c>
      <c r="AB808" s="504" t="b">
        <v>0</v>
      </c>
      <c r="AC808" s="121"/>
      <c r="AD808" s="505" t="b">
        <v>0</v>
      </c>
      <c r="AE808" s="504" t="b">
        <v>0</v>
      </c>
      <c r="AF808" s="125"/>
      <c r="AG808" s="505" t="b">
        <v>0</v>
      </c>
      <c r="AH808" s="504" t="b">
        <v>0</v>
      </c>
      <c r="AI808" s="105"/>
      <c r="AJ808" s="505" t="b">
        <v>0</v>
      </c>
      <c r="AK808" s="504" t="b">
        <v>0</v>
      </c>
      <c r="AL808" s="126"/>
      <c r="AM808" s="505" t="b">
        <v>0</v>
      </c>
      <c r="AN808" s="504" t="b">
        <v>0</v>
      </c>
      <c r="AO808" s="105"/>
      <c r="AP808" s="105"/>
      <c r="AQ808" s="105"/>
      <c r="AR808" s="105"/>
      <c r="AS808" s="105"/>
      <c r="AT808" s="105"/>
      <c r="AU808" s="105"/>
      <c r="AV808" s="105"/>
      <c r="AW808" s="105"/>
      <c r="AX808" s="105"/>
      <c r="AY808" s="105"/>
      <c r="AZ808" s="105"/>
      <c r="BA808" s="105"/>
    </row>
    <row r="809">
      <c r="A809" s="105"/>
      <c r="B809" s="105"/>
      <c r="C809" s="105"/>
      <c r="D809" s="105"/>
      <c r="E809" s="105"/>
      <c r="F809" s="105"/>
      <c r="G809" s="105"/>
      <c r="H809" s="105"/>
      <c r="I809" s="505" t="b">
        <v>0</v>
      </c>
      <c r="J809" s="507" t="b">
        <v>0</v>
      </c>
      <c r="K809" s="112"/>
      <c r="L809" s="505" t="b">
        <v>0</v>
      </c>
      <c r="M809" s="504" t="b">
        <v>0</v>
      </c>
      <c r="N809" s="112"/>
      <c r="O809" s="505" t="b">
        <v>0</v>
      </c>
      <c r="P809" s="504" t="b">
        <v>0</v>
      </c>
      <c r="Q809" s="116"/>
      <c r="R809" s="505" t="b">
        <v>0</v>
      </c>
      <c r="S809" s="504" t="b">
        <v>0</v>
      </c>
      <c r="T809" s="117"/>
      <c r="U809" s="505" t="b">
        <v>0</v>
      </c>
      <c r="V809" s="504" t="b">
        <v>0</v>
      </c>
      <c r="W809" s="118"/>
      <c r="X809" s="505" t="b">
        <v>0</v>
      </c>
      <c r="Y809" s="504" t="b">
        <v>0</v>
      </c>
      <c r="Z809" s="119"/>
      <c r="AA809" s="505" t="b">
        <v>0</v>
      </c>
      <c r="AB809" s="504" t="b">
        <v>0</v>
      </c>
      <c r="AC809" s="121"/>
      <c r="AD809" s="505" t="b">
        <v>0</v>
      </c>
      <c r="AE809" s="504" t="b">
        <v>0</v>
      </c>
      <c r="AF809" s="125"/>
      <c r="AG809" s="505" t="b">
        <v>0</v>
      </c>
      <c r="AH809" s="504" t="b">
        <v>0</v>
      </c>
      <c r="AI809" s="105"/>
      <c r="AJ809" s="505" t="b">
        <v>0</v>
      </c>
      <c r="AK809" s="504" t="b">
        <v>0</v>
      </c>
      <c r="AL809" s="126"/>
      <c r="AM809" s="505" t="b">
        <v>0</v>
      </c>
      <c r="AN809" s="504" t="b">
        <v>0</v>
      </c>
      <c r="AO809" s="105"/>
      <c r="AP809" s="105"/>
      <c r="AQ809" s="105"/>
      <c r="AR809" s="105"/>
      <c r="AS809" s="105"/>
      <c r="AT809" s="105"/>
      <c r="AU809" s="105"/>
      <c r="AV809" s="105"/>
      <c r="AW809" s="105"/>
      <c r="AX809" s="105"/>
      <c r="AY809" s="105"/>
      <c r="AZ809" s="105"/>
      <c r="BA809" s="105"/>
    </row>
    <row r="810">
      <c r="A810" s="105"/>
      <c r="B810" s="105"/>
      <c r="C810" s="105"/>
      <c r="D810" s="105"/>
      <c r="E810" s="105"/>
      <c r="F810" s="105"/>
      <c r="G810" s="105"/>
      <c r="H810" s="105"/>
      <c r="I810" s="505" t="b">
        <v>0</v>
      </c>
      <c r="J810" s="507" t="b">
        <v>0</v>
      </c>
      <c r="K810" s="112"/>
      <c r="L810" s="505" t="b">
        <v>0</v>
      </c>
      <c r="M810" s="504" t="b">
        <v>0</v>
      </c>
      <c r="N810" s="112"/>
      <c r="O810" s="505" t="b">
        <v>0</v>
      </c>
      <c r="P810" s="504" t="b">
        <v>0</v>
      </c>
      <c r="Q810" s="116"/>
      <c r="R810" s="505" t="b">
        <v>0</v>
      </c>
      <c r="S810" s="504" t="b">
        <v>0</v>
      </c>
      <c r="T810" s="117"/>
      <c r="U810" s="505" t="b">
        <v>0</v>
      </c>
      <c r="V810" s="504" t="b">
        <v>0</v>
      </c>
      <c r="W810" s="118"/>
      <c r="X810" s="505" t="b">
        <v>0</v>
      </c>
      <c r="Y810" s="504" t="b">
        <v>0</v>
      </c>
      <c r="Z810" s="119"/>
      <c r="AA810" s="505" t="b">
        <v>0</v>
      </c>
      <c r="AB810" s="504" t="b">
        <v>0</v>
      </c>
      <c r="AC810" s="121"/>
      <c r="AD810" s="505" t="b">
        <v>0</v>
      </c>
      <c r="AE810" s="504" t="b">
        <v>0</v>
      </c>
      <c r="AF810" s="125"/>
      <c r="AG810" s="505" t="b">
        <v>0</v>
      </c>
      <c r="AH810" s="504" t="b">
        <v>0</v>
      </c>
      <c r="AI810" s="105"/>
      <c r="AJ810" s="505" t="b">
        <v>0</v>
      </c>
      <c r="AK810" s="504" t="b">
        <v>0</v>
      </c>
      <c r="AL810" s="126"/>
      <c r="AM810" s="505" t="b">
        <v>0</v>
      </c>
      <c r="AN810" s="504" t="b">
        <v>0</v>
      </c>
      <c r="AO810" s="105"/>
      <c r="AP810" s="105"/>
      <c r="AQ810" s="105"/>
      <c r="AR810" s="105"/>
      <c r="AS810" s="105"/>
      <c r="AT810" s="105"/>
      <c r="AU810" s="105"/>
      <c r="AV810" s="105"/>
      <c r="AW810" s="105"/>
      <c r="AX810" s="105"/>
      <c r="AY810" s="105"/>
      <c r="AZ810" s="105"/>
      <c r="BA810" s="105"/>
    </row>
    <row r="811">
      <c r="A811" s="105"/>
      <c r="B811" s="105"/>
      <c r="C811" s="105"/>
      <c r="D811" s="105"/>
      <c r="E811" s="105"/>
      <c r="F811" s="105"/>
      <c r="G811" s="105"/>
      <c r="H811" s="105"/>
      <c r="I811" s="505" t="b">
        <v>0</v>
      </c>
      <c r="J811" s="507" t="b">
        <v>0</v>
      </c>
      <c r="K811" s="112"/>
      <c r="L811" s="505" t="b">
        <v>0</v>
      </c>
      <c r="M811" s="504" t="b">
        <v>0</v>
      </c>
      <c r="N811" s="112"/>
      <c r="O811" s="505" t="b">
        <v>0</v>
      </c>
      <c r="P811" s="504" t="b">
        <v>0</v>
      </c>
      <c r="Q811" s="116"/>
      <c r="R811" s="505" t="b">
        <v>0</v>
      </c>
      <c r="S811" s="504" t="b">
        <v>0</v>
      </c>
      <c r="T811" s="117"/>
      <c r="U811" s="505" t="b">
        <v>0</v>
      </c>
      <c r="V811" s="504" t="b">
        <v>0</v>
      </c>
      <c r="W811" s="118"/>
      <c r="X811" s="505" t="b">
        <v>0</v>
      </c>
      <c r="Y811" s="504" t="b">
        <v>0</v>
      </c>
      <c r="Z811" s="119"/>
      <c r="AA811" s="505" t="b">
        <v>0</v>
      </c>
      <c r="AB811" s="504" t="b">
        <v>0</v>
      </c>
      <c r="AC811" s="121"/>
      <c r="AD811" s="505" t="b">
        <v>0</v>
      </c>
      <c r="AE811" s="504" t="b">
        <v>0</v>
      </c>
      <c r="AF811" s="125"/>
      <c r="AG811" s="505" t="b">
        <v>0</v>
      </c>
      <c r="AH811" s="504" t="b">
        <v>0</v>
      </c>
      <c r="AI811" s="105"/>
      <c r="AJ811" s="505" t="b">
        <v>0</v>
      </c>
      <c r="AK811" s="504" t="b">
        <v>0</v>
      </c>
      <c r="AL811" s="126"/>
      <c r="AM811" s="505" t="b">
        <v>0</v>
      </c>
      <c r="AN811" s="504" t="b">
        <v>0</v>
      </c>
      <c r="AO811" s="105"/>
      <c r="AP811" s="105"/>
      <c r="AQ811" s="105"/>
      <c r="AR811" s="105"/>
      <c r="AS811" s="105"/>
      <c r="AT811" s="105"/>
      <c r="AU811" s="105"/>
      <c r="AV811" s="105"/>
      <c r="AW811" s="105"/>
      <c r="AX811" s="105"/>
      <c r="AY811" s="105"/>
      <c r="AZ811" s="105"/>
      <c r="BA811" s="105"/>
    </row>
    <row r="812">
      <c r="A812" s="105"/>
      <c r="B812" s="105"/>
      <c r="C812" s="105"/>
      <c r="D812" s="105"/>
      <c r="E812" s="105"/>
      <c r="F812" s="105"/>
      <c r="G812" s="105"/>
      <c r="H812" s="105"/>
      <c r="I812" s="505" t="b">
        <v>0</v>
      </c>
      <c r="J812" s="507" t="b">
        <v>0</v>
      </c>
      <c r="K812" s="112"/>
      <c r="L812" s="505" t="b">
        <v>0</v>
      </c>
      <c r="M812" s="504" t="b">
        <v>0</v>
      </c>
      <c r="N812" s="112"/>
      <c r="O812" s="505" t="b">
        <v>0</v>
      </c>
      <c r="P812" s="504" t="b">
        <v>0</v>
      </c>
      <c r="Q812" s="116"/>
      <c r="R812" s="505" t="b">
        <v>0</v>
      </c>
      <c r="S812" s="504" t="b">
        <v>0</v>
      </c>
      <c r="T812" s="117"/>
      <c r="U812" s="505" t="b">
        <v>0</v>
      </c>
      <c r="V812" s="504" t="b">
        <v>0</v>
      </c>
      <c r="W812" s="118"/>
      <c r="X812" s="505" t="b">
        <v>0</v>
      </c>
      <c r="Y812" s="504" t="b">
        <v>0</v>
      </c>
      <c r="Z812" s="119"/>
      <c r="AA812" s="505" t="b">
        <v>0</v>
      </c>
      <c r="AB812" s="504" t="b">
        <v>0</v>
      </c>
      <c r="AC812" s="121"/>
      <c r="AD812" s="505" t="b">
        <v>0</v>
      </c>
      <c r="AE812" s="504" t="b">
        <v>0</v>
      </c>
      <c r="AF812" s="125"/>
      <c r="AG812" s="505" t="b">
        <v>0</v>
      </c>
      <c r="AH812" s="504" t="b">
        <v>0</v>
      </c>
      <c r="AI812" s="105"/>
      <c r="AJ812" s="505" t="b">
        <v>0</v>
      </c>
      <c r="AK812" s="504" t="b">
        <v>0</v>
      </c>
      <c r="AL812" s="126"/>
      <c r="AM812" s="505" t="b">
        <v>0</v>
      </c>
      <c r="AN812" s="504" t="b">
        <v>0</v>
      </c>
      <c r="AO812" s="105"/>
      <c r="AP812" s="105"/>
      <c r="AQ812" s="105"/>
      <c r="AR812" s="105"/>
      <c r="AS812" s="105"/>
      <c r="AT812" s="105"/>
      <c r="AU812" s="105"/>
      <c r="AV812" s="105"/>
      <c r="AW812" s="105"/>
      <c r="AX812" s="105"/>
      <c r="AY812" s="105"/>
      <c r="AZ812" s="105"/>
      <c r="BA812" s="105"/>
    </row>
    <row r="813">
      <c r="A813" s="105"/>
      <c r="B813" s="105"/>
      <c r="C813" s="105"/>
      <c r="D813" s="105"/>
      <c r="E813" s="105"/>
      <c r="F813" s="105"/>
      <c r="G813" s="105"/>
      <c r="H813" s="105"/>
      <c r="I813" s="505" t="b">
        <v>0</v>
      </c>
      <c r="J813" s="507" t="b">
        <v>0</v>
      </c>
      <c r="K813" s="112"/>
      <c r="L813" s="505" t="b">
        <v>0</v>
      </c>
      <c r="M813" s="504" t="b">
        <v>0</v>
      </c>
      <c r="N813" s="112"/>
      <c r="O813" s="505" t="b">
        <v>0</v>
      </c>
      <c r="P813" s="504" t="b">
        <v>0</v>
      </c>
      <c r="Q813" s="116"/>
      <c r="R813" s="505" t="b">
        <v>0</v>
      </c>
      <c r="S813" s="504" t="b">
        <v>0</v>
      </c>
      <c r="T813" s="117"/>
      <c r="U813" s="505" t="b">
        <v>0</v>
      </c>
      <c r="V813" s="504" t="b">
        <v>0</v>
      </c>
      <c r="W813" s="118"/>
      <c r="X813" s="505" t="b">
        <v>0</v>
      </c>
      <c r="Y813" s="504" t="b">
        <v>0</v>
      </c>
      <c r="Z813" s="119"/>
      <c r="AA813" s="505" t="b">
        <v>0</v>
      </c>
      <c r="AB813" s="504" t="b">
        <v>0</v>
      </c>
      <c r="AC813" s="121"/>
      <c r="AD813" s="505" t="b">
        <v>0</v>
      </c>
      <c r="AE813" s="504" t="b">
        <v>0</v>
      </c>
      <c r="AF813" s="125"/>
      <c r="AG813" s="505" t="b">
        <v>0</v>
      </c>
      <c r="AH813" s="504" t="b">
        <v>0</v>
      </c>
      <c r="AI813" s="105"/>
      <c r="AJ813" s="505" t="b">
        <v>0</v>
      </c>
      <c r="AK813" s="504" t="b">
        <v>0</v>
      </c>
      <c r="AL813" s="126"/>
      <c r="AM813" s="505" t="b">
        <v>0</v>
      </c>
      <c r="AN813" s="504" t="b">
        <v>0</v>
      </c>
      <c r="AO813" s="105"/>
      <c r="AP813" s="105"/>
      <c r="AQ813" s="105"/>
      <c r="AR813" s="105"/>
      <c r="AS813" s="105"/>
      <c r="AT813" s="105"/>
      <c r="AU813" s="105"/>
      <c r="AV813" s="105"/>
      <c r="AW813" s="105"/>
      <c r="AX813" s="105"/>
      <c r="AY813" s="105"/>
      <c r="AZ813" s="105"/>
      <c r="BA813" s="105"/>
    </row>
    <row r="814">
      <c r="A814" s="105"/>
      <c r="B814" s="105"/>
      <c r="C814" s="105"/>
      <c r="D814" s="105"/>
      <c r="E814" s="105"/>
      <c r="F814" s="105"/>
      <c r="G814" s="105"/>
      <c r="H814" s="105"/>
      <c r="I814" s="505" t="b">
        <v>0</v>
      </c>
      <c r="J814" s="507" t="b">
        <v>0</v>
      </c>
      <c r="K814" s="112"/>
      <c r="L814" s="505" t="b">
        <v>0</v>
      </c>
      <c r="M814" s="504" t="b">
        <v>0</v>
      </c>
      <c r="N814" s="112"/>
      <c r="O814" s="505" t="b">
        <v>0</v>
      </c>
      <c r="P814" s="504" t="b">
        <v>0</v>
      </c>
      <c r="Q814" s="116"/>
      <c r="R814" s="505" t="b">
        <v>0</v>
      </c>
      <c r="S814" s="504" t="b">
        <v>0</v>
      </c>
      <c r="T814" s="117"/>
      <c r="U814" s="505" t="b">
        <v>0</v>
      </c>
      <c r="V814" s="504" t="b">
        <v>0</v>
      </c>
      <c r="W814" s="118"/>
      <c r="X814" s="505" t="b">
        <v>0</v>
      </c>
      <c r="Y814" s="504" t="b">
        <v>0</v>
      </c>
      <c r="Z814" s="119"/>
      <c r="AA814" s="505" t="b">
        <v>0</v>
      </c>
      <c r="AB814" s="504" t="b">
        <v>0</v>
      </c>
      <c r="AC814" s="121"/>
      <c r="AD814" s="505" t="b">
        <v>0</v>
      </c>
      <c r="AE814" s="504" t="b">
        <v>0</v>
      </c>
      <c r="AF814" s="125"/>
      <c r="AG814" s="505" t="b">
        <v>0</v>
      </c>
      <c r="AH814" s="504" t="b">
        <v>0</v>
      </c>
      <c r="AI814" s="105"/>
      <c r="AJ814" s="505" t="b">
        <v>0</v>
      </c>
      <c r="AK814" s="504" t="b">
        <v>0</v>
      </c>
      <c r="AL814" s="126"/>
      <c r="AM814" s="505" t="b">
        <v>0</v>
      </c>
      <c r="AN814" s="504" t="b">
        <v>0</v>
      </c>
      <c r="AO814" s="105"/>
      <c r="AP814" s="105"/>
      <c r="AQ814" s="105"/>
      <c r="AR814" s="105"/>
      <c r="AS814" s="105"/>
      <c r="AT814" s="105"/>
      <c r="AU814" s="105"/>
      <c r="AV814" s="105"/>
      <c r="AW814" s="105"/>
      <c r="AX814" s="105"/>
      <c r="AY814" s="105"/>
      <c r="AZ814" s="105"/>
      <c r="BA814" s="105"/>
    </row>
    <row r="815">
      <c r="A815" s="105"/>
      <c r="B815" s="105"/>
      <c r="C815" s="105"/>
      <c r="D815" s="105"/>
      <c r="E815" s="105"/>
      <c r="F815" s="105"/>
      <c r="G815" s="105"/>
      <c r="H815" s="105"/>
      <c r="I815" s="505" t="b">
        <v>0</v>
      </c>
      <c r="J815" s="507" t="b">
        <v>0</v>
      </c>
      <c r="K815" s="112"/>
      <c r="L815" s="505" t="b">
        <v>0</v>
      </c>
      <c r="M815" s="504" t="b">
        <v>0</v>
      </c>
      <c r="N815" s="112"/>
      <c r="O815" s="505" t="b">
        <v>0</v>
      </c>
      <c r="P815" s="504" t="b">
        <v>0</v>
      </c>
      <c r="Q815" s="116"/>
      <c r="R815" s="505" t="b">
        <v>0</v>
      </c>
      <c r="S815" s="504" t="b">
        <v>0</v>
      </c>
      <c r="T815" s="117"/>
      <c r="U815" s="505" t="b">
        <v>0</v>
      </c>
      <c r="V815" s="504" t="b">
        <v>0</v>
      </c>
      <c r="W815" s="118"/>
      <c r="X815" s="505" t="b">
        <v>0</v>
      </c>
      <c r="Y815" s="504" t="b">
        <v>0</v>
      </c>
      <c r="Z815" s="119"/>
      <c r="AA815" s="505" t="b">
        <v>0</v>
      </c>
      <c r="AB815" s="504" t="b">
        <v>0</v>
      </c>
      <c r="AC815" s="121"/>
      <c r="AD815" s="505" t="b">
        <v>0</v>
      </c>
      <c r="AE815" s="504" t="b">
        <v>0</v>
      </c>
      <c r="AF815" s="125"/>
      <c r="AG815" s="505" t="b">
        <v>0</v>
      </c>
      <c r="AH815" s="504" t="b">
        <v>0</v>
      </c>
      <c r="AI815" s="105"/>
      <c r="AJ815" s="505" t="b">
        <v>0</v>
      </c>
      <c r="AK815" s="504" t="b">
        <v>0</v>
      </c>
      <c r="AL815" s="126"/>
      <c r="AM815" s="505" t="b">
        <v>0</v>
      </c>
      <c r="AN815" s="504" t="b">
        <v>0</v>
      </c>
      <c r="AO815" s="105"/>
      <c r="AP815" s="105"/>
      <c r="AQ815" s="105"/>
      <c r="AR815" s="105"/>
      <c r="AS815" s="105"/>
      <c r="AT815" s="105"/>
      <c r="AU815" s="105"/>
      <c r="AV815" s="105"/>
      <c r="AW815" s="105"/>
      <c r="AX815" s="105"/>
      <c r="AY815" s="105"/>
      <c r="AZ815" s="105"/>
      <c r="BA815" s="105"/>
    </row>
    <row r="816">
      <c r="A816" s="105"/>
      <c r="B816" s="105"/>
      <c r="C816" s="105"/>
      <c r="D816" s="105"/>
      <c r="E816" s="105"/>
      <c r="F816" s="105"/>
      <c r="G816" s="105"/>
      <c r="H816" s="105"/>
      <c r="I816" s="505" t="b">
        <v>0</v>
      </c>
      <c r="J816" s="507" t="b">
        <v>0</v>
      </c>
      <c r="K816" s="112"/>
      <c r="L816" s="505" t="b">
        <v>0</v>
      </c>
      <c r="M816" s="504" t="b">
        <v>0</v>
      </c>
      <c r="N816" s="112"/>
      <c r="O816" s="505" t="b">
        <v>0</v>
      </c>
      <c r="P816" s="504" t="b">
        <v>0</v>
      </c>
      <c r="Q816" s="116"/>
      <c r="R816" s="505" t="b">
        <v>0</v>
      </c>
      <c r="S816" s="504" t="b">
        <v>0</v>
      </c>
      <c r="T816" s="117"/>
      <c r="U816" s="505" t="b">
        <v>0</v>
      </c>
      <c r="V816" s="504" t="b">
        <v>0</v>
      </c>
      <c r="W816" s="118"/>
      <c r="X816" s="505" t="b">
        <v>0</v>
      </c>
      <c r="Y816" s="504" t="b">
        <v>0</v>
      </c>
      <c r="Z816" s="119"/>
      <c r="AA816" s="505" t="b">
        <v>0</v>
      </c>
      <c r="AB816" s="504" t="b">
        <v>0</v>
      </c>
      <c r="AC816" s="121"/>
      <c r="AD816" s="505" t="b">
        <v>0</v>
      </c>
      <c r="AE816" s="504" t="b">
        <v>0</v>
      </c>
      <c r="AF816" s="125"/>
      <c r="AG816" s="505" t="b">
        <v>0</v>
      </c>
      <c r="AH816" s="504" t="b">
        <v>0</v>
      </c>
      <c r="AI816" s="105"/>
      <c r="AJ816" s="505" t="b">
        <v>0</v>
      </c>
      <c r="AK816" s="504" t="b">
        <v>0</v>
      </c>
      <c r="AL816" s="126"/>
      <c r="AM816" s="505" t="b">
        <v>0</v>
      </c>
      <c r="AN816" s="504" t="b">
        <v>0</v>
      </c>
      <c r="AO816" s="105"/>
      <c r="AP816" s="105"/>
      <c r="AQ816" s="105"/>
      <c r="AR816" s="105"/>
      <c r="AS816" s="105"/>
      <c r="AT816" s="105"/>
      <c r="AU816" s="105"/>
      <c r="AV816" s="105"/>
      <c r="AW816" s="105"/>
      <c r="AX816" s="105"/>
      <c r="AY816" s="105"/>
      <c r="AZ816" s="105"/>
      <c r="BA816" s="105"/>
    </row>
    <row r="817">
      <c r="A817" s="105"/>
      <c r="B817" s="105"/>
      <c r="C817" s="105"/>
      <c r="D817" s="105"/>
      <c r="E817" s="105"/>
      <c r="F817" s="105"/>
      <c r="G817" s="105"/>
      <c r="H817" s="105"/>
      <c r="I817" s="505" t="b">
        <v>0</v>
      </c>
      <c r="J817" s="507" t="b">
        <v>0</v>
      </c>
      <c r="K817" s="112"/>
      <c r="L817" s="505" t="b">
        <v>0</v>
      </c>
      <c r="M817" s="504" t="b">
        <v>0</v>
      </c>
      <c r="N817" s="112"/>
      <c r="O817" s="505" t="b">
        <v>0</v>
      </c>
      <c r="P817" s="504" t="b">
        <v>0</v>
      </c>
      <c r="Q817" s="116"/>
      <c r="R817" s="505" t="b">
        <v>0</v>
      </c>
      <c r="S817" s="504" t="b">
        <v>0</v>
      </c>
      <c r="T817" s="117"/>
      <c r="U817" s="505" t="b">
        <v>0</v>
      </c>
      <c r="V817" s="504" t="b">
        <v>0</v>
      </c>
      <c r="W817" s="118"/>
      <c r="X817" s="505" t="b">
        <v>0</v>
      </c>
      <c r="Y817" s="504" t="b">
        <v>0</v>
      </c>
      <c r="Z817" s="119"/>
      <c r="AA817" s="505" t="b">
        <v>0</v>
      </c>
      <c r="AB817" s="504" t="b">
        <v>0</v>
      </c>
      <c r="AC817" s="121"/>
      <c r="AD817" s="505" t="b">
        <v>0</v>
      </c>
      <c r="AE817" s="504" t="b">
        <v>0</v>
      </c>
      <c r="AF817" s="125"/>
      <c r="AG817" s="505" t="b">
        <v>0</v>
      </c>
      <c r="AH817" s="504" t="b">
        <v>0</v>
      </c>
      <c r="AI817" s="105"/>
      <c r="AJ817" s="505" t="b">
        <v>0</v>
      </c>
      <c r="AK817" s="504" t="b">
        <v>0</v>
      </c>
      <c r="AL817" s="126"/>
      <c r="AM817" s="505" t="b">
        <v>0</v>
      </c>
      <c r="AN817" s="504" t="b">
        <v>0</v>
      </c>
      <c r="AO817" s="105"/>
      <c r="AP817" s="105"/>
      <c r="AQ817" s="105"/>
      <c r="AR817" s="105"/>
      <c r="AS817" s="105"/>
      <c r="AT817" s="105"/>
      <c r="AU817" s="105"/>
      <c r="AV817" s="105"/>
      <c r="AW817" s="105"/>
      <c r="AX817" s="105"/>
      <c r="AY817" s="105"/>
      <c r="AZ817" s="105"/>
      <c r="BA817" s="105"/>
    </row>
    <row r="818">
      <c r="A818" s="105"/>
      <c r="B818" s="105"/>
      <c r="C818" s="105"/>
      <c r="D818" s="105"/>
      <c r="E818" s="105"/>
      <c r="F818" s="105"/>
      <c r="G818" s="105"/>
      <c r="H818" s="105"/>
      <c r="I818" s="505" t="b">
        <v>0</v>
      </c>
      <c r="J818" s="507" t="b">
        <v>0</v>
      </c>
      <c r="K818" s="112"/>
      <c r="L818" s="505" t="b">
        <v>0</v>
      </c>
      <c r="M818" s="504" t="b">
        <v>0</v>
      </c>
      <c r="N818" s="112"/>
      <c r="O818" s="505" t="b">
        <v>0</v>
      </c>
      <c r="P818" s="504" t="b">
        <v>0</v>
      </c>
      <c r="Q818" s="116"/>
      <c r="R818" s="505" t="b">
        <v>0</v>
      </c>
      <c r="S818" s="504" t="b">
        <v>0</v>
      </c>
      <c r="T818" s="117"/>
      <c r="U818" s="505" t="b">
        <v>0</v>
      </c>
      <c r="V818" s="504" t="b">
        <v>0</v>
      </c>
      <c r="W818" s="118"/>
      <c r="X818" s="505" t="b">
        <v>0</v>
      </c>
      <c r="Y818" s="504" t="b">
        <v>0</v>
      </c>
      <c r="Z818" s="119"/>
      <c r="AA818" s="505" t="b">
        <v>0</v>
      </c>
      <c r="AB818" s="504" t="b">
        <v>0</v>
      </c>
      <c r="AC818" s="121"/>
      <c r="AD818" s="505" t="b">
        <v>0</v>
      </c>
      <c r="AE818" s="504" t="b">
        <v>0</v>
      </c>
      <c r="AF818" s="125"/>
      <c r="AG818" s="505" t="b">
        <v>0</v>
      </c>
      <c r="AH818" s="504" t="b">
        <v>0</v>
      </c>
      <c r="AI818" s="105"/>
      <c r="AJ818" s="505" t="b">
        <v>0</v>
      </c>
      <c r="AK818" s="504" t="b">
        <v>0</v>
      </c>
      <c r="AL818" s="126"/>
      <c r="AM818" s="505" t="b">
        <v>0</v>
      </c>
      <c r="AN818" s="504" t="b">
        <v>0</v>
      </c>
      <c r="AO818" s="105"/>
      <c r="AP818" s="105"/>
      <c r="AQ818" s="105"/>
      <c r="AR818" s="105"/>
      <c r="AS818" s="105"/>
      <c r="AT818" s="105"/>
      <c r="AU818" s="105"/>
      <c r="AV818" s="105"/>
      <c r="AW818" s="105"/>
      <c r="AX818" s="105"/>
      <c r="AY818" s="105"/>
      <c r="AZ818" s="105"/>
      <c r="BA818" s="105"/>
    </row>
    <row r="819">
      <c r="A819" s="105"/>
      <c r="B819" s="105"/>
      <c r="C819" s="105"/>
      <c r="D819" s="105"/>
      <c r="E819" s="105"/>
      <c r="F819" s="105"/>
      <c r="G819" s="105"/>
      <c r="H819" s="105"/>
      <c r="I819" s="505" t="b">
        <v>0</v>
      </c>
      <c r="J819" s="507" t="b">
        <v>0</v>
      </c>
      <c r="K819" s="112"/>
      <c r="L819" s="505" t="b">
        <v>0</v>
      </c>
      <c r="M819" s="504" t="b">
        <v>0</v>
      </c>
      <c r="N819" s="112"/>
      <c r="O819" s="505" t="b">
        <v>0</v>
      </c>
      <c r="P819" s="504" t="b">
        <v>0</v>
      </c>
      <c r="Q819" s="116"/>
      <c r="R819" s="505" t="b">
        <v>0</v>
      </c>
      <c r="S819" s="504" t="b">
        <v>0</v>
      </c>
      <c r="T819" s="117"/>
      <c r="U819" s="505" t="b">
        <v>0</v>
      </c>
      <c r="V819" s="504" t="b">
        <v>0</v>
      </c>
      <c r="W819" s="118"/>
      <c r="X819" s="505" t="b">
        <v>0</v>
      </c>
      <c r="Y819" s="504" t="b">
        <v>0</v>
      </c>
      <c r="Z819" s="119"/>
      <c r="AA819" s="505" t="b">
        <v>0</v>
      </c>
      <c r="AB819" s="504" t="b">
        <v>0</v>
      </c>
      <c r="AC819" s="121"/>
      <c r="AD819" s="505" t="b">
        <v>0</v>
      </c>
      <c r="AE819" s="504" t="b">
        <v>0</v>
      </c>
      <c r="AF819" s="125"/>
      <c r="AG819" s="505" t="b">
        <v>0</v>
      </c>
      <c r="AH819" s="504" t="b">
        <v>0</v>
      </c>
      <c r="AI819" s="105"/>
      <c r="AJ819" s="505" t="b">
        <v>0</v>
      </c>
      <c r="AK819" s="504" t="b">
        <v>0</v>
      </c>
      <c r="AL819" s="126"/>
      <c r="AM819" s="505" t="b">
        <v>0</v>
      </c>
      <c r="AN819" s="504" t="b">
        <v>0</v>
      </c>
      <c r="AO819" s="105"/>
      <c r="AP819" s="105"/>
      <c r="AQ819" s="105"/>
      <c r="AR819" s="105"/>
      <c r="AS819" s="105"/>
      <c r="AT819" s="105"/>
      <c r="AU819" s="105"/>
      <c r="AV819" s="105"/>
      <c r="AW819" s="105"/>
      <c r="AX819" s="105"/>
      <c r="AY819" s="105"/>
      <c r="AZ819" s="105"/>
      <c r="BA819" s="105"/>
    </row>
    <row r="820">
      <c r="A820" s="105"/>
      <c r="B820" s="105"/>
      <c r="C820" s="105"/>
      <c r="D820" s="105"/>
      <c r="E820" s="105"/>
      <c r="F820" s="105"/>
      <c r="G820" s="105"/>
      <c r="H820" s="105"/>
      <c r="I820" s="505" t="b">
        <v>0</v>
      </c>
      <c r="J820" s="507" t="b">
        <v>0</v>
      </c>
      <c r="K820" s="112"/>
      <c r="L820" s="505" t="b">
        <v>0</v>
      </c>
      <c r="M820" s="504" t="b">
        <v>0</v>
      </c>
      <c r="N820" s="112"/>
      <c r="O820" s="505" t="b">
        <v>0</v>
      </c>
      <c r="P820" s="504" t="b">
        <v>0</v>
      </c>
      <c r="Q820" s="116"/>
      <c r="R820" s="505" t="b">
        <v>0</v>
      </c>
      <c r="S820" s="504" t="b">
        <v>0</v>
      </c>
      <c r="T820" s="117"/>
      <c r="U820" s="505" t="b">
        <v>0</v>
      </c>
      <c r="V820" s="504" t="b">
        <v>0</v>
      </c>
      <c r="W820" s="118"/>
      <c r="X820" s="505" t="b">
        <v>0</v>
      </c>
      <c r="Y820" s="504" t="b">
        <v>0</v>
      </c>
      <c r="Z820" s="119"/>
      <c r="AA820" s="505" t="b">
        <v>0</v>
      </c>
      <c r="AB820" s="504" t="b">
        <v>0</v>
      </c>
      <c r="AC820" s="121"/>
      <c r="AD820" s="505" t="b">
        <v>0</v>
      </c>
      <c r="AE820" s="504" t="b">
        <v>0</v>
      </c>
      <c r="AF820" s="125"/>
      <c r="AG820" s="505" t="b">
        <v>0</v>
      </c>
      <c r="AH820" s="504" t="b">
        <v>0</v>
      </c>
      <c r="AI820" s="105"/>
      <c r="AJ820" s="505" t="b">
        <v>0</v>
      </c>
      <c r="AK820" s="504" t="b">
        <v>0</v>
      </c>
      <c r="AL820" s="126"/>
      <c r="AM820" s="505" t="b">
        <v>0</v>
      </c>
      <c r="AN820" s="504" t="b">
        <v>0</v>
      </c>
      <c r="AO820" s="105"/>
      <c r="AP820" s="105"/>
      <c r="AQ820" s="105"/>
      <c r="AR820" s="105"/>
      <c r="AS820" s="105"/>
      <c r="AT820" s="105"/>
      <c r="AU820" s="105"/>
      <c r="AV820" s="105"/>
      <c r="AW820" s="105"/>
      <c r="AX820" s="105"/>
      <c r="AY820" s="105"/>
      <c r="AZ820" s="105"/>
      <c r="BA820" s="105"/>
    </row>
    <row r="821">
      <c r="A821" s="105"/>
      <c r="B821" s="105"/>
      <c r="C821" s="105"/>
      <c r="D821" s="105"/>
      <c r="E821" s="105"/>
      <c r="F821" s="105"/>
      <c r="G821" s="105"/>
      <c r="H821" s="105"/>
      <c r="I821" s="505" t="b">
        <v>0</v>
      </c>
      <c r="J821" s="507" t="b">
        <v>0</v>
      </c>
      <c r="K821" s="112"/>
      <c r="L821" s="505" t="b">
        <v>0</v>
      </c>
      <c r="M821" s="504" t="b">
        <v>0</v>
      </c>
      <c r="N821" s="112"/>
      <c r="O821" s="505" t="b">
        <v>0</v>
      </c>
      <c r="P821" s="504" t="b">
        <v>0</v>
      </c>
      <c r="Q821" s="116"/>
      <c r="R821" s="505" t="b">
        <v>0</v>
      </c>
      <c r="S821" s="504" t="b">
        <v>0</v>
      </c>
      <c r="T821" s="117"/>
      <c r="U821" s="505" t="b">
        <v>0</v>
      </c>
      <c r="V821" s="504" t="b">
        <v>0</v>
      </c>
      <c r="W821" s="118"/>
      <c r="X821" s="505" t="b">
        <v>0</v>
      </c>
      <c r="Y821" s="504" t="b">
        <v>0</v>
      </c>
      <c r="Z821" s="119"/>
      <c r="AA821" s="505" t="b">
        <v>0</v>
      </c>
      <c r="AB821" s="504" t="b">
        <v>0</v>
      </c>
      <c r="AC821" s="121"/>
      <c r="AD821" s="505" t="b">
        <v>0</v>
      </c>
      <c r="AE821" s="504" t="b">
        <v>0</v>
      </c>
      <c r="AF821" s="125"/>
      <c r="AG821" s="505" t="b">
        <v>0</v>
      </c>
      <c r="AH821" s="504" t="b">
        <v>0</v>
      </c>
      <c r="AI821" s="105"/>
      <c r="AJ821" s="505" t="b">
        <v>0</v>
      </c>
      <c r="AK821" s="504" t="b">
        <v>0</v>
      </c>
      <c r="AL821" s="126"/>
      <c r="AM821" s="505" t="b">
        <v>0</v>
      </c>
      <c r="AN821" s="504" t="b">
        <v>0</v>
      </c>
      <c r="AO821" s="105"/>
      <c r="AP821" s="105"/>
      <c r="AQ821" s="105"/>
      <c r="AR821" s="105"/>
      <c r="AS821" s="105"/>
      <c r="AT821" s="105"/>
      <c r="AU821" s="105"/>
      <c r="AV821" s="105"/>
      <c r="AW821" s="105"/>
      <c r="AX821" s="105"/>
      <c r="AY821" s="105"/>
      <c r="AZ821" s="105"/>
      <c r="BA821" s="105"/>
    </row>
    <row r="822">
      <c r="A822" s="105"/>
      <c r="B822" s="105"/>
      <c r="C822" s="105"/>
      <c r="D822" s="105"/>
      <c r="E822" s="105"/>
      <c r="F822" s="105"/>
      <c r="G822" s="105"/>
      <c r="H822" s="105"/>
      <c r="I822" s="505" t="b">
        <v>0</v>
      </c>
      <c r="J822" s="507" t="b">
        <v>0</v>
      </c>
      <c r="K822" s="112"/>
      <c r="L822" s="505" t="b">
        <v>0</v>
      </c>
      <c r="M822" s="504" t="b">
        <v>0</v>
      </c>
      <c r="N822" s="112"/>
      <c r="O822" s="505" t="b">
        <v>0</v>
      </c>
      <c r="P822" s="504" t="b">
        <v>0</v>
      </c>
      <c r="Q822" s="116"/>
      <c r="R822" s="505" t="b">
        <v>0</v>
      </c>
      <c r="S822" s="504" t="b">
        <v>0</v>
      </c>
      <c r="T822" s="117"/>
      <c r="U822" s="505" t="b">
        <v>0</v>
      </c>
      <c r="V822" s="504" t="b">
        <v>0</v>
      </c>
      <c r="W822" s="118"/>
      <c r="X822" s="505" t="b">
        <v>0</v>
      </c>
      <c r="Y822" s="504" t="b">
        <v>0</v>
      </c>
      <c r="Z822" s="119"/>
      <c r="AA822" s="505" t="b">
        <v>0</v>
      </c>
      <c r="AB822" s="504" t="b">
        <v>0</v>
      </c>
      <c r="AC822" s="121"/>
      <c r="AD822" s="505" t="b">
        <v>0</v>
      </c>
      <c r="AE822" s="504" t="b">
        <v>0</v>
      </c>
      <c r="AF822" s="125"/>
      <c r="AG822" s="505" t="b">
        <v>0</v>
      </c>
      <c r="AH822" s="504" t="b">
        <v>0</v>
      </c>
      <c r="AI822" s="105"/>
      <c r="AJ822" s="505" t="b">
        <v>0</v>
      </c>
      <c r="AK822" s="504" t="b">
        <v>0</v>
      </c>
      <c r="AL822" s="126"/>
      <c r="AM822" s="505" t="b">
        <v>0</v>
      </c>
      <c r="AN822" s="504" t="b">
        <v>0</v>
      </c>
      <c r="AO822" s="105"/>
      <c r="AP822" s="105"/>
      <c r="AQ822" s="105"/>
      <c r="AR822" s="105"/>
      <c r="AS822" s="105"/>
      <c r="AT822" s="105"/>
      <c r="AU822" s="105"/>
      <c r="AV822" s="105"/>
      <c r="AW822" s="105"/>
      <c r="AX822" s="105"/>
      <c r="AY822" s="105"/>
      <c r="AZ822" s="105"/>
      <c r="BA822" s="105"/>
    </row>
    <row r="823">
      <c r="A823" s="105"/>
      <c r="B823" s="105"/>
      <c r="C823" s="105"/>
      <c r="D823" s="105"/>
      <c r="E823" s="105"/>
      <c r="F823" s="105"/>
      <c r="G823" s="105"/>
      <c r="H823" s="105"/>
      <c r="I823" s="505" t="b">
        <v>0</v>
      </c>
      <c r="J823" s="507" t="b">
        <v>0</v>
      </c>
      <c r="K823" s="112"/>
      <c r="L823" s="505" t="b">
        <v>0</v>
      </c>
      <c r="M823" s="504" t="b">
        <v>0</v>
      </c>
      <c r="N823" s="112"/>
      <c r="O823" s="505" t="b">
        <v>0</v>
      </c>
      <c r="P823" s="504" t="b">
        <v>0</v>
      </c>
      <c r="Q823" s="116"/>
      <c r="R823" s="505" t="b">
        <v>0</v>
      </c>
      <c r="S823" s="504" t="b">
        <v>0</v>
      </c>
      <c r="T823" s="117"/>
      <c r="U823" s="505" t="b">
        <v>0</v>
      </c>
      <c r="V823" s="504" t="b">
        <v>0</v>
      </c>
      <c r="W823" s="118"/>
      <c r="X823" s="505" t="b">
        <v>0</v>
      </c>
      <c r="Y823" s="504" t="b">
        <v>0</v>
      </c>
      <c r="Z823" s="119"/>
      <c r="AA823" s="505" t="b">
        <v>0</v>
      </c>
      <c r="AB823" s="504" t="b">
        <v>0</v>
      </c>
      <c r="AC823" s="121"/>
      <c r="AD823" s="505" t="b">
        <v>0</v>
      </c>
      <c r="AE823" s="504" t="b">
        <v>0</v>
      </c>
      <c r="AF823" s="125"/>
      <c r="AG823" s="505" t="b">
        <v>0</v>
      </c>
      <c r="AH823" s="504" t="b">
        <v>0</v>
      </c>
      <c r="AI823" s="105"/>
      <c r="AJ823" s="505" t="b">
        <v>0</v>
      </c>
      <c r="AK823" s="504" t="b">
        <v>0</v>
      </c>
      <c r="AL823" s="126"/>
      <c r="AM823" s="505" t="b">
        <v>0</v>
      </c>
      <c r="AN823" s="504" t="b">
        <v>0</v>
      </c>
      <c r="AO823" s="105"/>
      <c r="AP823" s="105"/>
      <c r="AQ823" s="105"/>
      <c r="AR823" s="105"/>
      <c r="AS823" s="105"/>
      <c r="AT823" s="105"/>
      <c r="AU823" s="105"/>
      <c r="AV823" s="105"/>
      <c r="AW823" s="105"/>
      <c r="AX823" s="105"/>
      <c r="AY823" s="105"/>
      <c r="AZ823" s="105"/>
      <c r="BA823" s="105"/>
    </row>
    <row r="824">
      <c r="A824" s="105"/>
      <c r="B824" s="105"/>
      <c r="C824" s="105"/>
      <c r="D824" s="105"/>
      <c r="E824" s="105"/>
      <c r="F824" s="105"/>
      <c r="G824" s="105"/>
      <c r="H824" s="105"/>
      <c r="I824" s="505" t="b">
        <v>0</v>
      </c>
      <c r="J824" s="507" t="b">
        <v>0</v>
      </c>
      <c r="K824" s="112"/>
      <c r="L824" s="505" t="b">
        <v>0</v>
      </c>
      <c r="M824" s="504" t="b">
        <v>0</v>
      </c>
      <c r="N824" s="112"/>
      <c r="O824" s="505" t="b">
        <v>0</v>
      </c>
      <c r="P824" s="504" t="b">
        <v>0</v>
      </c>
      <c r="Q824" s="116"/>
      <c r="R824" s="505" t="b">
        <v>0</v>
      </c>
      <c r="S824" s="504" t="b">
        <v>0</v>
      </c>
      <c r="T824" s="117"/>
      <c r="U824" s="505" t="b">
        <v>0</v>
      </c>
      <c r="V824" s="504" t="b">
        <v>0</v>
      </c>
      <c r="W824" s="118"/>
      <c r="X824" s="505" t="b">
        <v>0</v>
      </c>
      <c r="Y824" s="504" t="b">
        <v>0</v>
      </c>
      <c r="Z824" s="119"/>
      <c r="AA824" s="505" t="b">
        <v>0</v>
      </c>
      <c r="AB824" s="504" t="b">
        <v>0</v>
      </c>
      <c r="AC824" s="121"/>
      <c r="AD824" s="505" t="b">
        <v>0</v>
      </c>
      <c r="AE824" s="504" t="b">
        <v>0</v>
      </c>
      <c r="AF824" s="125"/>
      <c r="AG824" s="505" t="b">
        <v>0</v>
      </c>
      <c r="AH824" s="504" t="b">
        <v>0</v>
      </c>
      <c r="AI824" s="105"/>
      <c r="AJ824" s="505" t="b">
        <v>0</v>
      </c>
      <c r="AK824" s="504" t="b">
        <v>0</v>
      </c>
      <c r="AL824" s="126"/>
      <c r="AM824" s="505" t="b">
        <v>0</v>
      </c>
      <c r="AN824" s="504" t="b">
        <v>0</v>
      </c>
      <c r="AO824" s="105"/>
      <c r="AP824" s="105"/>
      <c r="AQ824" s="105"/>
      <c r="AR824" s="105"/>
      <c r="AS824" s="105"/>
      <c r="AT824" s="105"/>
      <c r="AU824" s="105"/>
      <c r="AV824" s="105"/>
      <c r="AW824" s="105"/>
      <c r="AX824" s="105"/>
      <c r="AY824" s="105"/>
      <c r="AZ824" s="105"/>
      <c r="BA824" s="105"/>
    </row>
    <row r="825">
      <c r="A825" s="105"/>
      <c r="B825" s="105"/>
      <c r="C825" s="105"/>
      <c r="D825" s="105"/>
      <c r="E825" s="105"/>
      <c r="F825" s="105"/>
      <c r="G825" s="105"/>
      <c r="H825" s="105"/>
      <c r="I825" s="505" t="b">
        <v>0</v>
      </c>
      <c r="J825" s="507" t="b">
        <v>0</v>
      </c>
      <c r="K825" s="112"/>
      <c r="L825" s="505" t="b">
        <v>0</v>
      </c>
      <c r="M825" s="504" t="b">
        <v>0</v>
      </c>
      <c r="N825" s="112"/>
      <c r="O825" s="505" t="b">
        <v>0</v>
      </c>
      <c r="P825" s="504" t="b">
        <v>0</v>
      </c>
      <c r="Q825" s="116"/>
      <c r="R825" s="505" t="b">
        <v>0</v>
      </c>
      <c r="S825" s="504" t="b">
        <v>0</v>
      </c>
      <c r="T825" s="117"/>
      <c r="U825" s="505" t="b">
        <v>0</v>
      </c>
      <c r="V825" s="504" t="b">
        <v>0</v>
      </c>
      <c r="W825" s="118"/>
      <c r="X825" s="505" t="b">
        <v>0</v>
      </c>
      <c r="Y825" s="504" t="b">
        <v>0</v>
      </c>
      <c r="Z825" s="119"/>
      <c r="AA825" s="505" t="b">
        <v>0</v>
      </c>
      <c r="AB825" s="504" t="b">
        <v>0</v>
      </c>
      <c r="AC825" s="121"/>
      <c r="AD825" s="505" t="b">
        <v>0</v>
      </c>
      <c r="AE825" s="504" t="b">
        <v>0</v>
      </c>
      <c r="AF825" s="125"/>
      <c r="AG825" s="505" t="b">
        <v>0</v>
      </c>
      <c r="AH825" s="504" t="b">
        <v>0</v>
      </c>
      <c r="AI825" s="105"/>
      <c r="AJ825" s="505" t="b">
        <v>0</v>
      </c>
      <c r="AK825" s="504" t="b">
        <v>0</v>
      </c>
      <c r="AL825" s="126"/>
      <c r="AM825" s="505" t="b">
        <v>0</v>
      </c>
      <c r="AN825" s="504" t="b">
        <v>0</v>
      </c>
      <c r="AO825" s="105"/>
      <c r="AP825" s="105"/>
      <c r="AQ825" s="105"/>
      <c r="AR825" s="105"/>
      <c r="AS825" s="105"/>
      <c r="AT825" s="105"/>
      <c r="AU825" s="105"/>
      <c r="AV825" s="105"/>
      <c r="AW825" s="105"/>
      <c r="AX825" s="105"/>
      <c r="AY825" s="105"/>
      <c r="AZ825" s="105"/>
      <c r="BA825" s="105"/>
    </row>
    <row r="826">
      <c r="A826" s="105"/>
      <c r="B826" s="105"/>
      <c r="C826" s="105"/>
      <c r="D826" s="105"/>
      <c r="E826" s="105"/>
      <c r="F826" s="105"/>
      <c r="G826" s="105"/>
      <c r="H826" s="105"/>
      <c r="I826" s="505" t="b">
        <v>0</v>
      </c>
      <c r="J826" s="507" t="b">
        <v>0</v>
      </c>
      <c r="K826" s="112"/>
      <c r="L826" s="505" t="b">
        <v>0</v>
      </c>
      <c r="M826" s="504" t="b">
        <v>0</v>
      </c>
      <c r="N826" s="112"/>
      <c r="O826" s="505" t="b">
        <v>0</v>
      </c>
      <c r="P826" s="504" t="b">
        <v>0</v>
      </c>
      <c r="Q826" s="116"/>
      <c r="R826" s="505" t="b">
        <v>0</v>
      </c>
      <c r="S826" s="504" t="b">
        <v>0</v>
      </c>
      <c r="T826" s="117"/>
      <c r="U826" s="505" t="b">
        <v>0</v>
      </c>
      <c r="V826" s="504" t="b">
        <v>0</v>
      </c>
      <c r="W826" s="118"/>
      <c r="X826" s="505" t="b">
        <v>0</v>
      </c>
      <c r="Y826" s="504" t="b">
        <v>0</v>
      </c>
      <c r="Z826" s="119"/>
      <c r="AA826" s="505" t="b">
        <v>0</v>
      </c>
      <c r="AB826" s="504" t="b">
        <v>0</v>
      </c>
      <c r="AC826" s="121"/>
      <c r="AD826" s="505" t="b">
        <v>0</v>
      </c>
      <c r="AE826" s="504" t="b">
        <v>0</v>
      </c>
      <c r="AF826" s="125"/>
      <c r="AG826" s="505" t="b">
        <v>0</v>
      </c>
      <c r="AH826" s="504" t="b">
        <v>0</v>
      </c>
      <c r="AI826" s="105"/>
      <c r="AJ826" s="505" t="b">
        <v>0</v>
      </c>
      <c r="AK826" s="504" t="b">
        <v>0</v>
      </c>
      <c r="AL826" s="126"/>
      <c r="AM826" s="505" t="b">
        <v>0</v>
      </c>
      <c r="AN826" s="504" t="b">
        <v>0</v>
      </c>
      <c r="AO826" s="105"/>
      <c r="AP826" s="105"/>
      <c r="AQ826" s="105"/>
      <c r="AR826" s="105"/>
      <c r="AS826" s="105"/>
      <c r="AT826" s="105"/>
      <c r="AU826" s="105"/>
      <c r="AV826" s="105"/>
      <c r="AW826" s="105"/>
      <c r="AX826" s="105"/>
      <c r="AY826" s="105"/>
      <c r="AZ826" s="105"/>
      <c r="BA826" s="105"/>
    </row>
    <row r="827">
      <c r="A827" s="105"/>
      <c r="B827" s="105"/>
      <c r="C827" s="105"/>
      <c r="D827" s="105"/>
      <c r="E827" s="105"/>
      <c r="F827" s="105"/>
      <c r="G827" s="105"/>
      <c r="H827" s="105"/>
      <c r="I827" s="505" t="b">
        <v>0</v>
      </c>
      <c r="J827" s="507" t="b">
        <v>0</v>
      </c>
      <c r="K827" s="112"/>
      <c r="L827" s="505" t="b">
        <v>0</v>
      </c>
      <c r="M827" s="504" t="b">
        <v>0</v>
      </c>
      <c r="N827" s="112"/>
      <c r="O827" s="505" t="b">
        <v>0</v>
      </c>
      <c r="P827" s="504" t="b">
        <v>0</v>
      </c>
      <c r="Q827" s="116"/>
      <c r="R827" s="505" t="b">
        <v>0</v>
      </c>
      <c r="S827" s="504" t="b">
        <v>0</v>
      </c>
      <c r="T827" s="117"/>
      <c r="U827" s="505" t="b">
        <v>0</v>
      </c>
      <c r="V827" s="504" t="b">
        <v>0</v>
      </c>
      <c r="W827" s="118"/>
      <c r="X827" s="505" t="b">
        <v>0</v>
      </c>
      <c r="Y827" s="504" t="b">
        <v>0</v>
      </c>
      <c r="Z827" s="119"/>
      <c r="AA827" s="505" t="b">
        <v>0</v>
      </c>
      <c r="AB827" s="504" t="b">
        <v>0</v>
      </c>
      <c r="AC827" s="121"/>
      <c r="AD827" s="505" t="b">
        <v>0</v>
      </c>
      <c r="AE827" s="504" t="b">
        <v>0</v>
      </c>
      <c r="AF827" s="125"/>
      <c r="AG827" s="505" t="b">
        <v>0</v>
      </c>
      <c r="AH827" s="504" t="b">
        <v>0</v>
      </c>
      <c r="AI827" s="105"/>
      <c r="AJ827" s="505" t="b">
        <v>0</v>
      </c>
      <c r="AK827" s="504" t="b">
        <v>0</v>
      </c>
      <c r="AL827" s="126"/>
      <c r="AM827" s="505" t="b">
        <v>0</v>
      </c>
      <c r="AN827" s="504" t="b">
        <v>0</v>
      </c>
      <c r="AO827" s="105"/>
      <c r="AP827" s="105"/>
      <c r="AQ827" s="105"/>
      <c r="AR827" s="105"/>
      <c r="AS827" s="105"/>
      <c r="AT827" s="105"/>
      <c r="AU827" s="105"/>
      <c r="AV827" s="105"/>
      <c r="AW827" s="105"/>
      <c r="AX827" s="105"/>
      <c r="AY827" s="105"/>
      <c r="AZ827" s="105"/>
      <c r="BA827" s="105"/>
    </row>
    <row r="828">
      <c r="A828" s="105"/>
      <c r="B828" s="105"/>
      <c r="C828" s="105"/>
      <c r="D828" s="105"/>
      <c r="E828" s="105"/>
      <c r="F828" s="105"/>
      <c r="G828" s="105"/>
      <c r="H828" s="105"/>
      <c r="I828" s="505" t="b">
        <v>0</v>
      </c>
      <c r="J828" s="507" t="b">
        <v>0</v>
      </c>
      <c r="K828" s="112"/>
      <c r="L828" s="505" t="b">
        <v>0</v>
      </c>
      <c r="M828" s="504" t="b">
        <v>0</v>
      </c>
      <c r="N828" s="112"/>
      <c r="O828" s="505" t="b">
        <v>0</v>
      </c>
      <c r="P828" s="504" t="b">
        <v>0</v>
      </c>
      <c r="Q828" s="116"/>
      <c r="R828" s="505" t="b">
        <v>0</v>
      </c>
      <c r="S828" s="504" t="b">
        <v>0</v>
      </c>
      <c r="T828" s="117"/>
      <c r="U828" s="505" t="b">
        <v>0</v>
      </c>
      <c r="V828" s="504" t="b">
        <v>0</v>
      </c>
      <c r="W828" s="118"/>
      <c r="X828" s="505" t="b">
        <v>0</v>
      </c>
      <c r="Y828" s="504" t="b">
        <v>0</v>
      </c>
      <c r="Z828" s="119"/>
      <c r="AA828" s="505" t="b">
        <v>0</v>
      </c>
      <c r="AB828" s="504" t="b">
        <v>0</v>
      </c>
      <c r="AC828" s="121"/>
      <c r="AD828" s="505" t="b">
        <v>0</v>
      </c>
      <c r="AE828" s="504" t="b">
        <v>0</v>
      </c>
      <c r="AF828" s="125"/>
      <c r="AG828" s="505" t="b">
        <v>0</v>
      </c>
      <c r="AH828" s="504" t="b">
        <v>0</v>
      </c>
      <c r="AI828" s="105"/>
      <c r="AJ828" s="505" t="b">
        <v>0</v>
      </c>
      <c r="AK828" s="504" t="b">
        <v>0</v>
      </c>
      <c r="AL828" s="126"/>
      <c r="AM828" s="505" t="b">
        <v>0</v>
      </c>
      <c r="AN828" s="504" t="b">
        <v>0</v>
      </c>
      <c r="AO828" s="105"/>
      <c r="AP828" s="105"/>
      <c r="AQ828" s="105"/>
      <c r="AR828" s="105"/>
      <c r="AS828" s="105"/>
      <c r="AT828" s="105"/>
      <c r="AU828" s="105"/>
      <c r="AV828" s="105"/>
      <c r="AW828" s="105"/>
      <c r="AX828" s="105"/>
      <c r="AY828" s="105"/>
      <c r="AZ828" s="105"/>
      <c r="BA828" s="105"/>
    </row>
    <row r="829">
      <c r="A829" s="105"/>
      <c r="B829" s="105"/>
      <c r="C829" s="105"/>
      <c r="D829" s="105"/>
      <c r="E829" s="105"/>
      <c r="F829" s="105"/>
      <c r="G829" s="105"/>
      <c r="H829" s="105"/>
      <c r="I829" s="505" t="b">
        <v>0</v>
      </c>
      <c r="J829" s="507" t="b">
        <v>0</v>
      </c>
      <c r="K829" s="112"/>
      <c r="L829" s="505" t="b">
        <v>0</v>
      </c>
      <c r="M829" s="504" t="b">
        <v>0</v>
      </c>
      <c r="N829" s="112"/>
      <c r="O829" s="505" t="b">
        <v>0</v>
      </c>
      <c r="P829" s="504" t="b">
        <v>0</v>
      </c>
      <c r="Q829" s="116"/>
      <c r="R829" s="505" t="b">
        <v>0</v>
      </c>
      <c r="S829" s="504" t="b">
        <v>0</v>
      </c>
      <c r="T829" s="117"/>
      <c r="U829" s="505" t="b">
        <v>0</v>
      </c>
      <c r="V829" s="504" t="b">
        <v>0</v>
      </c>
      <c r="W829" s="118"/>
      <c r="X829" s="505" t="b">
        <v>0</v>
      </c>
      <c r="Y829" s="504" t="b">
        <v>0</v>
      </c>
      <c r="Z829" s="119"/>
      <c r="AA829" s="505" t="b">
        <v>0</v>
      </c>
      <c r="AB829" s="504" t="b">
        <v>0</v>
      </c>
      <c r="AC829" s="121"/>
      <c r="AD829" s="505" t="b">
        <v>0</v>
      </c>
      <c r="AE829" s="504" t="b">
        <v>0</v>
      </c>
      <c r="AF829" s="125"/>
      <c r="AG829" s="505" t="b">
        <v>0</v>
      </c>
      <c r="AH829" s="504" t="b">
        <v>0</v>
      </c>
      <c r="AI829" s="105"/>
      <c r="AJ829" s="505" t="b">
        <v>0</v>
      </c>
      <c r="AK829" s="504" t="b">
        <v>0</v>
      </c>
      <c r="AL829" s="126"/>
      <c r="AM829" s="505" t="b">
        <v>0</v>
      </c>
      <c r="AN829" s="504" t="b">
        <v>0</v>
      </c>
      <c r="AO829" s="105"/>
      <c r="AP829" s="105"/>
      <c r="AQ829" s="105"/>
      <c r="AR829" s="105"/>
      <c r="AS829" s="105"/>
      <c r="AT829" s="105"/>
      <c r="AU829" s="105"/>
      <c r="AV829" s="105"/>
      <c r="AW829" s="105"/>
      <c r="AX829" s="105"/>
      <c r="AY829" s="105"/>
      <c r="AZ829" s="105"/>
      <c r="BA829" s="105"/>
    </row>
    <row r="830">
      <c r="A830" s="105"/>
      <c r="B830" s="105"/>
      <c r="C830" s="105"/>
      <c r="D830" s="105"/>
      <c r="E830" s="105"/>
      <c r="F830" s="105"/>
      <c r="G830" s="105"/>
      <c r="H830" s="105"/>
      <c r="I830" s="505" t="b">
        <v>0</v>
      </c>
      <c r="J830" s="507" t="b">
        <v>0</v>
      </c>
      <c r="K830" s="112"/>
      <c r="L830" s="505" t="b">
        <v>0</v>
      </c>
      <c r="M830" s="504" t="b">
        <v>0</v>
      </c>
      <c r="N830" s="112"/>
      <c r="O830" s="505" t="b">
        <v>0</v>
      </c>
      <c r="P830" s="504" t="b">
        <v>0</v>
      </c>
      <c r="Q830" s="116"/>
      <c r="R830" s="505" t="b">
        <v>0</v>
      </c>
      <c r="S830" s="504" t="b">
        <v>0</v>
      </c>
      <c r="T830" s="117"/>
      <c r="U830" s="505" t="b">
        <v>0</v>
      </c>
      <c r="V830" s="504" t="b">
        <v>0</v>
      </c>
      <c r="W830" s="118"/>
      <c r="X830" s="505" t="b">
        <v>0</v>
      </c>
      <c r="Y830" s="504" t="b">
        <v>0</v>
      </c>
      <c r="Z830" s="119"/>
      <c r="AA830" s="505" t="b">
        <v>0</v>
      </c>
      <c r="AB830" s="504" t="b">
        <v>0</v>
      </c>
      <c r="AC830" s="121"/>
      <c r="AD830" s="505" t="b">
        <v>0</v>
      </c>
      <c r="AE830" s="504" t="b">
        <v>0</v>
      </c>
      <c r="AF830" s="125"/>
      <c r="AG830" s="505" t="b">
        <v>0</v>
      </c>
      <c r="AH830" s="504" t="b">
        <v>0</v>
      </c>
      <c r="AI830" s="105"/>
      <c r="AJ830" s="505" t="b">
        <v>0</v>
      </c>
      <c r="AK830" s="504" t="b">
        <v>0</v>
      </c>
      <c r="AL830" s="126"/>
      <c r="AM830" s="505" t="b">
        <v>0</v>
      </c>
      <c r="AN830" s="504" t="b">
        <v>0</v>
      </c>
      <c r="AO830" s="105"/>
      <c r="AP830" s="105"/>
      <c r="AQ830" s="105"/>
      <c r="AR830" s="105"/>
      <c r="AS830" s="105"/>
      <c r="AT830" s="105"/>
      <c r="AU830" s="105"/>
      <c r="AV830" s="105"/>
      <c r="AW830" s="105"/>
      <c r="AX830" s="105"/>
      <c r="AY830" s="105"/>
      <c r="AZ830" s="105"/>
      <c r="BA830" s="105"/>
    </row>
    <row r="831">
      <c r="A831" s="105"/>
      <c r="B831" s="105"/>
      <c r="C831" s="105"/>
      <c r="D831" s="105"/>
      <c r="E831" s="105"/>
      <c r="F831" s="105"/>
      <c r="G831" s="105"/>
      <c r="H831" s="105"/>
      <c r="I831" s="505" t="b">
        <v>0</v>
      </c>
      <c r="J831" s="507" t="b">
        <v>0</v>
      </c>
      <c r="K831" s="112"/>
      <c r="L831" s="505" t="b">
        <v>0</v>
      </c>
      <c r="M831" s="504" t="b">
        <v>0</v>
      </c>
      <c r="N831" s="112"/>
      <c r="O831" s="505" t="b">
        <v>0</v>
      </c>
      <c r="P831" s="504" t="b">
        <v>0</v>
      </c>
      <c r="Q831" s="116"/>
      <c r="R831" s="505" t="b">
        <v>0</v>
      </c>
      <c r="S831" s="504" t="b">
        <v>0</v>
      </c>
      <c r="T831" s="117"/>
      <c r="U831" s="505" t="b">
        <v>0</v>
      </c>
      <c r="V831" s="504" t="b">
        <v>0</v>
      </c>
      <c r="W831" s="118"/>
      <c r="X831" s="505" t="b">
        <v>0</v>
      </c>
      <c r="Y831" s="504" t="b">
        <v>0</v>
      </c>
      <c r="Z831" s="119"/>
      <c r="AA831" s="505" t="b">
        <v>0</v>
      </c>
      <c r="AB831" s="504" t="b">
        <v>0</v>
      </c>
      <c r="AC831" s="121"/>
      <c r="AD831" s="505" t="b">
        <v>0</v>
      </c>
      <c r="AE831" s="504" t="b">
        <v>0</v>
      </c>
      <c r="AF831" s="125"/>
      <c r="AG831" s="505" t="b">
        <v>0</v>
      </c>
      <c r="AH831" s="504" t="b">
        <v>0</v>
      </c>
      <c r="AI831" s="105"/>
      <c r="AJ831" s="505" t="b">
        <v>0</v>
      </c>
      <c r="AK831" s="504" t="b">
        <v>0</v>
      </c>
      <c r="AL831" s="126"/>
      <c r="AM831" s="505" t="b">
        <v>0</v>
      </c>
      <c r="AN831" s="504" t="b">
        <v>0</v>
      </c>
      <c r="AO831" s="105"/>
      <c r="AP831" s="105"/>
      <c r="AQ831" s="105"/>
      <c r="AR831" s="105"/>
      <c r="AS831" s="105"/>
      <c r="AT831" s="105"/>
      <c r="AU831" s="105"/>
      <c r="AV831" s="105"/>
      <c r="AW831" s="105"/>
      <c r="AX831" s="105"/>
      <c r="AY831" s="105"/>
      <c r="AZ831" s="105"/>
      <c r="BA831" s="105"/>
    </row>
    <row r="832">
      <c r="A832" s="105"/>
      <c r="B832" s="105"/>
      <c r="C832" s="105"/>
      <c r="D832" s="105"/>
      <c r="E832" s="105"/>
      <c r="F832" s="105"/>
      <c r="G832" s="105"/>
      <c r="H832" s="105"/>
      <c r="I832" s="505" t="b">
        <v>0</v>
      </c>
      <c r="J832" s="507" t="b">
        <v>0</v>
      </c>
      <c r="K832" s="112"/>
      <c r="L832" s="505" t="b">
        <v>0</v>
      </c>
      <c r="M832" s="504" t="b">
        <v>0</v>
      </c>
      <c r="N832" s="112"/>
      <c r="O832" s="505" t="b">
        <v>0</v>
      </c>
      <c r="P832" s="504" t="b">
        <v>0</v>
      </c>
      <c r="Q832" s="116"/>
      <c r="R832" s="505" t="b">
        <v>0</v>
      </c>
      <c r="S832" s="504" t="b">
        <v>0</v>
      </c>
      <c r="T832" s="117"/>
      <c r="U832" s="505" t="b">
        <v>0</v>
      </c>
      <c r="V832" s="504" t="b">
        <v>0</v>
      </c>
      <c r="W832" s="118"/>
      <c r="X832" s="505" t="b">
        <v>0</v>
      </c>
      <c r="Y832" s="504" t="b">
        <v>0</v>
      </c>
      <c r="Z832" s="119"/>
      <c r="AA832" s="505" t="b">
        <v>0</v>
      </c>
      <c r="AB832" s="504" t="b">
        <v>0</v>
      </c>
      <c r="AC832" s="121"/>
      <c r="AD832" s="505" t="b">
        <v>0</v>
      </c>
      <c r="AE832" s="504" t="b">
        <v>0</v>
      </c>
      <c r="AF832" s="125"/>
      <c r="AG832" s="505" t="b">
        <v>0</v>
      </c>
      <c r="AH832" s="504" t="b">
        <v>0</v>
      </c>
      <c r="AI832" s="105"/>
      <c r="AJ832" s="505" t="b">
        <v>0</v>
      </c>
      <c r="AK832" s="504" t="b">
        <v>0</v>
      </c>
      <c r="AL832" s="126"/>
      <c r="AM832" s="505" t="b">
        <v>0</v>
      </c>
      <c r="AN832" s="504" t="b">
        <v>0</v>
      </c>
      <c r="AO832" s="105"/>
      <c r="AP832" s="105"/>
      <c r="AQ832" s="105"/>
      <c r="AR832" s="105"/>
      <c r="AS832" s="105"/>
      <c r="AT832" s="105"/>
      <c r="AU832" s="105"/>
      <c r="AV832" s="105"/>
      <c r="AW832" s="105"/>
      <c r="AX832" s="105"/>
      <c r="AY832" s="105"/>
      <c r="AZ832" s="105"/>
      <c r="BA832" s="105"/>
    </row>
    <row r="833">
      <c r="A833" s="105"/>
      <c r="B833" s="105"/>
      <c r="C833" s="105"/>
      <c r="D833" s="105"/>
      <c r="E833" s="105"/>
      <c r="F833" s="105"/>
      <c r="G833" s="105"/>
      <c r="H833" s="105"/>
      <c r="I833" s="505" t="b">
        <v>0</v>
      </c>
      <c r="J833" s="507" t="b">
        <v>0</v>
      </c>
      <c r="K833" s="112"/>
      <c r="L833" s="505" t="b">
        <v>0</v>
      </c>
      <c r="M833" s="504" t="b">
        <v>0</v>
      </c>
      <c r="N833" s="112"/>
      <c r="O833" s="505" t="b">
        <v>0</v>
      </c>
      <c r="P833" s="504" t="b">
        <v>0</v>
      </c>
      <c r="Q833" s="116"/>
      <c r="R833" s="505" t="b">
        <v>0</v>
      </c>
      <c r="S833" s="504" t="b">
        <v>0</v>
      </c>
      <c r="T833" s="117"/>
      <c r="U833" s="505" t="b">
        <v>0</v>
      </c>
      <c r="V833" s="504" t="b">
        <v>0</v>
      </c>
      <c r="W833" s="118"/>
      <c r="X833" s="505" t="b">
        <v>0</v>
      </c>
      <c r="Y833" s="504" t="b">
        <v>0</v>
      </c>
      <c r="Z833" s="119"/>
      <c r="AA833" s="505" t="b">
        <v>0</v>
      </c>
      <c r="AB833" s="504" t="b">
        <v>0</v>
      </c>
      <c r="AC833" s="121"/>
      <c r="AD833" s="505" t="b">
        <v>0</v>
      </c>
      <c r="AE833" s="504" t="b">
        <v>0</v>
      </c>
      <c r="AF833" s="125"/>
      <c r="AG833" s="505" t="b">
        <v>0</v>
      </c>
      <c r="AH833" s="504" t="b">
        <v>0</v>
      </c>
      <c r="AI833" s="105"/>
      <c r="AJ833" s="505" t="b">
        <v>0</v>
      </c>
      <c r="AK833" s="504" t="b">
        <v>0</v>
      </c>
      <c r="AL833" s="126"/>
      <c r="AM833" s="505" t="b">
        <v>0</v>
      </c>
      <c r="AN833" s="504" t="b">
        <v>0</v>
      </c>
      <c r="AO833" s="105"/>
      <c r="AP833" s="105"/>
      <c r="AQ833" s="105"/>
      <c r="AR833" s="105"/>
      <c r="AS833" s="105"/>
      <c r="AT833" s="105"/>
      <c r="AU833" s="105"/>
      <c r="AV833" s="105"/>
      <c r="AW833" s="105"/>
      <c r="AX833" s="105"/>
      <c r="AY833" s="105"/>
      <c r="AZ833" s="105"/>
      <c r="BA833" s="105"/>
    </row>
    <row r="834">
      <c r="A834" s="105"/>
      <c r="B834" s="105"/>
      <c r="C834" s="105"/>
      <c r="D834" s="105"/>
      <c r="E834" s="105"/>
      <c r="F834" s="105"/>
      <c r="G834" s="105"/>
      <c r="H834" s="105"/>
      <c r="I834" s="505" t="b">
        <v>0</v>
      </c>
      <c r="J834" s="507" t="b">
        <v>0</v>
      </c>
      <c r="K834" s="112"/>
      <c r="L834" s="505" t="b">
        <v>0</v>
      </c>
      <c r="M834" s="504" t="b">
        <v>0</v>
      </c>
      <c r="N834" s="112"/>
      <c r="O834" s="505" t="b">
        <v>0</v>
      </c>
      <c r="P834" s="504" t="b">
        <v>0</v>
      </c>
      <c r="Q834" s="116"/>
      <c r="R834" s="505" t="b">
        <v>0</v>
      </c>
      <c r="S834" s="504" t="b">
        <v>0</v>
      </c>
      <c r="T834" s="117"/>
      <c r="U834" s="505" t="b">
        <v>0</v>
      </c>
      <c r="V834" s="504" t="b">
        <v>0</v>
      </c>
      <c r="W834" s="118"/>
      <c r="X834" s="505" t="b">
        <v>0</v>
      </c>
      <c r="Y834" s="504" t="b">
        <v>0</v>
      </c>
      <c r="Z834" s="119"/>
      <c r="AA834" s="505" t="b">
        <v>0</v>
      </c>
      <c r="AB834" s="504" t="b">
        <v>0</v>
      </c>
      <c r="AC834" s="121"/>
      <c r="AD834" s="505" t="b">
        <v>0</v>
      </c>
      <c r="AE834" s="504" t="b">
        <v>0</v>
      </c>
      <c r="AF834" s="125"/>
      <c r="AG834" s="505" t="b">
        <v>0</v>
      </c>
      <c r="AH834" s="504" t="b">
        <v>0</v>
      </c>
      <c r="AI834" s="105"/>
      <c r="AJ834" s="505" t="b">
        <v>0</v>
      </c>
      <c r="AK834" s="504" t="b">
        <v>0</v>
      </c>
      <c r="AL834" s="126"/>
      <c r="AM834" s="505" t="b">
        <v>0</v>
      </c>
      <c r="AN834" s="504" t="b">
        <v>0</v>
      </c>
      <c r="AO834" s="105"/>
      <c r="AP834" s="105"/>
      <c r="AQ834" s="105"/>
      <c r="AR834" s="105"/>
      <c r="AS834" s="105"/>
      <c r="AT834" s="105"/>
      <c r="AU834" s="105"/>
      <c r="AV834" s="105"/>
      <c r="AW834" s="105"/>
      <c r="AX834" s="105"/>
      <c r="AY834" s="105"/>
      <c r="AZ834" s="105"/>
      <c r="BA834" s="105"/>
    </row>
    <row r="835">
      <c r="A835" s="105"/>
      <c r="B835" s="105"/>
      <c r="C835" s="105"/>
      <c r="D835" s="105"/>
      <c r="E835" s="105"/>
      <c r="F835" s="105"/>
      <c r="G835" s="105"/>
      <c r="H835" s="105"/>
      <c r="I835" s="505" t="b">
        <v>0</v>
      </c>
      <c r="J835" s="507" t="b">
        <v>0</v>
      </c>
      <c r="K835" s="112"/>
      <c r="L835" s="505" t="b">
        <v>0</v>
      </c>
      <c r="M835" s="504" t="b">
        <v>0</v>
      </c>
      <c r="N835" s="112"/>
      <c r="O835" s="505" t="b">
        <v>0</v>
      </c>
      <c r="P835" s="504" t="b">
        <v>0</v>
      </c>
      <c r="Q835" s="116"/>
      <c r="R835" s="505" t="b">
        <v>0</v>
      </c>
      <c r="S835" s="504" t="b">
        <v>0</v>
      </c>
      <c r="T835" s="117"/>
      <c r="U835" s="505" t="b">
        <v>0</v>
      </c>
      <c r="V835" s="504" t="b">
        <v>0</v>
      </c>
      <c r="W835" s="118"/>
      <c r="X835" s="505" t="b">
        <v>0</v>
      </c>
      <c r="Y835" s="504" t="b">
        <v>0</v>
      </c>
      <c r="Z835" s="119"/>
      <c r="AA835" s="505" t="b">
        <v>0</v>
      </c>
      <c r="AB835" s="504" t="b">
        <v>0</v>
      </c>
      <c r="AC835" s="121"/>
      <c r="AD835" s="505" t="b">
        <v>0</v>
      </c>
      <c r="AE835" s="504" t="b">
        <v>0</v>
      </c>
      <c r="AF835" s="125"/>
      <c r="AG835" s="505" t="b">
        <v>0</v>
      </c>
      <c r="AH835" s="504" t="b">
        <v>0</v>
      </c>
      <c r="AI835" s="105"/>
      <c r="AJ835" s="505" t="b">
        <v>0</v>
      </c>
      <c r="AK835" s="504" t="b">
        <v>0</v>
      </c>
      <c r="AL835" s="126"/>
      <c r="AM835" s="505" t="b">
        <v>0</v>
      </c>
      <c r="AN835" s="504" t="b">
        <v>0</v>
      </c>
      <c r="AO835" s="105"/>
      <c r="AP835" s="105"/>
      <c r="AQ835" s="105"/>
      <c r="AR835" s="105"/>
      <c r="AS835" s="105"/>
      <c r="AT835" s="105"/>
      <c r="AU835" s="105"/>
      <c r="AV835" s="105"/>
      <c r="AW835" s="105"/>
      <c r="AX835" s="105"/>
      <c r="AY835" s="105"/>
      <c r="AZ835" s="105"/>
      <c r="BA835" s="105"/>
    </row>
    <row r="836">
      <c r="A836" s="105"/>
      <c r="B836" s="105"/>
      <c r="C836" s="105"/>
      <c r="D836" s="105"/>
      <c r="E836" s="105"/>
      <c r="F836" s="105"/>
      <c r="G836" s="105"/>
      <c r="H836" s="105"/>
      <c r="I836" s="505" t="b">
        <v>0</v>
      </c>
      <c r="J836" s="507" t="b">
        <v>0</v>
      </c>
      <c r="K836" s="112"/>
      <c r="L836" s="505" t="b">
        <v>0</v>
      </c>
      <c r="M836" s="504" t="b">
        <v>0</v>
      </c>
      <c r="N836" s="112"/>
      <c r="O836" s="505" t="b">
        <v>0</v>
      </c>
      <c r="P836" s="504" t="b">
        <v>0</v>
      </c>
      <c r="Q836" s="116"/>
      <c r="R836" s="505" t="b">
        <v>0</v>
      </c>
      <c r="S836" s="504" t="b">
        <v>0</v>
      </c>
      <c r="T836" s="117"/>
      <c r="U836" s="505" t="b">
        <v>0</v>
      </c>
      <c r="V836" s="504" t="b">
        <v>0</v>
      </c>
      <c r="W836" s="118"/>
      <c r="X836" s="505" t="b">
        <v>0</v>
      </c>
      <c r="Y836" s="504" t="b">
        <v>0</v>
      </c>
      <c r="Z836" s="119"/>
      <c r="AA836" s="505" t="b">
        <v>0</v>
      </c>
      <c r="AB836" s="504" t="b">
        <v>0</v>
      </c>
      <c r="AC836" s="121"/>
      <c r="AD836" s="505" t="b">
        <v>0</v>
      </c>
      <c r="AE836" s="504" t="b">
        <v>0</v>
      </c>
      <c r="AF836" s="125"/>
      <c r="AG836" s="505" t="b">
        <v>0</v>
      </c>
      <c r="AH836" s="504" t="b">
        <v>0</v>
      </c>
      <c r="AI836" s="105"/>
      <c r="AJ836" s="505" t="b">
        <v>0</v>
      </c>
      <c r="AK836" s="504" t="b">
        <v>0</v>
      </c>
      <c r="AL836" s="126"/>
      <c r="AM836" s="505" t="b">
        <v>0</v>
      </c>
      <c r="AN836" s="504" t="b">
        <v>0</v>
      </c>
      <c r="AO836" s="105"/>
      <c r="AP836" s="105"/>
      <c r="AQ836" s="105"/>
      <c r="AR836" s="105"/>
      <c r="AS836" s="105"/>
      <c r="AT836" s="105"/>
      <c r="AU836" s="105"/>
      <c r="AV836" s="105"/>
      <c r="AW836" s="105"/>
      <c r="AX836" s="105"/>
      <c r="AY836" s="105"/>
      <c r="AZ836" s="105"/>
      <c r="BA836" s="105"/>
    </row>
    <row r="837">
      <c r="A837" s="105"/>
      <c r="B837" s="105"/>
      <c r="C837" s="105"/>
      <c r="D837" s="105"/>
      <c r="E837" s="105"/>
      <c r="F837" s="105"/>
      <c r="G837" s="105"/>
      <c r="H837" s="105"/>
      <c r="I837" s="505" t="b">
        <v>0</v>
      </c>
      <c r="J837" s="507" t="b">
        <v>0</v>
      </c>
      <c r="K837" s="112"/>
      <c r="L837" s="505" t="b">
        <v>0</v>
      </c>
      <c r="M837" s="504" t="b">
        <v>0</v>
      </c>
      <c r="N837" s="112"/>
      <c r="O837" s="505" t="b">
        <v>0</v>
      </c>
      <c r="P837" s="504" t="b">
        <v>0</v>
      </c>
      <c r="Q837" s="116"/>
      <c r="R837" s="505" t="b">
        <v>0</v>
      </c>
      <c r="S837" s="504" t="b">
        <v>0</v>
      </c>
      <c r="T837" s="117"/>
      <c r="U837" s="505" t="b">
        <v>0</v>
      </c>
      <c r="V837" s="504" t="b">
        <v>0</v>
      </c>
      <c r="W837" s="118"/>
      <c r="X837" s="505" t="b">
        <v>0</v>
      </c>
      <c r="Y837" s="504" t="b">
        <v>0</v>
      </c>
      <c r="Z837" s="119"/>
      <c r="AA837" s="505" t="b">
        <v>0</v>
      </c>
      <c r="AB837" s="504" t="b">
        <v>0</v>
      </c>
      <c r="AC837" s="121"/>
      <c r="AD837" s="505" t="b">
        <v>0</v>
      </c>
      <c r="AE837" s="504" t="b">
        <v>0</v>
      </c>
      <c r="AF837" s="125"/>
      <c r="AG837" s="505" t="b">
        <v>0</v>
      </c>
      <c r="AH837" s="504" t="b">
        <v>0</v>
      </c>
      <c r="AI837" s="105"/>
      <c r="AJ837" s="505" t="b">
        <v>0</v>
      </c>
      <c r="AK837" s="504" t="b">
        <v>0</v>
      </c>
      <c r="AL837" s="126"/>
      <c r="AM837" s="505" t="b">
        <v>0</v>
      </c>
      <c r="AN837" s="504" t="b">
        <v>0</v>
      </c>
      <c r="AO837" s="105"/>
      <c r="AP837" s="105"/>
      <c r="AQ837" s="105"/>
      <c r="AR837" s="105"/>
      <c r="AS837" s="105"/>
      <c r="AT837" s="105"/>
      <c r="AU837" s="105"/>
      <c r="AV837" s="105"/>
      <c r="AW837" s="105"/>
      <c r="AX837" s="105"/>
      <c r="AY837" s="105"/>
      <c r="AZ837" s="105"/>
      <c r="BA837" s="105"/>
    </row>
    <row r="838">
      <c r="A838" s="105"/>
      <c r="B838" s="105"/>
      <c r="C838" s="105"/>
      <c r="D838" s="105"/>
      <c r="E838" s="105"/>
      <c r="F838" s="105"/>
      <c r="G838" s="105"/>
      <c r="H838" s="105"/>
      <c r="I838" s="505" t="b">
        <v>0</v>
      </c>
      <c r="J838" s="507" t="b">
        <v>0</v>
      </c>
      <c r="K838" s="112"/>
      <c r="L838" s="505" t="b">
        <v>0</v>
      </c>
      <c r="M838" s="504" t="b">
        <v>0</v>
      </c>
      <c r="N838" s="112"/>
      <c r="O838" s="505" t="b">
        <v>0</v>
      </c>
      <c r="P838" s="504" t="b">
        <v>0</v>
      </c>
      <c r="Q838" s="116"/>
      <c r="R838" s="505" t="b">
        <v>0</v>
      </c>
      <c r="S838" s="504" t="b">
        <v>0</v>
      </c>
      <c r="T838" s="117"/>
      <c r="U838" s="505" t="b">
        <v>0</v>
      </c>
      <c r="V838" s="504" t="b">
        <v>0</v>
      </c>
      <c r="W838" s="118"/>
      <c r="X838" s="505" t="b">
        <v>0</v>
      </c>
      <c r="Y838" s="504" t="b">
        <v>0</v>
      </c>
      <c r="Z838" s="119"/>
      <c r="AA838" s="505" t="b">
        <v>0</v>
      </c>
      <c r="AB838" s="504" t="b">
        <v>0</v>
      </c>
      <c r="AC838" s="121"/>
      <c r="AD838" s="505" t="b">
        <v>0</v>
      </c>
      <c r="AE838" s="504" t="b">
        <v>0</v>
      </c>
      <c r="AF838" s="125"/>
      <c r="AG838" s="505" t="b">
        <v>0</v>
      </c>
      <c r="AH838" s="504" t="b">
        <v>0</v>
      </c>
      <c r="AI838" s="105"/>
      <c r="AJ838" s="505" t="b">
        <v>0</v>
      </c>
      <c r="AK838" s="504" t="b">
        <v>0</v>
      </c>
      <c r="AL838" s="126"/>
      <c r="AM838" s="505" t="b">
        <v>0</v>
      </c>
      <c r="AN838" s="504" t="b">
        <v>0</v>
      </c>
      <c r="AO838" s="105"/>
      <c r="AP838" s="105"/>
      <c r="AQ838" s="105"/>
      <c r="AR838" s="105"/>
      <c r="AS838" s="105"/>
      <c r="AT838" s="105"/>
      <c r="AU838" s="105"/>
      <c r="AV838" s="105"/>
      <c r="AW838" s="105"/>
      <c r="AX838" s="105"/>
      <c r="AY838" s="105"/>
      <c r="AZ838" s="105"/>
      <c r="BA838" s="105"/>
    </row>
    <row r="839">
      <c r="A839" s="105"/>
      <c r="B839" s="105"/>
      <c r="C839" s="105"/>
      <c r="D839" s="105"/>
      <c r="E839" s="105"/>
      <c r="F839" s="105"/>
      <c r="G839" s="105"/>
      <c r="H839" s="105"/>
      <c r="I839" s="505" t="b">
        <v>0</v>
      </c>
      <c r="J839" s="507" t="b">
        <v>0</v>
      </c>
      <c r="K839" s="112"/>
      <c r="L839" s="505" t="b">
        <v>0</v>
      </c>
      <c r="M839" s="504" t="b">
        <v>0</v>
      </c>
      <c r="N839" s="112"/>
      <c r="O839" s="505" t="b">
        <v>0</v>
      </c>
      <c r="P839" s="504" t="b">
        <v>0</v>
      </c>
      <c r="Q839" s="116"/>
      <c r="R839" s="505" t="b">
        <v>0</v>
      </c>
      <c r="S839" s="504" t="b">
        <v>0</v>
      </c>
      <c r="T839" s="117"/>
      <c r="U839" s="505" t="b">
        <v>0</v>
      </c>
      <c r="V839" s="504" t="b">
        <v>0</v>
      </c>
      <c r="W839" s="118"/>
      <c r="X839" s="505" t="b">
        <v>0</v>
      </c>
      <c r="Y839" s="504" t="b">
        <v>0</v>
      </c>
      <c r="Z839" s="119"/>
      <c r="AA839" s="505" t="b">
        <v>0</v>
      </c>
      <c r="AB839" s="504" t="b">
        <v>0</v>
      </c>
      <c r="AC839" s="121"/>
      <c r="AD839" s="505" t="b">
        <v>0</v>
      </c>
      <c r="AE839" s="504" t="b">
        <v>0</v>
      </c>
      <c r="AF839" s="125"/>
      <c r="AG839" s="505" t="b">
        <v>0</v>
      </c>
      <c r="AH839" s="504" t="b">
        <v>0</v>
      </c>
      <c r="AI839" s="105"/>
      <c r="AJ839" s="505" t="b">
        <v>0</v>
      </c>
      <c r="AK839" s="504" t="b">
        <v>0</v>
      </c>
      <c r="AL839" s="126"/>
      <c r="AM839" s="505" t="b">
        <v>0</v>
      </c>
      <c r="AN839" s="504" t="b">
        <v>0</v>
      </c>
      <c r="AO839" s="105"/>
      <c r="AP839" s="105"/>
      <c r="AQ839" s="105"/>
      <c r="AR839" s="105"/>
      <c r="AS839" s="105"/>
      <c r="AT839" s="105"/>
      <c r="AU839" s="105"/>
      <c r="AV839" s="105"/>
      <c r="AW839" s="105"/>
      <c r="AX839" s="105"/>
      <c r="AY839" s="105"/>
      <c r="AZ839" s="105"/>
      <c r="BA839" s="105"/>
    </row>
    <row r="840">
      <c r="A840" s="105"/>
      <c r="B840" s="105"/>
      <c r="C840" s="105"/>
      <c r="D840" s="105"/>
      <c r="E840" s="105"/>
      <c r="F840" s="105"/>
      <c r="G840" s="105"/>
      <c r="H840" s="105"/>
      <c r="I840" s="505" t="b">
        <v>0</v>
      </c>
      <c r="J840" s="507" t="b">
        <v>0</v>
      </c>
      <c r="K840" s="112"/>
      <c r="L840" s="505" t="b">
        <v>0</v>
      </c>
      <c r="M840" s="504" t="b">
        <v>0</v>
      </c>
      <c r="N840" s="112"/>
      <c r="O840" s="505" t="b">
        <v>0</v>
      </c>
      <c r="P840" s="504" t="b">
        <v>0</v>
      </c>
      <c r="Q840" s="116"/>
      <c r="R840" s="505" t="b">
        <v>0</v>
      </c>
      <c r="S840" s="504" t="b">
        <v>0</v>
      </c>
      <c r="T840" s="117"/>
      <c r="U840" s="505" t="b">
        <v>0</v>
      </c>
      <c r="V840" s="504" t="b">
        <v>0</v>
      </c>
      <c r="W840" s="118"/>
      <c r="X840" s="505" t="b">
        <v>0</v>
      </c>
      <c r="Y840" s="504" t="b">
        <v>0</v>
      </c>
      <c r="Z840" s="119"/>
      <c r="AA840" s="505" t="b">
        <v>0</v>
      </c>
      <c r="AB840" s="504" t="b">
        <v>0</v>
      </c>
      <c r="AC840" s="121"/>
      <c r="AD840" s="505" t="b">
        <v>0</v>
      </c>
      <c r="AE840" s="504" t="b">
        <v>0</v>
      </c>
      <c r="AF840" s="125"/>
      <c r="AG840" s="505" t="b">
        <v>0</v>
      </c>
      <c r="AH840" s="504" t="b">
        <v>0</v>
      </c>
      <c r="AI840" s="105"/>
      <c r="AJ840" s="505" t="b">
        <v>0</v>
      </c>
      <c r="AK840" s="504" t="b">
        <v>0</v>
      </c>
      <c r="AL840" s="126"/>
      <c r="AM840" s="505" t="b">
        <v>0</v>
      </c>
      <c r="AN840" s="504" t="b">
        <v>0</v>
      </c>
      <c r="AO840" s="105"/>
      <c r="AP840" s="105"/>
      <c r="AQ840" s="105"/>
      <c r="AR840" s="105"/>
      <c r="AS840" s="105"/>
      <c r="AT840" s="105"/>
      <c r="AU840" s="105"/>
      <c r="AV840" s="105"/>
      <c r="AW840" s="105"/>
      <c r="AX840" s="105"/>
      <c r="AY840" s="105"/>
      <c r="AZ840" s="105"/>
      <c r="BA840" s="105"/>
    </row>
    <row r="841">
      <c r="A841" s="105"/>
      <c r="B841" s="105"/>
      <c r="C841" s="105"/>
      <c r="D841" s="105"/>
      <c r="E841" s="105"/>
      <c r="F841" s="105"/>
      <c r="G841" s="105"/>
      <c r="H841" s="105"/>
      <c r="I841" s="505" t="b">
        <v>0</v>
      </c>
      <c r="J841" s="507" t="b">
        <v>0</v>
      </c>
      <c r="K841" s="112"/>
      <c r="L841" s="505" t="b">
        <v>0</v>
      </c>
      <c r="M841" s="504" t="b">
        <v>0</v>
      </c>
      <c r="N841" s="112"/>
      <c r="O841" s="505" t="b">
        <v>0</v>
      </c>
      <c r="P841" s="504" t="b">
        <v>0</v>
      </c>
      <c r="Q841" s="116"/>
      <c r="R841" s="505" t="b">
        <v>0</v>
      </c>
      <c r="S841" s="504" t="b">
        <v>0</v>
      </c>
      <c r="T841" s="117"/>
      <c r="U841" s="505" t="b">
        <v>0</v>
      </c>
      <c r="V841" s="504" t="b">
        <v>0</v>
      </c>
      <c r="W841" s="118"/>
      <c r="X841" s="505" t="b">
        <v>0</v>
      </c>
      <c r="Y841" s="504" t="b">
        <v>0</v>
      </c>
      <c r="Z841" s="119"/>
      <c r="AA841" s="505" t="b">
        <v>0</v>
      </c>
      <c r="AB841" s="504" t="b">
        <v>0</v>
      </c>
      <c r="AC841" s="121"/>
      <c r="AD841" s="505" t="b">
        <v>0</v>
      </c>
      <c r="AE841" s="504" t="b">
        <v>0</v>
      </c>
      <c r="AF841" s="125"/>
      <c r="AG841" s="505" t="b">
        <v>0</v>
      </c>
      <c r="AH841" s="504" t="b">
        <v>0</v>
      </c>
      <c r="AI841" s="105"/>
      <c r="AJ841" s="505" t="b">
        <v>0</v>
      </c>
      <c r="AK841" s="504" t="b">
        <v>0</v>
      </c>
      <c r="AL841" s="126"/>
      <c r="AM841" s="505" t="b">
        <v>0</v>
      </c>
      <c r="AN841" s="504" t="b">
        <v>0</v>
      </c>
      <c r="AO841" s="105"/>
      <c r="AP841" s="105"/>
      <c r="AQ841" s="105"/>
      <c r="AR841" s="105"/>
      <c r="AS841" s="105"/>
      <c r="AT841" s="105"/>
      <c r="AU841" s="105"/>
      <c r="AV841" s="105"/>
      <c r="AW841" s="105"/>
      <c r="AX841" s="105"/>
      <c r="AY841" s="105"/>
      <c r="AZ841" s="105"/>
      <c r="BA841" s="105"/>
    </row>
    <row r="842">
      <c r="A842" s="105"/>
      <c r="B842" s="105"/>
      <c r="C842" s="105"/>
      <c r="D842" s="105"/>
      <c r="E842" s="105"/>
      <c r="F842" s="105"/>
      <c r="G842" s="105"/>
      <c r="H842" s="105"/>
      <c r="I842" s="505" t="b">
        <v>0</v>
      </c>
      <c r="J842" s="507" t="b">
        <v>0</v>
      </c>
      <c r="K842" s="112"/>
      <c r="L842" s="505" t="b">
        <v>0</v>
      </c>
      <c r="M842" s="504" t="b">
        <v>0</v>
      </c>
      <c r="N842" s="112"/>
      <c r="O842" s="505" t="b">
        <v>0</v>
      </c>
      <c r="P842" s="504" t="b">
        <v>0</v>
      </c>
      <c r="Q842" s="116"/>
      <c r="R842" s="505" t="b">
        <v>0</v>
      </c>
      <c r="S842" s="504" t="b">
        <v>0</v>
      </c>
      <c r="T842" s="117"/>
      <c r="U842" s="505" t="b">
        <v>0</v>
      </c>
      <c r="V842" s="504" t="b">
        <v>0</v>
      </c>
      <c r="W842" s="118"/>
      <c r="X842" s="505" t="b">
        <v>0</v>
      </c>
      <c r="Y842" s="504" t="b">
        <v>0</v>
      </c>
      <c r="Z842" s="119"/>
      <c r="AA842" s="505" t="b">
        <v>0</v>
      </c>
      <c r="AB842" s="504" t="b">
        <v>0</v>
      </c>
      <c r="AC842" s="121"/>
      <c r="AD842" s="505" t="b">
        <v>0</v>
      </c>
      <c r="AE842" s="504" t="b">
        <v>0</v>
      </c>
      <c r="AF842" s="125"/>
      <c r="AG842" s="505" t="b">
        <v>0</v>
      </c>
      <c r="AH842" s="504" t="b">
        <v>0</v>
      </c>
      <c r="AI842" s="105"/>
      <c r="AJ842" s="505" t="b">
        <v>0</v>
      </c>
      <c r="AK842" s="504" t="b">
        <v>0</v>
      </c>
      <c r="AL842" s="126"/>
      <c r="AM842" s="505" t="b">
        <v>0</v>
      </c>
      <c r="AN842" s="504" t="b">
        <v>0</v>
      </c>
      <c r="AO842" s="105"/>
      <c r="AP842" s="105"/>
      <c r="AQ842" s="105"/>
      <c r="AR842" s="105"/>
      <c r="AS842" s="105"/>
      <c r="AT842" s="105"/>
      <c r="AU842" s="105"/>
      <c r="AV842" s="105"/>
      <c r="AW842" s="105"/>
      <c r="AX842" s="105"/>
      <c r="AY842" s="105"/>
      <c r="AZ842" s="105"/>
      <c r="BA842" s="105"/>
    </row>
    <row r="843">
      <c r="A843" s="105"/>
      <c r="B843" s="105"/>
      <c r="C843" s="105"/>
      <c r="D843" s="105"/>
      <c r="E843" s="105"/>
      <c r="F843" s="105"/>
      <c r="G843" s="105"/>
      <c r="H843" s="105"/>
      <c r="I843" s="505" t="b">
        <v>0</v>
      </c>
      <c r="J843" s="507" t="b">
        <v>0</v>
      </c>
      <c r="K843" s="112"/>
      <c r="L843" s="505" t="b">
        <v>0</v>
      </c>
      <c r="M843" s="504" t="b">
        <v>0</v>
      </c>
      <c r="N843" s="112"/>
      <c r="O843" s="505" t="b">
        <v>0</v>
      </c>
      <c r="P843" s="504" t="b">
        <v>0</v>
      </c>
      <c r="Q843" s="116"/>
      <c r="R843" s="505" t="b">
        <v>0</v>
      </c>
      <c r="S843" s="504" t="b">
        <v>0</v>
      </c>
      <c r="T843" s="117"/>
      <c r="U843" s="505" t="b">
        <v>0</v>
      </c>
      <c r="V843" s="504" t="b">
        <v>0</v>
      </c>
      <c r="W843" s="118"/>
      <c r="X843" s="505" t="b">
        <v>0</v>
      </c>
      <c r="Y843" s="504" t="b">
        <v>0</v>
      </c>
      <c r="Z843" s="119"/>
      <c r="AA843" s="505" t="b">
        <v>0</v>
      </c>
      <c r="AB843" s="504" t="b">
        <v>0</v>
      </c>
      <c r="AC843" s="121"/>
      <c r="AD843" s="505" t="b">
        <v>0</v>
      </c>
      <c r="AE843" s="504" t="b">
        <v>0</v>
      </c>
      <c r="AF843" s="125"/>
      <c r="AG843" s="505" t="b">
        <v>0</v>
      </c>
      <c r="AH843" s="504" t="b">
        <v>0</v>
      </c>
      <c r="AI843" s="105"/>
      <c r="AJ843" s="505" t="b">
        <v>0</v>
      </c>
      <c r="AK843" s="504" t="b">
        <v>0</v>
      </c>
      <c r="AL843" s="126"/>
      <c r="AM843" s="505" t="b">
        <v>0</v>
      </c>
      <c r="AN843" s="504" t="b">
        <v>0</v>
      </c>
      <c r="AO843" s="105"/>
      <c r="AP843" s="105"/>
      <c r="AQ843" s="105"/>
      <c r="AR843" s="105"/>
      <c r="AS843" s="105"/>
      <c r="AT843" s="105"/>
      <c r="AU843" s="105"/>
      <c r="AV843" s="105"/>
      <c r="AW843" s="105"/>
      <c r="AX843" s="105"/>
      <c r="AY843" s="105"/>
      <c r="AZ843" s="105"/>
      <c r="BA843" s="105"/>
    </row>
    <row r="844">
      <c r="A844" s="105"/>
      <c r="B844" s="105"/>
      <c r="C844" s="105"/>
      <c r="D844" s="105"/>
      <c r="E844" s="105"/>
      <c r="F844" s="105"/>
      <c r="G844" s="105"/>
      <c r="H844" s="105"/>
      <c r="I844" s="505" t="b">
        <v>0</v>
      </c>
      <c r="J844" s="507" t="b">
        <v>0</v>
      </c>
      <c r="K844" s="112"/>
      <c r="L844" s="505" t="b">
        <v>0</v>
      </c>
      <c r="M844" s="504" t="b">
        <v>0</v>
      </c>
      <c r="N844" s="112"/>
      <c r="O844" s="505" t="b">
        <v>0</v>
      </c>
      <c r="P844" s="504" t="b">
        <v>0</v>
      </c>
      <c r="Q844" s="116"/>
      <c r="R844" s="505" t="b">
        <v>0</v>
      </c>
      <c r="S844" s="504" t="b">
        <v>0</v>
      </c>
      <c r="T844" s="117"/>
      <c r="U844" s="505" t="b">
        <v>0</v>
      </c>
      <c r="V844" s="504" t="b">
        <v>0</v>
      </c>
      <c r="W844" s="118"/>
      <c r="X844" s="505" t="b">
        <v>0</v>
      </c>
      <c r="Y844" s="504" t="b">
        <v>0</v>
      </c>
      <c r="Z844" s="119"/>
      <c r="AA844" s="505" t="b">
        <v>0</v>
      </c>
      <c r="AB844" s="504" t="b">
        <v>0</v>
      </c>
      <c r="AC844" s="121"/>
      <c r="AD844" s="505" t="b">
        <v>0</v>
      </c>
      <c r="AE844" s="504" t="b">
        <v>0</v>
      </c>
      <c r="AF844" s="125"/>
      <c r="AG844" s="505" t="b">
        <v>0</v>
      </c>
      <c r="AH844" s="504" t="b">
        <v>0</v>
      </c>
      <c r="AI844" s="105"/>
      <c r="AJ844" s="505" t="b">
        <v>0</v>
      </c>
      <c r="AK844" s="504" t="b">
        <v>0</v>
      </c>
      <c r="AL844" s="126"/>
      <c r="AM844" s="505" t="b">
        <v>0</v>
      </c>
      <c r="AN844" s="504" t="b">
        <v>0</v>
      </c>
      <c r="AO844" s="105"/>
      <c r="AP844" s="105"/>
      <c r="AQ844" s="105"/>
      <c r="AR844" s="105"/>
      <c r="AS844" s="105"/>
      <c r="AT844" s="105"/>
      <c r="AU844" s="105"/>
      <c r="AV844" s="105"/>
      <c r="AW844" s="105"/>
      <c r="AX844" s="105"/>
      <c r="AY844" s="105"/>
      <c r="AZ844" s="105"/>
      <c r="BA844" s="105"/>
    </row>
    <row r="845">
      <c r="A845" s="105"/>
      <c r="B845" s="105"/>
      <c r="C845" s="105"/>
      <c r="D845" s="105"/>
      <c r="E845" s="105"/>
      <c r="F845" s="105"/>
      <c r="G845" s="105"/>
      <c r="H845" s="105"/>
      <c r="I845" s="505" t="b">
        <v>0</v>
      </c>
      <c r="J845" s="507" t="b">
        <v>0</v>
      </c>
      <c r="K845" s="112"/>
      <c r="L845" s="505" t="b">
        <v>0</v>
      </c>
      <c r="M845" s="504" t="b">
        <v>0</v>
      </c>
      <c r="N845" s="112"/>
      <c r="O845" s="505" t="b">
        <v>0</v>
      </c>
      <c r="P845" s="504" t="b">
        <v>0</v>
      </c>
      <c r="Q845" s="116"/>
      <c r="R845" s="505" t="b">
        <v>0</v>
      </c>
      <c r="S845" s="504" t="b">
        <v>0</v>
      </c>
      <c r="T845" s="117"/>
      <c r="U845" s="505" t="b">
        <v>0</v>
      </c>
      <c r="V845" s="504" t="b">
        <v>0</v>
      </c>
      <c r="W845" s="118"/>
      <c r="X845" s="505" t="b">
        <v>0</v>
      </c>
      <c r="Y845" s="504" t="b">
        <v>0</v>
      </c>
      <c r="Z845" s="119"/>
      <c r="AA845" s="505" t="b">
        <v>0</v>
      </c>
      <c r="AB845" s="504" t="b">
        <v>0</v>
      </c>
      <c r="AC845" s="121"/>
      <c r="AD845" s="505" t="b">
        <v>0</v>
      </c>
      <c r="AE845" s="504" t="b">
        <v>0</v>
      </c>
      <c r="AF845" s="125"/>
      <c r="AG845" s="505" t="b">
        <v>0</v>
      </c>
      <c r="AH845" s="504" t="b">
        <v>0</v>
      </c>
      <c r="AI845" s="105"/>
      <c r="AJ845" s="505" t="b">
        <v>0</v>
      </c>
      <c r="AK845" s="504" t="b">
        <v>0</v>
      </c>
      <c r="AL845" s="126"/>
      <c r="AM845" s="505" t="b">
        <v>0</v>
      </c>
      <c r="AN845" s="504" t="b">
        <v>0</v>
      </c>
      <c r="AO845" s="105"/>
      <c r="AP845" s="105"/>
      <c r="AQ845" s="105"/>
      <c r="AR845" s="105"/>
      <c r="AS845" s="105"/>
      <c r="AT845" s="105"/>
      <c r="AU845" s="105"/>
      <c r="AV845" s="105"/>
      <c r="AW845" s="105"/>
      <c r="AX845" s="105"/>
      <c r="AY845" s="105"/>
      <c r="AZ845" s="105"/>
      <c r="BA845" s="105"/>
    </row>
    <row r="846">
      <c r="A846" s="105"/>
      <c r="B846" s="105"/>
      <c r="C846" s="105"/>
      <c r="D846" s="105"/>
      <c r="E846" s="105"/>
      <c r="F846" s="105"/>
      <c r="G846" s="105"/>
      <c r="H846" s="105"/>
      <c r="I846" s="505" t="b">
        <v>0</v>
      </c>
      <c r="J846" s="507" t="b">
        <v>0</v>
      </c>
      <c r="K846" s="112"/>
      <c r="L846" s="505" t="b">
        <v>0</v>
      </c>
      <c r="M846" s="504" t="b">
        <v>0</v>
      </c>
      <c r="N846" s="112"/>
      <c r="O846" s="505" t="b">
        <v>0</v>
      </c>
      <c r="P846" s="504" t="b">
        <v>0</v>
      </c>
      <c r="Q846" s="116"/>
      <c r="R846" s="505" t="b">
        <v>0</v>
      </c>
      <c r="S846" s="504" t="b">
        <v>0</v>
      </c>
      <c r="T846" s="117"/>
      <c r="U846" s="505" t="b">
        <v>0</v>
      </c>
      <c r="V846" s="504" t="b">
        <v>0</v>
      </c>
      <c r="W846" s="118"/>
      <c r="X846" s="505" t="b">
        <v>0</v>
      </c>
      <c r="Y846" s="504" t="b">
        <v>0</v>
      </c>
      <c r="Z846" s="119"/>
      <c r="AA846" s="505" t="b">
        <v>0</v>
      </c>
      <c r="AB846" s="504" t="b">
        <v>0</v>
      </c>
      <c r="AC846" s="121"/>
      <c r="AD846" s="505" t="b">
        <v>0</v>
      </c>
      <c r="AE846" s="504" t="b">
        <v>0</v>
      </c>
      <c r="AF846" s="125"/>
      <c r="AG846" s="505" t="b">
        <v>0</v>
      </c>
      <c r="AH846" s="504" t="b">
        <v>0</v>
      </c>
      <c r="AI846" s="105"/>
      <c r="AJ846" s="505" t="b">
        <v>0</v>
      </c>
      <c r="AK846" s="504" t="b">
        <v>0</v>
      </c>
      <c r="AL846" s="126"/>
      <c r="AM846" s="505" t="b">
        <v>0</v>
      </c>
      <c r="AN846" s="504" t="b">
        <v>0</v>
      </c>
      <c r="AO846" s="105"/>
      <c r="AP846" s="105"/>
      <c r="AQ846" s="105"/>
      <c r="AR846" s="105"/>
      <c r="AS846" s="105"/>
      <c r="AT846" s="105"/>
      <c r="AU846" s="105"/>
      <c r="AV846" s="105"/>
      <c r="AW846" s="105"/>
      <c r="AX846" s="105"/>
      <c r="AY846" s="105"/>
      <c r="AZ846" s="105"/>
      <c r="BA846" s="105"/>
    </row>
    <row r="847">
      <c r="A847" s="105"/>
      <c r="B847" s="105"/>
      <c r="C847" s="105"/>
      <c r="D847" s="105"/>
      <c r="E847" s="105"/>
      <c r="F847" s="105"/>
      <c r="G847" s="105"/>
      <c r="H847" s="105"/>
      <c r="I847" s="505" t="b">
        <v>0</v>
      </c>
      <c r="J847" s="507" t="b">
        <v>0</v>
      </c>
      <c r="K847" s="112"/>
      <c r="L847" s="505" t="b">
        <v>0</v>
      </c>
      <c r="M847" s="504" t="b">
        <v>0</v>
      </c>
      <c r="N847" s="112"/>
      <c r="O847" s="505" t="b">
        <v>0</v>
      </c>
      <c r="P847" s="504" t="b">
        <v>0</v>
      </c>
      <c r="Q847" s="116"/>
      <c r="R847" s="505" t="b">
        <v>0</v>
      </c>
      <c r="S847" s="504" t="b">
        <v>0</v>
      </c>
      <c r="T847" s="117"/>
      <c r="U847" s="505" t="b">
        <v>0</v>
      </c>
      <c r="V847" s="504" t="b">
        <v>0</v>
      </c>
      <c r="W847" s="118"/>
      <c r="X847" s="505" t="b">
        <v>0</v>
      </c>
      <c r="Y847" s="504" t="b">
        <v>0</v>
      </c>
      <c r="Z847" s="119"/>
      <c r="AA847" s="505" t="b">
        <v>0</v>
      </c>
      <c r="AB847" s="504" t="b">
        <v>0</v>
      </c>
      <c r="AC847" s="121"/>
      <c r="AD847" s="505" t="b">
        <v>0</v>
      </c>
      <c r="AE847" s="504" t="b">
        <v>0</v>
      </c>
      <c r="AF847" s="125"/>
      <c r="AG847" s="505" t="b">
        <v>0</v>
      </c>
      <c r="AH847" s="504" t="b">
        <v>0</v>
      </c>
      <c r="AI847" s="105"/>
      <c r="AJ847" s="505" t="b">
        <v>0</v>
      </c>
      <c r="AK847" s="504" t="b">
        <v>0</v>
      </c>
      <c r="AL847" s="126"/>
      <c r="AM847" s="505" t="b">
        <v>0</v>
      </c>
      <c r="AN847" s="504" t="b">
        <v>0</v>
      </c>
      <c r="AO847" s="105"/>
      <c r="AP847" s="105"/>
      <c r="AQ847" s="105"/>
      <c r="AR847" s="105"/>
      <c r="AS847" s="105"/>
      <c r="AT847" s="105"/>
      <c r="AU847" s="105"/>
      <c r="AV847" s="105"/>
      <c r="AW847" s="105"/>
      <c r="AX847" s="105"/>
      <c r="AY847" s="105"/>
      <c r="AZ847" s="105"/>
      <c r="BA847" s="105"/>
    </row>
    <row r="848">
      <c r="A848" s="105"/>
      <c r="B848" s="105"/>
      <c r="C848" s="105"/>
      <c r="D848" s="105"/>
      <c r="E848" s="105"/>
      <c r="F848" s="105"/>
      <c r="G848" s="105"/>
      <c r="H848" s="105"/>
      <c r="I848" s="505" t="b">
        <v>0</v>
      </c>
      <c r="J848" s="507" t="b">
        <v>0</v>
      </c>
      <c r="K848" s="112"/>
      <c r="L848" s="505" t="b">
        <v>0</v>
      </c>
      <c r="M848" s="504" t="b">
        <v>0</v>
      </c>
      <c r="N848" s="112"/>
      <c r="O848" s="505" t="b">
        <v>0</v>
      </c>
      <c r="P848" s="504" t="b">
        <v>0</v>
      </c>
      <c r="Q848" s="116"/>
      <c r="R848" s="505" t="b">
        <v>0</v>
      </c>
      <c r="S848" s="504" t="b">
        <v>0</v>
      </c>
      <c r="T848" s="117"/>
      <c r="U848" s="505" t="b">
        <v>0</v>
      </c>
      <c r="V848" s="504" t="b">
        <v>0</v>
      </c>
      <c r="W848" s="118"/>
      <c r="X848" s="505" t="b">
        <v>0</v>
      </c>
      <c r="Y848" s="504" t="b">
        <v>0</v>
      </c>
      <c r="Z848" s="119"/>
      <c r="AA848" s="505" t="b">
        <v>0</v>
      </c>
      <c r="AB848" s="504" t="b">
        <v>0</v>
      </c>
      <c r="AC848" s="121"/>
      <c r="AD848" s="505" t="b">
        <v>0</v>
      </c>
      <c r="AE848" s="504" t="b">
        <v>0</v>
      </c>
      <c r="AF848" s="125"/>
      <c r="AG848" s="505" t="b">
        <v>0</v>
      </c>
      <c r="AH848" s="504" t="b">
        <v>0</v>
      </c>
      <c r="AI848" s="105"/>
      <c r="AJ848" s="505" t="b">
        <v>0</v>
      </c>
      <c r="AK848" s="504" t="b">
        <v>0</v>
      </c>
      <c r="AL848" s="126"/>
      <c r="AM848" s="505" t="b">
        <v>0</v>
      </c>
      <c r="AN848" s="504" t="b">
        <v>0</v>
      </c>
      <c r="AO848" s="105"/>
      <c r="AP848" s="105"/>
      <c r="AQ848" s="105"/>
      <c r="AR848" s="105"/>
      <c r="AS848" s="105"/>
      <c r="AT848" s="105"/>
      <c r="AU848" s="105"/>
      <c r="AV848" s="105"/>
      <c r="AW848" s="105"/>
      <c r="AX848" s="105"/>
      <c r="AY848" s="105"/>
      <c r="AZ848" s="105"/>
      <c r="BA848" s="105"/>
    </row>
    <row r="849">
      <c r="A849" s="105"/>
      <c r="B849" s="105"/>
      <c r="C849" s="105"/>
      <c r="D849" s="105"/>
      <c r="E849" s="105"/>
      <c r="F849" s="105"/>
      <c r="G849" s="105"/>
      <c r="H849" s="105"/>
      <c r="I849" s="505" t="b">
        <v>0</v>
      </c>
      <c r="J849" s="507" t="b">
        <v>0</v>
      </c>
      <c r="K849" s="112"/>
      <c r="L849" s="505" t="b">
        <v>0</v>
      </c>
      <c r="M849" s="504" t="b">
        <v>0</v>
      </c>
      <c r="N849" s="112"/>
      <c r="O849" s="505" t="b">
        <v>0</v>
      </c>
      <c r="P849" s="504" t="b">
        <v>0</v>
      </c>
      <c r="Q849" s="116"/>
      <c r="R849" s="505" t="b">
        <v>0</v>
      </c>
      <c r="S849" s="504" t="b">
        <v>0</v>
      </c>
      <c r="T849" s="117"/>
      <c r="U849" s="505" t="b">
        <v>0</v>
      </c>
      <c r="V849" s="504" t="b">
        <v>0</v>
      </c>
      <c r="W849" s="118"/>
      <c r="X849" s="505" t="b">
        <v>0</v>
      </c>
      <c r="Y849" s="504" t="b">
        <v>0</v>
      </c>
      <c r="Z849" s="119"/>
      <c r="AA849" s="505" t="b">
        <v>0</v>
      </c>
      <c r="AB849" s="504" t="b">
        <v>0</v>
      </c>
      <c r="AC849" s="121"/>
      <c r="AD849" s="505" t="b">
        <v>0</v>
      </c>
      <c r="AE849" s="504" t="b">
        <v>0</v>
      </c>
      <c r="AF849" s="125"/>
      <c r="AG849" s="505" t="b">
        <v>0</v>
      </c>
      <c r="AH849" s="504" t="b">
        <v>0</v>
      </c>
      <c r="AI849" s="105"/>
      <c r="AJ849" s="505" t="b">
        <v>0</v>
      </c>
      <c r="AK849" s="504" t="b">
        <v>0</v>
      </c>
      <c r="AL849" s="126"/>
      <c r="AM849" s="505" t="b">
        <v>0</v>
      </c>
      <c r="AN849" s="504" t="b">
        <v>0</v>
      </c>
      <c r="AO849" s="105"/>
      <c r="AP849" s="105"/>
      <c r="AQ849" s="105"/>
      <c r="AR849" s="105"/>
      <c r="AS849" s="105"/>
      <c r="AT849" s="105"/>
      <c r="AU849" s="105"/>
      <c r="AV849" s="105"/>
      <c r="AW849" s="105"/>
      <c r="AX849" s="105"/>
      <c r="AY849" s="105"/>
      <c r="AZ849" s="105"/>
      <c r="BA849" s="105"/>
    </row>
    <row r="850">
      <c r="A850" s="105"/>
      <c r="B850" s="105"/>
      <c r="C850" s="105"/>
      <c r="D850" s="105"/>
      <c r="E850" s="105"/>
      <c r="F850" s="105"/>
      <c r="G850" s="105"/>
      <c r="H850" s="105"/>
      <c r="I850" s="505" t="b">
        <v>0</v>
      </c>
      <c r="J850" s="507" t="b">
        <v>0</v>
      </c>
      <c r="K850" s="112"/>
      <c r="L850" s="505" t="b">
        <v>0</v>
      </c>
      <c r="M850" s="504" t="b">
        <v>0</v>
      </c>
      <c r="N850" s="112"/>
      <c r="O850" s="505" t="b">
        <v>0</v>
      </c>
      <c r="P850" s="504" t="b">
        <v>0</v>
      </c>
      <c r="Q850" s="116"/>
      <c r="R850" s="505" t="b">
        <v>0</v>
      </c>
      <c r="S850" s="504" t="b">
        <v>0</v>
      </c>
      <c r="T850" s="117"/>
      <c r="U850" s="505" t="b">
        <v>0</v>
      </c>
      <c r="V850" s="504" t="b">
        <v>0</v>
      </c>
      <c r="W850" s="118"/>
      <c r="X850" s="505" t="b">
        <v>0</v>
      </c>
      <c r="Y850" s="504" t="b">
        <v>0</v>
      </c>
      <c r="Z850" s="119"/>
      <c r="AA850" s="505" t="b">
        <v>0</v>
      </c>
      <c r="AB850" s="504" t="b">
        <v>0</v>
      </c>
      <c r="AC850" s="121"/>
      <c r="AD850" s="505" t="b">
        <v>0</v>
      </c>
      <c r="AE850" s="504" t="b">
        <v>0</v>
      </c>
      <c r="AF850" s="125"/>
      <c r="AG850" s="505" t="b">
        <v>0</v>
      </c>
      <c r="AH850" s="504" t="b">
        <v>0</v>
      </c>
      <c r="AI850" s="105"/>
      <c r="AJ850" s="505" t="b">
        <v>0</v>
      </c>
      <c r="AK850" s="504" t="b">
        <v>0</v>
      </c>
      <c r="AL850" s="126"/>
      <c r="AM850" s="505" t="b">
        <v>0</v>
      </c>
      <c r="AN850" s="504" t="b">
        <v>0</v>
      </c>
      <c r="AO850" s="105"/>
      <c r="AP850" s="105"/>
      <c r="AQ850" s="105"/>
      <c r="AR850" s="105"/>
      <c r="AS850" s="105"/>
      <c r="AT850" s="105"/>
      <c r="AU850" s="105"/>
      <c r="AV850" s="105"/>
      <c r="AW850" s="105"/>
      <c r="AX850" s="105"/>
      <c r="AY850" s="105"/>
      <c r="AZ850" s="105"/>
      <c r="BA850" s="105"/>
    </row>
    <row r="851">
      <c r="A851" s="105"/>
      <c r="B851" s="105"/>
      <c r="C851" s="105"/>
      <c r="D851" s="105"/>
      <c r="E851" s="105"/>
      <c r="F851" s="105"/>
      <c r="G851" s="105"/>
      <c r="H851" s="105"/>
      <c r="I851" s="505" t="b">
        <v>0</v>
      </c>
      <c r="J851" s="507" t="b">
        <v>0</v>
      </c>
      <c r="K851" s="112"/>
      <c r="L851" s="505" t="b">
        <v>0</v>
      </c>
      <c r="M851" s="504" t="b">
        <v>0</v>
      </c>
      <c r="N851" s="112"/>
      <c r="O851" s="505" t="b">
        <v>0</v>
      </c>
      <c r="P851" s="504" t="b">
        <v>0</v>
      </c>
      <c r="Q851" s="116"/>
      <c r="R851" s="505" t="b">
        <v>0</v>
      </c>
      <c r="S851" s="504" t="b">
        <v>0</v>
      </c>
      <c r="T851" s="117"/>
      <c r="U851" s="505" t="b">
        <v>0</v>
      </c>
      <c r="V851" s="504" t="b">
        <v>0</v>
      </c>
      <c r="W851" s="118"/>
      <c r="X851" s="505" t="b">
        <v>0</v>
      </c>
      <c r="Y851" s="504" t="b">
        <v>0</v>
      </c>
      <c r="Z851" s="119"/>
      <c r="AA851" s="505" t="b">
        <v>0</v>
      </c>
      <c r="AB851" s="504" t="b">
        <v>0</v>
      </c>
      <c r="AC851" s="121"/>
      <c r="AD851" s="505" t="b">
        <v>0</v>
      </c>
      <c r="AE851" s="504" t="b">
        <v>0</v>
      </c>
      <c r="AF851" s="125"/>
      <c r="AG851" s="505" t="b">
        <v>0</v>
      </c>
      <c r="AH851" s="504" t="b">
        <v>0</v>
      </c>
      <c r="AI851" s="105"/>
      <c r="AJ851" s="505" t="b">
        <v>0</v>
      </c>
      <c r="AK851" s="504" t="b">
        <v>0</v>
      </c>
      <c r="AL851" s="126"/>
      <c r="AM851" s="505" t="b">
        <v>0</v>
      </c>
      <c r="AN851" s="504" t="b">
        <v>0</v>
      </c>
      <c r="AO851" s="105"/>
      <c r="AP851" s="105"/>
      <c r="AQ851" s="105"/>
      <c r="AR851" s="105"/>
      <c r="AS851" s="105"/>
      <c r="AT851" s="105"/>
      <c r="AU851" s="105"/>
      <c r="AV851" s="105"/>
      <c r="AW851" s="105"/>
      <c r="AX851" s="105"/>
      <c r="AY851" s="105"/>
      <c r="AZ851" s="105"/>
      <c r="BA851" s="105"/>
    </row>
    <row r="852">
      <c r="A852" s="105"/>
      <c r="B852" s="105"/>
      <c r="C852" s="105"/>
      <c r="D852" s="105"/>
      <c r="E852" s="105"/>
      <c r="F852" s="105"/>
      <c r="G852" s="105"/>
      <c r="H852" s="105"/>
      <c r="I852" s="505" t="b">
        <v>0</v>
      </c>
      <c r="J852" s="507" t="b">
        <v>0</v>
      </c>
      <c r="K852" s="112"/>
      <c r="L852" s="505" t="b">
        <v>0</v>
      </c>
      <c r="M852" s="504" t="b">
        <v>0</v>
      </c>
      <c r="N852" s="112"/>
      <c r="O852" s="505" t="b">
        <v>0</v>
      </c>
      <c r="P852" s="504" t="b">
        <v>0</v>
      </c>
      <c r="Q852" s="116"/>
      <c r="R852" s="505" t="b">
        <v>0</v>
      </c>
      <c r="S852" s="504" t="b">
        <v>0</v>
      </c>
      <c r="T852" s="117"/>
      <c r="U852" s="505" t="b">
        <v>0</v>
      </c>
      <c r="V852" s="504" t="b">
        <v>0</v>
      </c>
      <c r="W852" s="118"/>
      <c r="X852" s="505" t="b">
        <v>0</v>
      </c>
      <c r="Y852" s="504" t="b">
        <v>0</v>
      </c>
      <c r="Z852" s="119"/>
      <c r="AA852" s="505" t="b">
        <v>0</v>
      </c>
      <c r="AB852" s="504" t="b">
        <v>0</v>
      </c>
      <c r="AC852" s="121"/>
      <c r="AD852" s="505" t="b">
        <v>0</v>
      </c>
      <c r="AE852" s="504" t="b">
        <v>0</v>
      </c>
      <c r="AF852" s="125"/>
      <c r="AG852" s="505" t="b">
        <v>0</v>
      </c>
      <c r="AH852" s="504" t="b">
        <v>0</v>
      </c>
      <c r="AI852" s="105"/>
      <c r="AJ852" s="505" t="b">
        <v>0</v>
      </c>
      <c r="AK852" s="504" t="b">
        <v>0</v>
      </c>
      <c r="AL852" s="126"/>
      <c r="AM852" s="505" t="b">
        <v>0</v>
      </c>
      <c r="AN852" s="504" t="b">
        <v>0</v>
      </c>
      <c r="AO852" s="105"/>
      <c r="AP852" s="105"/>
      <c r="AQ852" s="105"/>
      <c r="AR852" s="105"/>
      <c r="AS852" s="105"/>
      <c r="AT852" s="105"/>
      <c r="AU852" s="105"/>
      <c r="AV852" s="105"/>
      <c r="AW852" s="105"/>
      <c r="AX852" s="105"/>
      <c r="AY852" s="105"/>
      <c r="AZ852" s="105"/>
      <c r="BA852" s="105"/>
    </row>
    <row r="853">
      <c r="A853" s="105"/>
      <c r="B853" s="105"/>
      <c r="C853" s="105"/>
      <c r="D853" s="105"/>
      <c r="E853" s="105"/>
      <c r="F853" s="105"/>
      <c r="G853" s="105"/>
      <c r="H853" s="105"/>
      <c r="I853" s="505" t="b">
        <v>0</v>
      </c>
      <c r="J853" s="507" t="b">
        <v>0</v>
      </c>
      <c r="K853" s="112"/>
      <c r="L853" s="505" t="b">
        <v>0</v>
      </c>
      <c r="M853" s="504" t="b">
        <v>0</v>
      </c>
      <c r="N853" s="112"/>
      <c r="O853" s="505" t="b">
        <v>0</v>
      </c>
      <c r="P853" s="504" t="b">
        <v>0</v>
      </c>
      <c r="Q853" s="116"/>
      <c r="R853" s="505" t="b">
        <v>0</v>
      </c>
      <c r="S853" s="504" t="b">
        <v>0</v>
      </c>
      <c r="T853" s="117"/>
      <c r="U853" s="505" t="b">
        <v>0</v>
      </c>
      <c r="V853" s="504" t="b">
        <v>0</v>
      </c>
      <c r="W853" s="118"/>
      <c r="X853" s="505" t="b">
        <v>0</v>
      </c>
      <c r="Y853" s="504" t="b">
        <v>0</v>
      </c>
      <c r="Z853" s="119"/>
      <c r="AA853" s="505" t="b">
        <v>0</v>
      </c>
      <c r="AB853" s="504" t="b">
        <v>0</v>
      </c>
      <c r="AC853" s="121"/>
      <c r="AD853" s="505" t="b">
        <v>0</v>
      </c>
      <c r="AE853" s="504" t="b">
        <v>0</v>
      </c>
      <c r="AF853" s="125"/>
      <c r="AG853" s="505" t="b">
        <v>0</v>
      </c>
      <c r="AH853" s="504" t="b">
        <v>0</v>
      </c>
      <c r="AI853" s="105"/>
      <c r="AJ853" s="505" t="b">
        <v>0</v>
      </c>
      <c r="AK853" s="504" t="b">
        <v>0</v>
      </c>
      <c r="AL853" s="126"/>
      <c r="AM853" s="505" t="b">
        <v>0</v>
      </c>
      <c r="AN853" s="504" t="b">
        <v>0</v>
      </c>
      <c r="AO853" s="105"/>
      <c r="AP853" s="105"/>
      <c r="AQ853" s="105"/>
      <c r="AR853" s="105"/>
      <c r="AS853" s="105"/>
      <c r="AT853" s="105"/>
      <c r="AU853" s="105"/>
      <c r="AV853" s="105"/>
      <c r="AW853" s="105"/>
      <c r="AX853" s="105"/>
      <c r="AY853" s="105"/>
      <c r="AZ853" s="105"/>
      <c r="BA853" s="105"/>
    </row>
    <row r="854">
      <c r="A854" s="105"/>
      <c r="B854" s="105"/>
      <c r="C854" s="105"/>
      <c r="D854" s="105"/>
      <c r="E854" s="105"/>
      <c r="F854" s="105"/>
      <c r="G854" s="105"/>
      <c r="H854" s="105"/>
      <c r="I854" s="505" t="b">
        <v>0</v>
      </c>
      <c r="J854" s="507" t="b">
        <v>0</v>
      </c>
      <c r="K854" s="112"/>
      <c r="L854" s="505" t="b">
        <v>0</v>
      </c>
      <c r="M854" s="504" t="b">
        <v>0</v>
      </c>
      <c r="N854" s="112"/>
      <c r="O854" s="505" t="b">
        <v>0</v>
      </c>
      <c r="P854" s="504" t="b">
        <v>0</v>
      </c>
      <c r="Q854" s="116"/>
      <c r="R854" s="505" t="b">
        <v>0</v>
      </c>
      <c r="S854" s="504" t="b">
        <v>0</v>
      </c>
      <c r="T854" s="117"/>
      <c r="U854" s="505" t="b">
        <v>0</v>
      </c>
      <c r="V854" s="504" t="b">
        <v>0</v>
      </c>
      <c r="W854" s="118"/>
      <c r="X854" s="505" t="b">
        <v>0</v>
      </c>
      <c r="Y854" s="504" t="b">
        <v>0</v>
      </c>
      <c r="Z854" s="119"/>
      <c r="AA854" s="505" t="b">
        <v>0</v>
      </c>
      <c r="AB854" s="504" t="b">
        <v>0</v>
      </c>
      <c r="AC854" s="121"/>
      <c r="AD854" s="505" t="b">
        <v>0</v>
      </c>
      <c r="AE854" s="504" t="b">
        <v>0</v>
      </c>
      <c r="AF854" s="125"/>
      <c r="AG854" s="505" t="b">
        <v>0</v>
      </c>
      <c r="AH854" s="504" t="b">
        <v>0</v>
      </c>
      <c r="AI854" s="105"/>
      <c r="AJ854" s="505" t="b">
        <v>0</v>
      </c>
      <c r="AK854" s="504" t="b">
        <v>0</v>
      </c>
      <c r="AL854" s="126"/>
      <c r="AM854" s="505" t="b">
        <v>0</v>
      </c>
      <c r="AN854" s="504" t="b">
        <v>0</v>
      </c>
      <c r="AO854" s="105"/>
      <c r="AP854" s="105"/>
      <c r="AQ854" s="105"/>
      <c r="AR854" s="105"/>
      <c r="AS854" s="105"/>
      <c r="AT854" s="105"/>
      <c r="AU854" s="105"/>
      <c r="AV854" s="105"/>
      <c r="AW854" s="105"/>
      <c r="AX854" s="105"/>
      <c r="AY854" s="105"/>
      <c r="AZ854" s="105"/>
      <c r="BA854" s="105"/>
    </row>
    <row r="855">
      <c r="A855" s="105"/>
      <c r="B855" s="105"/>
      <c r="C855" s="105"/>
      <c r="D855" s="105"/>
      <c r="E855" s="105"/>
      <c r="F855" s="105"/>
      <c r="G855" s="105"/>
      <c r="H855" s="105"/>
      <c r="I855" s="505" t="b">
        <v>0</v>
      </c>
      <c r="J855" s="507" t="b">
        <v>0</v>
      </c>
      <c r="K855" s="112"/>
      <c r="L855" s="505" t="b">
        <v>0</v>
      </c>
      <c r="M855" s="504" t="b">
        <v>0</v>
      </c>
      <c r="N855" s="112"/>
      <c r="O855" s="505" t="b">
        <v>0</v>
      </c>
      <c r="P855" s="504" t="b">
        <v>0</v>
      </c>
      <c r="Q855" s="116"/>
      <c r="R855" s="505" t="b">
        <v>0</v>
      </c>
      <c r="S855" s="504" t="b">
        <v>0</v>
      </c>
      <c r="T855" s="117"/>
      <c r="U855" s="505" t="b">
        <v>0</v>
      </c>
      <c r="V855" s="504" t="b">
        <v>0</v>
      </c>
      <c r="W855" s="118"/>
      <c r="X855" s="505" t="b">
        <v>0</v>
      </c>
      <c r="Y855" s="504" t="b">
        <v>0</v>
      </c>
      <c r="Z855" s="119"/>
      <c r="AA855" s="505" t="b">
        <v>0</v>
      </c>
      <c r="AB855" s="504" t="b">
        <v>0</v>
      </c>
      <c r="AC855" s="121"/>
      <c r="AD855" s="505" t="b">
        <v>0</v>
      </c>
      <c r="AE855" s="504" t="b">
        <v>0</v>
      </c>
      <c r="AF855" s="125"/>
      <c r="AG855" s="505" t="b">
        <v>0</v>
      </c>
      <c r="AH855" s="504" t="b">
        <v>0</v>
      </c>
      <c r="AI855" s="105"/>
      <c r="AJ855" s="505" t="b">
        <v>0</v>
      </c>
      <c r="AK855" s="504" t="b">
        <v>0</v>
      </c>
      <c r="AL855" s="126"/>
      <c r="AM855" s="505" t="b">
        <v>0</v>
      </c>
      <c r="AN855" s="504" t="b">
        <v>0</v>
      </c>
      <c r="AO855" s="105"/>
      <c r="AP855" s="105"/>
      <c r="AQ855" s="105"/>
      <c r="AR855" s="105"/>
      <c r="AS855" s="105"/>
      <c r="AT855" s="105"/>
      <c r="AU855" s="105"/>
      <c r="AV855" s="105"/>
      <c r="AW855" s="105"/>
      <c r="AX855" s="105"/>
      <c r="AY855" s="105"/>
      <c r="AZ855" s="105"/>
      <c r="BA855" s="105"/>
    </row>
    <row r="856">
      <c r="A856" s="105"/>
      <c r="B856" s="105"/>
      <c r="C856" s="105"/>
      <c r="D856" s="105"/>
      <c r="E856" s="105"/>
      <c r="F856" s="105"/>
      <c r="G856" s="105"/>
      <c r="H856" s="105"/>
      <c r="I856" s="505" t="b">
        <v>0</v>
      </c>
      <c r="J856" s="507" t="b">
        <v>0</v>
      </c>
      <c r="K856" s="112"/>
      <c r="L856" s="505" t="b">
        <v>0</v>
      </c>
      <c r="M856" s="504" t="b">
        <v>0</v>
      </c>
      <c r="N856" s="112"/>
      <c r="O856" s="505" t="b">
        <v>0</v>
      </c>
      <c r="P856" s="504" t="b">
        <v>0</v>
      </c>
      <c r="Q856" s="116"/>
      <c r="R856" s="505" t="b">
        <v>0</v>
      </c>
      <c r="S856" s="504" t="b">
        <v>0</v>
      </c>
      <c r="T856" s="117"/>
      <c r="U856" s="505" t="b">
        <v>0</v>
      </c>
      <c r="V856" s="504" t="b">
        <v>0</v>
      </c>
      <c r="W856" s="118"/>
      <c r="X856" s="505" t="b">
        <v>0</v>
      </c>
      <c r="Y856" s="504" t="b">
        <v>0</v>
      </c>
      <c r="Z856" s="119"/>
      <c r="AA856" s="505" t="b">
        <v>0</v>
      </c>
      <c r="AB856" s="504" t="b">
        <v>0</v>
      </c>
      <c r="AC856" s="121"/>
      <c r="AD856" s="505" t="b">
        <v>0</v>
      </c>
      <c r="AE856" s="504" t="b">
        <v>0</v>
      </c>
      <c r="AF856" s="125"/>
      <c r="AG856" s="505" t="b">
        <v>0</v>
      </c>
      <c r="AH856" s="504" t="b">
        <v>0</v>
      </c>
      <c r="AI856" s="105"/>
      <c r="AJ856" s="505" t="b">
        <v>0</v>
      </c>
      <c r="AK856" s="504" t="b">
        <v>0</v>
      </c>
      <c r="AL856" s="126"/>
      <c r="AM856" s="505" t="b">
        <v>0</v>
      </c>
      <c r="AN856" s="504" t="b">
        <v>0</v>
      </c>
      <c r="AO856" s="105"/>
      <c r="AP856" s="105"/>
      <c r="AQ856" s="105"/>
      <c r="AR856" s="105"/>
      <c r="AS856" s="105"/>
      <c r="AT856" s="105"/>
      <c r="AU856" s="105"/>
      <c r="AV856" s="105"/>
      <c r="AW856" s="105"/>
      <c r="AX856" s="105"/>
      <c r="AY856" s="105"/>
      <c r="AZ856" s="105"/>
      <c r="BA856" s="105"/>
    </row>
    <row r="857">
      <c r="A857" s="105"/>
      <c r="B857" s="105"/>
      <c r="C857" s="105"/>
      <c r="D857" s="105"/>
      <c r="E857" s="105"/>
      <c r="F857" s="105"/>
      <c r="G857" s="105"/>
      <c r="H857" s="105"/>
      <c r="I857" s="505" t="b">
        <v>0</v>
      </c>
      <c r="J857" s="507" t="b">
        <v>0</v>
      </c>
      <c r="K857" s="112"/>
      <c r="L857" s="505" t="b">
        <v>0</v>
      </c>
      <c r="M857" s="504" t="b">
        <v>0</v>
      </c>
      <c r="N857" s="112"/>
      <c r="O857" s="505" t="b">
        <v>0</v>
      </c>
      <c r="P857" s="504" t="b">
        <v>0</v>
      </c>
      <c r="Q857" s="116"/>
      <c r="R857" s="505" t="b">
        <v>0</v>
      </c>
      <c r="S857" s="504" t="b">
        <v>0</v>
      </c>
      <c r="T857" s="117"/>
      <c r="U857" s="505" t="b">
        <v>0</v>
      </c>
      <c r="V857" s="504" t="b">
        <v>0</v>
      </c>
      <c r="W857" s="118"/>
      <c r="X857" s="505" t="b">
        <v>0</v>
      </c>
      <c r="Y857" s="504" t="b">
        <v>0</v>
      </c>
      <c r="Z857" s="119"/>
      <c r="AA857" s="505" t="b">
        <v>0</v>
      </c>
      <c r="AB857" s="504" t="b">
        <v>0</v>
      </c>
      <c r="AC857" s="121"/>
      <c r="AD857" s="505" t="b">
        <v>0</v>
      </c>
      <c r="AE857" s="504" t="b">
        <v>0</v>
      </c>
      <c r="AF857" s="125"/>
      <c r="AG857" s="505" t="b">
        <v>0</v>
      </c>
      <c r="AH857" s="504" t="b">
        <v>0</v>
      </c>
      <c r="AI857" s="105"/>
      <c r="AJ857" s="505" t="b">
        <v>0</v>
      </c>
      <c r="AK857" s="504" t="b">
        <v>0</v>
      </c>
      <c r="AL857" s="126"/>
      <c r="AM857" s="505" t="b">
        <v>0</v>
      </c>
      <c r="AN857" s="504" t="b">
        <v>0</v>
      </c>
      <c r="AO857" s="105"/>
      <c r="AP857" s="105"/>
      <c r="AQ857" s="105"/>
      <c r="AR857" s="105"/>
      <c r="AS857" s="105"/>
      <c r="AT857" s="105"/>
      <c r="AU857" s="105"/>
      <c r="AV857" s="105"/>
      <c r="AW857" s="105"/>
      <c r="AX857" s="105"/>
      <c r="AY857" s="105"/>
      <c r="AZ857" s="105"/>
      <c r="BA857" s="105"/>
    </row>
    <row r="858">
      <c r="A858" s="105"/>
      <c r="B858" s="105"/>
      <c r="C858" s="105"/>
      <c r="D858" s="105"/>
      <c r="E858" s="105"/>
      <c r="F858" s="105"/>
      <c r="G858" s="105"/>
      <c r="H858" s="105"/>
      <c r="I858" s="505" t="b">
        <v>0</v>
      </c>
      <c r="J858" s="507" t="b">
        <v>0</v>
      </c>
      <c r="K858" s="112"/>
      <c r="L858" s="505" t="b">
        <v>0</v>
      </c>
      <c r="M858" s="504" t="b">
        <v>0</v>
      </c>
      <c r="N858" s="112"/>
      <c r="O858" s="505" t="b">
        <v>0</v>
      </c>
      <c r="P858" s="504" t="b">
        <v>0</v>
      </c>
      <c r="Q858" s="116"/>
      <c r="R858" s="505" t="b">
        <v>0</v>
      </c>
      <c r="S858" s="504" t="b">
        <v>0</v>
      </c>
      <c r="T858" s="117"/>
      <c r="U858" s="505" t="b">
        <v>0</v>
      </c>
      <c r="V858" s="504" t="b">
        <v>0</v>
      </c>
      <c r="W858" s="118"/>
      <c r="X858" s="505" t="b">
        <v>0</v>
      </c>
      <c r="Y858" s="504" t="b">
        <v>0</v>
      </c>
      <c r="Z858" s="119"/>
      <c r="AA858" s="505" t="b">
        <v>0</v>
      </c>
      <c r="AB858" s="504" t="b">
        <v>0</v>
      </c>
      <c r="AC858" s="121"/>
      <c r="AD858" s="505" t="b">
        <v>0</v>
      </c>
      <c r="AE858" s="504" t="b">
        <v>0</v>
      </c>
      <c r="AF858" s="125"/>
      <c r="AG858" s="505" t="b">
        <v>0</v>
      </c>
      <c r="AH858" s="504" t="b">
        <v>0</v>
      </c>
      <c r="AI858" s="105"/>
      <c r="AJ858" s="505" t="b">
        <v>0</v>
      </c>
      <c r="AK858" s="504" t="b">
        <v>0</v>
      </c>
      <c r="AL858" s="126"/>
      <c r="AM858" s="505" t="b">
        <v>0</v>
      </c>
      <c r="AN858" s="504" t="b">
        <v>0</v>
      </c>
      <c r="AO858" s="105"/>
      <c r="AP858" s="105"/>
      <c r="AQ858" s="105"/>
      <c r="AR858" s="105"/>
      <c r="AS858" s="105"/>
      <c r="AT858" s="105"/>
      <c r="AU858" s="105"/>
      <c r="AV858" s="105"/>
      <c r="AW858" s="105"/>
      <c r="AX858" s="105"/>
      <c r="AY858" s="105"/>
      <c r="AZ858" s="105"/>
      <c r="BA858" s="105"/>
    </row>
    <row r="859">
      <c r="A859" s="105"/>
      <c r="B859" s="105"/>
      <c r="C859" s="105"/>
      <c r="D859" s="105"/>
      <c r="E859" s="105"/>
      <c r="F859" s="105"/>
      <c r="G859" s="105"/>
      <c r="H859" s="105"/>
      <c r="I859" s="505" t="b">
        <v>0</v>
      </c>
      <c r="J859" s="507" t="b">
        <v>0</v>
      </c>
      <c r="K859" s="112"/>
      <c r="L859" s="505" t="b">
        <v>0</v>
      </c>
      <c r="M859" s="504" t="b">
        <v>0</v>
      </c>
      <c r="N859" s="112"/>
      <c r="O859" s="505" t="b">
        <v>0</v>
      </c>
      <c r="P859" s="504" t="b">
        <v>0</v>
      </c>
      <c r="Q859" s="116"/>
      <c r="R859" s="505" t="b">
        <v>0</v>
      </c>
      <c r="S859" s="504" t="b">
        <v>0</v>
      </c>
      <c r="T859" s="117"/>
      <c r="U859" s="505" t="b">
        <v>0</v>
      </c>
      <c r="V859" s="504" t="b">
        <v>0</v>
      </c>
      <c r="W859" s="118"/>
      <c r="X859" s="505" t="b">
        <v>0</v>
      </c>
      <c r="Y859" s="504" t="b">
        <v>0</v>
      </c>
      <c r="Z859" s="119"/>
      <c r="AA859" s="505" t="b">
        <v>0</v>
      </c>
      <c r="AB859" s="504" t="b">
        <v>0</v>
      </c>
      <c r="AC859" s="121"/>
      <c r="AD859" s="505" t="b">
        <v>0</v>
      </c>
      <c r="AE859" s="504" t="b">
        <v>0</v>
      </c>
      <c r="AF859" s="125"/>
      <c r="AG859" s="505" t="b">
        <v>0</v>
      </c>
      <c r="AH859" s="504" t="b">
        <v>0</v>
      </c>
      <c r="AI859" s="105"/>
      <c r="AJ859" s="505" t="b">
        <v>0</v>
      </c>
      <c r="AK859" s="504" t="b">
        <v>0</v>
      </c>
      <c r="AL859" s="126"/>
      <c r="AM859" s="505" t="b">
        <v>0</v>
      </c>
      <c r="AN859" s="504" t="b">
        <v>0</v>
      </c>
      <c r="AO859" s="105"/>
      <c r="AP859" s="105"/>
      <c r="AQ859" s="105"/>
      <c r="AR859" s="105"/>
      <c r="AS859" s="105"/>
      <c r="AT859" s="105"/>
      <c r="AU859" s="105"/>
      <c r="AV859" s="105"/>
      <c r="AW859" s="105"/>
      <c r="AX859" s="105"/>
      <c r="AY859" s="105"/>
      <c r="AZ859" s="105"/>
      <c r="BA859" s="105"/>
    </row>
    <row r="860">
      <c r="A860" s="105"/>
      <c r="B860" s="105"/>
      <c r="C860" s="105"/>
      <c r="D860" s="105"/>
      <c r="E860" s="105"/>
      <c r="F860" s="105"/>
      <c r="G860" s="105"/>
      <c r="H860" s="105"/>
      <c r="I860" s="505" t="b">
        <v>0</v>
      </c>
      <c r="J860" s="507" t="b">
        <v>0</v>
      </c>
      <c r="K860" s="112"/>
      <c r="L860" s="505" t="b">
        <v>0</v>
      </c>
      <c r="M860" s="504" t="b">
        <v>0</v>
      </c>
      <c r="N860" s="112"/>
      <c r="O860" s="505" t="b">
        <v>0</v>
      </c>
      <c r="P860" s="504" t="b">
        <v>0</v>
      </c>
      <c r="Q860" s="116"/>
      <c r="R860" s="505" t="b">
        <v>0</v>
      </c>
      <c r="S860" s="504" t="b">
        <v>0</v>
      </c>
      <c r="T860" s="117"/>
      <c r="U860" s="505" t="b">
        <v>0</v>
      </c>
      <c r="V860" s="504" t="b">
        <v>0</v>
      </c>
      <c r="W860" s="118"/>
      <c r="X860" s="505" t="b">
        <v>0</v>
      </c>
      <c r="Y860" s="504" t="b">
        <v>0</v>
      </c>
      <c r="Z860" s="119"/>
      <c r="AA860" s="505" t="b">
        <v>0</v>
      </c>
      <c r="AB860" s="504" t="b">
        <v>0</v>
      </c>
      <c r="AC860" s="121"/>
      <c r="AD860" s="505" t="b">
        <v>0</v>
      </c>
      <c r="AE860" s="504" t="b">
        <v>0</v>
      </c>
      <c r="AF860" s="125"/>
      <c r="AG860" s="505" t="b">
        <v>0</v>
      </c>
      <c r="AH860" s="504" t="b">
        <v>0</v>
      </c>
      <c r="AI860" s="105"/>
      <c r="AJ860" s="505" t="b">
        <v>0</v>
      </c>
      <c r="AK860" s="504" t="b">
        <v>0</v>
      </c>
      <c r="AL860" s="126"/>
      <c r="AM860" s="505" t="b">
        <v>0</v>
      </c>
      <c r="AN860" s="504" t="b">
        <v>0</v>
      </c>
      <c r="AO860" s="105"/>
      <c r="AP860" s="105"/>
      <c r="AQ860" s="105"/>
      <c r="AR860" s="105"/>
      <c r="AS860" s="105"/>
      <c r="AT860" s="105"/>
      <c r="AU860" s="105"/>
      <c r="AV860" s="105"/>
      <c r="AW860" s="105"/>
      <c r="AX860" s="105"/>
      <c r="AY860" s="105"/>
      <c r="AZ860" s="105"/>
      <c r="BA860" s="105"/>
    </row>
    <row r="861">
      <c r="A861" s="105"/>
      <c r="B861" s="105"/>
      <c r="C861" s="105"/>
      <c r="D861" s="105"/>
      <c r="E861" s="105"/>
      <c r="F861" s="105"/>
      <c r="G861" s="105"/>
      <c r="H861" s="105"/>
      <c r="I861" s="505" t="b">
        <v>0</v>
      </c>
      <c r="J861" s="507" t="b">
        <v>0</v>
      </c>
      <c r="K861" s="112"/>
      <c r="L861" s="505" t="b">
        <v>0</v>
      </c>
      <c r="M861" s="504" t="b">
        <v>0</v>
      </c>
      <c r="N861" s="112"/>
      <c r="O861" s="505" t="b">
        <v>0</v>
      </c>
      <c r="P861" s="504" t="b">
        <v>0</v>
      </c>
      <c r="Q861" s="116"/>
      <c r="R861" s="505" t="b">
        <v>0</v>
      </c>
      <c r="S861" s="504" t="b">
        <v>0</v>
      </c>
      <c r="T861" s="117"/>
      <c r="U861" s="505" t="b">
        <v>0</v>
      </c>
      <c r="V861" s="504" t="b">
        <v>0</v>
      </c>
      <c r="W861" s="118"/>
      <c r="X861" s="505" t="b">
        <v>0</v>
      </c>
      <c r="Y861" s="504" t="b">
        <v>0</v>
      </c>
      <c r="Z861" s="119"/>
      <c r="AA861" s="505" t="b">
        <v>0</v>
      </c>
      <c r="AB861" s="504" t="b">
        <v>0</v>
      </c>
      <c r="AC861" s="121"/>
      <c r="AD861" s="505" t="b">
        <v>0</v>
      </c>
      <c r="AE861" s="504" t="b">
        <v>0</v>
      </c>
      <c r="AF861" s="125"/>
      <c r="AG861" s="505" t="b">
        <v>0</v>
      </c>
      <c r="AH861" s="504" t="b">
        <v>0</v>
      </c>
      <c r="AI861" s="105"/>
      <c r="AJ861" s="505" t="b">
        <v>0</v>
      </c>
      <c r="AK861" s="504" t="b">
        <v>0</v>
      </c>
      <c r="AL861" s="126"/>
      <c r="AM861" s="505" t="b">
        <v>0</v>
      </c>
      <c r="AN861" s="504" t="b">
        <v>0</v>
      </c>
      <c r="AO861" s="105"/>
      <c r="AP861" s="105"/>
      <c r="AQ861" s="105"/>
      <c r="AR861" s="105"/>
      <c r="AS861" s="105"/>
      <c r="AT861" s="105"/>
      <c r="AU861" s="105"/>
      <c r="AV861" s="105"/>
      <c r="AW861" s="105"/>
      <c r="AX861" s="105"/>
      <c r="AY861" s="105"/>
      <c r="AZ861" s="105"/>
      <c r="BA861" s="105"/>
    </row>
    <row r="862">
      <c r="A862" s="105"/>
      <c r="B862" s="105"/>
      <c r="C862" s="105"/>
      <c r="D862" s="105"/>
      <c r="E862" s="105"/>
      <c r="F862" s="105"/>
      <c r="G862" s="105"/>
      <c r="H862" s="105"/>
      <c r="I862" s="505" t="b">
        <v>0</v>
      </c>
      <c r="J862" s="507" t="b">
        <v>0</v>
      </c>
      <c r="K862" s="112"/>
      <c r="L862" s="505" t="b">
        <v>0</v>
      </c>
      <c r="M862" s="504" t="b">
        <v>0</v>
      </c>
      <c r="N862" s="112"/>
      <c r="O862" s="505" t="b">
        <v>0</v>
      </c>
      <c r="P862" s="504" t="b">
        <v>0</v>
      </c>
      <c r="Q862" s="116"/>
      <c r="R862" s="505" t="b">
        <v>0</v>
      </c>
      <c r="S862" s="504" t="b">
        <v>0</v>
      </c>
      <c r="T862" s="117"/>
      <c r="U862" s="505" t="b">
        <v>0</v>
      </c>
      <c r="V862" s="504" t="b">
        <v>0</v>
      </c>
      <c r="W862" s="118"/>
      <c r="X862" s="505" t="b">
        <v>0</v>
      </c>
      <c r="Y862" s="504" t="b">
        <v>0</v>
      </c>
      <c r="Z862" s="119"/>
      <c r="AA862" s="505" t="b">
        <v>0</v>
      </c>
      <c r="AB862" s="504" t="b">
        <v>0</v>
      </c>
      <c r="AC862" s="121"/>
      <c r="AD862" s="505" t="b">
        <v>0</v>
      </c>
      <c r="AE862" s="504" t="b">
        <v>0</v>
      </c>
      <c r="AF862" s="125"/>
      <c r="AG862" s="505" t="b">
        <v>0</v>
      </c>
      <c r="AH862" s="504" t="b">
        <v>0</v>
      </c>
      <c r="AI862" s="105"/>
      <c r="AJ862" s="505" t="b">
        <v>0</v>
      </c>
      <c r="AK862" s="504" t="b">
        <v>0</v>
      </c>
      <c r="AL862" s="126"/>
      <c r="AM862" s="505" t="b">
        <v>0</v>
      </c>
      <c r="AN862" s="504" t="b">
        <v>0</v>
      </c>
      <c r="AO862" s="105"/>
      <c r="AP862" s="105"/>
      <c r="AQ862" s="105"/>
      <c r="AR862" s="105"/>
      <c r="AS862" s="105"/>
      <c r="AT862" s="105"/>
      <c r="AU862" s="105"/>
      <c r="AV862" s="105"/>
      <c r="AW862" s="105"/>
      <c r="AX862" s="105"/>
      <c r="AY862" s="105"/>
      <c r="AZ862" s="105"/>
      <c r="BA862" s="105"/>
    </row>
    <row r="863">
      <c r="A863" s="105"/>
      <c r="B863" s="105"/>
      <c r="C863" s="105"/>
      <c r="D863" s="105"/>
      <c r="E863" s="105"/>
      <c r="F863" s="105"/>
      <c r="G863" s="105"/>
      <c r="H863" s="105"/>
      <c r="I863" s="505" t="b">
        <v>0</v>
      </c>
      <c r="J863" s="507" t="b">
        <v>0</v>
      </c>
      <c r="K863" s="112"/>
      <c r="L863" s="505" t="b">
        <v>0</v>
      </c>
      <c r="M863" s="504" t="b">
        <v>0</v>
      </c>
      <c r="N863" s="112"/>
      <c r="O863" s="505" t="b">
        <v>0</v>
      </c>
      <c r="P863" s="504" t="b">
        <v>0</v>
      </c>
      <c r="Q863" s="116"/>
      <c r="R863" s="505" t="b">
        <v>0</v>
      </c>
      <c r="S863" s="504" t="b">
        <v>0</v>
      </c>
      <c r="T863" s="117"/>
      <c r="U863" s="505" t="b">
        <v>0</v>
      </c>
      <c r="V863" s="504" t="b">
        <v>0</v>
      </c>
      <c r="W863" s="118"/>
      <c r="X863" s="505" t="b">
        <v>0</v>
      </c>
      <c r="Y863" s="504" t="b">
        <v>0</v>
      </c>
      <c r="Z863" s="119"/>
      <c r="AA863" s="505" t="b">
        <v>0</v>
      </c>
      <c r="AB863" s="504" t="b">
        <v>0</v>
      </c>
      <c r="AC863" s="121"/>
      <c r="AD863" s="505" t="b">
        <v>0</v>
      </c>
      <c r="AE863" s="504" t="b">
        <v>0</v>
      </c>
      <c r="AF863" s="125"/>
      <c r="AG863" s="505" t="b">
        <v>0</v>
      </c>
      <c r="AH863" s="504" t="b">
        <v>0</v>
      </c>
      <c r="AI863" s="105"/>
      <c r="AJ863" s="505" t="b">
        <v>0</v>
      </c>
      <c r="AK863" s="504" t="b">
        <v>0</v>
      </c>
      <c r="AL863" s="126"/>
      <c r="AM863" s="505" t="b">
        <v>0</v>
      </c>
      <c r="AN863" s="504" t="b">
        <v>0</v>
      </c>
      <c r="AO863" s="105"/>
      <c r="AP863" s="105"/>
      <c r="AQ863" s="105"/>
      <c r="AR863" s="105"/>
      <c r="AS863" s="105"/>
      <c r="AT863" s="105"/>
      <c r="AU863" s="105"/>
      <c r="AV863" s="105"/>
      <c r="AW863" s="105"/>
      <c r="AX863" s="105"/>
      <c r="AY863" s="105"/>
      <c r="AZ863" s="105"/>
      <c r="BA863" s="105"/>
    </row>
    <row r="864">
      <c r="A864" s="105"/>
      <c r="B864" s="105"/>
      <c r="C864" s="105"/>
      <c r="D864" s="105"/>
      <c r="E864" s="105"/>
      <c r="F864" s="105"/>
      <c r="G864" s="105"/>
      <c r="H864" s="105"/>
      <c r="I864" s="505" t="b">
        <v>0</v>
      </c>
      <c r="J864" s="507" t="b">
        <v>0</v>
      </c>
      <c r="K864" s="112"/>
      <c r="L864" s="505" t="b">
        <v>0</v>
      </c>
      <c r="M864" s="504" t="b">
        <v>0</v>
      </c>
      <c r="N864" s="112"/>
      <c r="O864" s="505" t="b">
        <v>0</v>
      </c>
      <c r="P864" s="504" t="b">
        <v>0</v>
      </c>
      <c r="Q864" s="116"/>
      <c r="R864" s="505" t="b">
        <v>0</v>
      </c>
      <c r="S864" s="504" t="b">
        <v>0</v>
      </c>
      <c r="T864" s="117"/>
      <c r="U864" s="505" t="b">
        <v>0</v>
      </c>
      <c r="V864" s="504" t="b">
        <v>0</v>
      </c>
      <c r="W864" s="118"/>
      <c r="X864" s="505" t="b">
        <v>0</v>
      </c>
      <c r="Y864" s="504" t="b">
        <v>0</v>
      </c>
      <c r="Z864" s="119"/>
      <c r="AA864" s="505" t="b">
        <v>0</v>
      </c>
      <c r="AB864" s="504" t="b">
        <v>0</v>
      </c>
      <c r="AC864" s="121"/>
      <c r="AD864" s="505" t="b">
        <v>0</v>
      </c>
      <c r="AE864" s="504" t="b">
        <v>0</v>
      </c>
      <c r="AF864" s="125"/>
      <c r="AG864" s="505" t="b">
        <v>0</v>
      </c>
      <c r="AH864" s="504" t="b">
        <v>0</v>
      </c>
      <c r="AI864" s="105"/>
      <c r="AJ864" s="505" t="b">
        <v>0</v>
      </c>
      <c r="AK864" s="504" t="b">
        <v>0</v>
      </c>
      <c r="AL864" s="126"/>
      <c r="AM864" s="505" t="b">
        <v>0</v>
      </c>
      <c r="AN864" s="504" t="b">
        <v>0</v>
      </c>
      <c r="AO864" s="105"/>
      <c r="AP864" s="105"/>
      <c r="AQ864" s="105"/>
      <c r="AR864" s="105"/>
      <c r="AS864" s="105"/>
      <c r="AT864" s="105"/>
      <c r="AU864" s="105"/>
      <c r="AV864" s="105"/>
      <c r="AW864" s="105"/>
      <c r="AX864" s="105"/>
      <c r="AY864" s="105"/>
      <c r="AZ864" s="105"/>
      <c r="BA864" s="105"/>
    </row>
    <row r="865">
      <c r="A865" s="105"/>
      <c r="B865" s="105"/>
      <c r="C865" s="105"/>
      <c r="D865" s="105"/>
      <c r="E865" s="105"/>
      <c r="F865" s="105"/>
      <c r="G865" s="105"/>
      <c r="H865" s="105"/>
      <c r="I865" s="505" t="b">
        <v>0</v>
      </c>
      <c r="J865" s="507" t="b">
        <v>0</v>
      </c>
      <c r="K865" s="112"/>
      <c r="L865" s="505" t="b">
        <v>0</v>
      </c>
      <c r="M865" s="504" t="b">
        <v>0</v>
      </c>
      <c r="N865" s="112"/>
      <c r="O865" s="505" t="b">
        <v>0</v>
      </c>
      <c r="P865" s="504" t="b">
        <v>0</v>
      </c>
      <c r="Q865" s="116"/>
      <c r="R865" s="505" t="b">
        <v>0</v>
      </c>
      <c r="S865" s="504" t="b">
        <v>0</v>
      </c>
      <c r="T865" s="117"/>
      <c r="U865" s="505" t="b">
        <v>0</v>
      </c>
      <c r="V865" s="504" t="b">
        <v>0</v>
      </c>
      <c r="W865" s="118"/>
      <c r="X865" s="505" t="b">
        <v>0</v>
      </c>
      <c r="Y865" s="504" t="b">
        <v>0</v>
      </c>
      <c r="Z865" s="119"/>
      <c r="AA865" s="505" t="b">
        <v>0</v>
      </c>
      <c r="AB865" s="504" t="b">
        <v>0</v>
      </c>
      <c r="AC865" s="121"/>
      <c r="AD865" s="505" t="b">
        <v>0</v>
      </c>
      <c r="AE865" s="504" t="b">
        <v>0</v>
      </c>
      <c r="AF865" s="125"/>
      <c r="AG865" s="505" t="b">
        <v>0</v>
      </c>
      <c r="AH865" s="504" t="b">
        <v>0</v>
      </c>
      <c r="AI865" s="105"/>
      <c r="AJ865" s="505" t="b">
        <v>0</v>
      </c>
      <c r="AK865" s="504" t="b">
        <v>0</v>
      </c>
      <c r="AL865" s="126"/>
      <c r="AM865" s="505" t="b">
        <v>0</v>
      </c>
      <c r="AN865" s="504" t="b">
        <v>0</v>
      </c>
      <c r="AO865" s="105"/>
      <c r="AP865" s="105"/>
      <c r="AQ865" s="105"/>
      <c r="AR865" s="105"/>
      <c r="AS865" s="105"/>
      <c r="AT865" s="105"/>
      <c r="AU865" s="105"/>
      <c r="AV865" s="105"/>
      <c r="AW865" s="105"/>
      <c r="AX865" s="105"/>
      <c r="AY865" s="105"/>
      <c r="AZ865" s="105"/>
      <c r="BA865" s="105"/>
    </row>
    <row r="866">
      <c r="A866" s="105"/>
      <c r="B866" s="105"/>
      <c r="C866" s="105"/>
      <c r="D866" s="105"/>
      <c r="E866" s="105"/>
      <c r="F866" s="105"/>
      <c r="G866" s="105"/>
      <c r="H866" s="105"/>
      <c r="I866" s="505" t="b">
        <v>0</v>
      </c>
      <c r="J866" s="507" t="b">
        <v>0</v>
      </c>
      <c r="K866" s="112"/>
      <c r="L866" s="505" t="b">
        <v>0</v>
      </c>
      <c r="M866" s="504" t="b">
        <v>0</v>
      </c>
      <c r="N866" s="112"/>
      <c r="O866" s="505" t="b">
        <v>0</v>
      </c>
      <c r="P866" s="504" t="b">
        <v>0</v>
      </c>
      <c r="Q866" s="116"/>
      <c r="R866" s="505" t="b">
        <v>0</v>
      </c>
      <c r="S866" s="504" t="b">
        <v>0</v>
      </c>
      <c r="T866" s="117"/>
      <c r="U866" s="505" t="b">
        <v>0</v>
      </c>
      <c r="V866" s="504" t="b">
        <v>0</v>
      </c>
      <c r="W866" s="118"/>
      <c r="X866" s="505" t="b">
        <v>0</v>
      </c>
      <c r="Y866" s="504" t="b">
        <v>0</v>
      </c>
      <c r="Z866" s="119"/>
      <c r="AA866" s="505" t="b">
        <v>0</v>
      </c>
      <c r="AB866" s="504" t="b">
        <v>0</v>
      </c>
      <c r="AC866" s="121"/>
      <c r="AD866" s="505" t="b">
        <v>0</v>
      </c>
      <c r="AE866" s="504" t="b">
        <v>0</v>
      </c>
      <c r="AF866" s="125"/>
      <c r="AG866" s="505" t="b">
        <v>0</v>
      </c>
      <c r="AH866" s="504" t="b">
        <v>0</v>
      </c>
      <c r="AI866" s="105"/>
      <c r="AJ866" s="505" t="b">
        <v>0</v>
      </c>
      <c r="AK866" s="504" t="b">
        <v>0</v>
      </c>
      <c r="AL866" s="126"/>
      <c r="AM866" s="505" t="b">
        <v>0</v>
      </c>
      <c r="AN866" s="504" t="b">
        <v>0</v>
      </c>
      <c r="AO866" s="105"/>
      <c r="AP866" s="105"/>
      <c r="AQ866" s="105"/>
      <c r="AR866" s="105"/>
      <c r="AS866" s="105"/>
      <c r="AT866" s="105"/>
      <c r="AU866" s="105"/>
      <c r="AV866" s="105"/>
      <c r="AW866" s="105"/>
      <c r="AX866" s="105"/>
      <c r="AY866" s="105"/>
      <c r="AZ866" s="105"/>
      <c r="BA866" s="105"/>
    </row>
    <row r="867">
      <c r="A867" s="105"/>
      <c r="B867" s="105"/>
      <c r="C867" s="105"/>
      <c r="D867" s="105"/>
      <c r="E867" s="105"/>
      <c r="F867" s="105"/>
      <c r="G867" s="105"/>
      <c r="H867" s="105"/>
      <c r="I867" s="505" t="b">
        <v>0</v>
      </c>
      <c r="J867" s="507" t="b">
        <v>0</v>
      </c>
      <c r="K867" s="112"/>
      <c r="L867" s="505" t="b">
        <v>0</v>
      </c>
      <c r="M867" s="504" t="b">
        <v>0</v>
      </c>
      <c r="N867" s="112"/>
      <c r="O867" s="505" t="b">
        <v>0</v>
      </c>
      <c r="P867" s="504" t="b">
        <v>0</v>
      </c>
      <c r="Q867" s="116"/>
      <c r="R867" s="505" t="b">
        <v>0</v>
      </c>
      <c r="S867" s="504" t="b">
        <v>0</v>
      </c>
      <c r="T867" s="117"/>
      <c r="U867" s="505" t="b">
        <v>0</v>
      </c>
      <c r="V867" s="504" t="b">
        <v>0</v>
      </c>
      <c r="W867" s="118"/>
      <c r="X867" s="505" t="b">
        <v>0</v>
      </c>
      <c r="Y867" s="504" t="b">
        <v>0</v>
      </c>
      <c r="Z867" s="119"/>
      <c r="AA867" s="505" t="b">
        <v>0</v>
      </c>
      <c r="AB867" s="504" t="b">
        <v>0</v>
      </c>
      <c r="AC867" s="121"/>
      <c r="AD867" s="505" t="b">
        <v>0</v>
      </c>
      <c r="AE867" s="504" t="b">
        <v>0</v>
      </c>
      <c r="AF867" s="125"/>
      <c r="AG867" s="505" t="b">
        <v>0</v>
      </c>
      <c r="AH867" s="504" t="b">
        <v>0</v>
      </c>
      <c r="AI867" s="105"/>
      <c r="AJ867" s="505" t="b">
        <v>0</v>
      </c>
      <c r="AK867" s="504" t="b">
        <v>0</v>
      </c>
      <c r="AL867" s="126"/>
      <c r="AM867" s="505" t="b">
        <v>0</v>
      </c>
      <c r="AN867" s="504" t="b">
        <v>0</v>
      </c>
      <c r="AO867" s="105"/>
      <c r="AP867" s="105"/>
      <c r="AQ867" s="105"/>
      <c r="AR867" s="105"/>
      <c r="AS867" s="105"/>
      <c r="AT867" s="105"/>
      <c r="AU867" s="105"/>
      <c r="AV867" s="105"/>
      <c r="AW867" s="105"/>
      <c r="AX867" s="105"/>
      <c r="AY867" s="105"/>
      <c r="AZ867" s="105"/>
      <c r="BA867" s="105"/>
    </row>
    <row r="868">
      <c r="A868" s="105"/>
      <c r="B868" s="105"/>
      <c r="C868" s="105"/>
      <c r="D868" s="105"/>
      <c r="E868" s="105"/>
      <c r="F868" s="105"/>
      <c r="G868" s="105"/>
      <c r="H868" s="105"/>
      <c r="I868" s="505" t="b">
        <v>0</v>
      </c>
      <c r="J868" s="507" t="b">
        <v>0</v>
      </c>
      <c r="K868" s="112"/>
      <c r="L868" s="505" t="b">
        <v>0</v>
      </c>
      <c r="M868" s="504" t="b">
        <v>0</v>
      </c>
      <c r="N868" s="112"/>
      <c r="O868" s="505" t="b">
        <v>0</v>
      </c>
      <c r="P868" s="504" t="b">
        <v>0</v>
      </c>
      <c r="Q868" s="116"/>
      <c r="R868" s="505" t="b">
        <v>0</v>
      </c>
      <c r="S868" s="504" t="b">
        <v>0</v>
      </c>
      <c r="T868" s="117"/>
      <c r="U868" s="505" t="b">
        <v>0</v>
      </c>
      <c r="V868" s="504" t="b">
        <v>0</v>
      </c>
      <c r="W868" s="118"/>
      <c r="X868" s="505" t="b">
        <v>0</v>
      </c>
      <c r="Y868" s="504" t="b">
        <v>0</v>
      </c>
      <c r="Z868" s="119"/>
      <c r="AA868" s="505" t="b">
        <v>0</v>
      </c>
      <c r="AB868" s="504" t="b">
        <v>0</v>
      </c>
      <c r="AC868" s="121"/>
      <c r="AD868" s="505" t="b">
        <v>0</v>
      </c>
      <c r="AE868" s="504" t="b">
        <v>0</v>
      </c>
      <c r="AF868" s="125"/>
      <c r="AG868" s="505" t="b">
        <v>0</v>
      </c>
      <c r="AH868" s="504" t="b">
        <v>0</v>
      </c>
      <c r="AI868" s="105"/>
      <c r="AJ868" s="505" t="b">
        <v>0</v>
      </c>
      <c r="AK868" s="504" t="b">
        <v>0</v>
      </c>
      <c r="AL868" s="126"/>
      <c r="AM868" s="505" t="b">
        <v>0</v>
      </c>
      <c r="AN868" s="504" t="b">
        <v>0</v>
      </c>
      <c r="AO868" s="105"/>
      <c r="AP868" s="105"/>
      <c r="AQ868" s="105"/>
      <c r="AR868" s="105"/>
      <c r="AS868" s="105"/>
      <c r="AT868" s="105"/>
      <c r="AU868" s="105"/>
      <c r="AV868" s="105"/>
      <c r="AW868" s="105"/>
      <c r="AX868" s="105"/>
      <c r="AY868" s="105"/>
      <c r="AZ868" s="105"/>
      <c r="BA868" s="105"/>
    </row>
    <row r="869">
      <c r="A869" s="105"/>
      <c r="B869" s="105"/>
      <c r="C869" s="105"/>
      <c r="D869" s="105"/>
      <c r="E869" s="105"/>
      <c r="F869" s="105"/>
      <c r="G869" s="105"/>
      <c r="H869" s="105"/>
      <c r="I869" s="505" t="b">
        <v>0</v>
      </c>
      <c r="J869" s="507" t="b">
        <v>0</v>
      </c>
      <c r="K869" s="112"/>
      <c r="L869" s="505" t="b">
        <v>0</v>
      </c>
      <c r="M869" s="504" t="b">
        <v>0</v>
      </c>
      <c r="N869" s="112"/>
      <c r="O869" s="505" t="b">
        <v>0</v>
      </c>
      <c r="P869" s="504" t="b">
        <v>0</v>
      </c>
      <c r="Q869" s="116"/>
      <c r="R869" s="505" t="b">
        <v>0</v>
      </c>
      <c r="S869" s="504" t="b">
        <v>0</v>
      </c>
      <c r="T869" s="117"/>
      <c r="U869" s="505" t="b">
        <v>0</v>
      </c>
      <c r="V869" s="504" t="b">
        <v>0</v>
      </c>
      <c r="W869" s="118"/>
      <c r="X869" s="505" t="b">
        <v>0</v>
      </c>
      <c r="Y869" s="504" t="b">
        <v>0</v>
      </c>
      <c r="Z869" s="119"/>
      <c r="AA869" s="505" t="b">
        <v>0</v>
      </c>
      <c r="AB869" s="504" t="b">
        <v>0</v>
      </c>
      <c r="AC869" s="121"/>
      <c r="AD869" s="505" t="b">
        <v>0</v>
      </c>
      <c r="AE869" s="504" t="b">
        <v>0</v>
      </c>
      <c r="AF869" s="125"/>
      <c r="AG869" s="505" t="b">
        <v>0</v>
      </c>
      <c r="AH869" s="504" t="b">
        <v>0</v>
      </c>
      <c r="AI869" s="105"/>
      <c r="AJ869" s="505" t="b">
        <v>0</v>
      </c>
      <c r="AK869" s="504" t="b">
        <v>0</v>
      </c>
      <c r="AL869" s="126"/>
      <c r="AM869" s="505" t="b">
        <v>0</v>
      </c>
      <c r="AN869" s="504" t="b">
        <v>0</v>
      </c>
      <c r="AO869" s="105"/>
      <c r="AP869" s="105"/>
      <c r="AQ869" s="105"/>
      <c r="AR869" s="105"/>
      <c r="AS869" s="105"/>
      <c r="AT869" s="105"/>
      <c r="AU869" s="105"/>
      <c r="AV869" s="105"/>
      <c r="AW869" s="105"/>
      <c r="AX869" s="105"/>
      <c r="AY869" s="105"/>
      <c r="AZ869" s="105"/>
      <c r="BA869" s="105"/>
    </row>
    <row r="870">
      <c r="A870" s="105"/>
      <c r="B870" s="105"/>
      <c r="C870" s="105"/>
      <c r="D870" s="105"/>
      <c r="E870" s="105"/>
      <c r="F870" s="105"/>
      <c r="G870" s="105"/>
      <c r="H870" s="105"/>
      <c r="I870" s="505" t="b">
        <v>0</v>
      </c>
      <c r="J870" s="507" t="b">
        <v>0</v>
      </c>
      <c r="K870" s="112"/>
      <c r="L870" s="505" t="b">
        <v>0</v>
      </c>
      <c r="M870" s="504" t="b">
        <v>0</v>
      </c>
      <c r="N870" s="112"/>
      <c r="O870" s="505" t="b">
        <v>0</v>
      </c>
      <c r="P870" s="504" t="b">
        <v>0</v>
      </c>
      <c r="Q870" s="116"/>
      <c r="R870" s="505" t="b">
        <v>0</v>
      </c>
      <c r="S870" s="504" t="b">
        <v>0</v>
      </c>
      <c r="T870" s="117"/>
      <c r="U870" s="505" t="b">
        <v>0</v>
      </c>
      <c r="V870" s="504" t="b">
        <v>0</v>
      </c>
      <c r="W870" s="118"/>
      <c r="X870" s="505" t="b">
        <v>0</v>
      </c>
      <c r="Y870" s="504" t="b">
        <v>0</v>
      </c>
      <c r="Z870" s="119"/>
      <c r="AA870" s="505" t="b">
        <v>0</v>
      </c>
      <c r="AB870" s="504" t="b">
        <v>0</v>
      </c>
      <c r="AC870" s="121"/>
      <c r="AD870" s="505" t="b">
        <v>0</v>
      </c>
      <c r="AE870" s="504" t="b">
        <v>0</v>
      </c>
      <c r="AF870" s="125"/>
      <c r="AG870" s="505" t="b">
        <v>0</v>
      </c>
      <c r="AH870" s="504" t="b">
        <v>0</v>
      </c>
      <c r="AI870" s="105"/>
      <c r="AJ870" s="505" t="b">
        <v>0</v>
      </c>
      <c r="AK870" s="504" t="b">
        <v>0</v>
      </c>
      <c r="AL870" s="126"/>
      <c r="AM870" s="505" t="b">
        <v>0</v>
      </c>
      <c r="AN870" s="504" t="b">
        <v>0</v>
      </c>
      <c r="AO870" s="105"/>
      <c r="AP870" s="105"/>
      <c r="AQ870" s="105"/>
      <c r="AR870" s="105"/>
      <c r="AS870" s="105"/>
      <c r="AT870" s="105"/>
      <c r="AU870" s="105"/>
      <c r="AV870" s="105"/>
      <c r="AW870" s="105"/>
      <c r="AX870" s="105"/>
      <c r="AY870" s="105"/>
      <c r="AZ870" s="105"/>
      <c r="BA870" s="105"/>
    </row>
    <row r="871">
      <c r="A871" s="105"/>
      <c r="B871" s="105"/>
      <c r="C871" s="105"/>
      <c r="D871" s="105"/>
      <c r="E871" s="105"/>
      <c r="F871" s="105"/>
      <c r="G871" s="105"/>
      <c r="H871" s="105"/>
      <c r="I871" s="505" t="b">
        <v>0</v>
      </c>
      <c r="J871" s="507" t="b">
        <v>0</v>
      </c>
      <c r="K871" s="112"/>
      <c r="L871" s="505" t="b">
        <v>0</v>
      </c>
      <c r="M871" s="504" t="b">
        <v>0</v>
      </c>
      <c r="N871" s="112"/>
      <c r="O871" s="505" t="b">
        <v>0</v>
      </c>
      <c r="P871" s="504" t="b">
        <v>0</v>
      </c>
      <c r="Q871" s="116"/>
      <c r="R871" s="505" t="b">
        <v>0</v>
      </c>
      <c r="S871" s="504" t="b">
        <v>0</v>
      </c>
      <c r="T871" s="117"/>
      <c r="U871" s="505" t="b">
        <v>0</v>
      </c>
      <c r="V871" s="504" t="b">
        <v>0</v>
      </c>
      <c r="W871" s="118"/>
      <c r="X871" s="505" t="b">
        <v>0</v>
      </c>
      <c r="Y871" s="504" t="b">
        <v>0</v>
      </c>
      <c r="Z871" s="119"/>
      <c r="AA871" s="505" t="b">
        <v>0</v>
      </c>
      <c r="AB871" s="504" t="b">
        <v>0</v>
      </c>
      <c r="AC871" s="121"/>
      <c r="AD871" s="505" t="b">
        <v>0</v>
      </c>
      <c r="AE871" s="504" t="b">
        <v>0</v>
      </c>
      <c r="AF871" s="125"/>
      <c r="AG871" s="505" t="b">
        <v>0</v>
      </c>
      <c r="AH871" s="504" t="b">
        <v>0</v>
      </c>
      <c r="AI871" s="105"/>
      <c r="AJ871" s="505" t="b">
        <v>0</v>
      </c>
      <c r="AK871" s="504" t="b">
        <v>0</v>
      </c>
      <c r="AL871" s="126"/>
      <c r="AM871" s="505" t="b">
        <v>0</v>
      </c>
      <c r="AN871" s="504" t="b">
        <v>0</v>
      </c>
      <c r="AO871" s="105"/>
      <c r="AP871" s="105"/>
      <c r="AQ871" s="105"/>
      <c r="AR871" s="105"/>
      <c r="AS871" s="105"/>
      <c r="AT871" s="105"/>
      <c r="AU871" s="105"/>
      <c r="AV871" s="105"/>
      <c r="AW871" s="105"/>
      <c r="AX871" s="105"/>
      <c r="AY871" s="105"/>
      <c r="AZ871" s="105"/>
      <c r="BA871" s="105"/>
    </row>
    <row r="872">
      <c r="A872" s="105"/>
      <c r="B872" s="105"/>
      <c r="C872" s="105"/>
      <c r="D872" s="105"/>
      <c r="E872" s="105"/>
      <c r="F872" s="105"/>
      <c r="G872" s="105"/>
      <c r="H872" s="105"/>
      <c r="I872" s="505" t="b">
        <v>0</v>
      </c>
      <c r="J872" s="507" t="b">
        <v>0</v>
      </c>
      <c r="K872" s="112"/>
      <c r="L872" s="505" t="b">
        <v>0</v>
      </c>
      <c r="M872" s="504" t="b">
        <v>0</v>
      </c>
      <c r="N872" s="112"/>
      <c r="O872" s="505" t="b">
        <v>0</v>
      </c>
      <c r="P872" s="504" t="b">
        <v>0</v>
      </c>
      <c r="Q872" s="116"/>
      <c r="R872" s="505" t="b">
        <v>0</v>
      </c>
      <c r="S872" s="504" t="b">
        <v>0</v>
      </c>
      <c r="T872" s="117"/>
      <c r="U872" s="505" t="b">
        <v>0</v>
      </c>
      <c r="V872" s="504" t="b">
        <v>0</v>
      </c>
      <c r="W872" s="118"/>
      <c r="X872" s="505" t="b">
        <v>0</v>
      </c>
      <c r="Y872" s="504" t="b">
        <v>0</v>
      </c>
      <c r="Z872" s="119"/>
      <c r="AA872" s="505" t="b">
        <v>0</v>
      </c>
      <c r="AB872" s="504" t="b">
        <v>0</v>
      </c>
      <c r="AC872" s="121"/>
      <c r="AD872" s="505" t="b">
        <v>0</v>
      </c>
      <c r="AE872" s="504" t="b">
        <v>0</v>
      </c>
      <c r="AF872" s="125"/>
      <c r="AG872" s="505" t="b">
        <v>0</v>
      </c>
      <c r="AH872" s="504" t="b">
        <v>0</v>
      </c>
      <c r="AI872" s="105"/>
      <c r="AJ872" s="505" t="b">
        <v>0</v>
      </c>
      <c r="AK872" s="504" t="b">
        <v>0</v>
      </c>
      <c r="AL872" s="126"/>
      <c r="AM872" s="505" t="b">
        <v>0</v>
      </c>
      <c r="AN872" s="504" t="b">
        <v>0</v>
      </c>
      <c r="AO872" s="105"/>
      <c r="AP872" s="105"/>
      <c r="AQ872" s="105"/>
      <c r="AR872" s="105"/>
      <c r="AS872" s="105"/>
      <c r="AT872" s="105"/>
      <c r="AU872" s="105"/>
      <c r="AV872" s="105"/>
      <c r="AW872" s="105"/>
      <c r="AX872" s="105"/>
      <c r="AY872" s="105"/>
      <c r="AZ872" s="105"/>
      <c r="BA872" s="105"/>
    </row>
    <row r="873">
      <c r="A873" s="105"/>
      <c r="B873" s="105"/>
      <c r="C873" s="105"/>
      <c r="D873" s="105"/>
      <c r="E873" s="105"/>
      <c r="F873" s="105"/>
      <c r="G873" s="105"/>
      <c r="H873" s="105"/>
      <c r="I873" s="505" t="b">
        <v>0</v>
      </c>
      <c r="J873" s="507" t="b">
        <v>0</v>
      </c>
      <c r="K873" s="112"/>
      <c r="L873" s="505" t="b">
        <v>0</v>
      </c>
      <c r="M873" s="504" t="b">
        <v>0</v>
      </c>
      <c r="N873" s="112"/>
      <c r="O873" s="505" t="b">
        <v>0</v>
      </c>
      <c r="P873" s="504" t="b">
        <v>0</v>
      </c>
      <c r="Q873" s="116"/>
      <c r="R873" s="505" t="b">
        <v>0</v>
      </c>
      <c r="S873" s="504" t="b">
        <v>0</v>
      </c>
      <c r="T873" s="117"/>
      <c r="U873" s="505" t="b">
        <v>0</v>
      </c>
      <c r="V873" s="504" t="b">
        <v>0</v>
      </c>
      <c r="W873" s="118"/>
      <c r="X873" s="505" t="b">
        <v>0</v>
      </c>
      <c r="Y873" s="504" t="b">
        <v>0</v>
      </c>
      <c r="Z873" s="119"/>
      <c r="AA873" s="505" t="b">
        <v>0</v>
      </c>
      <c r="AB873" s="504" t="b">
        <v>0</v>
      </c>
      <c r="AC873" s="121"/>
      <c r="AD873" s="505" t="b">
        <v>0</v>
      </c>
      <c r="AE873" s="504" t="b">
        <v>0</v>
      </c>
      <c r="AF873" s="125"/>
      <c r="AG873" s="505" t="b">
        <v>0</v>
      </c>
      <c r="AH873" s="504" t="b">
        <v>0</v>
      </c>
      <c r="AI873" s="105"/>
      <c r="AJ873" s="505" t="b">
        <v>0</v>
      </c>
      <c r="AK873" s="504" t="b">
        <v>0</v>
      </c>
      <c r="AL873" s="126"/>
      <c r="AM873" s="505" t="b">
        <v>0</v>
      </c>
      <c r="AN873" s="504" t="b">
        <v>0</v>
      </c>
      <c r="AO873" s="105"/>
      <c r="AP873" s="105"/>
      <c r="AQ873" s="105"/>
      <c r="AR873" s="105"/>
      <c r="AS873" s="105"/>
      <c r="AT873" s="105"/>
      <c r="AU873" s="105"/>
      <c r="AV873" s="105"/>
      <c r="AW873" s="105"/>
      <c r="AX873" s="105"/>
      <c r="AY873" s="105"/>
      <c r="AZ873" s="105"/>
      <c r="BA873" s="105"/>
    </row>
    <row r="874">
      <c r="A874" s="105"/>
      <c r="B874" s="105"/>
      <c r="C874" s="105"/>
      <c r="D874" s="105"/>
      <c r="E874" s="105"/>
      <c r="F874" s="105"/>
      <c r="G874" s="105"/>
      <c r="H874" s="105"/>
      <c r="I874" s="505" t="b">
        <v>0</v>
      </c>
      <c r="J874" s="507" t="b">
        <v>0</v>
      </c>
      <c r="K874" s="112"/>
      <c r="L874" s="505" t="b">
        <v>0</v>
      </c>
      <c r="M874" s="504" t="b">
        <v>0</v>
      </c>
      <c r="N874" s="112"/>
      <c r="O874" s="505" t="b">
        <v>0</v>
      </c>
      <c r="P874" s="504" t="b">
        <v>0</v>
      </c>
      <c r="Q874" s="116"/>
      <c r="R874" s="505" t="b">
        <v>0</v>
      </c>
      <c r="S874" s="504" t="b">
        <v>0</v>
      </c>
      <c r="T874" s="117"/>
      <c r="U874" s="505" t="b">
        <v>0</v>
      </c>
      <c r="V874" s="504" t="b">
        <v>0</v>
      </c>
      <c r="W874" s="118"/>
      <c r="X874" s="505" t="b">
        <v>0</v>
      </c>
      <c r="Y874" s="504" t="b">
        <v>0</v>
      </c>
      <c r="Z874" s="119"/>
      <c r="AA874" s="505" t="b">
        <v>0</v>
      </c>
      <c r="AB874" s="504" t="b">
        <v>0</v>
      </c>
      <c r="AC874" s="121"/>
      <c r="AD874" s="505" t="b">
        <v>0</v>
      </c>
      <c r="AE874" s="504" t="b">
        <v>0</v>
      </c>
      <c r="AF874" s="125"/>
      <c r="AG874" s="505" t="b">
        <v>0</v>
      </c>
      <c r="AH874" s="504" t="b">
        <v>0</v>
      </c>
      <c r="AI874" s="105"/>
      <c r="AJ874" s="505" t="b">
        <v>0</v>
      </c>
      <c r="AK874" s="504" t="b">
        <v>0</v>
      </c>
      <c r="AL874" s="126"/>
      <c r="AM874" s="505" t="b">
        <v>0</v>
      </c>
      <c r="AN874" s="504" t="b">
        <v>0</v>
      </c>
      <c r="AO874" s="105"/>
      <c r="AP874" s="105"/>
      <c r="AQ874" s="105"/>
      <c r="AR874" s="105"/>
      <c r="AS874" s="105"/>
      <c r="AT874" s="105"/>
      <c r="AU874" s="105"/>
      <c r="AV874" s="105"/>
      <c r="AW874" s="105"/>
      <c r="AX874" s="105"/>
      <c r="AY874" s="105"/>
      <c r="AZ874" s="105"/>
      <c r="BA874" s="105"/>
    </row>
    <row r="875">
      <c r="A875" s="105"/>
      <c r="B875" s="105"/>
      <c r="C875" s="105"/>
      <c r="D875" s="105"/>
      <c r="E875" s="105"/>
      <c r="F875" s="105"/>
      <c r="G875" s="105"/>
      <c r="H875" s="105"/>
      <c r="I875" s="505" t="b">
        <v>0</v>
      </c>
      <c r="J875" s="507" t="b">
        <v>0</v>
      </c>
      <c r="K875" s="112"/>
      <c r="L875" s="505" t="b">
        <v>0</v>
      </c>
      <c r="M875" s="504" t="b">
        <v>0</v>
      </c>
      <c r="N875" s="112"/>
      <c r="O875" s="505" t="b">
        <v>0</v>
      </c>
      <c r="P875" s="504" t="b">
        <v>0</v>
      </c>
      <c r="Q875" s="116"/>
      <c r="R875" s="505" t="b">
        <v>0</v>
      </c>
      <c r="S875" s="504" t="b">
        <v>0</v>
      </c>
      <c r="T875" s="117"/>
      <c r="U875" s="505" t="b">
        <v>0</v>
      </c>
      <c r="V875" s="504" t="b">
        <v>0</v>
      </c>
      <c r="W875" s="118"/>
      <c r="X875" s="505" t="b">
        <v>0</v>
      </c>
      <c r="Y875" s="504" t="b">
        <v>0</v>
      </c>
      <c r="Z875" s="119"/>
      <c r="AA875" s="505" t="b">
        <v>0</v>
      </c>
      <c r="AB875" s="504" t="b">
        <v>0</v>
      </c>
      <c r="AC875" s="121"/>
      <c r="AD875" s="505" t="b">
        <v>0</v>
      </c>
      <c r="AE875" s="504" t="b">
        <v>0</v>
      </c>
      <c r="AF875" s="125"/>
      <c r="AG875" s="505" t="b">
        <v>0</v>
      </c>
      <c r="AH875" s="504" t="b">
        <v>0</v>
      </c>
      <c r="AI875" s="105"/>
      <c r="AJ875" s="505" t="b">
        <v>0</v>
      </c>
      <c r="AK875" s="504" t="b">
        <v>0</v>
      </c>
      <c r="AL875" s="126"/>
      <c r="AM875" s="505" t="b">
        <v>0</v>
      </c>
      <c r="AN875" s="504" t="b">
        <v>0</v>
      </c>
      <c r="AO875" s="105"/>
      <c r="AP875" s="105"/>
      <c r="AQ875" s="105"/>
      <c r="AR875" s="105"/>
      <c r="AS875" s="105"/>
      <c r="AT875" s="105"/>
      <c r="AU875" s="105"/>
      <c r="AV875" s="105"/>
      <c r="AW875" s="105"/>
      <c r="AX875" s="105"/>
      <c r="AY875" s="105"/>
      <c r="AZ875" s="105"/>
      <c r="BA875" s="105"/>
    </row>
    <row r="876">
      <c r="A876" s="105"/>
      <c r="B876" s="105"/>
      <c r="C876" s="105"/>
      <c r="D876" s="105"/>
      <c r="E876" s="105"/>
      <c r="F876" s="105"/>
      <c r="G876" s="105"/>
      <c r="H876" s="105"/>
      <c r="I876" s="505" t="b">
        <v>0</v>
      </c>
      <c r="J876" s="507" t="b">
        <v>0</v>
      </c>
      <c r="K876" s="112"/>
      <c r="L876" s="505" t="b">
        <v>0</v>
      </c>
      <c r="M876" s="504" t="b">
        <v>0</v>
      </c>
      <c r="N876" s="112"/>
      <c r="O876" s="505" t="b">
        <v>0</v>
      </c>
      <c r="P876" s="504" t="b">
        <v>0</v>
      </c>
      <c r="Q876" s="116"/>
      <c r="R876" s="505" t="b">
        <v>0</v>
      </c>
      <c r="S876" s="504" t="b">
        <v>0</v>
      </c>
      <c r="T876" s="117"/>
      <c r="U876" s="505" t="b">
        <v>0</v>
      </c>
      <c r="V876" s="504" t="b">
        <v>0</v>
      </c>
      <c r="W876" s="118"/>
      <c r="X876" s="505" t="b">
        <v>0</v>
      </c>
      <c r="Y876" s="504" t="b">
        <v>0</v>
      </c>
      <c r="Z876" s="119"/>
      <c r="AA876" s="505" t="b">
        <v>0</v>
      </c>
      <c r="AB876" s="504" t="b">
        <v>0</v>
      </c>
      <c r="AC876" s="121"/>
      <c r="AD876" s="505" t="b">
        <v>0</v>
      </c>
      <c r="AE876" s="504" t="b">
        <v>0</v>
      </c>
      <c r="AF876" s="125"/>
      <c r="AG876" s="505" t="b">
        <v>0</v>
      </c>
      <c r="AH876" s="504" t="b">
        <v>0</v>
      </c>
      <c r="AI876" s="105"/>
      <c r="AJ876" s="505" t="b">
        <v>0</v>
      </c>
      <c r="AK876" s="504" t="b">
        <v>0</v>
      </c>
      <c r="AL876" s="126"/>
      <c r="AM876" s="505" t="b">
        <v>0</v>
      </c>
      <c r="AN876" s="504" t="b">
        <v>0</v>
      </c>
      <c r="AO876" s="105"/>
      <c r="AP876" s="105"/>
      <c r="AQ876" s="105"/>
      <c r="AR876" s="105"/>
      <c r="AS876" s="105"/>
      <c r="AT876" s="105"/>
      <c r="AU876" s="105"/>
      <c r="AV876" s="105"/>
      <c r="AW876" s="105"/>
      <c r="AX876" s="105"/>
      <c r="AY876" s="105"/>
      <c r="AZ876" s="105"/>
      <c r="BA876" s="105"/>
    </row>
    <row r="877">
      <c r="A877" s="105"/>
      <c r="B877" s="105"/>
      <c r="C877" s="105"/>
      <c r="D877" s="105"/>
      <c r="E877" s="105"/>
      <c r="F877" s="105"/>
      <c r="G877" s="105"/>
      <c r="H877" s="105"/>
      <c r="I877" s="505" t="b">
        <v>0</v>
      </c>
      <c r="J877" s="507" t="b">
        <v>0</v>
      </c>
      <c r="K877" s="112"/>
      <c r="L877" s="505" t="b">
        <v>0</v>
      </c>
      <c r="M877" s="504" t="b">
        <v>0</v>
      </c>
      <c r="N877" s="112"/>
      <c r="O877" s="505" t="b">
        <v>0</v>
      </c>
      <c r="P877" s="504" t="b">
        <v>0</v>
      </c>
      <c r="Q877" s="116"/>
      <c r="R877" s="505" t="b">
        <v>0</v>
      </c>
      <c r="S877" s="504" t="b">
        <v>0</v>
      </c>
      <c r="T877" s="117"/>
      <c r="U877" s="505" t="b">
        <v>0</v>
      </c>
      <c r="V877" s="504" t="b">
        <v>0</v>
      </c>
      <c r="W877" s="118"/>
      <c r="X877" s="505" t="b">
        <v>0</v>
      </c>
      <c r="Y877" s="504" t="b">
        <v>0</v>
      </c>
      <c r="Z877" s="119"/>
      <c r="AA877" s="505" t="b">
        <v>0</v>
      </c>
      <c r="AB877" s="504" t="b">
        <v>0</v>
      </c>
      <c r="AC877" s="121"/>
      <c r="AD877" s="505" t="b">
        <v>0</v>
      </c>
      <c r="AE877" s="504" t="b">
        <v>0</v>
      </c>
      <c r="AF877" s="125"/>
      <c r="AG877" s="505" t="b">
        <v>0</v>
      </c>
      <c r="AH877" s="504" t="b">
        <v>0</v>
      </c>
      <c r="AI877" s="105"/>
      <c r="AJ877" s="505" t="b">
        <v>0</v>
      </c>
      <c r="AK877" s="504" t="b">
        <v>0</v>
      </c>
      <c r="AL877" s="126"/>
      <c r="AM877" s="505" t="b">
        <v>0</v>
      </c>
      <c r="AN877" s="504" t="b">
        <v>0</v>
      </c>
      <c r="AO877" s="105"/>
      <c r="AP877" s="105"/>
      <c r="AQ877" s="105"/>
      <c r="AR877" s="105"/>
      <c r="AS877" s="105"/>
      <c r="AT877" s="105"/>
      <c r="AU877" s="105"/>
      <c r="AV877" s="105"/>
      <c r="AW877" s="105"/>
      <c r="AX877" s="105"/>
      <c r="AY877" s="105"/>
      <c r="AZ877" s="105"/>
      <c r="BA877" s="105"/>
    </row>
    <row r="878">
      <c r="A878" s="105"/>
      <c r="B878" s="105"/>
      <c r="C878" s="105"/>
      <c r="D878" s="105"/>
      <c r="E878" s="105"/>
      <c r="F878" s="105"/>
      <c r="G878" s="105"/>
      <c r="H878" s="105"/>
      <c r="I878" s="505" t="b">
        <v>0</v>
      </c>
      <c r="J878" s="507" t="b">
        <v>0</v>
      </c>
      <c r="K878" s="112"/>
      <c r="L878" s="505" t="b">
        <v>0</v>
      </c>
      <c r="M878" s="504" t="b">
        <v>0</v>
      </c>
      <c r="N878" s="112"/>
      <c r="O878" s="505" t="b">
        <v>0</v>
      </c>
      <c r="P878" s="504" t="b">
        <v>0</v>
      </c>
      <c r="Q878" s="116"/>
      <c r="R878" s="505" t="b">
        <v>0</v>
      </c>
      <c r="S878" s="504" t="b">
        <v>0</v>
      </c>
      <c r="T878" s="117"/>
      <c r="U878" s="505" t="b">
        <v>0</v>
      </c>
      <c r="V878" s="504" t="b">
        <v>0</v>
      </c>
      <c r="W878" s="118"/>
      <c r="X878" s="505" t="b">
        <v>0</v>
      </c>
      <c r="Y878" s="504" t="b">
        <v>0</v>
      </c>
      <c r="Z878" s="119"/>
      <c r="AA878" s="505" t="b">
        <v>0</v>
      </c>
      <c r="AB878" s="504" t="b">
        <v>0</v>
      </c>
      <c r="AC878" s="121"/>
      <c r="AD878" s="505" t="b">
        <v>0</v>
      </c>
      <c r="AE878" s="504" t="b">
        <v>0</v>
      </c>
      <c r="AF878" s="125"/>
      <c r="AG878" s="505" t="b">
        <v>0</v>
      </c>
      <c r="AH878" s="504" t="b">
        <v>0</v>
      </c>
      <c r="AI878" s="105"/>
      <c r="AJ878" s="505" t="b">
        <v>0</v>
      </c>
      <c r="AK878" s="504" t="b">
        <v>0</v>
      </c>
      <c r="AL878" s="126"/>
      <c r="AM878" s="505" t="b">
        <v>0</v>
      </c>
      <c r="AN878" s="504" t="b">
        <v>0</v>
      </c>
      <c r="AO878" s="105"/>
      <c r="AP878" s="105"/>
      <c r="AQ878" s="105"/>
      <c r="AR878" s="105"/>
      <c r="AS878" s="105"/>
      <c r="AT878" s="105"/>
      <c r="AU878" s="105"/>
      <c r="AV878" s="105"/>
      <c r="AW878" s="105"/>
      <c r="AX878" s="105"/>
      <c r="AY878" s="105"/>
      <c r="AZ878" s="105"/>
      <c r="BA878" s="105"/>
    </row>
    <row r="879">
      <c r="A879" s="105"/>
      <c r="B879" s="105"/>
      <c r="C879" s="105"/>
      <c r="D879" s="105"/>
      <c r="E879" s="105"/>
      <c r="F879" s="105"/>
      <c r="G879" s="105"/>
      <c r="H879" s="105"/>
      <c r="I879" s="505" t="b">
        <v>0</v>
      </c>
      <c r="J879" s="507" t="b">
        <v>0</v>
      </c>
      <c r="K879" s="112"/>
      <c r="L879" s="505" t="b">
        <v>0</v>
      </c>
      <c r="M879" s="504" t="b">
        <v>0</v>
      </c>
      <c r="N879" s="112"/>
      <c r="O879" s="505" t="b">
        <v>0</v>
      </c>
      <c r="P879" s="504" t="b">
        <v>0</v>
      </c>
      <c r="Q879" s="116"/>
      <c r="R879" s="505" t="b">
        <v>0</v>
      </c>
      <c r="S879" s="504" t="b">
        <v>0</v>
      </c>
      <c r="T879" s="117"/>
      <c r="U879" s="505" t="b">
        <v>0</v>
      </c>
      <c r="V879" s="504" t="b">
        <v>0</v>
      </c>
      <c r="W879" s="118"/>
      <c r="X879" s="505" t="b">
        <v>0</v>
      </c>
      <c r="Y879" s="504" t="b">
        <v>0</v>
      </c>
      <c r="Z879" s="119"/>
      <c r="AA879" s="505" t="b">
        <v>0</v>
      </c>
      <c r="AB879" s="504" t="b">
        <v>0</v>
      </c>
      <c r="AC879" s="121"/>
      <c r="AD879" s="505" t="b">
        <v>0</v>
      </c>
      <c r="AE879" s="504" t="b">
        <v>0</v>
      </c>
      <c r="AF879" s="125"/>
      <c r="AG879" s="505" t="b">
        <v>0</v>
      </c>
      <c r="AH879" s="504" t="b">
        <v>0</v>
      </c>
      <c r="AI879" s="105"/>
      <c r="AJ879" s="505" t="b">
        <v>0</v>
      </c>
      <c r="AK879" s="504" t="b">
        <v>0</v>
      </c>
      <c r="AL879" s="126"/>
      <c r="AM879" s="505" t="b">
        <v>0</v>
      </c>
      <c r="AN879" s="504" t="b">
        <v>0</v>
      </c>
      <c r="AO879" s="105"/>
      <c r="AP879" s="105"/>
      <c r="AQ879" s="105"/>
      <c r="AR879" s="105"/>
      <c r="AS879" s="105"/>
      <c r="AT879" s="105"/>
      <c r="AU879" s="105"/>
      <c r="AV879" s="105"/>
      <c r="AW879" s="105"/>
      <c r="AX879" s="105"/>
      <c r="AY879" s="105"/>
      <c r="AZ879" s="105"/>
      <c r="BA879" s="105"/>
    </row>
    <row r="880">
      <c r="A880" s="105"/>
      <c r="B880" s="105"/>
      <c r="C880" s="105"/>
      <c r="D880" s="105"/>
      <c r="E880" s="105"/>
      <c r="F880" s="105"/>
      <c r="G880" s="105"/>
      <c r="H880" s="105"/>
      <c r="I880" s="505" t="b">
        <v>0</v>
      </c>
      <c r="J880" s="507" t="b">
        <v>0</v>
      </c>
      <c r="K880" s="112"/>
      <c r="L880" s="505" t="b">
        <v>0</v>
      </c>
      <c r="M880" s="504" t="b">
        <v>0</v>
      </c>
      <c r="N880" s="112"/>
      <c r="O880" s="505" t="b">
        <v>0</v>
      </c>
      <c r="P880" s="504" t="b">
        <v>0</v>
      </c>
      <c r="Q880" s="116"/>
      <c r="R880" s="505" t="b">
        <v>0</v>
      </c>
      <c r="S880" s="504" t="b">
        <v>0</v>
      </c>
      <c r="T880" s="117"/>
      <c r="U880" s="505" t="b">
        <v>0</v>
      </c>
      <c r="V880" s="504" t="b">
        <v>0</v>
      </c>
      <c r="W880" s="118"/>
      <c r="X880" s="505" t="b">
        <v>0</v>
      </c>
      <c r="Y880" s="504" t="b">
        <v>0</v>
      </c>
      <c r="Z880" s="119"/>
      <c r="AA880" s="505" t="b">
        <v>0</v>
      </c>
      <c r="AB880" s="504" t="b">
        <v>0</v>
      </c>
      <c r="AC880" s="121"/>
      <c r="AD880" s="505" t="b">
        <v>0</v>
      </c>
      <c r="AE880" s="504" t="b">
        <v>0</v>
      </c>
      <c r="AF880" s="125"/>
      <c r="AG880" s="505" t="b">
        <v>0</v>
      </c>
      <c r="AH880" s="504" t="b">
        <v>0</v>
      </c>
      <c r="AI880" s="105"/>
      <c r="AJ880" s="505" t="b">
        <v>0</v>
      </c>
      <c r="AK880" s="504" t="b">
        <v>0</v>
      </c>
      <c r="AL880" s="126"/>
      <c r="AM880" s="505" t="b">
        <v>0</v>
      </c>
      <c r="AN880" s="504" t="b">
        <v>0</v>
      </c>
      <c r="AO880" s="105"/>
      <c r="AP880" s="105"/>
      <c r="AQ880" s="105"/>
      <c r="AR880" s="105"/>
      <c r="AS880" s="105"/>
      <c r="AT880" s="105"/>
      <c r="AU880" s="105"/>
      <c r="AV880" s="105"/>
      <c r="AW880" s="105"/>
      <c r="AX880" s="105"/>
      <c r="AY880" s="105"/>
      <c r="AZ880" s="105"/>
      <c r="BA880" s="105"/>
    </row>
    <row r="881">
      <c r="A881" s="105"/>
      <c r="B881" s="105"/>
      <c r="C881" s="105"/>
      <c r="D881" s="105"/>
      <c r="E881" s="105"/>
      <c r="F881" s="105"/>
      <c r="G881" s="105"/>
      <c r="H881" s="105"/>
      <c r="I881" s="505" t="b">
        <v>0</v>
      </c>
      <c r="J881" s="507" t="b">
        <v>0</v>
      </c>
      <c r="K881" s="112"/>
      <c r="L881" s="505" t="b">
        <v>0</v>
      </c>
      <c r="M881" s="504" t="b">
        <v>0</v>
      </c>
      <c r="N881" s="112"/>
      <c r="O881" s="505" t="b">
        <v>0</v>
      </c>
      <c r="P881" s="504" t="b">
        <v>0</v>
      </c>
      <c r="Q881" s="116"/>
      <c r="R881" s="505" t="b">
        <v>0</v>
      </c>
      <c r="S881" s="504" t="b">
        <v>0</v>
      </c>
      <c r="T881" s="117"/>
      <c r="U881" s="505" t="b">
        <v>0</v>
      </c>
      <c r="V881" s="504" t="b">
        <v>0</v>
      </c>
      <c r="W881" s="118"/>
      <c r="X881" s="505" t="b">
        <v>0</v>
      </c>
      <c r="Y881" s="504" t="b">
        <v>0</v>
      </c>
      <c r="Z881" s="119"/>
      <c r="AA881" s="505" t="b">
        <v>0</v>
      </c>
      <c r="AB881" s="504" t="b">
        <v>0</v>
      </c>
      <c r="AC881" s="121"/>
      <c r="AD881" s="505" t="b">
        <v>0</v>
      </c>
      <c r="AE881" s="504" t="b">
        <v>0</v>
      </c>
      <c r="AF881" s="125"/>
      <c r="AG881" s="505" t="b">
        <v>0</v>
      </c>
      <c r="AH881" s="504" t="b">
        <v>0</v>
      </c>
      <c r="AI881" s="105"/>
      <c r="AJ881" s="505" t="b">
        <v>0</v>
      </c>
      <c r="AK881" s="504" t="b">
        <v>0</v>
      </c>
      <c r="AL881" s="126"/>
      <c r="AM881" s="505" t="b">
        <v>0</v>
      </c>
      <c r="AN881" s="504" t="b">
        <v>0</v>
      </c>
      <c r="AO881" s="105"/>
      <c r="AP881" s="105"/>
      <c r="AQ881" s="105"/>
      <c r="AR881" s="105"/>
      <c r="AS881" s="105"/>
      <c r="AT881" s="105"/>
      <c r="AU881" s="105"/>
      <c r="AV881" s="105"/>
      <c r="AW881" s="105"/>
      <c r="AX881" s="105"/>
      <c r="AY881" s="105"/>
      <c r="AZ881" s="105"/>
      <c r="BA881" s="105"/>
    </row>
    <row r="882">
      <c r="A882" s="105"/>
      <c r="B882" s="105"/>
      <c r="C882" s="105"/>
      <c r="D882" s="105"/>
      <c r="E882" s="105"/>
      <c r="F882" s="105"/>
      <c r="G882" s="105"/>
      <c r="H882" s="105"/>
      <c r="I882" s="505" t="b">
        <v>0</v>
      </c>
      <c r="J882" s="507" t="b">
        <v>0</v>
      </c>
      <c r="K882" s="112"/>
      <c r="L882" s="505" t="b">
        <v>0</v>
      </c>
      <c r="M882" s="504" t="b">
        <v>0</v>
      </c>
      <c r="N882" s="112"/>
      <c r="O882" s="505" t="b">
        <v>0</v>
      </c>
      <c r="P882" s="504" t="b">
        <v>0</v>
      </c>
      <c r="Q882" s="116"/>
      <c r="R882" s="505" t="b">
        <v>0</v>
      </c>
      <c r="S882" s="504" t="b">
        <v>0</v>
      </c>
      <c r="T882" s="117"/>
      <c r="U882" s="505" t="b">
        <v>0</v>
      </c>
      <c r="V882" s="504" t="b">
        <v>0</v>
      </c>
      <c r="W882" s="118"/>
      <c r="X882" s="505" t="b">
        <v>0</v>
      </c>
      <c r="Y882" s="504" t="b">
        <v>0</v>
      </c>
      <c r="Z882" s="119"/>
      <c r="AA882" s="505" t="b">
        <v>0</v>
      </c>
      <c r="AB882" s="504" t="b">
        <v>0</v>
      </c>
      <c r="AC882" s="121"/>
      <c r="AD882" s="505" t="b">
        <v>0</v>
      </c>
      <c r="AE882" s="504" t="b">
        <v>0</v>
      </c>
      <c r="AF882" s="125"/>
      <c r="AG882" s="505" t="b">
        <v>0</v>
      </c>
      <c r="AH882" s="504" t="b">
        <v>0</v>
      </c>
      <c r="AI882" s="105"/>
      <c r="AJ882" s="505" t="b">
        <v>0</v>
      </c>
      <c r="AK882" s="504" t="b">
        <v>0</v>
      </c>
      <c r="AL882" s="126"/>
      <c r="AM882" s="505" t="b">
        <v>0</v>
      </c>
      <c r="AN882" s="504" t="b">
        <v>0</v>
      </c>
      <c r="AO882" s="105"/>
      <c r="AP882" s="105"/>
      <c r="AQ882" s="105"/>
      <c r="AR882" s="105"/>
      <c r="AS882" s="105"/>
      <c r="AT882" s="105"/>
      <c r="AU882" s="105"/>
      <c r="AV882" s="105"/>
      <c r="AW882" s="105"/>
      <c r="AX882" s="105"/>
      <c r="AY882" s="105"/>
      <c r="AZ882" s="105"/>
      <c r="BA882" s="105"/>
    </row>
    <row r="883">
      <c r="A883" s="105"/>
      <c r="B883" s="105"/>
      <c r="C883" s="105"/>
      <c r="D883" s="105"/>
      <c r="E883" s="105"/>
      <c r="F883" s="105"/>
      <c r="G883" s="105"/>
      <c r="H883" s="105"/>
      <c r="I883" s="505" t="b">
        <v>0</v>
      </c>
      <c r="J883" s="507" t="b">
        <v>0</v>
      </c>
      <c r="K883" s="112"/>
      <c r="L883" s="505" t="b">
        <v>0</v>
      </c>
      <c r="M883" s="504" t="b">
        <v>0</v>
      </c>
      <c r="N883" s="112"/>
      <c r="O883" s="505" t="b">
        <v>0</v>
      </c>
      <c r="P883" s="504" t="b">
        <v>0</v>
      </c>
      <c r="Q883" s="116"/>
      <c r="R883" s="505" t="b">
        <v>0</v>
      </c>
      <c r="S883" s="504" t="b">
        <v>0</v>
      </c>
      <c r="T883" s="117"/>
      <c r="U883" s="505" t="b">
        <v>0</v>
      </c>
      <c r="V883" s="504" t="b">
        <v>0</v>
      </c>
      <c r="W883" s="118"/>
      <c r="X883" s="505" t="b">
        <v>0</v>
      </c>
      <c r="Y883" s="504" t="b">
        <v>0</v>
      </c>
      <c r="Z883" s="119"/>
      <c r="AA883" s="505" t="b">
        <v>0</v>
      </c>
      <c r="AB883" s="504" t="b">
        <v>0</v>
      </c>
      <c r="AC883" s="121"/>
      <c r="AD883" s="505" t="b">
        <v>0</v>
      </c>
      <c r="AE883" s="504" t="b">
        <v>0</v>
      </c>
      <c r="AF883" s="125"/>
      <c r="AG883" s="505" t="b">
        <v>0</v>
      </c>
      <c r="AH883" s="504" t="b">
        <v>0</v>
      </c>
      <c r="AI883" s="105"/>
      <c r="AJ883" s="505" t="b">
        <v>0</v>
      </c>
      <c r="AK883" s="504" t="b">
        <v>0</v>
      </c>
      <c r="AL883" s="126"/>
      <c r="AM883" s="505" t="b">
        <v>0</v>
      </c>
      <c r="AN883" s="504" t="b">
        <v>0</v>
      </c>
      <c r="AO883" s="105"/>
      <c r="AP883" s="105"/>
      <c r="AQ883" s="105"/>
      <c r="AR883" s="105"/>
      <c r="AS883" s="105"/>
      <c r="AT883" s="105"/>
      <c r="AU883" s="105"/>
      <c r="AV883" s="105"/>
      <c r="AW883" s="105"/>
      <c r="AX883" s="105"/>
      <c r="AY883" s="105"/>
      <c r="AZ883" s="105"/>
      <c r="BA883" s="105"/>
    </row>
    <row r="884">
      <c r="A884" s="105"/>
      <c r="B884" s="105"/>
      <c r="C884" s="105"/>
      <c r="D884" s="105"/>
      <c r="E884" s="105"/>
      <c r="F884" s="105"/>
      <c r="G884" s="105"/>
      <c r="H884" s="105"/>
      <c r="I884" s="505" t="b">
        <v>0</v>
      </c>
      <c r="J884" s="507" t="b">
        <v>0</v>
      </c>
      <c r="K884" s="112"/>
      <c r="L884" s="505" t="b">
        <v>0</v>
      </c>
      <c r="M884" s="504" t="b">
        <v>0</v>
      </c>
      <c r="N884" s="112"/>
      <c r="O884" s="505" t="b">
        <v>0</v>
      </c>
      <c r="P884" s="504" t="b">
        <v>0</v>
      </c>
      <c r="Q884" s="116"/>
      <c r="R884" s="505" t="b">
        <v>0</v>
      </c>
      <c r="S884" s="504" t="b">
        <v>0</v>
      </c>
      <c r="T884" s="117"/>
      <c r="U884" s="505" t="b">
        <v>0</v>
      </c>
      <c r="V884" s="504" t="b">
        <v>0</v>
      </c>
      <c r="W884" s="118"/>
      <c r="X884" s="505" t="b">
        <v>0</v>
      </c>
      <c r="Y884" s="504" t="b">
        <v>0</v>
      </c>
      <c r="Z884" s="119"/>
      <c r="AA884" s="505" t="b">
        <v>0</v>
      </c>
      <c r="AB884" s="504" t="b">
        <v>0</v>
      </c>
      <c r="AC884" s="121"/>
      <c r="AD884" s="505" t="b">
        <v>0</v>
      </c>
      <c r="AE884" s="504" t="b">
        <v>0</v>
      </c>
      <c r="AF884" s="125"/>
      <c r="AG884" s="505" t="b">
        <v>0</v>
      </c>
      <c r="AH884" s="504" t="b">
        <v>0</v>
      </c>
      <c r="AI884" s="105"/>
      <c r="AJ884" s="505" t="b">
        <v>0</v>
      </c>
      <c r="AK884" s="504" t="b">
        <v>0</v>
      </c>
      <c r="AL884" s="126"/>
      <c r="AM884" s="505" t="b">
        <v>0</v>
      </c>
      <c r="AN884" s="504" t="b">
        <v>0</v>
      </c>
      <c r="AO884" s="105"/>
      <c r="AP884" s="105"/>
      <c r="AQ884" s="105"/>
      <c r="AR884" s="105"/>
      <c r="AS884" s="105"/>
      <c r="AT884" s="105"/>
      <c r="AU884" s="105"/>
      <c r="AV884" s="105"/>
      <c r="AW884" s="105"/>
      <c r="AX884" s="105"/>
      <c r="AY884" s="105"/>
      <c r="AZ884" s="105"/>
      <c r="BA884" s="105"/>
    </row>
    <row r="885">
      <c r="A885" s="105"/>
      <c r="B885" s="105"/>
      <c r="C885" s="105"/>
      <c r="D885" s="105"/>
      <c r="E885" s="105"/>
      <c r="F885" s="105"/>
      <c r="G885" s="105"/>
      <c r="H885" s="105"/>
      <c r="I885" s="505" t="b">
        <v>0</v>
      </c>
      <c r="J885" s="507" t="b">
        <v>0</v>
      </c>
      <c r="K885" s="112"/>
      <c r="L885" s="505" t="b">
        <v>0</v>
      </c>
      <c r="M885" s="504" t="b">
        <v>0</v>
      </c>
      <c r="N885" s="112"/>
      <c r="O885" s="505" t="b">
        <v>0</v>
      </c>
      <c r="P885" s="504" t="b">
        <v>0</v>
      </c>
      <c r="Q885" s="116"/>
      <c r="R885" s="505" t="b">
        <v>0</v>
      </c>
      <c r="S885" s="504" t="b">
        <v>0</v>
      </c>
      <c r="T885" s="117"/>
      <c r="U885" s="505" t="b">
        <v>0</v>
      </c>
      <c r="V885" s="504" t="b">
        <v>0</v>
      </c>
      <c r="W885" s="118"/>
      <c r="X885" s="505" t="b">
        <v>0</v>
      </c>
      <c r="Y885" s="504" t="b">
        <v>0</v>
      </c>
      <c r="Z885" s="119"/>
      <c r="AA885" s="505" t="b">
        <v>0</v>
      </c>
      <c r="AB885" s="504" t="b">
        <v>0</v>
      </c>
      <c r="AC885" s="121"/>
      <c r="AD885" s="505" t="b">
        <v>0</v>
      </c>
      <c r="AE885" s="504" t="b">
        <v>0</v>
      </c>
      <c r="AF885" s="125"/>
      <c r="AG885" s="505" t="b">
        <v>0</v>
      </c>
      <c r="AH885" s="504" t="b">
        <v>0</v>
      </c>
      <c r="AI885" s="105"/>
      <c r="AJ885" s="505" t="b">
        <v>0</v>
      </c>
      <c r="AK885" s="504" t="b">
        <v>0</v>
      </c>
      <c r="AL885" s="126"/>
      <c r="AM885" s="505" t="b">
        <v>0</v>
      </c>
      <c r="AN885" s="504" t="b">
        <v>0</v>
      </c>
      <c r="AO885" s="105"/>
      <c r="AP885" s="105"/>
      <c r="AQ885" s="105"/>
      <c r="AR885" s="105"/>
      <c r="AS885" s="105"/>
      <c r="AT885" s="105"/>
      <c r="AU885" s="105"/>
      <c r="AV885" s="105"/>
      <c r="AW885" s="105"/>
      <c r="AX885" s="105"/>
      <c r="AY885" s="105"/>
      <c r="AZ885" s="105"/>
      <c r="BA885" s="105"/>
    </row>
    <row r="886">
      <c r="A886" s="105"/>
      <c r="B886" s="105"/>
      <c r="C886" s="105"/>
      <c r="D886" s="105"/>
      <c r="E886" s="105"/>
      <c r="F886" s="105"/>
      <c r="G886" s="105"/>
      <c r="H886" s="105"/>
      <c r="I886" s="505" t="b">
        <v>0</v>
      </c>
      <c r="J886" s="507" t="b">
        <v>0</v>
      </c>
      <c r="K886" s="112"/>
      <c r="L886" s="505" t="b">
        <v>0</v>
      </c>
      <c r="M886" s="504" t="b">
        <v>0</v>
      </c>
      <c r="N886" s="112"/>
      <c r="O886" s="505" t="b">
        <v>0</v>
      </c>
      <c r="P886" s="504" t="b">
        <v>0</v>
      </c>
      <c r="Q886" s="116"/>
      <c r="R886" s="505" t="b">
        <v>0</v>
      </c>
      <c r="S886" s="504" t="b">
        <v>0</v>
      </c>
      <c r="T886" s="117"/>
      <c r="U886" s="505" t="b">
        <v>0</v>
      </c>
      <c r="V886" s="504" t="b">
        <v>0</v>
      </c>
      <c r="W886" s="118"/>
      <c r="X886" s="505" t="b">
        <v>0</v>
      </c>
      <c r="Y886" s="504" t="b">
        <v>0</v>
      </c>
      <c r="Z886" s="119"/>
      <c r="AA886" s="505" t="b">
        <v>0</v>
      </c>
      <c r="AB886" s="504" t="b">
        <v>0</v>
      </c>
      <c r="AC886" s="121"/>
      <c r="AD886" s="505" t="b">
        <v>0</v>
      </c>
      <c r="AE886" s="504" t="b">
        <v>0</v>
      </c>
      <c r="AF886" s="125"/>
      <c r="AG886" s="505" t="b">
        <v>0</v>
      </c>
      <c r="AH886" s="504" t="b">
        <v>0</v>
      </c>
      <c r="AI886" s="105"/>
      <c r="AJ886" s="505" t="b">
        <v>0</v>
      </c>
      <c r="AK886" s="504" t="b">
        <v>0</v>
      </c>
      <c r="AL886" s="126"/>
      <c r="AM886" s="505" t="b">
        <v>0</v>
      </c>
      <c r="AN886" s="504" t="b">
        <v>0</v>
      </c>
      <c r="AO886" s="105"/>
      <c r="AP886" s="105"/>
      <c r="AQ886" s="105"/>
      <c r="AR886" s="105"/>
      <c r="AS886" s="105"/>
      <c r="AT886" s="105"/>
      <c r="AU886" s="105"/>
      <c r="AV886" s="105"/>
      <c r="AW886" s="105"/>
      <c r="AX886" s="105"/>
      <c r="AY886" s="105"/>
      <c r="AZ886" s="105"/>
      <c r="BA886" s="105"/>
    </row>
    <row r="887">
      <c r="A887" s="105"/>
      <c r="B887" s="105"/>
      <c r="C887" s="105"/>
      <c r="D887" s="105"/>
      <c r="E887" s="105"/>
      <c r="F887" s="105"/>
      <c r="G887" s="105"/>
      <c r="H887" s="105"/>
      <c r="I887" s="505" t="b">
        <v>0</v>
      </c>
      <c r="J887" s="507" t="b">
        <v>0</v>
      </c>
      <c r="K887" s="112"/>
      <c r="L887" s="505" t="b">
        <v>0</v>
      </c>
      <c r="M887" s="504" t="b">
        <v>0</v>
      </c>
      <c r="N887" s="112"/>
      <c r="O887" s="505" t="b">
        <v>0</v>
      </c>
      <c r="P887" s="504" t="b">
        <v>0</v>
      </c>
      <c r="Q887" s="116"/>
      <c r="R887" s="505" t="b">
        <v>0</v>
      </c>
      <c r="S887" s="504" t="b">
        <v>0</v>
      </c>
      <c r="T887" s="117"/>
      <c r="U887" s="505" t="b">
        <v>0</v>
      </c>
      <c r="V887" s="504" t="b">
        <v>0</v>
      </c>
      <c r="W887" s="118"/>
      <c r="X887" s="505" t="b">
        <v>0</v>
      </c>
      <c r="Y887" s="504" t="b">
        <v>0</v>
      </c>
      <c r="Z887" s="119"/>
      <c r="AA887" s="505" t="b">
        <v>0</v>
      </c>
      <c r="AB887" s="504" t="b">
        <v>0</v>
      </c>
      <c r="AC887" s="121"/>
      <c r="AD887" s="505" t="b">
        <v>0</v>
      </c>
      <c r="AE887" s="504" t="b">
        <v>0</v>
      </c>
      <c r="AF887" s="125"/>
      <c r="AG887" s="505" t="b">
        <v>0</v>
      </c>
      <c r="AH887" s="504" t="b">
        <v>0</v>
      </c>
      <c r="AI887" s="105"/>
      <c r="AJ887" s="505" t="b">
        <v>0</v>
      </c>
      <c r="AK887" s="504" t="b">
        <v>0</v>
      </c>
      <c r="AL887" s="126"/>
      <c r="AM887" s="505" t="b">
        <v>0</v>
      </c>
      <c r="AN887" s="504" t="b">
        <v>0</v>
      </c>
      <c r="AO887" s="105"/>
      <c r="AP887" s="105"/>
      <c r="AQ887" s="105"/>
      <c r="AR887" s="105"/>
      <c r="AS887" s="105"/>
      <c r="AT887" s="105"/>
      <c r="AU887" s="105"/>
      <c r="AV887" s="105"/>
      <c r="AW887" s="105"/>
      <c r="AX887" s="105"/>
      <c r="AY887" s="105"/>
      <c r="AZ887" s="105"/>
      <c r="BA887" s="105"/>
    </row>
    <row r="888">
      <c r="A888" s="105"/>
      <c r="B888" s="105"/>
      <c r="C888" s="105"/>
      <c r="D888" s="105"/>
      <c r="E888" s="105"/>
      <c r="F888" s="105"/>
      <c r="G888" s="105"/>
      <c r="H888" s="105"/>
      <c r="I888" s="505" t="b">
        <v>0</v>
      </c>
      <c r="J888" s="507" t="b">
        <v>0</v>
      </c>
      <c r="K888" s="112"/>
      <c r="L888" s="505" t="b">
        <v>0</v>
      </c>
      <c r="M888" s="504" t="b">
        <v>0</v>
      </c>
      <c r="N888" s="112"/>
      <c r="O888" s="505" t="b">
        <v>0</v>
      </c>
      <c r="P888" s="504" t="b">
        <v>0</v>
      </c>
      <c r="Q888" s="116"/>
      <c r="R888" s="505" t="b">
        <v>0</v>
      </c>
      <c r="S888" s="504" t="b">
        <v>0</v>
      </c>
      <c r="T888" s="117"/>
      <c r="U888" s="505" t="b">
        <v>0</v>
      </c>
      <c r="V888" s="504" t="b">
        <v>0</v>
      </c>
      <c r="W888" s="118"/>
      <c r="X888" s="505" t="b">
        <v>0</v>
      </c>
      <c r="Y888" s="504" t="b">
        <v>0</v>
      </c>
      <c r="Z888" s="119"/>
      <c r="AA888" s="505" t="b">
        <v>0</v>
      </c>
      <c r="AB888" s="504" t="b">
        <v>0</v>
      </c>
      <c r="AC888" s="121"/>
      <c r="AD888" s="505" t="b">
        <v>0</v>
      </c>
      <c r="AE888" s="504" t="b">
        <v>0</v>
      </c>
      <c r="AF888" s="125"/>
      <c r="AG888" s="505" t="b">
        <v>0</v>
      </c>
      <c r="AH888" s="504" t="b">
        <v>0</v>
      </c>
      <c r="AI888" s="105"/>
      <c r="AJ888" s="505" t="b">
        <v>0</v>
      </c>
      <c r="AK888" s="504" t="b">
        <v>0</v>
      </c>
      <c r="AL888" s="126"/>
      <c r="AM888" s="505" t="b">
        <v>0</v>
      </c>
      <c r="AN888" s="504" t="b">
        <v>0</v>
      </c>
      <c r="AO888" s="105"/>
      <c r="AP888" s="105"/>
      <c r="AQ888" s="105"/>
      <c r="AR888" s="105"/>
      <c r="AS888" s="105"/>
      <c r="AT888" s="105"/>
      <c r="AU888" s="105"/>
      <c r="AV888" s="105"/>
      <c r="AW888" s="105"/>
      <c r="AX888" s="105"/>
      <c r="AY888" s="105"/>
      <c r="AZ888" s="105"/>
      <c r="BA888" s="105"/>
    </row>
    <row r="889">
      <c r="A889" s="105"/>
      <c r="B889" s="105"/>
      <c r="C889" s="105"/>
      <c r="D889" s="105"/>
      <c r="E889" s="105"/>
      <c r="F889" s="105"/>
      <c r="G889" s="105"/>
      <c r="H889" s="105"/>
      <c r="I889" s="505" t="b">
        <v>0</v>
      </c>
      <c r="J889" s="507" t="b">
        <v>0</v>
      </c>
      <c r="K889" s="112"/>
      <c r="L889" s="505" t="b">
        <v>0</v>
      </c>
      <c r="M889" s="504" t="b">
        <v>0</v>
      </c>
      <c r="N889" s="112"/>
      <c r="O889" s="505" t="b">
        <v>0</v>
      </c>
      <c r="P889" s="504" t="b">
        <v>0</v>
      </c>
      <c r="Q889" s="116"/>
      <c r="R889" s="505" t="b">
        <v>0</v>
      </c>
      <c r="S889" s="504" t="b">
        <v>0</v>
      </c>
      <c r="T889" s="117"/>
      <c r="U889" s="505" t="b">
        <v>0</v>
      </c>
      <c r="V889" s="504" t="b">
        <v>0</v>
      </c>
      <c r="W889" s="118"/>
      <c r="X889" s="505" t="b">
        <v>0</v>
      </c>
      <c r="Y889" s="504" t="b">
        <v>0</v>
      </c>
      <c r="Z889" s="119"/>
      <c r="AA889" s="505" t="b">
        <v>0</v>
      </c>
      <c r="AB889" s="504" t="b">
        <v>0</v>
      </c>
      <c r="AC889" s="121"/>
      <c r="AD889" s="505" t="b">
        <v>0</v>
      </c>
      <c r="AE889" s="504" t="b">
        <v>0</v>
      </c>
      <c r="AF889" s="125"/>
      <c r="AG889" s="505" t="b">
        <v>0</v>
      </c>
      <c r="AH889" s="504" t="b">
        <v>0</v>
      </c>
      <c r="AI889" s="105"/>
      <c r="AJ889" s="505" t="b">
        <v>0</v>
      </c>
      <c r="AK889" s="504" t="b">
        <v>0</v>
      </c>
      <c r="AL889" s="126"/>
      <c r="AM889" s="505" t="b">
        <v>0</v>
      </c>
      <c r="AN889" s="504" t="b">
        <v>0</v>
      </c>
      <c r="AO889" s="105"/>
      <c r="AP889" s="105"/>
      <c r="AQ889" s="105"/>
      <c r="AR889" s="105"/>
      <c r="AS889" s="105"/>
      <c r="AT889" s="105"/>
      <c r="AU889" s="105"/>
      <c r="AV889" s="105"/>
      <c r="AW889" s="105"/>
      <c r="AX889" s="105"/>
      <c r="AY889" s="105"/>
      <c r="AZ889" s="105"/>
      <c r="BA889" s="105"/>
    </row>
    <row r="890">
      <c r="A890" s="105"/>
      <c r="B890" s="105"/>
      <c r="C890" s="105"/>
      <c r="D890" s="105"/>
      <c r="E890" s="105"/>
      <c r="F890" s="105"/>
      <c r="G890" s="105"/>
      <c r="H890" s="105"/>
      <c r="I890" s="505" t="b">
        <v>0</v>
      </c>
      <c r="J890" s="507" t="b">
        <v>0</v>
      </c>
      <c r="K890" s="112"/>
      <c r="L890" s="505" t="b">
        <v>0</v>
      </c>
      <c r="M890" s="504" t="b">
        <v>0</v>
      </c>
      <c r="N890" s="112"/>
      <c r="O890" s="505" t="b">
        <v>0</v>
      </c>
      <c r="P890" s="504" t="b">
        <v>0</v>
      </c>
      <c r="Q890" s="116"/>
      <c r="R890" s="505" t="b">
        <v>0</v>
      </c>
      <c r="S890" s="504" t="b">
        <v>0</v>
      </c>
      <c r="T890" s="117"/>
      <c r="U890" s="505" t="b">
        <v>0</v>
      </c>
      <c r="V890" s="504" t="b">
        <v>0</v>
      </c>
      <c r="W890" s="118"/>
      <c r="X890" s="505" t="b">
        <v>0</v>
      </c>
      <c r="Y890" s="504" t="b">
        <v>0</v>
      </c>
      <c r="Z890" s="119"/>
      <c r="AA890" s="505" t="b">
        <v>0</v>
      </c>
      <c r="AB890" s="504" t="b">
        <v>0</v>
      </c>
      <c r="AC890" s="121"/>
      <c r="AD890" s="505" t="b">
        <v>0</v>
      </c>
      <c r="AE890" s="504" t="b">
        <v>0</v>
      </c>
      <c r="AF890" s="125"/>
      <c r="AG890" s="505" t="b">
        <v>0</v>
      </c>
      <c r="AH890" s="504" t="b">
        <v>0</v>
      </c>
      <c r="AI890" s="105"/>
      <c r="AJ890" s="505" t="b">
        <v>0</v>
      </c>
      <c r="AK890" s="504" t="b">
        <v>0</v>
      </c>
      <c r="AL890" s="126"/>
      <c r="AM890" s="505" t="b">
        <v>0</v>
      </c>
      <c r="AN890" s="504" t="b">
        <v>0</v>
      </c>
      <c r="AO890" s="105"/>
      <c r="AP890" s="105"/>
      <c r="AQ890" s="105"/>
      <c r="AR890" s="105"/>
      <c r="AS890" s="105"/>
      <c r="AT890" s="105"/>
      <c r="AU890" s="105"/>
      <c r="AV890" s="105"/>
      <c r="AW890" s="105"/>
      <c r="AX890" s="105"/>
      <c r="AY890" s="105"/>
      <c r="AZ890" s="105"/>
      <c r="BA890" s="105"/>
    </row>
    <row r="891">
      <c r="A891" s="105"/>
      <c r="B891" s="105"/>
      <c r="C891" s="105"/>
      <c r="D891" s="105"/>
      <c r="E891" s="105"/>
      <c r="F891" s="105"/>
      <c r="G891" s="105"/>
      <c r="H891" s="105"/>
      <c r="I891" s="505" t="b">
        <v>0</v>
      </c>
      <c r="J891" s="507" t="b">
        <v>0</v>
      </c>
      <c r="K891" s="112"/>
      <c r="L891" s="505" t="b">
        <v>0</v>
      </c>
      <c r="M891" s="504" t="b">
        <v>0</v>
      </c>
      <c r="N891" s="112"/>
      <c r="O891" s="505" t="b">
        <v>0</v>
      </c>
      <c r="P891" s="504" t="b">
        <v>0</v>
      </c>
      <c r="Q891" s="116"/>
      <c r="R891" s="505" t="b">
        <v>0</v>
      </c>
      <c r="S891" s="504" t="b">
        <v>0</v>
      </c>
      <c r="T891" s="117"/>
      <c r="U891" s="505" t="b">
        <v>0</v>
      </c>
      <c r="V891" s="504" t="b">
        <v>0</v>
      </c>
      <c r="W891" s="118"/>
      <c r="X891" s="505" t="b">
        <v>0</v>
      </c>
      <c r="Y891" s="504" t="b">
        <v>0</v>
      </c>
      <c r="Z891" s="119"/>
      <c r="AA891" s="505" t="b">
        <v>0</v>
      </c>
      <c r="AB891" s="504" t="b">
        <v>0</v>
      </c>
      <c r="AC891" s="121"/>
      <c r="AD891" s="505" t="b">
        <v>0</v>
      </c>
      <c r="AE891" s="504" t="b">
        <v>0</v>
      </c>
      <c r="AF891" s="125"/>
      <c r="AG891" s="505" t="b">
        <v>0</v>
      </c>
      <c r="AH891" s="504" t="b">
        <v>0</v>
      </c>
      <c r="AI891" s="105"/>
      <c r="AJ891" s="505" t="b">
        <v>0</v>
      </c>
      <c r="AK891" s="504" t="b">
        <v>0</v>
      </c>
      <c r="AL891" s="126"/>
      <c r="AM891" s="505" t="b">
        <v>0</v>
      </c>
      <c r="AN891" s="504" t="b">
        <v>0</v>
      </c>
      <c r="AO891" s="105"/>
      <c r="AP891" s="105"/>
      <c r="AQ891" s="105"/>
      <c r="AR891" s="105"/>
      <c r="AS891" s="105"/>
      <c r="AT891" s="105"/>
      <c r="AU891" s="105"/>
      <c r="AV891" s="105"/>
      <c r="AW891" s="105"/>
      <c r="AX891" s="105"/>
      <c r="AY891" s="105"/>
      <c r="AZ891" s="105"/>
      <c r="BA891" s="105"/>
    </row>
    <row r="892">
      <c r="A892" s="105"/>
      <c r="B892" s="105"/>
      <c r="C892" s="105"/>
      <c r="D892" s="105"/>
      <c r="E892" s="105"/>
      <c r="F892" s="105"/>
      <c r="G892" s="105"/>
      <c r="H892" s="105"/>
      <c r="I892" s="505" t="b">
        <v>0</v>
      </c>
      <c r="J892" s="507" t="b">
        <v>0</v>
      </c>
      <c r="K892" s="112"/>
      <c r="L892" s="505" t="b">
        <v>0</v>
      </c>
      <c r="M892" s="504" t="b">
        <v>0</v>
      </c>
      <c r="N892" s="112"/>
      <c r="O892" s="505" t="b">
        <v>0</v>
      </c>
      <c r="P892" s="504" t="b">
        <v>0</v>
      </c>
      <c r="Q892" s="116"/>
      <c r="R892" s="505" t="b">
        <v>0</v>
      </c>
      <c r="S892" s="504" t="b">
        <v>0</v>
      </c>
      <c r="T892" s="117"/>
      <c r="U892" s="505" t="b">
        <v>0</v>
      </c>
      <c r="V892" s="504" t="b">
        <v>0</v>
      </c>
      <c r="W892" s="118"/>
      <c r="X892" s="505" t="b">
        <v>0</v>
      </c>
      <c r="Y892" s="504" t="b">
        <v>0</v>
      </c>
      <c r="Z892" s="119"/>
      <c r="AA892" s="505" t="b">
        <v>0</v>
      </c>
      <c r="AB892" s="504" t="b">
        <v>0</v>
      </c>
      <c r="AC892" s="121"/>
      <c r="AD892" s="505" t="b">
        <v>0</v>
      </c>
      <c r="AE892" s="504" t="b">
        <v>0</v>
      </c>
      <c r="AF892" s="125"/>
      <c r="AG892" s="505" t="b">
        <v>0</v>
      </c>
      <c r="AH892" s="504" t="b">
        <v>0</v>
      </c>
      <c r="AI892" s="105"/>
      <c r="AJ892" s="505" t="b">
        <v>0</v>
      </c>
      <c r="AK892" s="504" t="b">
        <v>0</v>
      </c>
      <c r="AL892" s="126"/>
      <c r="AM892" s="505" t="b">
        <v>0</v>
      </c>
      <c r="AN892" s="504" t="b">
        <v>0</v>
      </c>
      <c r="AO892" s="105"/>
      <c r="AP892" s="105"/>
      <c r="AQ892" s="105"/>
      <c r="AR892" s="105"/>
      <c r="AS892" s="105"/>
      <c r="AT892" s="105"/>
      <c r="AU892" s="105"/>
      <c r="AV892" s="105"/>
      <c r="AW892" s="105"/>
      <c r="AX892" s="105"/>
      <c r="AY892" s="105"/>
      <c r="AZ892" s="105"/>
      <c r="BA892" s="105"/>
    </row>
    <row r="893">
      <c r="A893" s="105"/>
      <c r="B893" s="105"/>
      <c r="C893" s="105"/>
      <c r="D893" s="105"/>
      <c r="E893" s="105"/>
      <c r="F893" s="105"/>
      <c r="G893" s="105"/>
      <c r="H893" s="105"/>
      <c r="I893" s="505" t="b">
        <v>0</v>
      </c>
      <c r="J893" s="507" t="b">
        <v>0</v>
      </c>
      <c r="K893" s="112"/>
      <c r="L893" s="505" t="b">
        <v>0</v>
      </c>
      <c r="M893" s="504" t="b">
        <v>0</v>
      </c>
      <c r="N893" s="112"/>
      <c r="O893" s="505" t="b">
        <v>0</v>
      </c>
      <c r="P893" s="504" t="b">
        <v>0</v>
      </c>
      <c r="Q893" s="116"/>
      <c r="R893" s="505" t="b">
        <v>0</v>
      </c>
      <c r="S893" s="504" t="b">
        <v>0</v>
      </c>
      <c r="T893" s="117"/>
      <c r="U893" s="505" t="b">
        <v>0</v>
      </c>
      <c r="V893" s="504" t="b">
        <v>0</v>
      </c>
      <c r="W893" s="118"/>
      <c r="X893" s="505" t="b">
        <v>0</v>
      </c>
      <c r="Y893" s="504" t="b">
        <v>0</v>
      </c>
      <c r="Z893" s="119"/>
      <c r="AA893" s="505" t="b">
        <v>0</v>
      </c>
      <c r="AB893" s="504" t="b">
        <v>0</v>
      </c>
      <c r="AC893" s="121"/>
      <c r="AD893" s="505" t="b">
        <v>0</v>
      </c>
      <c r="AE893" s="504" t="b">
        <v>0</v>
      </c>
      <c r="AF893" s="125"/>
      <c r="AG893" s="505" t="b">
        <v>0</v>
      </c>
      <c r="AH893" s="504" t="b">
        <v>0</v>
      </c>
      <c r="AI893" s="105"/>
      <c r="AJ893" s="505" t="b">
        <v>0</v>
      </c>
      <c r="AK893" s="504" t="b">
        <v>0</v>
      </c>
      <c r="AL893" s="126"/>
      <c r="AM893" s="505" t="b">
        <v>0</v>
      </c>
      <c r="AN893" s="504" t="b">
        <v>0</v>
      </c>
      <c r="AO893" s="105"/>
      <c r="AP893" s="105"/>
      <c r="AQ893" s="105"/>
      <c r="AR893" s="105"/>
      <c r="AS893" s="105"/>
      <c r="AT893" s="105"/>
      <c r="AU893" s="105"/>
      <c r="AV893" s="105"/>
      <c r="AW893" s="105"/>
      <c r="AX893" s="105"/>
      <c r="AY893" s="105"/>
      <c r="AZ893" s="105"/>
      <c r="BA893" s="105"/>
    </row>
    <row r="894">
      <c r="A894" s="105"/>
      <c r="B894" s="105"/>
      <c r="C894" s="105"/>
      <c r="D894" s="105"/>
      <c r="E894" s="105"/>
      <c r="F894" s="105"/>
      <c r="G894" s="105"/>
      <c r="H894" s="105"/>
      <c r="I894" s="505" t="b">
        <v>0</v>
      </c>
      <c r="J894" s="507" t="b">
        <v>0</v>
      </c>
      <c r="K894" s="112"/>
      <c r="L894" s="505" t="b">
        <v>0</v>
      </c>
      <c r="M894" s="504" t="b">
        <v>0</v>
      </c>
      <c r="N894" s="112"/>
      <c r="O894" s="505" t="b">
        <v>0</v>
      </c>
      <c r="P894" s="504" t="b">
        <v>0</v>
      </c>
      <c r="Q894" s="116"/>
      <c r="R894" s="505" t="b">
        <v>0</v>
      </c>
      <c r="S894" s="504" t="b">
        <v>0</v>
      </c>
      <c r="T894" s="117"/>
      <c r="U894" s="505" t="b">
        <v>0</v>
      </c>
      <c r="V894" s="504" t="b">
        <v>0</v>
      </c>
      <c r="W894" s="118"/>
      <c r="X894" s="505" t="b">
        <v>0</v>
      </c>
      <c r="Y894" s="504" t="b">
        <v>0</v>
      </c>
      <c r="Z894" s="119"/>
      <c r="AA894" s="505" t="b">
        <v>0</v>
      </c>
      <c r="AB894" s="504" t="b">
        <v>0</v>
      </c>
      <c r="AC894" s="121"/>
      <c r="AD894" s="505" t="b">
        <v>0</v>
      </c>
      <c r="AE894" s="504" t="b">
        <v>0</v>
      </c>
      <c r="AF894" s="125"/>
      <c r="AG894" s="505" t="b">
        <v>0</v>
      </c>
      <c r="AH894" s="504" t="b">
        <v>0</v>
      </c>
      <c r="AI894" s="105"/>
      <c r="AJ894" s="505" t="b">
        <v>0</v>
      </c>
      <c r="AK894" s="504" t="b">
        <v>0</v>
      </c>
      <c r="AL894" s="126"/>
      <c r="AM894" s="505" t="b">
        <v>0</v>
      </c>
      <c r="AN894" s="504" t="b">
        <v>0</v>
      </c>
      <c r="AO894" s="105"/>
      <c r="AP894" s="105"/>
      <c r="AQ894" s="105"/>
      <c r="AR894" s="105"/>
      <c r="AS894" s="105"/>
      <c r="AT894" s="105"/>
      <c r="AU894" s="105"/>
      <c r="AV894" s="105"/>
      <c r="AW894" s="105"/>
      <c r="AX894" s="105"/>
      <c r="AY894" s="105"/>
      <c r="AZ894" s="105"/>
      <c r="BA894" s="105"/>
    </row>
    <row r="895">
      <c r="A895" s="105"/>
      <c r="B895" s="105"/>
      <c r="C895" s="105"/>
      <c r="D895" s="105"/>
      <c r="E895" s="105"/>
      <c r="F895" s="105"/>
      <c r="G895" s="105"/>
      <c r="H895" s="105"/>
      <c r="I895" s="505" t="b">
        <v>0</v>
      </c>
      <c r="J895" s="507" t="b">
        <v>0</v>
      </c>
      <c r="K895" s="112"/>
      <c r="L895" s="505" t="b">
        <v>0</v>
      </c>
      <c r="M895" s="504" t="b">
        <v>0</v>
      </c>
      <c r="N895" s="112"/>
      <c r="O895" s="505" t="b">
        <v>0</v>
      </c>
      <c r="P895" s="504" t="b">
        <v>0</v>
      </c>
      <c r="Q895" s="116"/>
      <c r="R895" s="505" t="b">
        <v>0</v>
      </c>
      <c r="S895" s="504" t="b">
        <v>0</v>
      </c>
      <c r="T895" s="117"/>
      <c r="U895" s="505" t="b">
        <v>0</v>
      </c>
      <c r="V895" s="504" t="b">
        <v>0</v>
      </c>
      <c r="W895" s="118"/>
      <c r="X895" s="505" t="b">
        <v>0</v>
      </c>
      <c r="Y895" s="504" t="b">
        <v>0</v>
      </c>
      <c r="Z895" s="119"/>
      <c r="AA895" s="505" t="b">
        <v>0</v>
      </c>
      <c r="AB895" s="504" t="b">
        <v>0</v>
      </c>
      <c r="AC895" s="121"/>
      <c r="AD895" s="505" t="b">
        <v>0</v>
      </c>
      <c r="AE895" s="504" t="b">
        <v>0</v>
      </c>
      <c r="AF895" s="125"/>
      <c r="AG895" s="505" t="b">
        <v>0</v>
      </c>
      <c r="AH895" s="504" t="b">
        <v>0</v>
      </c>
      <c r="AI895" s="105"/>
      <c r="AJ895" s="505" t="b">
        <v>0</v>
      </c>
      <c r="AK895" s="504" t="b">
        <v>0</v>
      </c>
      <c r="AL895" s="126"/>
      <c r="AM895" s="505" t="b">
        <v>0</v>
      </c>
      <c r="AN895" s="504" t="b">
        <v>0</v>
      </c>
      <c r="AO895" s="105"/>
      <c r="AP895" s="105"/>
      <c r="AQ895" s="105"/>
      <c r="AR895" s="105"/>
      <c r="AS895" s="105"/>
      <c r="AT895" s="105"/>
      <c r="AU895" s="105"/>
      <c r="AV895" s="105"/>
      <c r="AW895" s="105"/>
      <c r="AX895" s="105"/>
      <c r="AY895" s="105"/>
      <c r="AZ895" s="105"/>
      <c r="BA895" s="105"/>
    </row>
    <row r="896">
      <c r="A896" s="105"/>
      <c r="B896" s="105"/>
      <c r="C896" s="105"/>
      <c r="D896" s="105"/>
      <c r="E896" s="105"/>
      <c r="F896" s="105"/>
      <c r="G896" s="105"/>
      <c r="H896" s="105"/>
      <c r="I896" s="505" t="b">
        <v>0</v>
      </c>
      <c r="J896" s="507" t="b">
        <v>0</v>
      </c>
      <c r="K896" s="112"/>
      <c r="L896" s="505" t="b">
        <v>0</v>
      </c>
      <c r="M896" s="504" t="b">
        <v>0</v>
      </c>
      <c r="N896" s="112"/>
      <c r="O896" s="505" t="b">
        <v>0</v>
      </c>
      <c r="P896" s="504" t="b">
        <v>0</v>
      </c>
      <c r="Q896" s="116"/>
      <c r="R896" s="505" t="b">
        <v>0</v>
      </c>
      <c r="S896" s="504" t="b">
        <v>0</v>
      </c>
      <c r="T896" s="117"/>
      <c r="U896" s="505" t="b">
        <v>0</v>
      </c>
      <c r="V896" s="504" t="b">
        <v>0</v>
      </c>
      <c r="W896" s="118"/>
      <c r="X896" s="505" t="b">
        <v>0</v>
      </c>
      <c r="Y896" s="504" t="b">
        <v>0</v>
      </c>
      <c r="Z896" s="119"/>
      <c r="AA896" s="505" t="b">
        <v>0</v>
      </c>
      <c r="AB896" s="504" t="b">
        <v>0</v>
      </c>
      <c r="AC896" s="121"/>
      <c r="AD896" s="505" t="b">
        <v>0</v>
      </c>
      <c r="AE896" s="504" t="b">
        <v>0</v>
      </c>
      <c r="AF896" s="125"/>
      <c r="AG896" s="505" t="b">
        <v>0</v>
      </c>
      <c r="AH896" s="504" t="b">
        <v>0</v>
      </c>
      <c r="AI896" s="105"/>
      <c r="AJ896" s="505" t="b">
        <v>0</v>
      </c>
      <c r="AK896" s="504" t="b">
        <v>0</v>
      </c>
      <c r="AL896" s="126"/>
      <c r="AM896" s="505" t="b">
        <v>0</v>
      </c>
      <c r="AN896" s="504" t="b">
        <v>0</v>
      </c>
      <c r="AO896" s="105"/>
      <c r="AP896" s="105"/>
      <c r="AQ896" s="105"/>
      <c r="AR896" s="105"/>
      <c r="AS896" s="105"/>
      <c r="AT896" s="105"/>
      <c r="AU896" s="105"/>
      <c r="AV896" s="105"/>
      <c r="AW896" s="105"/>
      <c r="AX896" s="105"/>
      <c r="AY896" s="105"/>
      <c r="AZ896" s="105"/>
      <c r="BA896" s="105"/>
    </row>
    <row r="897">
      <c r="A897" s="105"/>
      <c r="B897" s="105"/>
      <c r="C897" s="105"/>
      <c r="D897" s="105"/>
      <c r="E897" s="105"/>
      <c r="F897" s="105"/>
      <c r="G897" s="105"/>
      <c r="H897" s="105"/>
      <c r="I897" s="505" t="b">
        <v>0</v>
      </c>
      <c r="J897" s="507" t="b">
        <v>0</v>
      </c>
      <c r="K897" s="112"/>
      <c r="L897" s="505" t="b">
        <v>0</v>
      </c>
      <c r="M897" s="504" t="b">
        <v>0</v>
      </c>
      <c r="N897" s="112"/>
      <c r="O897" s="505" t="b">
        <v>0</v>
      </c>
      <c r="P897" s="504" t="b">
        <v>0</v>
      </c>
      <c r="Q897" s="116"/>
      <c r="R897" s="505" t="b">
        <v>0</v>
      </c>
      <c r="S897" s="504" t="b">
        <v>0</v>
      </c>
      <c r="T897" s="117"/>
      <c r="U897" s="505" t="b">
        <v>0</v>
      </c>
      <c r="V897" s="504" t="b">
        <v>0</v>
      </c>
      <c r="W897" s="118"/>
      <c r="X897" s="505" t="b">
        <v>0</v>
      </c>
      <c r="Y897" s="504" t="b">
        <v>0</v>
      </c>
      <c r="Z897" s="119"/>
      <c r="AA897" s="505" t="b">
        <v>0</v>
      </c>
      <c r="AB897" s="504" t="b">
        <v>0</v>
      </c>
      <c r="AC897" s="121"/>
      <c r="AD897" s="505" t="b">
        <v>0</v>
      </c>
      <c r="AE897" s="504" t="b">
        <v>0</v>
      </c>
      <c r="AF897" s="125"/>
      <c r="AG897" s="505" t="b">
        <v>0</v>
      </c>
      <c r="AH897" s="504" t="b">
        <v>0</v>
      </c>
      <c r="AI897" s="105"/>
      <c r="AJ897" s="505" t="b">
        <v>0</v>
      </c>
      <c r="AK897" s="504" t="b">
        <v>0</v>
      </c>
      <c r="AL897" s="126"/>
      <c r="AM897" s="505" t="b">
        <v>0</v>
      </c>
      <c r="AN897" s="504" t="b">
        <v>0</v>
      </c>
      <c r="AO897" s="105"/>
      <c r="AP897" s="105"/>
      <c r="AQ897" s="105"/>
      <c r="AR897" s="105"/>
      <c r="AS897" s="105"/>
      <c r="AT897" s="105"/>
      <c r="AU897" s="105"/>
      <c r="AV897" s="105"/>
      <c r="AW897" s="105"/>
      <c r="AX897" s="105"/>
      <c r="AY897" s="105"/>
      <c r="AZ897" s="105"/>
      <c r="BA897" s="105"/>
    </row>
    <row r="898">
      <c r="A898" s="105"/>
      <c r="B898" s="105"/>
      <c r="C898" s="105"/>
      <c r="D898" s="105"/>
      <c r="E898" s="105"/>
      <c r="F898" s="105"/>
      <c r="G898" s="105"/>
      <c r="H898" s="105"/>
      <c r="I898" s="505" t="b">
        <v>0</v>
      </c>
      <c r="J898" s="507" t="b">
        <v>0</v>
      </c>
      <c r="K898" s="112"/>
      <c r="L898" s="505" t="b">
        <v>0</v>
      </c>
      <c r="M898" s="504" t="b">
        <v>0</v>
      </c>
      <c r="N898" s="112"/>
      <c r="O898" s="505" t="b">
        <v>0</v>
      </c>
      <c r="P898" s="504" t="b">
        <v>0</v>
      </c>
      <c r="Q898" s="116"/>
      <c r="R898" s="505" t="b">
        <v>0</v>
      </c>
      <c r="S898" s="504" t="b">
        <v>0</v>
      </c>
      <c r="T898" s="117"/>
      <c r="U898" s="505" t="b">
        <v>0</v>
      </c>
      <c r="V898" s="504" t="b">
        <v>0</v>
      </c>
      <c r="W898" s="118"/>
      <c r="X898" s="505" t="b">
        <v>0</v>
      </c>
      <c r="Y898" s="504" t="b">
        <v>0</v>
      </c>
      <c r="Z898" s="119"/>
      <c r="AA898" s="505" t="b">
        <v>0</v>
      </c>
      <c r="AB898" s="504" t="b">
        <v>0</v>
      </c>
      <c r="AC898" s="121"/>
      <c r="AD898" s="505" t="b">
        <v>0</v>
      </c>
      <c r="AE898" s="504" t="b">
        <v>0</v>
      </c>
      <c r="AF898" s="125"/>
      <c r="AG898" s="505" t="b">
        <v>0</v>
      </c>
      <c r="AH898" s="504" t="b">
        <v>0</v>
      </c>
      <c r="AI898" s="105"/>
      <c r="AJ898" s="505" t="b">
        <v>0</v>
      </c>
      <c r="AK898" s="504" t="b">
        <v>0</v>
      </c>
      <c r="AL898" s="126"/>
      <c r="AM898" s="505" t="b">
        <v>0</v>
      </c>
      <c r="AN898" s="504" t="b">
        <v>0</v>
      </c>
      <c r="AO898" s="105"/>
      <c r="AP898" s="105"/>
      <c r="AQ898" s="105"/>
      <c r="AR898" s="105"/>
      <c r="AS898" s="105"/>
      <c r="AT898" s="105"/>
      <c r="AU898" s="105"/>
      <c r="AV898" s="105"/>
      <c r="AW898" s="105"/>
      <c r="AX898" s="105"/>
      <c r="AY898" s="105"/>
      <c r="AZ898" s="105"/>
      <c r="BA898" s="105"/>
    </row>
    <row r="899">
      <c r="A899" s="105"/>
      <c r="B899" s="105"/>
      <c r="C899" s="105"/>
      <c r="D899" s="105"/>
      <c r="E899" s="105"/>
      <c r="F899" s="105"/>
      <c r="G899" s="105"/>
      <c r="H899" s="105"/>
      <c r="I899" s="505" t="b">
        <v>0</v>
      </c>
      <c r="J899" s="507" t="b">
        <v>0</v>
      </c>
      <c r="K899" s="112"/>
      <c r="L899" s="505" t="b">
        <v>0</v>
      </c>
      <c r="M899" s="504" t="b">
        <v>0</v>
      </c>
      <c r="N899" s="112"/>
      <c r="O899" s="505" t="b">
        <v>0</v>
      </c>
      <c r="P899" s="504" t="b">
        <v>0</v>
      </c>
      <c r="Q899" s="116"/>
      <c r="R899" s="505" t="b">
        <v>0</v>
      </c>
      <c r="S899" s="504" t="b">
        <v>0</v>
      </c>
      <c r="T899" s="117"/>
      <c r="U899" s="505" t="b">
        <v>0</v>
      </c>
      <c r="V899" s="504" t="b">
        <v>0</v>
      </c>
      <c r="W899" s="118"/>
      <c r="X899" s="505" t="b">
        <v>0</v>
      </c>
      <c r="Y899" s="504" t="b">
        <v>0</v>
      </c>
      <c r="Z899" s="119"/>
      <c r="AA899" s="505" t="b">
        <v>0</v>
      </c>
      <c r="AB899" s="504" t="b">
        <v>0</v>
      </c>
      <c r="AC899" s="121"/>
      <c r="AD899" s="505" t="b">
        <v>0</v>
      </c>
      <c r="AE899" s="504" t="b">
        <v>0</v>
      </c>
      <c r="AF899" s="125"/>
      <c r="AG899" s="505" t="b">
        <v>0</v>
      </c>
      <c r="AH899" s="504" t="b">
        <v>0</v>
      </c>
      <c r="AI899" s="105"/>
      <c r="AJ899" s="505" t="b">
        <v>0</v>
      </c>
      <c r="AK899" s="504" t="b">
        <v>0</v>
      </c>
      <c r="AL899" s="126"/>
      <c r="AM899" s="505" t="b">
        <v>0</v>
      </c>
      <c r="AN899" s="504" t="b">
        <v>0</v>
      </c>
      <c r="AO899" s="105"/>
      <c r="AP899" s="105"/>
      <c r="AQ899" s="105"/>
      <c r="AR899" s="105"/>
      <c r="AS899" s="105"/>
      <c r="AT899" s="105"/>
      <c r="AU899" s="105"/>
      <c r="AV899" s="105"/>
      <c r="AW899" s="105"/>
      <c r="AX899" s="105"/>
      <c r="AY899" s="105"/>
      <c r="AZ899" s="105"/>
      <c r="BA899" s="105"/>
    </row>
    <row r="900">
      <c r="A900" s="105"/>
      <c r="B900" s="105"/>
      <c r="C900" s="105"/>
      <c r="D900" s="105"/>
      <c r="E900" s="105"/>
      <c r="F900" s="105"/>
      <c r="G900" s="105"/>
      <c r="H900" s="105"/>
      <c r="I900" s="505" t="b">
        <v>0</v>
      </c>
      <c r="J900" s="507" t="b">
        <v>0</v>
      </c>
      <c r="K900" s="112"/>
      <c r="L900" s="505" t="b">
        <v>0</v>
      </c>
      <c r="M900" s="504" t="b">
        <v>0</v>
      </c>
      <c r="N900" s="112"/>
      <c r="O900" s="505" t="b">
        <v>0</v>
      </c>
      <c r="P900" s="504" t="b">
        <v>0</v>
      </c>
      <c r="Q900" s="116"/>
      <c r="R900" s="505" t="b">
        <v>0</v>
      </c>
      <c r="S900" s="504" t="b">
        <v>0</v>
      </c>
      <c r="T900" s="117"/>
      <c r="U900" s="505" t="b">
        <v>0</v>
      </c>
      <c r="V900" s="504" t="b">
        <v>0</v>
      </c>
      <c r="W900" s="118"/>
      <c r="X900" s="505" t="b">
        <v>0</v>
      </c>
      <c r="Y900" s="504" t="b">
        <v>0</v>
      </c>
      <c r="Z900" s="119"/>
      <c r="AA900" s="505" t="b">
        <v>0</v>
      </c>
      <c r="AB900" s="504" t="b">
        <v>0</v>
      </c>
      <c r="AC900" s="121"/>
      <c r="AD900" s="505" t="b">
        <v>0</v>
      </c>
      <c r="AE900" s="504" t="b">
        <v>0</v>
      </c>
      <c r="AF900" s="125"/>
      <c r="AG900" s="505" t="b">
        <v>0</v>
      </c>
      <c r="AH900" s="504" t="b">
        <v>0</v>
      </c>
      <c r="AI900" s="105"/>
      <c r="AJ900" s="505" t="b">
        <v>0</v>
      </c>
      <c r="AK900" s="504" t="b">
        <v>0</v>
      </c>
      <c r="AL900" s="126"/>
      <c r="AM900" s="505" t="b">
        <v>0</v>
      </c>
      <c r="AN900" s="504" t="b">
        <v>0</v>
      </c>
      <c r="AO900" s="105"/>
      <c r="AP900" s="105"/>
      <c r="AQ900" s="105"/>
      <c r="AR900" s="105"/>
      <c r="AS900" s="105"/>
      <c r="AT900" s="105"/>
      <c r="AU900" s="105"/>
      <c r="AV900" s="105"/>
      <c r="AW900" s="105"/>
      <c r="AX900" s="105"/>
      <c r="AY900" s="105"/>
      <c r="AZ900" s="105"/>
      <c r="BA900" s="105"/>
    </row>
    <row r="901">
      <c r="A901" s="105"/>
      <c r="B901" s="105"/>
      <c r="C901" s="105"/>
      <c r="D901" s="105"/>
      <c r="E901" s="105"/>
      <c r="F901" s="105"/>
      <c r="G901" s="105"/>
      <c r="H901" s="105"/>
      <c r="I901" s="505" t="b">
        <v>0</v>
      </c>
      <c r="J901" s="507" t="b">
        <v>0</v>
      </c>
      <c r="K901" s="112"/>
      <c r="L901" s="505" t="b">
        <v>0</v>
      </c>
      <c r="M901" s="504" t="b">
        <v>0</v>
      </c>
      <c r="N901" s="112"/>
      <c r="O901" s="505" t="b">
        <v>0</v>
      </c>
      <c r="P901" s="504" t="b">
        <v>0</v>
      </c>
      <c r="Q901" s="116"/>
      <c r="R901" s="505" t="b">
        <v>0</v>
      </c>
      <c r="S901" s="504" t="b">
        <v>0</v>
      </c>
      <c r="T901" s="117"/>
      <c r="U901" s="505" t="b">
        <v>0</v>
      </c>
      <c r="V901" s="504" t="b">
        <v>0</v>
      </c>
      <c r="W901" s="118"/>
      <c r="X901" s="505" t="b">
        <v>0</v>
      </c>
      <c r="Y901" s="504" t="b">
        <v>0</v>
      </c>
      <c r="Z901" s="119"/>
      <c r="AA901" s="505" t="b">
        <v>0</v>
      </c>
      <c r="AB901" s="504" t="b">
        <v>0</v>
      </c>
      <c r="AC901" s="121"/>
      <c r="AD901" s="505" t="b">
        <v>0</v>
      </c>
      <c r="AE901" s="504" t="b">
        <v>0</v>
      </c>
      <c r="AF901" s="125"/>
      <c r="AG901" s="505" t="b">
        <v>0</v>
      </c>
      <c r="AH901" s="504" t="b">
        <v>0</v>
      </c>
      <c r="AI901" s="105"/>
      <c r="AJ901" s="505" t="b">
        <v>0</v>
      </c>
      <c r="AK901" s="504" t="b">
        <v>0</v>
      </c>
      <c r="AL901" s="126"/>
      <c r="AM901" s="505" t="b">
        <v>0</v>
      </c>
      <c r="AN901" s="504" t="b">
        <v>0</v>
      </c>
      <c r="AO901" s="105"/>
      <c r="AP901" s="105"/>
      <c r="AQ901" s="105"/>
      <c r="AR901" s="105"/>
      <c r="AS901" s="105"/>
      <c r="AT901" s="105"/>
      <c r="AU901" s="105"/>
      <c r="AV901" s="105"/>
      <c r="AW901" s="105"/>
      <c r="AX901" s="105"/>
      <c r="AY901" s="105"/>
      <c r="AZ901" s="105"/>
      <c r="BA901" s="105"/>
    </row>
    <row r="902">
      <c r="A902" s="105"/>
      <c r="B902" s="105"/>
      <c r="C902" s="105"/>
      <c r="D902" s="105"/>
      <c r="E902" s="105"/>
      <c r="F902" s="105"/>
      <c r="G902" s="105"/>
      <c r="H902" s="105"/>
      <c r="I902" s="505" t="b">
        <v>0</v>
      </c>
      <c r="J902" s="507" t="b">
        <v>0</v>
      </c>
      <c r="K902" s="112"/>
      <c r="L902" s="505" t="b">
        <v>0</v>
      </c>
      <c r="M902" s="504" t="b">
        <v>0</v>
      </c>
      <c r="N902" s="112"/>
      <c r="O902" s="505" t="b">
        <v>0</v>
      </c>
      <c r="P902" s="504" t="b">
        <v>0</v>
      </c>
      <c r="Q902" s="116"/>
      <c r="R902" s="505" t="b">
        <v>0</v>
      </c>
      <c r="S902" s="504" t="b">
        <v>0</v>
      </c>
      <c r="T902" s="117"/>
      <c r="U902" s="505" t="b">
        <v>0</v>
      </c>
      <c r="V902" s="504" t="b">
        <v>0</v>
      </c>
      <c r="W902" s="118"/>
      <c r="X902" s="505" t="b">
        <v>0</v>
      </c>
      <c r="Y902" s="504" t="b">
        <v>0</v>
      </c>
      <c r="Z902" s="119"/>
      <c r="AA902" s="505" t="b">
        <v>0</v>
      </c>
      <c r="AB902" s="504" t="b">
        <v>0</v>
      </c>
      <c r="AC902" s="121"/>
      <c r="AD902" s="505" t="b">
        <v>0</v>
      </c>
      <c r="AE902" s="504" t="b">
        <v>0</v>
      </c>
      <c r="AF902" s="125"/>
      <c r="AG902" s="505" t="b">
        <v>0</v>
      </c>
      <c r="AH902" s="504" t="b">
        <v>0</v>
      </c>
      <c r="AI902" s="105"/>
      <c r="AJ902" s="505" t="b">
        <v>0</v>
      </c>
      <c r="AK902" s="504" t="b">
        <v>0</v>
      </c>
      <c r="AL902" s="126"/>
      <c r="AM902" s="505" t="b">
        <v>0</v>
      </c>
      <c r="AN902" s="504" t="b">
        <v>0</v>
      </c>
      <c r="AO902" s="105"/>
      <c r="AP902" s="105"/>
      <c r="AQ902" s="105"/>
      <c r="AR902" s="105"/>
      <c r="AS902" s="105"/>
      <c r="AT902" s="105"/>
      <c r="AU902" s="105"/>
      <c r="AV902" s="105"/>
      <c r="AW902" s="105"/>
      <c r="AX902" s="105"/>
      <c r="AY902" s="105"/>
      <c r="AZ902" s="105"/>
      <c r="BA902" s="105"/>
    </row>
    <row r="903">
      <c r="A903" s="105"/>
      <c r="B903" s="105"/>
      <c r="C903" s="105"/>
      <c r="D903" s="105"/>
      <c r="E903" s="105"/>
      <c r="F903" s="105"/>
      <c r="G903" s="105"/>
      <c r="H903" s="105"/>
      <c r="I903" s="505" t="b">
        <v>0</v>
      </c>
      <c r="J903" s="507" t="b">
        <v>0</v>
      </c>
      <c r="K903" s="112"/>
      <c r="L903" s="505" t="b">
        <v>0</v>
      </c>
      <c r="M903" s="504" t="b">
        <v>0</v>
      </c>
      <c r="N903" s="112"/>
      <c r="O903" s="505" t="b">
        <v>0</v>
      </c>
      <c r="P903" s="504" t="b">
        <v>0</v>
      </c>
      <c r="Q903" s="116"/>
      <c r="R903" s="505" t="b">
        <v>0</v>
      </c>
      <c r="S903" s="504" t="b">
        <v>0</v>
      </c>
      <c r="T903" s="117"/>
      <c r="U903" s="505" t="b">
        <v>0</v>
      </c>
      <c r="V903" s="504" t="b">
        <v>0</v>
      </c>
      <c r="W903" s="118"/>
      <c r="X903" s="505" t="b">
        <v>0</v>
      </c>
      <c r="Y903" s="504" t="b">
        <v>0</v>
      </c>
      <c r="Z903" s="119"/>
      <c r="AA903" s="505" t="b">
        <v>0</v>
      </c>
      <c r="AB903" s="504" t="b">
        <v>0</v>
      </c>
      <c r="AC903" s="121"/>
      <c r="AD903" s="505" t="b">
        <v>0</v>
      </c>
      <c r="AE903" s="504" t="b">
        <v>0</v>
      </c>
      <c r="AF903" s="125"/>
      <c r="AG903" s="505" t="b">
        <v>0</v>
      </c>
      <c r="AH903" s="504" t="b">
        <v>0</v>
      </c>
      <c r="AI903" s="105"/>
      <c r="AJ903" s="505" t="b">
        <v>0</v>
      </c>
      <c r="AK903" s="504" t="b">
        <v>0</v>
      </c>
      <c r="AL903" s="126"/>
      <c r="AM903" s="505" t="b">
        <v>0</v>
      </c>
      <c r="AN903" s="504" t="b">
        <v>0</v>
      </c>
      <c r="AO903" s="105"/>
      <c r="AP903" s="105"/>
      <c r="AQ903" s="105"/>
      <c r="AR903" s="105"/>
      <c r="AS903" s="105"/>
      <c r="AT903" s="105"/>
      <c r="AU903" s="105"/>
      <c r="AV903" s="105"/>
      <c r="AW903" s="105"/>
      <c r="AX903" s="105"/>
      <c r="AY903" s="105"/>
      <c r="AZ903" s="105"/>
      <c r="BA903" s="105"/>
    </row>
    <row r="904">
      <c r="A904" s="105"/>
      <c r="B904" s="105"/>
      <c r="C904" s="105"/>
      <c r="D904" s="105"/>
      <c r="E904" s="105"/>
      <c r="F904" s="105"/>
      <c r="G904" s="105"/>
      <c r="H904" s="105"/>
      <c r="I904" s="505" t="b">
        <v>0</v>
      </c>
      <c r="J904" s="507" t="b">
        <v>0</v>
      </c>
      <c r="K904" s="112"/>
      <c r="L904" s="505" t="b">
        <v>0</v>
      </c>
      <c r="M904" s="504" t="b">
        <v>0</v>
      </c>
      <c r="N904" s="112"/>
      <c r="O904" s="505" t="b">
        <v>0</v>
      </c>
      <c r="P904" s="504" t="b">
        <v>0</v>
      </c>
      <c r="Q904" s="116"/>
      <c r="R904" s="505" t="b">
        <v>0</v>
      </c>
      <c r="S904" s="504" t="b">
        <v>0</v>
      </c>
      <c r="T904" s="117"/>
      <c r="U904" s="505" t="b">
        <v>0</v>
      </c>
      <c r="V904" s="504" t="b">
        <v>0</v>
      </c>
      <c r="W904" s="118"/>
      <c r="X904" s="505" t="b">
        <v>0</v>
      </c>
      <c r="Y904" s="504" t="b">
        <v>0</v>
      </c>
      <c r="Z904" s="119"/>
      <c r="AA904" s="505" t="b">
        <v>0</v>
      </c>
      <c r="AB904" s="504" t="b">
        <v>0</v>
      </c>
      <c r="AC904" s="121"/>
      <c r="AD904" s="505" t="b">
        <v>0</v>
      </c>
      <c r="AE904" s="504" t="b">
        <v>0</v>
      </c>
      <c r="AF904" s="125"/>
      <c r="AG904" s="505" t="b">
        <v>0</v>
      </c>
      <c r="AH904" s="504" t="b">
        <v>0</v>
      </c>
      <c r="AI904" s="105"/>
      <c r="AJ904" s="505" t="b">
        <v>0</v>
      </c>
      <c r="AK904" s="504" t="b">
        <v>0</v>
      </c>
      <c r="AL904" s="126"/>
      <c r="AM904" s="505" t="b">
        <v>0</v>
      </c>
      <c r="AN904" s="504" t="b">
        <v>0</v>
      </c>
      <c r="AO904" s="105"/>
      <c r="AP904" s="105"/>
      <c r="AQ904" s="105"/>
      <c r="AR904" s="105"/>
      <c r="AS904" s="105"/>
      <c r="AT904" s="105"/>
      <c r="AU904" s="105"/>
      <c r="AV904" s="105"/>
      <c r="AW904" s="105"/>
      <c r="AX904" s="105"/>
      <c r="AY904" s="105"/>
      <c r="AZ904" s="105"/>
      <c r="BA904" s="105"/>
    </row>
    <row r="905">
      <c r="A905" s="105"/>
      <c r="B905" s="105"/>
      <c r="C905" s="105"/>
      <c r="D905" s="105"/>
      <c r="E905" s="105"/>
      <c r="F905" s="105"/>
      <c r="G905" s="105"/>
      <c r="H905" s="105"/>
      <c r="I905" s="505" t="b">
        <v>0</v>
      </c>
      <c r="J905" s="507" t="b">
        <v>0</v>
      </c>
      <c r="K905" s="112"/>
      <c r="L905" s="505" t="b">
        <v>0</v>
      </c>
      <c r="M905" s="504" t="b">
        <v>0</v>
      </c>
      <c r="N905" s="112"/>
      <c r="O905" s="505" t="b">
        <v>0</v>
      </c>
      <c r="P905" s="504" t="b">
        <v>0</v>
      </c>
      <c r="Q905" s="116"/>
      <c r="R905" s="505" t="b">
        <v>0</v>
      </c>
      <c r="S905" s="504" t="b">
        <v>0</v>
      </c>
      <c r="T905" s="117"/>
      <c r="U905" s="505" t="b">
        <v>0</v>
      </c>
      <c r="V905" s="504" t="b">
        <v>0</v>
      </c>
      <c r="W905" s="118"/>
      <c r="X905" s="505" t="b">
        <v>0</v>
      </c>
      <c r="Y905" s="504" t="b">
        <v>0</v>
      </c>
      <c r="Z905" s="119"/>
      <c r="AA905" s="505" t="b">
        <v>0</v>
      </c>
      <c r="AB905" s="504" t="b">
        <v>0</v>
      </c>
      <c r="AC905" s="121"/>
      <c r="AD905" s="505" t="b">
        <v>0</v>
      </c>
      <c r="AE905" s="504" t="b">
        <v>0</v>
      </c>
      <c r="AF905" s="125"/>
      <c r="AG905" s="505" t="b">
        <v>0</v>
      </c>
      <c r="AH905" s="504" t="b">
        <v>0</v>
      </c>
      <c r="AI905" s="105"/>
      <c r="AJ905" s="505" t="b">
        <v>0</v>
      </c>
      <c r="AK905" s="504" t="b">
        <v>0</v>
      </c>
      <c r="AL905" s="126"/>
      <c r="AM905" s="505" t="b">
        <v>0</v>
      </c>
      <c r="AN905" s="504" t="b">
        <v>0</v>
      </c>
      <c r="AO905" s="105"/>
      <c r="AP905" s="105"/>
      <c r="AQ905" s="105"/>
      <c r="AR905" s="105"/>
      <c r="AS905" s="105"/>
      <c r="AT905" s="105"/>
      <c r="AU905" s="105"/>
      <c r="AV905" s="105"/>
      <c r="AW905" s="105"/>
      <c r="AX905" s="105"/>
      <c r="AY905" s="105"/>
      <c r="AZ905" s="105"/>
      <c r="BA905" s="105"/>
    </row>
    <row r="906">
      <c r="A906" s="105"/>
      <c r="B906" s="105"/>
      <c r="C906" s="105"/>
      <c r="D906" s="105"/>
      <c r="E906" s="105"/>
      <c r="F906" s="105"/>
      <c r="G906" s="105"/>
      <c r="H906" s="105"/>
      <c r="I906" s="505" t="b">
        <v>0</v>
      </c>
      <c r="J906" s="507" t="b">
        <v>0</v>
      </c>
      <c r="K906" s="112"/>
      <c r="L906" s="505" t="b">
        <v>0</v>
      </c>
      <c r="M906" s="504" t="b">
        <v>0</v>
      </c>
      <c r="N906" s="112"/>
      <c r="O906" s="505" t="b">
        <v>0</v>
      </c>
      <c r="P906" s="504" t="b">
        <v>0</v>
      </c>
      <c r="Q906" s="116"/>
      <c r="R906" s="505" t="b">
        <v>0</v>
      </c>
      <c r="S906" s="504" t="b">
        <v>0</v>
      </c>
      <c r="T906" s="117"/>
      <c r="U906" s="505" t="b">
        <v>0</v>
      </c>
      <c r="V906" s="504" t="b">
        <v>0</v>
      </c>
      <c r="W906" s="118"/>
      <c r="X906" s="505" t="b">
        <v>0</v>
      </c>
      <c r="Y906" s="504" t="b">
        <v>0</v>
      </c>
      <c r="Z906" s="119"/>
      <c r="AA906" s="505" t="b">
        <v>0</v>
      </c>
      <c r="AB906" s="504" t="b">
        <v>0</v>
      </c>
      <c r="AC906" s="121"/>
      <c r="AD906" s="505" t="b">
        <v>0</v>
      </c>
      <c r="AE906" s="504" t="b">
        <v>0</v>
      </c>
      <c r="AF906" s="125"/>
      <c r="AG906" s="505" t="b">
        <v>0</v>
      </c>
      <c r="AH906" s="504" t="b">
        <v>0</v>
      </c>
      <c r="AI906" s="105"/>
      <c r="AJ906" s="505" t="b">
        <v>0</v>
      </c>
      <c r="AK906" s="504" t="b">
        <v>0</v>
      </c>
      <c r="AL906" s="126"/>
      <c r="AM906" s="505" t="b">
        <v>0</v>
      </c>
      <c r="AN906" s="504" t="b">
        <v>0</v>
      </c>
      <c r="AO906" s="105"/>
      <c r="AP906" s="105"/>
      <c r="AQ906" s="105"/>
      <c r="AR906" s="105"/>
      <c r="AS906" s="105"/>
      <c r="AT906" s="105"/>
      <c r="AU906" s="105"/>
      <c r="AV906" s="105"/>
      <c r="AW906" s="105"/>
      <c r="AX906" s="105"/>
      <c r="AY906" s="105"/>
      <c r="AZ906" s="105"/>
      <c r="BA906" s="105"/>
    </row>
    <row r="907">
      <c r="A907" s="105"/>
      <c r="B907" s="105"/>
      <c r="C907" s="105"/>
      <c r="D907" s="105"/>
      <c r="E907" s="105"/>
      <c r="F907" s="105"/>
      <c r="G907" s="105"/>
      <c r="H907" s="105"/>
      <c r="I907" s="505" t="b">
        <v>0</v>
      </c>
      <c r="J907" s="507" t="b">
        <v>0</v>
      </c>
      <c r="K907" s="112"/>
      <c r="L907" s="505" t="b">
        <v>0</v>
      </c>
      <c r="M907" s="504" t="b">
        <v>0</v>
      </c>
      <c r="N907" s="112"/>
      <c r="O907" s="505" t="b">
        <v>0</v>
      </c>
      <c r="P907" s="504" t="b">
        <v>0</v>
      </c>
      <c r="Q907" s="116"/>
      <c r="R907" s="505" t="b">
        <v>0</v>
      </c>
      <c r="S907" s="504" t="b">
        <v>0</v>
      </c>
      <c r="T907" s="117"/>
      <c r="U907" s="505" t="b">
        <v>0</v>
      </c>
      <c r="V907" s="504" t="b">
        <v>0</v>
      </c>
      <c r="W907" s="118"/>
      <c r="X907" s="505" t="b">
        <v>0</v>
      </c>
      <c r="Y907" s="504" t="b">
        <v>0</v>
      </c>
      <c r="Z907" s="119"/>
      <c r="AA907" s="505" t="b">
        <v>0</v>
      </c>
      <c r="AB907" s="504" t="b">
        <v>0</v>
      </c>
      <c r="AC907" s="121"/>
      <c r="AD907" s="505" t="b">
        <v>0</v>
      </c>
      <c r="AE907" s="504" t="b">
        <v>0</v>
      </c>
      <c r="AF907" s="125"/>
      <c r="AG907" s="505" t="b">
        <v>0</v>
      </c>
      <c r="AH907" s="504" t="b">
        <v>0</v>
      </c>
      <c r="AI907" s="105"/>
      <c r="AJ907" s="505" t="b">
        <v>0</v>
      </c>
      <c r="AK907" s="504" t="b">
        <v>0</v>
      </c>
      <c r="AL907" s="126"/>
      <c r="AM907" s="505" t="b">
        <v>0</v>
      </c>
      <c r="AN907" s="504" t="b">
        <v>0</v>
      </c>
      <c r="AO907" s="105"/>
      <c r="AP907" s="105"/>
      <c r="AQ907" s="105"/>
      <c r="AR907" s="105"/>
      <c r="AS907" s="105"/>
      <c r="AT907" s="105"/>
      <c r="AU907" s="105"/>
      <c r="AV907" s="105"/>
      <c r="AW907" s="105"/>
      <c r="AX907" s="105"/>
      <c r="AY907" s="105"/>
      <c r="AZ907" s="105"/>
      <c r="BA907" s="105"/>
    </row>
    <row r="908">
      <c r="A908" s="105"/>
      <c r="B908" s="105"/>
      <c r="C908" s="105"/>
      <c r="D908" s="105"/>
      <c r="E908" s="105"/>
      <c r="F908" s="105"/>
      <c r="G908" s="105"/>
      <c r="H908" s="105"/>
      <c r="I908" s="505" t="b">
        <v>0</v>
      </c>
      <c r="J908" s="507" t="b">
        <v>0</v>
      </c>
      <c r="K908" s="112"/>
      <c r="L908" s="505" t="b">
        <v>0</v>
      </c>
      <c r="M908" s="504" t="b">
        <v>0</v>
      </c>
      <c r="N908" s="112"/>
      <c r="O908" s="505" t="b">
        <v>0</v>
      </c>
      <c r="P908" s="504" t="b">
        <v>0</v>
      </c>
      <c r="Q908" s="116"/>
      <c r="R908" s="505" t="b">
        <v>0</v>
      </c>
      <c r="S908" s="504" t="b">
        <v>0</v>
      </c>
      <c r="T908" s="117"/>
      <c r="U908" s="505" t="b">
        <v>0</v>
      </c>
      <c r="V908" s="504" t="b">
        <v>0</v>
      </c>
      <c r="W908" s="118"/>
      <c r="X908" s="505" t="b">
        <v>0</v>
      </c>
      <c r="Y908" s="504" t="b">
        <v>0</v>
      </c>
      <c r="Z908" s="119"/>
      <c r="AA908" s="505" t="b">
        <v>0</v>
      </c>
      <c r="AB908" s="504" t="b">
        <v>0</v>
      </c>
      <c r="AC908" s="121"/>
      <c r="AD908" s="505" t="b">
        <v>0</v>
      </c>
      <c r="AE908" s="504" t="b">
        <v>0</v>
      </c>
      <c r="AF908" s="125"/>
      <c r="AG908" s="505" t="b">
        <v>0</v>
      </c>
      <c r="AH908" s="504" t="b">
        <v>0</v>
      </c>
      <c r="AI908" s="105"/>
      <c r="AJ908" s="505" t="b">
        <v>0</v>
      </c>
      <c r="AK908" s="504" t="b">
        <v>0</v>
      </c>
      <c r="AL908" s="126"/>
      <c r="AM908" s="505" t="b">
        <v>0</v>
      </c>
      <c r="AN908" s="504" t="b">
        <v>0</v>
      </c>
      <c r="AO908" s="105"/>
      <c r="AP908" s="105"/>
      <c r="AQ908" s="105"/>
      <c r="AR908" s="105"/>
      <c r="AS908" s="105"/>
      <c r="AT908" s="105"/>
      <c r="AU908" s="105"/>
      <c r="AV908" s="105"/>
      <c r="AW908" s="105"/>
      <c r="AX908" s="105"/>
      <c r="AY908" s="105"/>
      <c r="AZ908" s="105"/>
      <c r="BA908" s="105"/>
    </row>
    <row r="909">
      <c r="A909" s="105"/>
      <c r="B909" s="105"/>
      <c r="C909" s="105"/>
      <c r="D909" s="105"/>
      <c r="E909" s="105"/>
      <c r="F909" s="105"/>
      <c r="G909" s="105"/>
      <c r="H909" s="105"/>
      <c r="I909" s="505" t="b">
        <v>0</v>
      </c>
      <c r="J909" s="507" t="b">
        <v>0</v>
      </c>
      <c r="K909" s="112"/>
      <c r="L909" s="505" t="b">
        <v>0</v>
      </c>
      <c r="M909" s="504" t="b">
        <v>0</v>
      </c>
      <c r="N909" s="112"/>
      <c r="O909" s="505" t="b">
        <v>0</v>
      </c>
      <c r="P909" s="504" t="b">
        <v>0</v>
      </c>
      <c r="Q909" s="116"/>
      <c r="R909" s="505" t="b">
        <v>0</v>
      </c>
      <c r="S909" s="504" t="b">
        <v>0</v>
      </c>
      <c r="T909" s="117"/>
      <c r="U909" s="505" t="b">
        <v>0</v>
      </c>
      <c r="V909" s="504" t="b">
        <v>0</v>
      </c>
      <c r="W909" s="118"/>
      <c r="X909" s="505" t="b">
        <v>0</v>
      </c>
      <c r="Y909" s="504" t="b">
        <v>0</v>
      </c>
      <c r="Z909" s="119"/>
      <c r="AA909" s="505" t="b">
        <v>0</v>
      </c>
      <c r="AB909" s="504" t="b">
        <v>0</v>
      </c>
      <c r="AC909" s="121"/>
      <c r="AD909" s="505" t="b">
        <v>0</v>
      </c>
      <c r="AE909" s="504" t="b">
        <v>0</v>
      </c>
      <c r="AF909" s="125"/>
      <c r="AG909" s="505" t="b">
        <v>0</v>
      </c>
      <c r="AH909" s="504" t="b">
        <v>0</v>
      </c>
      <c r="AI909" s="105"/>
      <c r="AJ909" s="505" t="b">
        <v>0</v>
      </c>
      <c r="AK909" s="504" t="b">
        <v>0</v>
      </c>
      <c r="AL909" s="126"/>
      <c r="AM909" s="505" t="b">
        <v>0</v>
      </c>
      <c r="AN909" s="504" t="b">
        <v>0</v>
      </c>
      <c r="AO909" s="105"/>
      <c r="AP909" s="105"/>
      <c r="AQ909" s="105"/>
      <c r="AR909" s="105"/>
      <c r="AS909" s="105"/>
      <c r="AT909" s="105"/>
      <c r="AU909" s="105"/>
      <c r="AV909" s="105"/>
      <c r="AW909" s="105"/>
      <c r="AX909" s="105"/>
      <c r="AY909" s="105"/>
      <c r="AZ909" s="105"/>
      <c r="BA909" s="105"/>
    </row>
    <row r="910">
      <c r="A910" s="105"/>
      <c r="B910" s="105"/>
      <c r="C910" s="105"/>
      <c r="D910" s="105"/>
      <c r="E910" s="105"/>
      <c r="F910" s="105"/>
      <c r="G910" s="105"/>
      <c r="H910" s="105"/>
      <c r="I910" s="505" t="b">
        <v>0</v>
      </c>
      <c r="J910" s="507" t="b">
        <v>0</v>
      </c>
      <c r="K910" s="112"/>
      <c r="L910" s="505" t="b">
        <v>0</v>
      </c>
      <c r="M910" s="504" t="b">
        <v>0</v>
      </c>
      <c r="N910" s="112"/>
      <c r="O910" s="505" t="b">
        <v>0</v>
      </c>
      <c r="P910" s="504" t="b">
        <v>0</v>
      </c>
      <c r="Q910" s="116"/>
      <c r="R910" s="505" t="b">
        <v>0</v>
      </c>
      <c r="S910" s="504" t="b">
        <v>0</v>
      </c>
      <c r="T910" s="117"/>
      <c r="U910" s="505" t="b">
        <v>0</v>
      </c>
      <c r="V910" s="504" t="b">
        <v>0</v>
      </c>
      <c r="W910" s="118"/>
      <c r="X910" s="505" t="b">
        <v>0</v>
      </c>
      <c r="Y910" s="504" t="b">
        <v>0</v>
      </c>
      <c r="Z910" s="119"/>
      <c r="AA910" s="505" t="b">
        <v>0</v>
      </c>
      <c r="AB910" s="504" t="b">
        <v>0</v>
      </c>
      <c r="AC910" s="121"/>
      <c r="AD910" s="505" t="b">
        <v>0</v>
      </c>
      <c r="AE910" s="504" t="b">
        <v>0</v>
      </c>
      <c r="AF910" s="125"/>
      <c r="AG910" s="505" t="b">
        <v>0</v>
      </c>
      <c r="AH910" s="504" t="b">
        <v>0</v>
      </c>
      <c r="AI910" s="105"/>
      <c r="AJ910" s="505" t="b">
        <v>0</v>
      </c>
      <c r="AK910" s="504" t="b">
        <v>0</v>
      </c>
      <c r="AL910" s="126"/>
      <c r="AM910" s="505" t="b">
        <v>0</v>
      </c>
      <c r="AN910" s="504" t="b">
        <v>0</v>
      </c>
      <c r="AO910" s="105"/>
      <c r="AP910" s="105"/>
      <c r="AQ910" s="105"/>
      <c r="AR910" s="105"/>
      <c r="AS910" s="105"/>
      <c r="AT910" s="105"/>
      <c r="AU910" s="105"/>
      <c r="AV910" s="105"/>
      <c r="AW910" s="105"/>
      <c r="AX910" s="105"/>
      <c r="AY910" s="105"/>
      <c r="AZ910" s="105"/>
      <c r="BA910" s="105"/>
    </row>
    <row r="911">
      <c r="A911" s="105"/>
      <c r="B911" s="105"/>
      <c r="C911" s="105"/>
      <c r="D911" s="105"/>
      <c r="E911" s="105"/>
      <c r="F911" s="105"/>
      <c r="G911" s="105"/>
      <c r="H911" s="105"/>
      <c r="I911" s="505" t="b">
        <v>0</v>
      </c>
      <c r="J911" s="507" t="b">
        <v>0</v>
      </c>
      <c r="K911" s="112"/>
      <c r="L911" s="505" t="b">
        <v>0</v>
      </c>
      <c r="M911" s="504" t="b">
        <v>0</v>
      </c>
      <c r="N911" s="112"/>
      <c r="O911" s="505" t="b">
        <v>0</v>
      </c>
      <c r="P911" s="504" t="b">
        <v>0</v>
      </c>
      <c r="Q911" s="116"/>
      <c r="R911" s="505" t="b">
        <v>0</v>
      </c>
      <c r="S911" s="504" t="b">
        <v>0</v>
      </c>
      <c r="T911" s="117"/>
      <c r="U911" s="505" t="b">
        <v>0</v>
      </c>
      <c r="V911" s="504" t="b">
        <v>0</v>
      </c>
      <c r="W911" s="118"/>
      <c r="X911" s="505" t="b">
        <v>0</v>
      </c>
      <c r="Y911" s="504" t="b">
        <v>0</v>
      </c>
      <c r="Z911" s="119"/>
      <c r="AA911" s="505" t="b">
        <v>0</v>
      </c>
      <c r="AB911" s="504" t="b">
        <v>0</v>
      </c>
      <c r="AC911" s="121"/>
      <c r="AD911" s="505" t="b">
        <v>0</v>
      </c>
      <c r="AE911" s="504" t="b">
        <v>0</v>
      </c>
      <c r="AF911" s="125"/>
      <c r="AG911" s="505" t="b">
        <v>0</v>
      </c>
      <c r="AH911" s="504" t="b">
        <v>0</v>
      </c>
      <c r="AI911" s="105"/>
      <c r="AJ911" s="505" t="b">
        <v>0</v>
      </c>
      <c r="AK911" s="504" t="b">
        <v>0</v>
      </c>
      <c r="AL911" s="126"/>
      <c r="AM911" s="505" t="b">
        <v>0</v>
      </c>
      <c r="AN911" s="504" t="b">
        <v>0</v>
      </c>
      <c r="AO911" s="105"/>
      <c r="AP911" s="105"/>
      <c r="AQ911" s="105"/>
      <c r="AR911" s="105"/>
      <c r="AS911" s="105"/>
      <c r="AT911" s="105"/>
      <c r="AU911" s="105"/>
      <c r="AV911" s="105"/>
      <c r="AW911" s="105"/>
      <c r="AX911" s="105"/>
      <c r="AY911" s="105"/>
      <c r="AZ911" s="105"/>
      <c r="BA911" s="105"/>
    </row>
    <row r="912">
      <c r="A912" s="105"/>
      <c r="B912" s="105"/>
      <c r="C912" s="105"/>
      <c r="D912" s="105"/>
      <c r="E912" s="105"/>
      <c r="F912" s="105"/>
      <c r="G912" s="105"/>
      <c r="H912" s="105"/>
      <c r="I912" s="505" t="b">
        <v>0</v>
      </c>
      <c r="J912" s="507" t="b">
        <v>0</v>
      </c>
      <c r="K912" s="112"/>
      <c r="L912" s="505" t="b">
        <v>0</v>
      </c>
      <c r="M912" s="504" t="b">
        <v>0</v>
      </c>
      <c r="N912" s="112"/>
      <c r="O912" s="505" t="b">
        <v>0</v>
      </c>
      <c r="P912" s="504" t="b">
        <v>0</v>
      </c>
      <c r="Q912" s="116"/>
      <c r="R912" s="505" t="b">
        <v>0</v>
      </c>
      <c r="S912" s="504" t="b">
        <v>0</v>
      </c>
      <c r="T912" s="117"/>
      <c r="U912" s="505" t="b">
        <v>0</v>
      </c>
      <c r="V912" s="504" t="b">
        <v>0</v>
      </c>
      <c r="W912" s="118"/>
      <c r="X912" s="505" t="b">
        <v>0</v>
      </c>
      <c r="Y912" s="504" t="b">
        <v>0</v>
      </c>
      <c r="Z912" s="119"/>
      <c r="AA912" s="505" t="b">
        <v>0</v>
      </c>
      <c r="AB912" s="504" t="b">
        <v>0</v>
      </c>
      <c r="AC912" s="121"/>
      <c r="AD912" s="505" t="b">
        <v>0</v>
      </c>
      <c r="AE912" s="504" t="b">
        <v>0</v>
      </c>
      <c r="AF912" s="125"/>
      <c r="AG912" s="505" t="b">
        <v>0</v>
      </c>
      <c r="AH912" s="504" t="b">
        <v>0</v>
      </c>
      <c r="AI912" s="105"/>
      <c r="AJ912" s="505" t="b">
        <v>0</v>
      </c>
      <c r="AK912" s="504" t="b">
        <v>0</v>
      </c>
      <c r="AL912" s="126"/>
      <c r="AM912" s="505" t="b">
        <v>0</v>
      </c>
      <c r="AN912" s="504" t="b">
        <v>0</v>
      </c>
      <c r="AO912" s="105"/>
      <c r="AP912" s="105"/>
      <c r="AQ912" s="105"/>
      <c r="AR912" s="105"/>
      <c r="AS912" s="105"/>
      <c r="AT912" s="105"/>
      <c r="AU912" s="105"/>
      <c r="AV912" s="105"/>
      <c r="AW912" s="105"/>
      <c r="AX912" s="105"/>
      <c r="AY912" s="105"/>
      <c r="AZ912" s="105"/>
      <c r="BA912" s="105"/>
    </row>
    <row r="913">
      <c r="A913" s="105"/>
      <c r="B913" s="105"/>
      <c r="C913" s="105"/>
      <c r="D913" s="105"/>
      <c r="E913" s="105"/>
      <c r="F913" s="105"/>
      <c r="G913" s="105"/>
      <c r="H913" s="105"/>
      <c r="I913" s="505" t="b">
        <v>0</v>
      </c>
      <c r="J913" s="507" t="b">
        <v>0</v>
      </c>
      <c r="K913" s="112"/>
      <c r="L913" s="505" t="b">
        <v>0</v>
      </c>
      <c r="M913" s="504" t="b">
        <v>0</v>
      </c>
      <c r="N913" s="112"/>
      <c r="O913" s="505" t="b">
        <v>0</v>
      </c>
      <c r="P913" s="504" t="b">
        <v>0</v>
      </c>
      <c r="Q913" s="116"/>
      <c r="R913" s="505" t="b">
        <v>0</v>
      </c>
      <c r="S913" s="504" t="b">
        <v>0</v>
      </c>
      <c r="T913" s="117"/>
      <c r="U913" s="505" t="b">
        <v>0</v>
      </c>
      <c r="V913" s="504" t="b">
        <v>0</v>
      </c>
      <c r="W913" s="118"/>
      <c r="X913" s="505" t="b">
        <v>0</v>
      </c>
      <c r="Y913" s="504" t="b">
        <v>0</v>
      </c>
      <c r="Z913" s="119"/>
      <c r="AA913" s="505" t="b">
        <v>0</v>
      </c>
      <c r="AB913" s="504" t="b">
        <v>0</v>
      </c>
      <c r="AC913" s="121"/>
      <c r="AD913" s="505" t="b">
        <v>0</v>
      </c>
      <c r="AE913" s="504" t="b">
        <v>0</v>
      </c>
      <c r="AF913" s="125"/>
      <c r="AG913" s="505" t="b">
        <v>0</v>
      </c>
      <c r="AH913" s="504" t="b">
        <v>0</v>
      </c>
      <c r="AI913" s="105"/>
      <c r="AJ913" s="505" t="b">
        <v>0</v>
      </c>
      <c r="AK913" s="504" t="b">
        <v>0</v>
      </c>
      <c r="AL913" s="126"/>
      <c r="AM913" s="505" t="b">
        <v>0</v>
      </c>
      <c r="AN913" s="504" t="b">
        <v>0</v>
      </c>
      <c r="AO913" s="105"/>
      <c r="AP913" s="105"/>
      <c r="AQ913" s="105"/>
      <c r="AR913" s="105"/>
      <c r="AS913" s="105"/>
      <c r="AT913" s="105"/>
      <c r="AU913" s="105"/>
      <c r="AV913" s="105"/>
      <c r="AW913" s="105"/>
      <c r="AX913" s="105"/>
      <c r="AY913" s="105"/>
      <c r="AZ913" s="105"/>
      <c r="BA913" s="105"/>
    </row>
    <row r="914">
      <c r="A914" s="105"/>
      <c r="B914" s="105"/>
      <c r="C914" s="105"/>
      <c r="D914" s="105"/>
      <c r="E914" s="105"/>
      <c r="F914" s="105"/>
      <c r="G914" s="105"/>
      <c r="H914" s="105"/>
      <c r="I914" s="505" t="b">
        <v>0</v>
      </c>
      <c r="J914" s="507" t="b">
        <v>0</v>
      </c>
      <c r="K914" s="112"/>
      <c r="L914" s="505" t="b">
        <v>0</v>
      </c>
      <c r="M914" s="504" t="b">
        <v>0</v>
      </c>
      <c r="N914" s="112"/>
      <c r="O914" s="505" t="b">
        <v>0</v>
      </c>
      <c r="P914" s="504" t="b">
        <v>0</v>
      </c>
      <c r="Q914" s="116"/>
      <c r="R914" s="505" t="b">
        <v>0</v>
      </c>
      <c r="S914" s="504" t="b">
        <v>0</v>
      </c>
      <c r="T914" s="117"/>
      <c r="U914" s="505" t="b">
        <v>0</v>
      </c>
      <c r="V914" s="504" t="b">
        <v>0</v>
      </c>
      <c r="W914" s="118"/>
      <c r="X914" s="505" t="b">
        <v>0</v>
      </c>
      <c r="Y914" s="504" t="b">
        <v>0</v>
      </c>
      <c r="Z914" s="119"/>
      <c r="AA914" s="505" t="b">
        <v>0</v>
      </c>
      <c r="AB914" s="504" t="b">
        <v>0</v>
      </c>
      <c r="AC914" s="121"/>
      <c r="AD914" s="505" t="b">
        <v>0</v>
      </c>
      <c r="AE914" s="504" t="b">
        <v>0</v>
      </c>
      <c r="AF914" s="125"/>
      <c r="AG914" s="505" t="b">
        <v>0</v>
      </c>
      <c r="AH914" s="504" t="b">
        <v>0</v>
      </c>
      <c r="AI914" s="105"/>
      <c r="AJ914" s="505" t="b">
        <v>0</v>
      </c>
      <c r="AK914" s="504" t="b">
        <v>0</v>
      </c>
      <c r="AL914" s="126"/>
      <c r="AM914" s="505" t="b">
        <v>0</v>
      </c>
      <c r="AN914" s="504" t="b">
        <v>0</v>
      </c>
      <c r="AO914" s="105"/>
      <c r="AP914" s="105"/>
      <c r="AQ914" s="105"/>
      <c r="AR914" s="105"/>
      <c r="AS914" s="105"/>
      <c r="AT914" s="105"/>
      <c r="AU914" s="105"/>
      <c r="AV914" s="105"/>
      <c r="AW914" s="105"/>
      <c r="AX914" s="105"/>
      <c r="AY914" s="105"/>
      <c r="AZ914" s="105"/>
      <c r="BA914" s="105"/>
    </row>
    <row r="915">
      <c r="A915" s="105"/>
      <c r="B915" s="105"/>
      <c r="C915" s="105"/>
      <c r="D915" s="105"/>
      <c r="E915" s="105"/>
      <c r="F915" s="105"/>
      <c r="G915" s="105"/>
      <c r="H915" s="105"/>
      <c r="I915" s="505" t="b">
        <v>0</v>
      </c>
      <c r="J915" s="507" t="b">
        <v>0</v>
      </c>
      <c r="K915" s="112"/>
      <c r="L915" s="505" t="b">
        <v>0</v>
      </c>
      <c r="M915" s="504" t="b">
        <v>0</v>
      </c>
      <c r="N915" s="112"/>
      <c r="O915" s="505" t="b">
        <v>0</v>
      </c>
      <c r="P915" s="504" t="b">
        <v>0</v>
      </c>
      <c r="Q915" s="116"/>
      <c r="R915" s="505" t="b">
        <v>0</v>
      </c>
      <c r="S915" s="504" t="b">
        <v>0</v>
      </c>
      <c r="T915" s="117"/>
      <c r="U915" s="505" t="b">
        <v>0</v>
      </c>
      <c r="V915" s="504" t="b">
        <v>0</v>
      </c>
      <c r="W915" s="118"/>
      <c r="X915" s="505" t="b">
        <v>0</v>
      </c>
      <c r="Y915" s="504" t="b">
        <v>0</v>
      </c>
      <c r="Z915" s="119"/>
      <c r="AA915" s="505" t="b">
        <v>0</v>
      </c>
      <c r="AB915" s="504" t="b">
        <v>0</v>
      </c>
      <c r="AC915" s="121"/>
      <c r="AD915" s="505" t="b">
        <v>0</v>
      </c>
      <c r="AE915" s="504" t="b">
        <v>0</v>
      </c>
      <c r="AF915" s="125"/>
      <c r="AG915" s="505" t="b">
        <v>0</v>
      </c>
      <c r="AH915" s="504" t="b">
        <v>0</v>
      </c>
      <c r="AI915" s="105"/>
      <c r="AJ915" s="505" t="b">
        <v>0</v>
      </c>
      <c r="AK915" s="504" t="b">
        <v>0</v>
      </c>
      <c r="AL915" s="126"/>
      <c r="AM915" s="505" t="b">
        <v>0</v>
      </c>
      <c r="AN915" s="504" t="b">
        <v>0</v>
      </c>
      <c r="AO915" s="105"/>
      <c r="AP915" s="105"/>
      <c r="AQ915" s="105"/>
      <c r="AR915" s="105"/>
      <c r="AS915" s="105"/>
      <c r="AT915" s="105"/>
      <c r="AU915" s="105"/>
      <c r="AV915" s="105"/>
      <c r="AW915" s="105"/>
      <c r="AX915" s="105"/>
      <c r="AY915" s="105"/>
      <c r="AZ915" s="105"/>
      <c r="BA915" s="105"/>
    </row>
    <row r="916">
      <c r="A916" s="105"/>
      <c r="B916" s="105"/>
      <c r="C916" s="105"/>
      <c r="D916" s="105"/>
      <c r="E916" s="105"/>
      <c r="F916" s="105"/>
      <c r="G916" s="105"/>
      <c r="H916" s="105"/>
      <c r="I916" s="505" t="b">
        <v>0</v>
      </c>
      <c r="J916" s="507" t="b">
        <v>0</v>
      </c>
      <c r="K916" s="112"/>
      <c r="L916" s="505" t="b">
        <v>0</v>
      </c>
      <c r="M916" s="504" t="b">
        <v>0</v>
      </c>
      <c r="N916" s="112"/>
      <c r="O916" s="505" t="b">
        <v>0</v>
      </c>
      <c r="P916" s="504" t="b">
        <v>0</v>
      </c>
      <c r="Q916" s="116"/>
      <c r="R916" s="505" t="b">
        <v>0</v>
      </c>
      <c r="S916" s="504" t="b">
        <v>0</v>
      </c>
      <c r="T916" s="117"/>
      <c r="U916" s="505" t="b">
        <v>0</v>
      </c>
      <c r="V916" s="504" t="b">
        <v>0</v>
      </c>
      <c r="W916" s="118"/>
      <c r="X916" s="505" t="b">
        <v>0</v>
      </c>
      <c r="Y916" s="504" t="b">
        <v>0</v>
      </c>
      <c r="Z916" s="119"/>
      <c r="AA916" s="505" t="b">
        <v>0</v>
      </c>
      <c r="AB916" s="504" t="b">
        <v>0</v>
      </c>
      <c r="AC916" s="121"/>
      <c r="AD916" s="505" t="b">
        <v>0</v>
      </c>
      <c r="AE916" s="504" t="b">
        <v>0</v>
      </c>
      <c r="AF916" s="125"/>
      <c r="AG916" s="505" t="b">
        <v>0</v>
      </c>
      <c r="AH916" s="504" t="b">
        <v>0</v>
      </c>
      <c r="AI916" s="105"/>
      <c r="AJ916" s="505" t="b">
        <v>0</v>
      </c>
      <c r="AK916" s="504" t="b">
        <v>0</v>
      </c>
      <c r="AL916" s="126"/>
      <c r="AM916" s="505" t="b">
        <v>0</v>
      </c>
      <c r="AN916" s="504" t="b">
        <v>0</v>
      </c>
      <c r="AO916" s="105"/>
      <c r="AP916" s="105"/>
      <c r="AQ916" s="105"/>
      <c r="AR916" s="105"/>
      <c r="AS916" s="105"/>
      <c r="AT916" s="105"/>
      <c r="AU916" s="105"/>
      <c r="AV916" s="105"/>
      <c r="AW916" s="105"/>
      <c r="AX916" s="105"/>
      <c r="AY916" s="105"/>
      <c r="AZ916" s="105"/>
      <c r="BA916" s="105"/>
    </row>
    <row r="917">
      <c r="A917" s="105"/>
      <c r="B917" s="105"/>
      <c r="C917" s="105"/>
      <c r="D917" s="105"/>
      <c r="E917" s="105"/>
      <c r="F917" s="105"/>
      <c r="G917" s="105"/>
      <c r="H917" s="105"/>
      <c r="I917" s="505" t="b">
        <v>0</v>
      </c>
      <c r="J917" s="507" t="b">
        <v>0</v>
      </c>
      <c r="K917" s="112"/>
      <c r="L917" s="505" t="b">
        <v>0</v>
      </c>
      <c r="M917" s="504" t="b">
        <v>0</v>
      </c>
      <c r="N917" s="112"/>
      <c r="O917" s="505" t="b">
        <v>0</v>
      </c>
      <c r="P917" s="504" t="b">
        <v>0</v>
      </c>
      <c r="Q917" s="116"/>
      <c r="R917" s="505" t="b">
        <v>0</v>
      </c>
      <c r="S917" s="504" t="b">
        <v>0</v>
      </c>
      <c r="T917" s="117"/>
      <c r="U917" s="505" t="b">
        <v>0</v>
      </c>
      <c r="V917" s="504" t="b">
        <v>0</v>
      </c>
      <c r="W917" s="118"/>
      <c r="X917" s="505" t="b">
        <v>0</v>
      </c>
      <c r="Y917" s="504" t="b">
        <v>0</v>
      </c>
      <c r="Z917" s="119"/>
      <c r="AA917" s="505" t="b">
        <v>0</v>
      </c>
      <c r="AB917" s="504" t="b">
        <v>0</v>
      </c>
      <c r="AC917" s="121"/>
      <c r="AD917" s="505" t="b">
        <v>0</v>
      </c>
      <c r="AE917" s="504" t="b">
        <v>0</v>
      </c>
      <c r="AF917" s="125"/>
      <c r="AG917" s="505" t="b">
        <v>0</v>
      </c>
      <c r="AH917" s="504" t="b">
        <v>0</v>
      </c>
      <c r="AI917" s="105"/>
      <c r="AJ917" s="505" t="b">
        <v>0</v>
      </c>
      <c r="AK917" s="504" t="b">
        <v>0</v>
      </c>
      <c r="AL917" s="126"/>
      <c r="AM917" s="505" t="b">
        <v>0</v>
      </c>
      <c r="AN917" s="504" t="b">
        <v>0</v>
      </c>
      <c r="AO917" s="105"/>
      <c r="AP917" s="105"/>
      <c r="AQ917" s="105"/>
      <c r="AR917" s="105"/>
      <c r="AS917" s="105"/>
      <c r="AT917" s="105"/>
      <c r="AU917" s="105"/>
      <c r="AV917" s="105"/>
      <c r="AW917" s="105"/>
      <c r="AX917" s="105"/>
      <c r="AY917" s="105"/>
      <c r="AZ917" s="105"/>
      <c r="BA917" s="105"/>
    </row>
    <row r="918">
      <c r="A918" s="105"/>
      <c r="B918" s="105"/>
      <c r="C918" s="105"/>
      <c r="D918" s="105"/>
      <c r="E918" s="105"/>
      <c r="F918" s="105"/>
      <c r="G918" s="105"/>
      <c r="H918" s="105"/>
      <c r="I918" s="505" t="b">
        <v>0</v>
      </c>
      <c r="J918" s="507" t="b">
        <v>0</v>
      </c>
      <c r="K918" s="112"/>
      <c r="L918" s="505" t="b">
        <v>0</v>
      </c>
      <c r="M918" s="504" t="b">
        <v>0</v>
      </c>
      <c r="N918" s="112"/>
      <c r="O918" s="505" t="b">
        <v>0</v>
      </c>
      <c r="P918" s="504" t="b">
        <v>0</v>
      </c>
      <c r="Q918" s="116"/>
      <c r="R918" s="505" t="b">
        <v>0</v>
      </c>
      <c r="S918" s="504" t="b">
        <v>0</v>
      </c>
      <c r="T918" s="117"/>
      <c r="U918" s="505" t="b">
        <v>0</v>
      </c>
      <c r="V918" s="504" t="b">
        <v>0</v>
      </c>
      <c r="W918" s="118"/>
      <c r="X918" s="505" t="b">
        <v>0</v>
      </c>
      <c r="Y918" s="504" t="b">
        <v>0</v>
      </c>
      <c r="Z918" s="119"/>
      <c r="AA918" s="505" t="b">
        <v>0</v>
      </c>
      <c r="AB918" s="504" t="b">
        <v>0</v>
      </c>
      <c r="AC918" s="121"/>
      <c r="AD918" s="505" t="b">
        <v>0</v>
      </c>
      <c r="AE918" s="504" t="b">
        <v>0</v>
      </c>
      <c r="AF918" s="125"/>
      <c r="AG918" s="505" t="b">
        <v>0</v>
      </c>
      <c r="AH918" s="504" t="b">
        <v>0</v>
      </c>
      <c r="AI918" s="105"/>
      <c r="AJ918" s="505" t="b">
        <v>0</v>
      </c>
      <c r="AK918" s="504" t="b">
        <v>0</v>
      </c>
      <c r="AL918" s="126"/>
      <c r="AM918" s="505" t="b">
        <v>0</v>
      </c>
      <c r="AN918" s="504" t="b">
        <v>0</v>
      </c>
      <c r="AO918" s="105"/>
      <c r="AP918" s="105"/>
      <c r="AQ918" s="105"/>
      <c r="AR918" s="105"/>
      <c r="AS918" s="105"/>
      <c r="AT918" s="105"/>
      <c r="AU918" s="105"/>
      <c r="AV918" s="105"/>
      <c r="AW918" s="105"/>
      <c r="AX918" s="105"/>
      <c r="AY918" s="105"/>
      <c r="AZ918" s="105"/>
      <c r="BA918" s="105"/>
    </row>
    <row r="919">
      <c r="A919" s="105"/>
      <c r="B919" s="105"/>
      <c r="C919" s="105"/>
      <c r="D919" s="105"/>
      <c r="E919" s="105"/>
      <c r="F919" s="105"/>
      <c r="G919" s="105"/>
      <c r="H919" s="105"/>
      <c r="I919" s="505" t="b">
        <v>0</v>
      </c>
      <c r="J919" s="507" t="b">
        <v>0</v>
      </c>
      <c r="K919" s="112"/>
      <c r="L919" s="505" t="b">
        <v>0</v>
      </c>
      <c r="M919" s="504" t="b">
        <v>0</v>
      </c>
      <c r="N919" s="112"/>
      <c r="O919" s="505" t="b">
        <v>0</v>
      </c>
      <c r="P919" s="504" t="b">
        <v>0</v>
      </c>
      <c r="Q919" s="116"/>
      <c r="R919" s="505" t="b">
        <v>0</v>
      </c>
      <c r="S919" s="504" t="b">
        <v>0</v>
      </c>
      <c r="T919" s="117"/>
      <c r="U919" s="505" t="b">
        <v>0</v>
      </c>
      <c r="V919" s="504" t="b">
        <v>0</v>
      </c>
      <c r="W919" s="118"/>
      <c r="X919" s="505" t="b">
        <v>0</v>
      </c>
      <c r="Y919" s="504" t="b">
        <v>0</v>
      </c>
      <c r="Z919" s="119"/>
      <c r="AA919" s="505" t="b">
        <v>0</v>
      </c>
      <c r="AB919" s="504" t="b">
        <v>0</v>
      </c>
      <c r="AC919" s="121"/>
      <c r="AD919" s="505" t="b">
        <v>0</v>
      </c>
      <c r="AE919" s="504" t="b">
        <v>0</v>
      </c>
      <c r="AF919" s="125"/>
      <c r="AG919" s="505" t="b">
        <v>0</v>
      </c>
      <c r="AH919" s="504" t="b">
        <v>0</v>
      </c>
      <c r="AI919" s="105"/>
      <c r="AJ919" s="505" t="b">
        <v>0</v>
      </c>
      <c r="AK919" s="504" t="b">
        <v>0</v>
      </c>
      <c r="AL919" s="126"/>
      <c r="AM919" s="505" t="b">
        <v>0</v>
      </c>
      <c r="AN919" s="504" t="b">
        <v>0</v>
      </c>
      <c r="AO919" s="105"/>
      <c r="AP919" s="105"/>
      <c r="AQ919" s="105"/>
      <c r="AR919" s="105"/>
      <c r="AS919" s="105"/>
      <c r="AT919" s="105"/>
      <c r="AU919" s="105"/>
      <c r="AV919" s="105"/>
      <c r="AW919" s="105"/>
      <c r="AX919" s="105"/>
      <c r="AY919" s="105"/>
      <c r="AZ919" s="105"/>
      <c r="BA919" s="105"/>
    </row>
    <row r="920">
      <c r="A920" s="105"/>
      <c r="B920" s="105"/>
      <c r="C920" s="105"/>
      <c r="D920" s="105"/>
      <c r="E920" s="105"/>
      <c r="F920" s="105"/>
      <c r="G920" s="105"/>
      <c r="H920" s="105"/>
      <c r="I920" s="505" t="b">
        <v>0</v>
      </c>
      <c r="J920" s="507" t="b">
        <v>0</v>
      </c>
      <c r="K920" s="112"/>
      <c r="L920" s="505" t="b">
        <v>0</v>
      </c>
      <c r="M920" s="504" t="b">
        <v>0</v>
      </c>
      <c r="N920" s="112"/>
      <c r="O920" s="505" t="b">
        <v>0</v>
      </c>
      <c r="P920" s="504" t="b">
        <v>0</v>
      </c>
      <c r="Q920" s="116"/>
      <c r="R920" s="505" t="b">
        <v>0</v>
      </c>
      <c r="S920" s="504" t="b">
        <v>0</v>
      </c>
      <c r="T920" s="117"/>
      <c r="U920" s="505" t="b">
        <v>0</v>
      </c>
      <c r="V920" s="504" t="b">
        <v>0</v>
      </c>
      <c r="W920" s="118"/>
      <c r="X920" s="505" t="b">
        <v>0</v>
      </c>
      <c r="Y920" s="504" t="b">
        <v>0</v>
      </c>
      <c r="Z920" s="119"/>
      <c r="AA920" s="505" t="b">
        <v>0</v>
      </c>
      <c r="AB920" s="504" t="b">
        <v>0</v>
      </c>
      <c r="AC920" s="121"/>
      <c r="AD920" s="505" t="b">
        <v>0</v>
      </c>
      <c r="AE920" s="504" t="b">
        <v>0</v>
      </c>
      <c r="AF920" s="125"/>
      <c r="AG920" s="505" t="b">
        <v>0</v>
      </c>
      <c r="AH920" s="504" t="b">
        <v>0</v>
      </c>
      <c r="AI920" s="105"/>
      <c r="AJ920" s="505" t="b">
        <v>0</v>
      </c>
      <c r="AK920" s="504" t="b">
        <v>0</v>
      </c>
      <c r="AL920" s="126"/>
      <c r="AM920" s="505" t="b">
        <v>0</v>
      </c>
      <c r="AN920" s="504" t="b">
        <v>0</v>
      </c>
      <c r="AO920" s="105"/>
      <c r="AP920" s="105"/>
      <c r="AQ920" s="105"/>
      <c r="AR920" s="105"/>
      <c r="AS920" s="105"/>
      <c r="AT920" s="105"/>
      <c r="AU920" s="105"/>
      <c r="AV920" s="105"/>
      <c r="AW920" s="105"/>
      <c r="AX920" s="105"/>
      <c r="AY920" s="105"/>
      <c r="AZ920" s="105"/>
      <c r="BA920" s="105"/>
    </row>
    <row r="921">
      <c r="A921" s="105"/>
      <c r="B921" s="105"/>
      <c r="C921" s="105"/>
      <c r="D921" s="105"/>
      <c r="E921" s="105"/>
      <c r="F921" s="105"/>
      <c r="G921" s="105"/>
      <c r="H921" s="105"/>
      <c r="I921" s="505" t="b">
        <v>0</v>
      </c>
      <c r="J921" s="507" t="b">
        <v>0</v>
      </c>
      <c r="K921" s="112"/>
      <c r="L921" s="505" t="b">
        <v>0</v>
      </c>
      <c r="M921" s="504" t="b">
        <v>0</v>
      </c>
      <c r="N921" s="112"/>
      <c r="O921" s="505" t="b">
        <v>0</v>
      </c>
      <c r="P921" s="504" t="b">
        <v>0</v>
      </c>
      <c r="Q921" s="116"/>
      <c r="R921" s="505" t="b">
        <v>0</v>
      </c>
      <c r="S921" s="504" t="b">
        <v>0</v>
      </c>
      <c r="T921" s="117"/>
      <c r="U921" s="505" t="b">
        <v>0</v>
      </c>
      <c r="V921" s="504" t="b">
        <v>0</v>
      </c>
      <c r="W921" s="118"/>
      <c r="X921" s="505" t="b">
        <v>0</v>
      </c>
      <c r="Y921" s="504" t="b">
        <v>0</v>
      </c>
      <c r="Z921" s="119"/>
      <c r="AA921" s="505" t="b">
        <v>0</v>
      </c>
      <c r="AB921" s="504" t="b">
        <v>0</v>
      </c>
      <c r="AC921" s="121"/>
      <c r="AD921" s="505" t="b">
        <v>0</v>
      </c>
      <c r="AE921" s="504" t="b">
        <v>0</v>
      </c>
      <c r="AF921" s="125"/>
      <c r="AG921" s="505" t="b">
        <v>0</v>
      </c>
      <c r="AH921" s="504" t="b">
        <v>0</v>
      </c>
      <c r="AI921" s="105"/>
      <c r="AJ921" s="505" t="b">
        <v>0</v>
      </c>
      <c r="AK921" s="504" t="b">
        <v>0</v>
      </c>
      <c r="AL921" s="126"/>
      <c r="AM921" s="505" t="b">
        <v>0</v>
      </c>
      <c r="AN921" s="504" t="b">
        <v>0</v>
      </c>
      <c r="AO921" s="105"/>
      <c r="AP921" s="105"/>
      <c r="AQ921" s="105"/>
      <c r="AR921" s="105"/>
      <c r="AS921" s="105"/>
      <c r="AT921" s="105"/>
      <c r="AU921" s="105"/>
      <c r="AV921" s="105"/>
      <c r="AW921" s="105"/>
      <c r="AX921" s="105"/>
      <c r="AY921" s="105"/>
      <c r="AZ921" s="105"/>
      <c r="BA921" s="105"/>
    </row>
    <row r="922">
      <c r="A922" s="105"/>
      <c r="B922" s="105"/>
      <c r="C922" s="105"/>
      <c r="D922" s="105"/>
      <c r="E922" s="105"/>
      <c r="F922" s="105"/>
      <c r="G922" s="105"/>
      <c r="H922" s="105"/>
      <c r="I922" s="505" t="b">
        <v>0</v>
      </c>
      <c r="J922" s="507" t="b">
        <v>0</v>
      </c>
      <c r="K922" s="112"/>
      <c r="L922" s="505" t="b">
        <v>0</v>
      </c>
      <c r="M922" s="504" t="b">
        <v>0</v>
      </c>
      <c r="N922" s="112"/>
      <c r="O922" s="505" t="b">
        <v>0</v>
      </c>
      <c r="P922" s="504" t="b">
        <v>0</v>
      </c>
      <c r="Q922" s="116"/>
      <c r="R922" s="505" t="b">
        <v>0</v>
      </c>
      <c r="S922" s="504" t="b">
        <v>0</v>
      </c>
      <c r="T922" s="117"/>
      <c r="U922" s="505" t="b">
        <v>0</v>
      </c>
      <c r="V922" s="504" t="b">
        <v>0</v>
      </c>
      <c r="W922" s="118"/>
      <c r="X922" s="505" t="b">
        <v>0</v>
      </c>
      <c r="Y922" s="504" t="b">
        <v>0</v>
      </c>
      <c r="Z922" s="119"/>
      <c r="AA922" s="505" t="b">
        <v>0</v>
      </c>
      <c r="AB922" s="504" t="b">
        <v>0</v>
      </c>
      <c r="AC922" s="121"/>
      <c r="AD922" s="505" t="b">
        <v>0</v>
      </c>
      <c r="AE922" s="504" t="b">
        <v>0</v>
      </c>
      <c r="AF922" s="125"/>
      <c r="AG922" s="505" t="b">
        <v>0</v>
      </c>
      <c r="AH922" s="504" t="b">
        <v>0</v>
      </c>
      <c r="AI922" s="105"/>
      <c r="AJ922" s="505" t="b">
        <v>0</v>
      </c>
      <c r="AK922" s="504" t="b">
        <v>0</v>
      </c>
      <c r="AL922" s="126"/>
      <c r="AM922" s="505" t="b">
        <v>0</v>
      </c>
      <c r="AN922" s="504" t="b">
        <v>0</v>
      </c>
      <c r="AO922" s="105"/>
      <c r="AP922" s="105"/>
      <c r="AQ922" s="105"/>
      <c r="AR922" s="105"/>
      <c r="AS922" s="105"/>
      <c r="AT922" s="105"/>
      <c r="AU922" s="105"/>
      <c r="AV922" s="105"/>
      <c r="AW922" s="105"/>
      <c r="AX922" s="105"/>
      <c r="AY922" s="105"/>
      <c r="AZ922" s="105"/>
      <c r="BA922" s="105"/>
    </row>
    <row r="923">
      <c r="A923" s="105"/>
      <c r="B923" s="105"/>
      <c r="C923" s="105"/>
      <c r="D923" s="105"/>
      <c r="E923" s="105"/>
      <c r="F923" s="105"/>
      <c r="G923" s="105"/>
      <c r="H923" s="105"/>
      <c r="I923" s="505" t="b">
        <v>0</v>
      </c>
      <c r="J923" s="507" t="b">
        <v>0</v>
      </c>
      <c r="K923" s="112"/>
      <c r="L923" s="505" t="b">
        <v>0</v>
      </c>
      <c r="M923" s="504" t="b">
        <v>0</v>
      </c>
      <c r="N923" s="112"/>
      <c r="O923" s="505" t="b">
        <v>0</v>
      </c>
      <c r="P923" s="504" t="b">
        <v>0</v>
      </c>
      <c r="Q923" s="116"/>
      <c r="R923" s="505" t="b">
        <v>0</v>
      </c>
      <c r="S923" s="504" t="b">
        <v>0</v>
      </c>
      <c r="T923" s="117"/>
      <c r="U923" s="505" t="b">
        <v>0</v>
      </c>
      <c r="V923" s="504" t="b">
        <v>0</v>
      </c>
      <c r="W923" s="118"/>
      <c r="X923" s="505" t="b">
        <v>0</v>
      </c>
      <c r="Y923" s="504" t="b">
        <v>0</v>
      </c>
      <c r="Z923" s="119"/>
      <c r="AA923" s="505" t="b">
        <v>0</v>
      </c>
      <c r="AB923" s="504" t="b">
        <v>0</v>
      </c>
      <c r="AC923" s="121"/>
      <c r="AD923" s="505" t="b">
        <v>0</v>
      </c>
      <c r="AE923" s="504" t="b">
        <v>0</v>
      </c>
      <c r="AF923" s="125"/>
      <c r="AG923" s="505" t="b">
        <v>0</v>
      </c>
      <c r="AH923" s="504" t="b">
        <v>0</v>
      </c>
      <c r="AI923" s="105"/>
      <c r="AJ923" s="505" t="b">
        <v>0</v>
      </c>
      <c r="AK923" s="504" t="b">
        <v>0</v>
      </c>
      <c r="AL923" s="126"/>
      <c r="AM923" s="505" t="b">
        <v>0</v>
      </c>
      <c r="AN923" s="504" t="b">
        <v>0</v>
      </c>
      <c r="AO923" s="105"/>
      <c r="AP923" s="105"/>
      <c r="AQ923" s="105"/>
      <c r="AR923" s="105"/>
      <c r="AS923" s="105"/>
      <c r="AT923" s="105"/>
      <c r="AU923" s="105"/>
      <c r="AV923" s="105"/>
      <c r="AW923" s="105"/>
      <c r="AX923" s="105"/>
      <c r="AY923" s="105"/>
      <c r="AZ923" s="105"/>
      <c r="BA923" s="105"/>
    </row>
    <row r="924">
      <c r="A924" s="105"/>
      <c r="B924" s="105"/>
      <c r="C924" s="105"/>
      <c r="D924" s="105"/>
      <c r="E924" s="105"/>
      <c r="F924" s="105"/>
      <c r="G924" s="105"/>
      <c r="H924" s="105"/>
      <c r="I924" s="505" t="b">
        <v>0</v>
      </c>
      <c r="J924" s="507" t="b">
        <v>0</v>
      </c>
      <c r="K924" s="112"/>
      <c r="L924" s="505" t="b">
        <v>0</v>
      </c>
      <c r="M924" s="504" t="b">
        <v>0</v>
      </c>
      <c r="N924" s="112"/>
      <c r="O924" s="505" t="b">
        <v>0</v>
      </c>
      <c r="P924" s="504" t="b">
        <v>0</v>
      </c>
      <c r="Q924" s="116"/>
      <c r="R924" s="505" t="b">
        <v>0</v>
      </c>
      <c r="S924" s="504" t="b">
        <v>0</v>
      </c>
      <c r="T924" s="117"/>
      <c r="U924" s="505" t="b">
        <v>0</v>
      </c>
      <c r="V924" s="504" t="b">
        <v>0</v>
      </c>
      <c r="W924" s="118"/>
      <c r="X924" s="505" t="b">
        <v>0</v>
      </c>
      <c r="Y924" s="504" t="b">
        <v>0</v>
      </c>
      <c r="Z924" s="119"/>
      <c r="AA924" s="505" t="b">
        <v>0</v>
      </c>
      <c r="AB924" s="504" t="b">
        <v>0</v>
      </c>
      <c r="AC924" s="121"/>
      <c r="AD924" s="505" t="b">
        <v>0</v>
      </c>
      <c r="AE924" s="504" t="b">
        <v>0</v>
      </c>
      <c r="AF924" s="125"/>
      <c r="AG924" s="505" t="b">
        <v>0</v>
      </c>
      <c r="AH924" s="504" t="b">
        <v>0</v>
      </c>
      <c r="AI924" s="105"/>
      <c r="AJ924" s="505" t="b">
        <v>0</v>
      </c>
      <c r="AK924" s="504" t="b">
        <v>0</v>
      </c>
      <c r="AL924" s="126"/>
      <c r="AM924" s="505" t="b">
        <v>0</v>
      </c>
      <c r="AN924" s="504" t="b">
        <v>0</v>
      </c>
      <c r="AO924" s="105"/>
      <c r="AP924" s="105"/>
      <c r="AQ924" s="105"/>
      <c r="AR924" s="105"/>
      <c r="AS924" s="105"/>
      <c r="AT924" s="105"/>
      <c r="AU924" s="105"/>
      <c r="AV924" s="105"/>
      <c r="AW924" s="105"/>
      <c r="AX924" s="105"/>
      <c r="AY924" s="105"/>
      <c r="AZ924" s="105"/>
      <c r="BA924" s="105"/>
    </row>
    <row r="925">
      <c r="A925" s="105"/>
      <c r="B925" s="105"/>
      <c r="C925" s="105"/>
      <c r="D925" s="105"/>
      <c r="E925" s="105"/>
      <c r="F925" s="105"/>
      <c r="G925" s="105"/>
      <c r="H925" s="105"/>
      <c r="I925" s="505" t="b">
        <v>0</v>
      </c>
      <c r="J925" s="507" t="b">
        <v>0</v>
      </c>
      <c r="K925" s="112"/>
      <c r="L925" s="505" t="b">
        <v>0</v>
      </c>
      <c r="M925" s="504" t="b">
        <v>0</v>
      </c>
      <c r="N925" s="112"/>
      <c r="O925" s="505" t="b">
        <v>0</v>
      </c>
      <c r="P925" s="504" t="b">
        <v>0</v>
      </c>
      <c r="Q925" s="116"/>
      <c r="R925" s="505" t="b">
        <v>0</v>
      </c>
      <c r="S925" s="504" t="b">
        <v>0</v>
      </c>
      <c r="T925" s="117"/>
      <c r="U925" s="505" t="b">
        <v>0</v>
      </c>
      <c r="V925" s="504" t="b">
        <v>0</v>
      </c>
      <c r="W925" s="118"/>
      <c r="X925" s="505" t="b">
        <v>0</v>
      </c>
      <c r="Y925" s="504" t="b">
        <v>0</v>
      </c>
      <c r="Z925" s="119"/>
      <c r="AA925" s="505" t="b">
        <v>0</v>
      </c>
      <c r="AB925" s="504" t="b">
        <v>0</v>
      </c>
      <c r="AC925" s="121"/>
      <c r="AD925" s="505" t="b">
        <v>0</v>
      </c>
      <c r="AE925" s="504" t="b">
        <v>0</v>
      </c>
      <c r="AF925" s="125"/>
      <c r="AG925" s="505" t="b">
        <v>0</v>
      </c>
      <c r="AH925" s="504" t="b">
        <v>0</v>
      </c>
      <c r="AI925" s="105"/>
      <c r="AJ925" s="505" t="b">
        <v>0</v>
      </c>
      <c r="AK925" s="504" t="b">
        <v>0</v>
      </c>
      <c r="AL925" s="126"/>
      <c r="AM925" s="505" t="b">
        <v>0</v>
      </c>
      <c r="AN925" s="504" t="b">
        <v>0</v>
      </c>
      <c r="AO925" s="105"/>
      <c r="AP925" s="105"/>
      <c r="AQ925" s="105"/>
      <c r="AR925" s="105"/>
      <c r="AS925" s="105"/>
      <c r="AT925" s="105"/>
      <c r="AU925" s="105"/>
      <c r="AV925" s="105"/>
      <c r="AW925" s="105"/>
      <c r="AX925" s="105"/>
      <c r="AY925" s="105"/>
      <c r="AZ925" s="105"/>
      <c r="BA925" s="105"/>
    </row>
    <row r="926">
      <c r="A926" s="105"/>
      <c r="B926" s="105"/>
      <c r="C926" s="105"/>
      <c r="D926" s="105"/>
      <c r="E926" s="105"/>
      <c r="F926" s="105"/>
      <c r="G926" s="105"/>
      <c r="H926" s="105"/>
      <c r="I926" s="505" t="b">
        <v>0</v>
      </c>
      <c r="J926" s="507" t="b">
        <v>0</v>
      </c>
      <c r="K926" s="112"/>
      <c r="L926" s="505" t="b">
        <v>0</v>
      </c>
      <c r="M926" s="504" t="b">
        <v>0</v>
      </c>
      <c r="N926" s="112"/>
      <c r="O926" s="505" t="b">
        <v>0</v>
      </c>
      <c r="P926" s="504" t="b">
        <v>0</v>
      </c>
      <c r="Q926" s="116"/>
      <c r="R926" s="505" t="b">
        <v>0</v>
      </c>
      <c r="S926" s="504" t="b">
        <v>0</v>
      </c>
      <c r="T926" s="117"/>
      <c r="U926" s="505" t="b">
        <v>0</v>
      </c>
      <c r="V926" s="504" t="b">
        <v>0</v>
      </c>
      <c r="W926" s="118"/>
      <c r="X926" s="505" t="b">
        <v>0</v>
      </c>
      <c r="Y926" s="504" t="b">
        <v>0</v>
      </c>
      <c r="Z926" s="119"/>
      <c r="AA926" s="505" t="b">
        <v>0</v>
      </c>
      <c r="AB926" s="504" t="b">
        <v>0</v>
      </c>
      <c r="AC926" s="121"/>
      <c r="AD926" s="505" t="b">
        <v>0</v>
      </c>
      <c r="AE926" s="504" t="b">
        <v>0</v>
      </c>
      <c r="AF926" s="125"/>
      <c r="AG926" s="505" t="b">
        <v>0</v>
      </c>
      <c r="AH926" s="504" t="b">
        <v>0</v>
      </c>
      <c r="AI926" s="105"/>
      <c r="AJ926" s="505" t="b">
        <v>0</v>
      </c>
      <c r="AK926" s="504" t="b">
        <v>0</v>
      </c>
      <c r="AL926" s="126"/>
      <c r="AM926" s="505" t="b">
        <v>0</v>
      </c>
      <c r="AN926" s="504" t="b">
        <v>0</v>
      </c>
      <c r="AO926" s="105"/>
      <c r="AP926" s="105"/>
      <c r="AQ926" s="105"/>
      <c r="AR926" s="105"/>
      <c r="AS926" s="105"/>
      <c r="AT926" s="105"/>
      <c r="AU926" s="105"/>
      <c r="AV926" s="105"/>
      <c r="AW926" s="105"/>
      <c r="AX926" s="105"/>
      <c r="AY926" s="105"/>
      <c r="AZ926" s="105"/>
      <c r="BA926" s="105"/>
    </row>
    <row r="927">
      <c r="A927" s="105"/>
      <c r="B927" s="105"/>
      <c r="C927" s="105"/>
      <c r="D927" s="105"/>
      <c r="E927" s="105"/>
      <c r="F927" s="105"/>
      <c r="G927" s="105"/>
      <c r="H927" s="105"/>
      <c r="I927" s="505" t="b">
        <v>0</v>
      </c>
      <c r="J927" s="507" t="b">
        <v>0</v>
      </c>
      <c r="K927" s="112"/>
      <c r="L927" s="505" t="b">
        <v>0</v>
      </c>
      <c r="M927" s="504" t="b">
        <v>0</v>
      </c>
      <c r="N927" s="112"/>
      <c r="O927" s="505" t="b">
        <v>0</v>
      </c>
      <c r="P927" s="504" t="b">
        <v>0</v>
      </c>
      <c r="Q927" s="116"/>
      <c r="R927" s="505" t="b">
        <v>0</v>
      </c>
      <c r="S927" s="504" t="b">
        <v>0</v>
      </c>
      <c r="T927" s="117"/>
      <c r="U927" s="505" t="b">
        <v>0</v>
      </c>
      <c r="V927" s="504" t="b">
        <v>0</v>
      </c>
      <c r="W927" s="118"/>
      <c r="X927" s="505" t="b">
        <v>0</v>
      </c>
      <c r="Y927" s="504" t="b">
        <v>0</v>
      </c>
      <c r="Z927" s="119"/>
      <c r="AA927" s="505" t="b">
        <v>0</v>
      </c>
      <c r="AB927" s="504" t="b">
        <v>0</v>
      </c>
      <c r="AC927" s="121"/>
      <c r="AD927" s="505" t="b">
        <v>0</v>
      </c>
      <c r="AE927" s="504" t="b">
        <v>0</v>
      </c>
      <c r="AF927" s="125"/>
      <c r="AG927" s="505" t="b">
        <v>0</v>
      </c>
      <c r="AH927" s="504" t="b">
        <v>0</v>
      </c>
      <c r="AI927" s="105"/>
      <c r="AJ927" s="505" t="b">
        <v>0</v>
      </c>
      <c r="AK927" s="504" t="b">
        <v>0</v>
      </c>
      <c r="AL927" s="126"/>
      <c r="AM927" s="505" t="b">
        <v>0</v>
      </c>
      <c r="AN927" s="504" t="b">
        <v>0</v>
      </c>
      <c r="AO927" s="105"/>
      <c r="AP927" s="105"/>
      <c r="AQ927" s="105"/>
      <c r="AR927" s="105"/>
      <c r="AS927" s="105"/>
      <c r="AT927" s="105"/>
      <c r="AU927" s="105"/>
      <c r="AV927" s="105"/>
      <c r="AW927" s="105"/>
      <c r="AX927" s="105"/>
      <c r="AY927" s="105"/>
      <c r="AZ927" s="105"/>
      <c r="BA927" s="105"/>
    </row>
    <row r="928">
      <c r="A928" s="105"/>
      <c r="B928" s="105"/>
      <c r="C928" s="105"/>
      <c r="D928" s="105"/>
      <c r="E928" s="105"/>
      <c r="F928" s="105"/>
      <c r="G928" s="105"/>
      <c r="H928" s="105"/>
      <c r="I928" s="505" t="b">
        <v>0</v>
      </c>
      <c r="J928" s="507" t="b">
        <v>0</v>
      </c>
      <c r="K928" s="112"/>
      <c r="L928" s="505" t="b">
        <v>0</v>
      </c>
      <c r="M928" s="504" t="b">
        <v>0</v>
      </c>
      <c r="N928" s="112"/>
      <c r="O928" s="505" t="b">
        <v>0</v>
      </c>
      <c r="P928" s="504" t="b">
        <v>0</v>
      </c>
      <c r="Q928" s="116"/>
      <c r="R928" s="505" t="b">
        <v>0</v>
      </c>
      <c r="S928" s="504" t="b">
        <v>0</v>
      </c>
      <c r="T928" s="117"/>
      <c r="U928" s="505" t="b">
        <v>0</v>
      </c>
      <c r="V928" s="504" t="b">
        <v>0</v>
      </c>
      <c r="W928" s="118"/>
      <c r="X928" s="505" t="b">
        <v>0</v>
      </c>
      <c r="Y928" s="504" t="b">
        <v>0</v>
      </c>
      <c r="Z928" s="119"/>
      <c r="AA928" s="505" t="b">
        <v>0</v>
      </c>
      <c r="AB928" s="504" t="b">
        <v>0</v>
      </c>
      <c r="AC928" s="121"/>
      <c r="AD928" s="505" t="b">
        <v>0</v>
      </c>
      <c r="AE928" s="504" t="b">
        <v>0</v>
      </c>
      <c r="AF928" s="125"/>
      <c r="AG928" s="505" t="b">
        <v>0</v>
      </c>
      <c r="AH928" s="504" t="b">
        <v>0</v>
      </c>
      <c r="AI928" s="105"/>
      <c r="AJ928" s="505" t="b">
        <v>0</v>
      </c>
      <c r="AK928" s="504" t="b">
        <v>0</v>
      </c>
      <c r="AL928" s="126"/>
      <c r="AM928" s="505" t="b">
        <v>0</v>
      </c>
      <c r="AN928" s="504" t="b">
        <v>0</v>
      </c>
      <c r="AO928" s="105"/>
      <c r="AP928" s="105"/>
      <c r="AQ928" s="105"/>
      <c r="AR928" s="105"/>
      <c r="AS928" s="105"/>
      <c r="AT928" s="105"/>
      <c r="AU928" s="105"/>
      <c r="AV928" s="105"/>
      <c r="AW928" s="105"/>
      <c r="AX928" s="105"/>
      <c r="AY928" s="105"/>
      <c r="AZ928" s="105"/>
      <c r="BA928" s="105"/>
    </row>
    <row r="929">
      <c r="A929" s="105"/>
      <c r="B929" s="105"/>
      <c r="C929" s="105"/>
      <c r="D929" s="105"/>
      <c r="E929" s="105"/>
      <c r="F929" s="105"/>
      <c r="G929" s="105"/>
      <c r="H929" s="105"/>
      <c r="I929" s="505" t="b">
        <v>0</v>
      </c>
      <c r="J929" s="507" t="b">
        <v>0</v>
      </c>
      <c r="K929" s="112"/>
      <c r="L929" s="505" t="b">
        <v>0</v>
      </c>
      <c r="M929" s="504" t="b">
        <v>0</v>
      </c>
      <c r="N929" s="112"/>
      <c r="O929" s="505" t="b">
        <v>0</v>
      </c>
      <c r="P929" s="504" t="b">
        <v>0</v>
      </c>
      <c r="Q929" s="116"/>
      <c r="R929" s="505" t="b">
        <v>0</v>
      </c>
      <c r="S929" s="504" t="b">
        <v>0</v>
      </c>
      <c r="T929" s="117"/>
      <c r="U929" s="505" t="b">
        <v>0</v>
      </c>
      <c r="V929" s="504" t="b">
        <v>0</v>
      </c>
      <c r="W929" s="118"/>
      <c r="X929" s="505" t="b">
        <v>0</v>
      </c>
      <c r="Y929" s="504" t="b">
        <v>0</v>
      </c>
      <c r="Z929" s="119"/>
      <c r="AA929" s="505" t="b">
        <v>0</v>
      </c>
      <c r="AB929" s="504" t="b">
        <v>0</v>
      </c>
      <c r="AC929" s="121"/>
      <c r="AD929" s="505" t="b">
        <v>0</v>
      </c>
      <c r="AE929" s="504" t="b">
        <v>0</v>
      </c>
      <c r="AF929" s="125"/>
      <c r="AG929" s="505" t="b">
        <v>0</v>
      </c>
      <c r="AH929" s="504" t="b">
        <v>0</v>
      </c>
      <c r="AI929" s="105"/>
      <c r="AJ929" s="505" t="b">
        <v>0</v>
      </c>
      <c r="AK929" s="504" t="b">
        <v>0</v>
      </c>
      <c r="AL929" s="126"/>
      <c r="AM929" s="505" t="b">
        <v>0</v>
      </c>
      <c r="AN929" s="504" t="b">
        <v>0</v>
      </c>
      <c r="AO929" s="105"/>
      <c r="AP929" s="105"/>
      <c r="AQ929" s="105"/>
      <c r="AR929" s="105"/>
      <c r="AS929" s="105"/>
      <c r="AT929" s="105"/>
      <c r="AU929" s="105"/>
      <c r="AV929" s="105"/>
      <c r="AW929" s="105"/>
      <c r="AX929" s="105"/>
      <c r="AY929" s="105"/>
      <c r="AZ929" s="105"/>
      <c r="BA929" s="105"/>
    </row>
    <row r="930">
      <c r="A930" s="105"/>
      <c r="B930" s="105"/>
      <c r="C930" s="105"/>
      <c r="D930" s="105"/>
      <c r="E930" s="105"/>
      <c r="F930" s="105"/>
      <c r="G930" s="105"/>
      <c r="H930" s="105"/>
      <c r="I930" s="505" t="b">
        <v>0</v>
      </c>
      <c r="J930" s="507" t="b">
        <v>0</v>
      </c>
      <c r="K930" s="112"/>
      <c r="L930" s="505" t="b">
        <v>0</v>
      </c>
      <c r="M930" s="504" t="b">
        <v>0</v>
      </c>
      <c r="N930" s="112"/>
      <c r="O930" s="505" t="b">
        <v>0</v>
      </c>
      <c r="P930" s="504" t="b">
        <v>0</v>
      </c>
      <c r="Q930" s="116"/>
      <c r="R930" s="505" t="b">
        <v>0</v>
      </c>
      <c r="S930" s="504" t="b">
        <v>0</v>
      </c>
      <c r="T930" s="117"/>
      <c r="U930" s="505" t="b">
        <v>0</v>
      </c>
      <c r="V930" s="504" t="b">
        <v>0</v>
      </c>
      <c r="W930" s="118"/>
      <c r="X930" s="505" t="b">
        <v>0</v>
      </c>
      <c r="Y930" s="504" t="b">
        <v>0</v>
      </c>
      <c r="Z930" s="119"/>
      <c r="AA930" s="505" t="b">
        <v>0</v>
      </c>
      <c r="AB930" s="504" t="b">
        <v>0</v>
      </c>
      <c r="AC930" s="121"/>
      <c r="AD930" s="505" t="b">
        <v>0</v>
      </c>
      <c r="AE930" s="504" t="b">
        <v>0</v>
      </c>
      <c r="AF930" s="125"/>
      <c r="AG930" s="505" t="b">
        <v>0</v>
      </c>
      <c r="AH930" s="504" t="b">
        <v>0</v>
      </c>
      <c r="AI930" s="105"/>
      <c r="AJ930" s="505" t="b">
        <v>0</v>
      </c>
      <c r="AK930" s="504" t="b">
        <v>0</v>
      </c>
      <c r="AL930" s="126"/>
      <c r="AM930" s="505" t="b">
        <v>0</v>
      </c>
      <c r="AN930" s="504" t="b">
        <v>0</v>
      </c>
      <c r="AO930" s="105"/>
      <c r="AP930" s="105"/>
      <c r="AQ930" s="105"/>
      <c r="AR930" s="105"/>
      <c r="AS930" s="105"/>
      <c r="AT930" s="105"/>
      <c r="AU930" s="105"/>
      <c r="AV930" s="105"/>
      <c r="AW930" s="105"/>
      <c r="AX930" s="105"/>
      <c r="AY930" s="105"/>
      <c r="AZ930" s="105"/>
      <c r="BA930" s="105"/>
    </row>
    <row r="931">
      <c r="A931" s="105"/>
      <c r="B931" s="105"/>
      <c r="C931" s="105"/>
      <c r="D931" s="105"/>
      <c r="E931" s="105"/>
      <c r="F931" s="105"/>
      <c r="G931" s="105"/>
      <c r="H931" s="105"/>
      <c r="I931" s="505" t="b">
        <v>0</v>
      </c>
      <c r="J931" s="507" t="b">
        <v>0</v>
      </c>
      <c r="K931" s="112"/>
      <c r="L931" s="505" t="b">
        <v>0</v>
      </c>
      <c r="M931" s="504" t="b">
        <v>0</v>
      </c>
      <c r="N931" s="112"/>
      <c r="O931" s="505" t="b">
        <v>0</v>
      </c>
      <c r="P931" s="504" t="b">
        <v>0</v>
      </c>
      <c r="Q931" s="116"/>
      <c r="R931" s="505" t="b">
        <v>0</v>
      </c>
      <c r="S931" s="504" t="b">
        <v>0</v>
      </c>
      <c r="T931" s="117"/>
      <c r="U931" s="505" t="b">
        <v>0</v>
      </c>
      <c r="V931" s="504" t="b">
        <v>0</v>
      </c>
      <c r="W931" s="118"/>
      <c r="X931" s="505" t="b">
        <v>0</v>
      </c>
      <c r="Y931" s="504" t="b">
        <v>0</v>
      </c>
      <c r="Z931" s="119"/>
      <c r="AA931" s="505" t="b">
        <v>0</v>
      </c>
      <c r="AB931" s="504" t="b">
        <v>0</v>
      </c>
      <c r="AC931" s="121"/>
      <c r="AD931" s="505" t="b">
        <v>0</v>
      </c>
      <c r="AE931" s="504" t="b">
        <v>0</v>
      </c>
      <c r="AF931" s="125"/>
      <c r="AG931" s="505" t="b">
        <v>0</v>
      </c>
      <c r="AH931" s="504" t="b">
        <v>0</v>
      </c>
      <c r="AI931" s="105"/>
      <c r="AJ931" s="505" t="b">
        <v>0</v>
      </c>
      <c r="AK931" s="504" t="b">
        <v>0</v>
      </c>
      <c r="AL931" s="126"/>
      <c r="AM931" s="505" t="b">
        <v>0</v>
      </c>
      <c r="AN931" s="504" t="b">
        <v>0</v>
      </c>
      <c r="AO931" s="105"/>
      <c r="AP931" s="105"/>
      <c r="AQ931" s="105"/>
      <c r="AR931" s="105"/>
      <c r="AS931" s="105"/>
      <c r="AT931" s="105"/>
      <c r="AU931" s="105"/>
      <c r="AV931" s="105"/>
      <c r="AW931" s="105"/>
      <c r="AX931" s="105"/>
      <c r="AY931" s="105"/>
      <c r="AZ931" s="105"/>
      <c r="BA931" s="105"/>
    </row>
    <row r="932">
      <c r="A932" s="105"/>
      <c r="B932" s="105"/>
      <c r="C932" s="105"/>
      <c r="D932" s="105"/>
      <c r="E932" s="105"/>
      <c r="F932" s="105"/>
      <c r="G932" s="105"/>
      <c r="H932" s="105"/>
      <c r="I932" s="505" t="b">
        <v>0</v>
      </c>
      <c r="J932" s="507" t="b">
        <v>0</v>
      </c>
      <c r="K932" s="112"/>
      <c r="L932" s="505" t="b">
        <v>0</v>
      </c>
      <c r="M932" s="504" t="b">
        <v>0</v>
      </c>
      <c r="N932" s="112"/>
      <c r="O932" s="505" t="b">
        <v>0</v>
      </c>
      <c r="P932" s="504" t="b">
        <v>0</v>
      </c>
      <c r="Q932" s="116"/>
      <c r="R932" s="505" t="b">
        <v>0</v>
      </c>
      <c r="S932" s="504" t="b">
        <v>0</v>
      </c>
      <c r="T932" s="117"/>
      <c r="U932" s="505" t="b">
        <v>0</v>
      </c>
      <c r="V932" s="504" t="b">
        <v>0</v>
      </c>
      <c r="W932" s="118"/>
      <c r="X932" s="505" t="b">
        <v>0</v>
      </c>
      <c r="Y932" s="504" t="b">
        <v>0</v>
      </c>
      <c r="Z932" s="119"/>
      <c r="AA932" s="505" t="b">
        <v>0</v>
      </c>
      <c r="AB932" s="504" t="b">
        <v>0</v>
      </c>
      <c r="AC932" s="121"/>
      <c r="AD932" s="505" t="b">
        <v>0</v>
      </c>
      <c r="AE932" s="504" t="b">
        <v>0</v>
      </c>
      <c r="AF932" s="125"/>
      <c r="AG932" s="505" t="b">
        <v>0</v>
      </c>
      <c r="AH932" s="504" t="b">
        <v>0</v>
      </c>
      <c r="AI932" s="105"/>
      <c r="AJ932" s="505" t="b">
        <v>0</v>
      </c>
      <c r="AK932" s="504" t="b">
        <v>0</v>
      </c>
      <c r="AL932" s="126"/>
      <c r="AM932" s="505" t="b">
        <v>0</v>
      </c>
      <c r="AN932" s="504" t="b">
        <v>0</v>
      </c>
      <c r="AO932" s="105"/>
      <c r="AP932" s="105"/>
      <c r="AQ932" s="105"/>
      <c r="AR932" s="105"/>
      <c r="AS932" s="105"/>
      <c r="AT932" s="105"/>
      <c r="AU932" s="105"/>
      <c r="AV932" s="105"/>
      <c r="AW932" s="105"/>
      <c r="AX932" s="105"/>
      <c r="AY932" s="105"/>
      <c r="AZ932" s="105"/>
      <c r="BA932" s="105"/>
    </row>
    <row r="933">
      <c r="A933" s="105"/>
      <c r="B933" s="105"/>
      <c r="C933" s="105"/>
      <c r="D933" s="105"/>
      <c r="E933" s="105"/>
      <c r="F933" s="105"/>
      <c r="G933" s="105"/>
      <c r="H933" s="105"/>
      <c r="I933" s="505" t="b">
        <v>0</v>
      </c>
      <c r="J933" s="507" t="b">
        <v>0</v>
      </c>
      <c r="K933" s="112"/>
      <c r="L933" s="505" t="b">
        <v>0</v>
      </c>
      <c r="M933" s="504" t="b">
        <v>0</v>
      </c>
      <c r="N933" s="112"/>
      <c r="O933" s="505" t="b">
        <v>0</v>
      </c>
      <c r="P933" s="504" t="b">
        <v>0</v>
      </c>
      <c r="Q933" s="116"/>
      <c r="R933" s="505" t="b">
        <v>0</v>
      </c>
      <c r="S933" s="504" t="b">
        <v>0</v>
      </c>
      <c r="T933" s="117"/>
      <c r="U933" s="505" t="b">
        <v>0</v>
      </c>
      <c r="V933" s="504" t="b">
        <v>0</v>
      </c>
      <c r="W933" s="118"/>
      <c r="X933" s="505" t="b">
        <v>0</v>
      </c>
      <c r="Y933" s="504" t="b">
        <v>0</v>
      </c>
      <c r="Z933" s="119"/>
      <c r="AA933" s="505" t="b">
        <v>0</v>
      </c>
      <c r="AB933" s="504" t="b">
        <v>0</v>
      </c>
      <c r="AC933" s="121"/>
      <c r="AD933" s="505" t="b">
        <v>0</v>
      </c>
      <c r="AE933" s="504" t="b">
        <v>0</v>
      </c>
      <c r="AF933" s="125"/>
      <c r="AG933" s="505" t="b">
        <v>0</v>
      </c>
      <c r="AH933" s="504" t="b">
        <v>0</v>
      </c>
      <c r="AI933" s="105"/>
      <c r="AJ933" s="505" t="b">
        <v>0</v>
      </c>
      <c r="AK933" s="504" t="b">
        <v>0</v>
      </c>
      <c r="AL933" s="126"/>
      <c r="AM933" s="505" t="b">
        <v>0</v>
      </c>
      <c r="AN933" s="504" t="b">
        <v>0</v>
      </c>
      <c r="AO933" s="105"/>
      <c r="AP933" s="105"/>
      <c r="AQ933" s="105"/>
      <c r="AR933" s="105"/>
      <c r="AS933" s="105"/>
      <c r="AT933" s="105"/>
      <c r="AU933" s="105"/>
      <c r="AV933" s="105"/>
      <c r="AW933" s="105"/>
      <c r="AX933" s="105"/>
      <c r="AY933" s="105"/>
      <c r="AZ933" s="105"/>
      <c r="BA933" s="105"/>
    </row>
    <row r="934">
      <c r="A934" s="105"/>
      <c r="B934" s="105"/>
      <c r="C934" s="105"/>
      <c r="D934" s="105"/>
      <c r="E934" s="105"/>
      <c r="F934" s="105"/>
      <c r="G934" s="105"/>
      <c r="H934" s="105"/>
      <c r="I934" s="505" t="b">
        <v>0</v>
      </c>
      <c r="J934" s="507" t="b">
        <v>0</v>
      </c>
      <c r="K934" s="112"/>
      <c r="L934" s="505" t="b">
        <v>0</v>
      </c>
      <c r="M934" s="504" t="b">
        <v>0</v>
      </c>
      <c r="N934" s="112"/>
      <c r="O934" s="505" t="b">
        <v>0</v>
      </c>
      <c r="P934" s="504" t="b">
        <v>0</v>
      </c>
      <c r="Q934" s="116"/>
      <c r="R934" s="505" t="b">
        <v>0</v>
      </c>
      <c r="S934" s="504" t="b">
        <v>0</v>
      </c>
      <c r="T934" s="117"/>
      <c r="U934" s="505" t="b">
        <v>0</v>
      </c>
      <c r="V934" s="504" t="b">
        <v>0</v>
      </c>
      <c r="W934" s="118"/>
      <c r="X934" s="505" t="b">
        <v>0</v>
      </c>
      <c r="Y934" s="504" t="b">
        <v>0</v>
      </c>
      <c r="Z934" s="119"/>
      <c r="AA934" s="505" t="b">
        <v>0</v>
      </c>
      <c r="AB934" s="504" t="b">
        <v>0</v>
      </c>
      <c r="AC934" s="121"/>
      <c r="AD934" s="505" t="b">
        <v>0</v>
      </c>
      <c r="AE934" s="504" t="b">
        <v>0</v>
      </c>
      <c r="AF934" s="125"/>
      <c r="AG934" s="505" t="b">
        <v>0</v>
      </c>
      <c r="AH934" s="504" t="b">
        <v>0</v>
      </c>
      <c r="AI934" s="105"/>
      <c r="AJ934" s="505" t="b">
        <v>0</v>
      </c>
      <c r="AK934" s="504" t="b">
        <v>0</v>
      </c>
      <c r="AL934" s="126"/>
      <c r="AM934" s="505" t="b">
        <v>0</v>
      </c>
      <c r="AN934" s="504" t="b">
        <v>0</v>
      </c>
      <c r="AO934" s="105"/>
      <c r="AP934" s="105"/>
      <c r="AQ934" s="105"/>
      <c r="AR934" s="105"/>
      <c r="AS934" s="105"/>
      <c r="AT934" s="105"/>
      <c r="AU934" s="105"/>
      <c r="AV934" s="105"/>
      <c r="AW934" s="105"/>
      <c r="AX934" s="105"/>
      <c r="AY934" s="105"/>
      <c r="AZ934" s="105"/>
      <c r="BA934" s="105"/>
    </row>
    <row r="935">
      <c r="A935" s="105"/>
      <c r="B935" s="105"/>
      <c r="C935" s="105"/>
      <c r="D935" s="105"/>
      <c r="E935" s="105"/>
      <c r="F935" s="105"/>
      <c r="G935" s="105"/>
      <c r="H935" s="105"/>
      <c r="I935" s="505" t="b">
        <v>0</v>
      </c>
      <c r="J935" s="507" t="b">
        <v>0</v>
      </c>
      <c r="K935" s="112"/>
      <c r="L935" s="505" t="b">
        <v>0</v>
      </c>
      <c r="M935" s="504" t="b">
        <v>0</v>
      </c>
      <c r="N935" s="112"/>
      <c r="O935" s="505" t="b">
        <v>0</v>
      </c>
      <c r="P935" s="504" t="b">
        <v>0</v>
      </c>
      <c r="Q935" s="116"/>
      <c r="R935" s="505" t="b">
        <v>0</v>
      </c>
      <c r="S935" s="504" t="b">
        <v>0</v>
      </c>
      <c r="T935" s="117"/>
      <c r="U935" s="505" t="b">
        <v>0</v>
      </c>
      <c r="V935" s="504" t="b">
        <v>0</v>
      </c>
      <c r="W935" s="118"/>
      <c r="X935" s="505" t="b">
        <v>0</v>
      </c>
      <c r="Y935" s="504" t="b">
        <v>0</v>
      </c>
      <c r="Z935" s="119"/>
      <c r="AA935" s="505" t="b">
        <v>0</v>
      </c>
      <c r="AB935" s="504" t="b">
        <v>0</v>
      </c>
      <c r="AC935" s="121"/>
      <c r="AD935" s="505" t="b">
        <v>0</v>
      </c>
      <c r="AE935" s="504" t="b">
        <v>0</v>
      </c>
      <c r="AF935" s="125"/>
      <c r="AG935" s="505" t="b">
        <v>0</v>
      </c>
      <c r="AH935" s="504" t="b">
        <v>0</v>
      </c>
      <c r="AI935" s="105"/>
      <c r="AJ935" s="505" t="b">
        <v>0</v>
      </c>
      <c r="AK935" s="504" t="b">
        <v>0</v>
      </c>
      <c r="AL935" s="126"/>
      <c r="AM935" s="505" t="b">
        <v>0</v>
      </c>
      <c r="AN935" s="504" t="b">
        <v>0</v>
      </c>
      <c r="AO935" s="105"/>
      <c r="AP935" s="105"/>
      <c r="AQ935" s="105"/>
      <c r="AR935" s="105"/>
      <c r="AS935" s="105"/>
      <c r="AT935" s="105"/>
      <c r="AU935" s="105"/>
      <c r="AV935" s="105"/>
      <c r="AW935" s="105"/>
      <c r="AX935" s="105"/>
      <c r="AY935" s="105"/>
      <c r="AZ935" s="105"/>
      <c r="BA935" s="105"/>
    </row>
    <row r="936">
      <c r="A936" s="105"/>
      <c r="B936" s="105"/>
      <c r="C936" s="105"/>
      <c r="D936" s="105"/>
      <c r="E936" s="105"/>
      <c r="F936" s="105"/>
      <c r="G936" s="105"/>
      <c r="H936" s="105"/>
      <c r="I936" s="505" t="b">
        <v>0</v>
      </c>
      <c r="J936" s="507" t="b">
        <v>0</v>
      </c>
      <c r="K936" s="112"/>
      <c r="L936" s="505" t="b">
        <v>0</v>
      </c>
      <c r="M936" s="504" t="b">
        <v>0</v>
      </c>
      <c r="N936" s="112"/>
      <c r="O936" s="505" t="b">
        <v>0</v>
      </c>
      <c r="P936" s="504" t="b">
        <v>0</v>
      </c>
      <c r="Q936" s="116"/>
      <c r="R936" s="505" t="b">
        <v>0</v>
      </c>
      <c r="S936" s="504" t="b">
        <v>0</v>
      </c>
      <c r="T936" s="117"/>
      <c r="U936" s="505" t="b">
        <v>0</v>
      </c>
      <c r="V936" s="504" t="b">
        <v>0</v>
      </c>
      <c r="W936" s="118"/>
      <c r="X936" s="505" t="b">
        <v>0</v>
      </c>
      <c r="Y936" s="504" t="b">
        <v>0</v>
      </c>
      <c r="Z936" s="119"/>
      <c r="AA936" s="505" t="b">
        <v>0</v>
      </c>
      <c r="AB936" s="504" t="b">
        <v>0</v>
      </c>
      <c r="AC936" s="121"/>
      <c r="AD936" s="505" t="b">
        <v>0</v>
      </c>
      <c r="AE936" s="504" t="b">
        <v>0</v>
      </c>
      <c r="AF936" s="125"/>
      <c r="AG936" s="505" t="b">
        <v>0</v>
      </c>
      <c r="AH936" s="504" t="b">
        <v>0</v>
      </c>
      <c r="AI936" s="105"/>
      <c r="AJ936" s="505" t="b">
        <v>0</v>
      </c>
      <c r="AK936" s="504" t="b">
        <v>0</v>
      </c>
      <c r="AL936" s="126"/>
      <c r="AM936" s="505" t="b">
        <v>0</v>
      </c>
      <c r="AN936" s="504" t="b">
        <v>0</v>
      </c>
      <c r="AO936" s="105"/>
      <c r="AP936" s="105"/>
      <c r="AQ936" s="105"/>
      <c r="AR936" s="105"/>
      <c r="AS936" s="105"/>
      <c r="AT936" s="105"/>
      <c r="AU936" s="105"/>
      <c r="AV936" s="105"/>
      <c r="AW936" s="105"/>
      <c r="AX936" s="105"/>
      <c r="AY936" s="105"/>
      <c r="AZ936" s="105"/>
      <c r="BA936" s="105"/>
    </row>
    <row r="937">
      <c r="A937" s="105"/>
      <c r="B937" s="105"/>
      <c r="C937" s="105"/>
      <c r="D937" s="105"/>
      <c r="E937" s="105"/>
      <c r="F937" s="105"/>
      <c r="G937" s="105"/>
      <c r="H937" s="105"/>
      <c r="I937" s="505" t="b">
        <v>0</v>
      </c>
      <c r="J937" s="507" t="b">
        <v>0</v>
      </c>
      <c r="K937" s="112"/>
      <c r="L937" s="505" t="b">
        <v>0</v>
      </c>
      <c r="M937" s="504" t="b">
        <v>0</v>
      </c>
      <c r="N937" s="112"/>
      <c r="O937" s="505" t="b">
        <v>0</v>
      </c>
      <c r="P937" s="504" t="b">
        <v>0</v>
      </c>
      <c r="Q937" s="116"/>
      <c r="R937" s="505" t="b">
        <v>0</v>
      </c>
      <c r="S937" s="504" t="b">
        <v>0</v>
      </c>
      <c r="T937" s="117"/>
      <c r="U937" s="505" t="b">
        <v>0</v>
      </c>
      <c r="V937" s="504" t="b">
        <v>0</v>
      </c>
      <c r="W937" s="118"/>
      <c r="X937" s="505" t="b">
        <v>0</v>
      </c>
      <c r="Y937" s="504" t="b">
        <v>0</v>
      </c>
      <c r="Z937" s="119"/>
      <c r="AA937" s="505" t="b">
        <v>0</v>
      </c>
      <c r="AB937" s="504" t="b">
        <v>0</v>
      </c>
      <c r="AC937" s="121"/>
      <c r="AD937" s="505" t="b">
        <v>0</v>
      </c>
      <c r="AE937" s="504" t="b">
        <v>0</v>
      </c>
      <c r="AF937" s="125"/>
      <c r="AG937" s="505" t="b">
        <v>0</v>
      </c>
      <c r="AH937" s="504" t="b">
        <v>0</v>
      </c>
      <c r="AI937" s="105"/>
      <c r="AJ937" s="505" t="b">
        <v>0</v>
      </c>
      <c r="AK937" s="504" t="b">
        <v>0</v>
      </c>
      <c r="AL937" s="126"/>
      <c r="AM937" s="505" t="b">
        <v>0</v>
      </c>
      <c r="AN937" s="504" t="b">
        <v>0</v>
      </c>
      <c r="AO937" s="105"/>
      <c r="AP937" s="105"/>
      <c r="AQ937" s="105"/>
      <c r="AR937" s="105"/>
      <c r="AS937" s="105"/>
      <c r="AT937" s="105"/>
      <c r="AU937" s="105"/>
      <c r="AV937" s="105"/>
      <c r="AW937" s="105"/>
      <c r="AX937" s="105"/>
      <c r="AY937" s="105"/>
      <c r="AZ937" s="105"/>
      <c r="BA937" s="105"/>
    </row>
    <row r="938">
      <c r="A938" s="105"/>
      <c r="B938" s="105"/>
      <c r="C938" s="105"/>
      <c r="D938" s="105"/>
      <c r="E938" s="105"/>
      <c r="F938" s="105"/>
      <c r="G938" s="105"/>
      <c r="H938" s="105"/>
      <c r="I938" s="505" t="b">
        <v>0</v>
      </c>
      <c r="J938" s="507" t="b">
        <v>0</v>
      </c>
      <c r="K938" s="112"/>
      <c r="L938" s="505" t="b">
        <v>0</v>
      </c>
      <c r="M938" s="504" t="b">
        <v>0</v>
      </c>
      <c r="N938" s="112"/>
      <c r="O938" s="505" t="b">
        <v>0</v>
      </c>
      <c r="P938" s="504" t="b">
        <v>0</v>
      </c>
      <c r="Q938" s="116"/>
      <c r="R938" s="505" t="b">
        <v>0</v>
      </c>
      <c r="S938" s="504" t="b">
        <v>0</v>
      </c>
      <c r="T938" s="117"/>
      <c r="U938" s="505" t="b">
        <v>0</v>
      </c>
      <c r="V938" s="504" t="b">
        <v>0</v>
      </c>
      <c r="W938" s="118"/>
      <c r="X938" s="505" t="b">
        <v>0</v>
      </c>
      <c r="Y938" s="504" t="b">
        <v>0</v>
      </c>
      <c r="Z938" s="119"/>
      <c r="AA938" s="505" t="b">
        <v>0</v>
      </c>
      <c r="AB938" s="504" t="b">
        <v>0</v>
      </c>
      <c r="AC938" s="121"/>
      <c r="AD938" s="505" t="b">
        <v>0</v>
      </c>
      <c r="AE938" s="504" t="b">
        <v>0</v>
      </c>
      <c r="AF938" s="125"/>
      <c r="AG938" s="505" t="b">
        <v>0</v>
      </c>
      <c r="AH938" s="504" t="b">
        <v>0</v>
      </c>
      <c r="AI938" s="105"/>
      <c r="AJ938" s="505" t="b">
        <v>0</v>
      </c>
      <c r="AK938" s="504" t="b">
        <v>0</v>
      </c>
      <c r="AL938" s="126"/>
      <c r="AM938" s="505" t="b">
        <v>0</v>
      </c>
      <c r="AN938" s="504" t="b">
        <v>0</v>
      </c>
      <c r="AO938" s="105"/>
      <c r="AP938" s="105"/>
      <c r="AQ938" s="105"/>
      <c r="AR938" s="105"/>
      <c r="AS938" s="105"/>
      <c r="AT938" s="105"/>
      <c r="AU938" s="105"/>
      <c r="AV938" s="105"/>
      <c r="AW938" s="105"/>
      <c r="AX938" s="105"/>
      <c r="AY938" s="105"/>
      <c r="AZ938" s="105"/>
      <c r="BA938" s="105"/>
    </row>
    <row r="939">
      <c r="A939" s="105"/>
      <c r="B939" s="105"/>
      <c r="C939" s="105"/>
      <c r="D939" s="105"/>
      <c r="E939" s="105"/>
      <c r="F939" s="105"/>
      <c r="G939" s="105"/>
      <c r="H939" s="105"/>
      <c r="I939" s="505" t="b">
        <v>0</v>
      </c>
      <c r="J939" s="507" t="b">
        <v>0</v>
      </c>
      <c r="K939" s="112"/>
      <c r="L939" s="505" t="b">
        <v>0</v>
      </c>
      <c r="M939" s="504" t="b">
        <v>0</v>
      </c>
      <c r="N939" s="112"/>
      <c r="O939" s="505" t="b">
        <v>0</v>
      </c>
      <c r="P939" s="504" t="b">
        <v>0</v>
      </c>
      <c r="Q939" s="116"/>
      <c r="R939" s="505" t="b">
        <v>0</v>
      </c>
      <c r="S939" s="504" t="b">
        <v>0</v>
      </c>
      <c r="T939" s="117"/>
      <c r="U939" s="505" t="b">
        <v>0</v>
      </c>
      <c r="V939" s="504" t="b">
        <v>0</v>
      </c>
      <c r="W939" s="118"/>
      <c r="X939" s="505" t="b">
        <v>0</v>
      </c>
      <c r="Y939" s="504" t="b">
        <v>0</v>
      </c>
      <c r="Z939" s="119"/>
      <c r="AA939" s="505" t="b">
        <v>0</v>
      </c>
      <c r="AB939" s="504" t="b">
        <v>0</v>
      </c>
      <c r="AC939" s="121"/>
      <c r="AD939" s="505" t="b">
        <v>0</v>
      </c>
      <c r="AE939" s="504" t="b">
        <v>0</v>
      </c>
      <c r="AF939" s="125"/>
      <c r="AG939" s="505" t="b">
        <v>0</v>
      </c>
      <c r="AH939" s="504" t="b">
        <v>0</v>
      </c>
      <c r="AI939" s="105"/>
      <c r="AJ939" s="505" t="b">
        <v>0</v>
      </c>
      <c r="AK939" s="504" t="b">
        <v>0</v>
      </c>
      <c r="AL939" s="126"/>
      <c r="AM939" s="505" t="b">
        <v>0</v>
      </c>
      <c r="AN939" s="504" t="b">
        <v>0</v>
      </c>
      <c r="AO939" s="105"/>
      <c r="AP939" s="105"/>
      <c r="AQ939" s="105"/>
      <c r="AR939" s="105"/>
      <c r="AS939" s="105"/>
      <c r="AT939" s="105"/>
      <c r="AU939" s="105"/>
      <c r="AV939" s="105"/>
      <c r="AW939" s="105"/>
      <c r="AX939" s="105"/>
      <c r="AY939" s="105"/>
      <c r="AZ939" s="105"/>
      <c r="BA939" s="105"/>
    </row>
    <row r="940">
      <c r="A940" s="105"/>
      <c r="B940" s="105"/>
      <c r="C940" s="105"/>
      <c r="D940" s="105"/>
      <c r="E940" s="105"/>
      <c r="F940" s="105"/>
      <c r="G940" s="105"/>
      <c r="H940" s="105"/>
      <c r="I940" s="505" t="b">
        <v>0</v>
      </c>
      <c r="J940" s="507" t="b">
        <v>0</v>
      </c>
      <c r="K940" s="112"/>
      <c r="L940" s="505" t="b">
        <v>0</v>
      </c>
      <c r="M940" s="504" t="b">
        <v>0</v>
      </c>
      <c r="N940" s="112"/>
      <c r="O940" s="505" t="b">
        <v>0</v>
      </c>
      <c r="P940" s="504" t="b">
        <v>0</v>
      </c>
      <c r="Q940" s="116"/>
      <c r="R940" s="505" t="b">
        <v>0</v>
      </c>
      <c r="S940" s="504" t="b">
        <v>0</v>
      </c>
      <c r="T940" s="117"/>
      <c r="U940" s="505" t="b">
        <v>0</v>
      </c>
      <c r="V940" s="504" t="b">
        <v>0</v>
      </c>
      <c r="W940" s="118"/>
      <c r="X940" s="505" t="b">
        <v>0</v>
      </c>
      <c r="Y940" s="504" t="b">
        <v>0</v>
      </c>
      <c r="Z940" s="119"/>
      <c r="AA940" s="505" t="b">
        <v>0</v>
      </c>
      <c r="AB940" s="504" t="b">
        <v>0</v>
      </c>
      <c r="AC940" s="121"/>
      <c r="AD940" s="505" t="b">
        <v>0</v>
      </c>
      <c r="AE940" s="504" t="b">
        <v>0</v>
      </c>
      <c r="AF940" s="125"/>
      <c r="AG940" s="505" t="b">
        <v>0</v>
      </c>
      <c r="AH940" s="504" t="b">
        <v>0</v>
      </c>
      <c r="AI940" s="105"/>
      <c r="AJ940" s="505" t="b">
        <v>0</v>
      </c>
      <c r="AK940" s="504" t="b">
        <v>0</v>
      </c>
      <c r="AL940" s="126"/>
      <c r="AM940" s="505" t="b">
        <v>0</v>
      </c>
      <c r="AN940" s="504" t="b">
        <v>0</v>
      </c>
      <c r="AO940" s="105"/>
      <c r="AP940" s="105"/>
      <c r="AQ940" s="105"/>
      <c r="AR940" s="105"/>
      <c r="AS940" s="105"/>
      <c r="AT940" s="105"/>
      <c r="AU940" s="105"/>
      <c r="AV940" s="105"/>
      <c r="AW940" s="105"/>
      <c r="AX940" s="105"/>
      <c r="AY940" s="105"/>
      <c r="AZ940" s="105"/>
      <c r="BA940" s="105"/>
    </row>
    <row r="941">
      <c r="A941" s="105"/>
      <c r="B941" s="105"/>
      <c r="C941" s="105"/>
      <c r="D941" s="105"/>
      <c r="E941" s="105"/>
      <c r="F941" s="105"/>
      <c r="G941" s="105"/>
      <c r="H941" s="105"/>
      <c r="I941" s="505" t="b">
        <v>0</v>
      </c>
      <c r="J941" s="507" t="b">
        <v>0</v>
      </c>
      <c r="K941" s="112"/>
      <c r="L941" s="505" t="b">
        <v>0</v>
      </c>
      <c r="M941" s="504" t="b">
        <v>0</v>
      </c>
      <c r="N941" s="112"/>
      <c r="O941" s="505" t="b">
        <v>0</v>
      </c>
      <c r="P941" s="504" t="b">
        <v>0</v>
      </c>
      <c r="Q941" s="116"/>
      <c r="R941" s="505" t="b">
        <v>0</v>
      </c>
      <c r="S941" s="504" t="b">
        <v>0</v>
      </c>
      <c r="T941" s="117"/>
      <c r="U941" s="505" t="b">
        <v>0</v>
      </c>
      <c r="V941" s="504" t="b">
        <v>0</v>
      </c>
      <c r="W941" s="118"/>
      <c r="X941" s="505" t="b">
        <v>0</v>
      </c>
      <c r="Y941" s="504" t="b">
        <v>0</v>
      </c>
      <c r="Z941" s="119"/>
      <c r="AA941" s="505" t="b">
        <v>0</v>
      </c>
      <c r="AB941" s="504" t="b">
        <v>0</v>
      </c>
      <c r="AC941" s="121"/>
      <c r="AD941" s="505" t="b">
        <v>0</v>
      </c>
      <c r="AE941" s="504" t="b">
        <v>0</v>
      </c>
      <c r="AF941" s="125"/>
      <c r="AG941" s="505" t="b">
        <v>0</v>
      </c>
      <c r="AH941" s="504" t="b">
        <v>0</v>
      </c>
      <c r="AI941" s="105"/>
      <c r="AJ941" s="505" t="b">
        <v>0</v>
      </c>
      <c r="AK941" s="504" t="b">
        <v>0</v>
      </c>
      <c r="AL941" s="126"/>
      <c r="AM941" s="505" t="b">
        <v>0</v>
      </c>
      <c r="AN941" s="504" t="b">
        <v>0</v>
      </c>
      <c r="AO941" s="105"/>
      <c r="AP941" s="105"/>
      <c r="AQ941" s="105"/>
      <c r="AR941" s="105"/>
      <c r="AS941" s="105"/>
      <c r="AT941" s="105"/>
      <c r="AU941" s="105"/>
      <c r="AV941" s="105"/>
      <c r="AW941" s="105"/>
      <c r="AX941" s="105"/>
      <c r="AY941" s="105"/>
      <c r="AZ941" s="105"/>
      <c r="BA941" s="105"/>
    </row>
    <row r="942">
      <c r="A942" s="105"/>
      <c r="B942" s="105"/>
      <c r="C942" s="105"/>
      <c r="D942" s="105"/>
      <c r="E942" s="105"/>
      <c r="F942" s="105"/>
      <c r="G942" s="105"/>
      <c r="H942" s="105"/>
      <c r="I942" s="505" t="b">
        <v>0</v>
      </c>
      <c r="J942" s="507" t="b">
        <v>0</v>
      </c>
      <c r="K942" s="112"/>
      <c r="L942" s="505" t="b">
        <v>0</v>
      </c>
      <c r="M942" s="504" t="b">
        <v>0</v>
      </c>
      <c r="N942" s="112"/>
      <c r="O942" s="505" t="b">
        <v>0</v>
      </c>
      <c r="P942" s="504" t="b">
        <v>0</v>
      </c>
      <c r="Q942" s="116"/>
      <c r="R942" s="505" t="b">
        <v>0</v>
      </c>
      <c r="S942" s="504" t="b">
        <v>0</v>
      </c>
      <c r="T942" s="117"/>
      <c r="U942" s="505" t="b">
        <v>0</v>
      </c>
      <c r="V942" s="504" t="b">
        <v>0</v>
      </c>
      <c r="W942" s="118"/>
      <c r="X942" s="505" t="b">
        <v>0</v>
      </c>
      <c r="Y942" s="504" t="b">
        <v>0</v>
      </c>
      <c r="Z942" s="119"/>
      <c r="AA942" s="505" t="b">
        <v>0</v>
      </c>
      <c r="AB942" s="504" t="b">
        <v>0</v>
      </c>
      <c r="AC942" s="121"/>
      <c r="AD942" s="505" t="b">
        <v>0</v>
      </c>
      <c r="AE942" s="504" t="b">
        <v>0</v>
      </c>
      <c r="AF942" s="125"/>
      <c r="AG942" s="505" t="b">
        <v>0</v>
      </c>
      <c r="AH942" s="504" t="b">
        <v>0</v>
      </c>
      <c r="AI942" s="105"/>
      <c r="AJ942" s="505" t="b">
        <v>0</v>
      </c>
      <c r="AK942" s="504" t="b">
        <v>0</v>
      </c>
      <c r="AL942" s="126"/>
      <c r="AM942" s="505" t="b">
        <v>0</v>
      </c>
      <c r="AN942" s="504" t="b">
        <v>0</v>
      </c>
      <c r="AO942" s="105"/>
      <c r="AP942" s="105"/>
      <c r="AQ942" s="105"/>
      <c r="AR942" s="105"/>
      <c r="AS942" s="105"/>
      <c r="AT942" s="105"/>
      <c r="AU942" s="105"/>
      <c r="AV942" s="105"/>
      <c r="AW942" s="105"/>
      <c r="AX942" s="105"/>
      <c r="AY942" s="105"/>
      <c r="AZ942" s="105"/>
      <c r="BA942" s="105"/>
    </row>
    <row r="943">
      <c r="A943" s="105"/>
      <c r="B943" s="105"/>
      <c r="C943" s="105"/>
      <c r="D943" s="105"/>
      <c r="E943" s="105"/>
      <c r="F943" s="105"/>
      <c r="G943" s="105"/>
      <c r="H943" s="105"/>
      <c r="I943" s="505" t="b">
        <v>0</v>
      </c>
      <c r="J943" s="507" t="b">
        <v>0</v>
      </c>
      <c r="K943" s="112"/>
      <c r="L943" s="505" t="b">
        <v>0</v>
      </c>
      <c r="M943" s="504" t="b">
        <v>0</v>
      </c>
      <c r="N943" s="112"/>
      <c r="O943" s="505" t="b">
        <v>0</v>
      </c>
      <c r="P943" s="504" t="b">
        <v>0</v>
      </c>
      <c r="Q943" s="116"/>
      <c r="R943" s="505" t="b">
        <v>0</v>
      </c>
      <c r="S943" s="504" t="b">
        <v>0</v>
      </c>
      <c r="T943" s="117"/>
      <c r="U943" s="505" t="b">
        <v>0</v>
      </c>
      <c r="V943" s="504" t="b">
        <v>0</v>
      </c>
      <c r="W943" s="118"/>
      <c r="X943" s="505" t="b">
        <v>0</v>
      </c>
      <c r="Y943" s="504" t="b">
        <v>0</v>
      </c>
      <c r="Z943" s="119"/>
      <c r="AA943" s="505" t="b">
        <v>0</v>
      </c>
      <c r="AB943" s="504" t="b">
        <v>0</v>
      </c>
      <c r="AC943" s="121"/>
      <c r="AD943" s="505" t="b">
        <v>0</v>
      </c>
      <c r="AE943" s="504" t="b">
        <v>0</v>
      </c>
      <c r="AF943" s="125"/>
      <c r="AG943" s="505" t="b">
        <v>0</v>
      </c>
      <c r="AH943" s="504" t="b">
        <v>0</v>
      </c>
      <c r="AI943" s="105"/>
      <c r="AJ943" s="505" t="b">
        <v>0</v>
      </c>
      <c r="AK943" s="504" t="b">
        <v>0</v>
      </c>
      <c r="AL943" s="126"/>
      <c r="AM943" s="505" t="b">
        <v>0</v>
      </c>
      <c r="AN943" s="504" t="b">
        <v>0</v>
      </c>
      <c r="AO943" s="105"/>
      <c r="AP943" s="105"/>
      <c r="AQ943" s="105"/>
      <c r="AR943" s="105"/>
      <c r="AS943" s="105"/>
      <c r="AT943" s="105"/>
      <c r="AU943" s="105"/>
      <c r="AV943" s="105"/>
      <c r="AW943" s="105"/>
      <c r="AX943" s="105"/>
      <c r="AY943" s="105"/>
      <c r="AZ943" s="105"/>
      <c r="BA943" s="105"/>
    </row>
    <row r="944">
      <c r="A944" s="105"/>
      <c r="B944" s="105"/>
      <c r="C944" s="105"/>
      <c r="D944" s="105"/>
      <c r="E944" s="105"/>
      <c r="F944" s="105"/>
      <c r="G944" s="105"/>
      <c r="H944" s="105"/>
      <c r="I944" s="505" t="b">
        <v>0</v>
      </c>
      <c r="J944" s="507" t="b">
        <v>0</v>
      </c>
      <c r="K944" s="112"/>
      <c r="L944" s="505" t="b">
        <v>0</v>
      </c>
      <c r="M944" s="504" t="b">
        <v>0</v>
      </c>
      <c r="N944" s="112"/>
      <c r="O944" s="505" t="b">
        <v>0</v>
      </c>
      <c r="P944" s="504" t="b">
        <v>0</v>
      </c>
      <c r="Q944" s="116"/>
      <c r="R944" s="505" t="b">
        <v>0</v>
      </c>
      <c r="S944" s="504" t="b">
        <v>0</v>
      </c>
      <c r="T944" s="117"/>
      <c r="U944" s="505" t="b">
        <v>0</v>
      </c>
      <c r="V944" s="504" t="b">
        <v>0</v>
      </c>
      <c r="W944" s="118"/>
      <c r="X944" s="505" t="b">
        <v>0</v>
      </c>
      <c r="Y944" s="504" t="b">
        <v>0</v>
      </c>
      <c r="Z944" s="119"/>
      <c r="AA944" s="505" t="b">
        <v>0</v>
      </c>
      <c r="AB944" s="504" t="b">
        <v>0</v>
      </c>
      <c r="AC944" s="121"/>
      <c r="AD944" s="505" t="b">
        <v>0</v>
      </c>
      <c r="AE944" s="504" t="b">
        <v>0</v>
      </c>
      <c r="AF944" s="125"/>
      <c r="AG944" s="505" t="b">
        <v>0</v>
      </c>
      <c r="AH944" s="504" t="b">
        <v>0</v>
      </c>
      <c r="AI944" s="105"/>
      <c r="AJ944" s="505" t="b">
        <v>0</v>
      </c>
      <c r="AK944" s="504" t="b">
        <v>0</v>
      </c>
      <c r="AL944" s="126"/>
      <c r="AM944" s="505" t="b">
        <v>0</v>
      </c>
      <c r="AN944" s="504" t="b">
        <v>0</v>
      </c>
      <c r="AO944" s="105"/>
      <c r="AP944" s="105"/>
      <c r="AQ944" s="105"/>
      <c r="AR944" s="105"/>
      <c r="AS944" s="105"/>
      <c r="AT944" s="105"/>
      <c r="AU944" s="105"/>
      <c r="AV944" s="105"/>
      <c r="AW944" s="105"/>
      <c r="AX944" s="105"/>
      <c r="AY944" s="105"/>
      <c r="AZ944" s="105"/>
      <c r="BA944" s="105"/>
    </row>
    <row r="945">
      <c r="A945" s="105"/>
      <c r="B945" s="105"/>
      <c r="C945" s="105"/>
      <c r="D945" s="105"/>
      <c r="E945" s="105"/>
      <c r="F945" s="105"/>
      <c r="G945" s="105"/>
      <c r="H945" s="105"/>
      <c r="I945" s="505" t="b">
        <v>0</v>
      </c>
      <c r="J945" s="507" t="b">
        <v>0</v>
      </c>
      <c r="K945" s="112"/>
      <c r="L945" s="505" t="b">
        <v>0</v>
      </c>
      <c r="M945" s="504" t="b">
        <v>0</v>
      </c>
      <c r="N945" s="112"/>
      <c r="O945" s="505" t="b">
        <v>0</v>
      </c>
      <c r="P945" s="504" t="b">
        <v>0</v>
      </c>
      <c r="Q945" s="116"/>
      <c r="R945" s="505" t="b">
        <v>0</v>
      </c>
      <c r="S945" s="504" t="b">
        <v>0</v>
      </c>
      <c r="T945" s="117"/>
      <c r="U945" s="505" t="b">
        <v>0</v>
      </c>
      <c r="V945" s="504" t="b">
        <v>0</v>
      </c>
      <c r="W945" s="118"/>
      <c r="X945" s="505" t="b">
        <v>0</v>
      </c>
      <c r="Y945" s="504" t="b">
        <v>0</v>
      </c>
      <c r="Z945" s="119"/>
      <c r="AA945" s="505" t="b">
        <v>0</v>
      </c>
      <c r="AB945" s="504" t="b">
        <v>0</v>
      </c>
      <c r="AC945" s="121"/>
      <c r="AD945" s="505" t="b">
        <v>0</v>
      </c>
      <c r="AE945" s="504" t="b">
        <v>0</v>
      </c>
      <c r="AF945" s="125"/>
      <c r="AG945" s="505" t="b">
        <v>0</v>
      </c>
      <c r="AH945" s="504" t="b">
        <v>0</v>
      </c>
      <c r="AI945" s="105"/>
      <c r="AJ945" s="505" t="b">
        <v>0</v>
      </c>
      <c r="AK945" s="504" t="b">
        <v>0</v>
      </c>
      <c r="AL945" s="126"/>
      <c r="AM945" s="505" t="b">
        <v>0</v>
      </c>
      <c r="AN945" s="504" t="b">
        <v>0</v>
      </c>
      <c r="AO945" s="105"/>
      <c r="AP945" s="105"/>
      <c r="AQ945" s="105"/>
      <c r="AR945" s="105"/>
      <c r="AS945" s="105"/>
      <c r="AT945" s="105"/>
      <c r="AU945" s="105"/>
      <c r="AV945" s="105"/>
      <c r="AW945" s="105"/>
      <c r="AX945" s="105"/>
      <c r="AY945" s="105"/>
      <c r="AZ945" s="105"/>
      <c r="BA945" s="105"/>
    </row>
    <row r="946">
      <c r="A946" s="105"/>
      <c r="B946" s="105"/>
      <c r="C946" s="105"/>
      <c r="D946" s="105"/>
      <c r="E946" s="105"/>
      <c r="F946" s="105"/>
      <c r="G946" s="105"/>
      <c r="H946" s="105"/>
      <c r="I946" s="505" t="b">
        <v>0</v>
      </c>
      <c r="J946" s="507" t="b">
        <v>0</v>
      </c>
      <c r="K946" s="112"/>
      <c r="L946" s="505" t="b">
        <v>0</v>
      </c>
      <c r="M946" s="504" t="b">
        <v>0</v>
      </c>
      <c r="N946" s="112"/>
      <c r="O946" s="505" t="b">
        <v>0</v>
      </c>
      <c r="P946" s="504" t="b">
        <v>0</v>
      </c>
      <c r="Q946" s="116"/>
      <c r="R946" s="505" t="b">
        <v>0</v>
      </c>
      <c r="S946" s="504" t="b">
        <v>0</v>
      </c>
      <c r="T946" s="117"/>
      <c r="U946" s="505" t="b">
        <v>0</v>
      </c>
      <c r="V946" s="504" t="b">
        <v>0</v>
      </c>
      <c r="W946" s="118"/>
      <c r="X946" s="505" t="b">
        <v>0</v>
      </c>
      <c r="Y946" s="504" t="b">
        <v>0</v>
      </c>
      <c r="Z946" s="119"/>
      <c r="AA946" s="505" t="b">
        <v>0</v>
      </c>
      <c r="AB946" s="504" t="b">
        <v>0</v>
      </c>
      <c r="AC946" s="121"/>
      <c r="AD946" s="505" t="b">
        <v>0</v>
      </c>
      <c r="AE946" s="504" t="b">
        <v>0</v>
      </c>
      <c r="AF946" s="125"/>
      <c r="AG946" s="505" t="b">
        <v>0</v>
      </c>
      <c r="AH946" s="504" t="b">
        <v>0</v>
      </c>
      <c r="AI946" s="105"/>
      <c r="AJ946" s="505" t="b">
        <v>0</v>
      </c>
      <c r="AK946" s="504" t="b">
        <v>0</v>
      </c>
      <c r="AL946" s="126"/>
      <c r="AM946" s="505" t="b">
        <v>0</v>
      </c>
      <c r="AN946" s="504" t="b">
        <v>0</v>
      </c>
      <c r="AO946" s="105"/>
      <c r="AP946" s="105"/>
      <c r="AQ946" s="105"/>
      <c r="AR946" s="105"/>
      <c r="AS946" s="105"/>
      <c r="AT946" s="105"/>
      <c r="AU946" s="105"/>
      <c r="AV946" s="105"/>
      <c r="AW946" s="105"/>
      <c r="AX946" s="105"/>
      <c r="AY946" s="105"/>
      <c r="AZ946" s="105"/>
      <c r="BA946" s="105"/>
    </row>
    <row r="947">
      <c r="A947" s="105"/>
      <c r="B947" s="105"/>
      <c r="C947" s="105"/>
      <c r="D947" s="105"/>
      <c r="E947" s="105"/>
      <c r="F947" s="105"/>
      <c r="G947" s="105"/>
      <c r="H947" s="105"/>
      <c r="I947" s="505" t="b">
        <v>0</v>
      </c>
      <c r="J947" s="507" t="b">
        <v>0</v>
      </c>
      <c r="K947" s="112"/>
      <c r="L947" s="505" t="b">
        <v>0</v>
      </c>
      <c r="M947" s="504" t="b">
        <v>0</v>
      </c>
      <c r="N947" s="112"/>
      <c r="O947" s="505" t="b">
        <v>0</v>
      </c>
      <c r="P947" s="504" t="b">
        <v>0</v>
      </c>
      <c r="Q947" s="116"/>
      <c r="R947" s="505" t="b">
        <v>0</v>
      </c>
      <c r="S947" s="504" t="b">
        <v>0</v>
      </c>
      <c r="T947" s="117"/>
      <c r="U947" s="505" t="b">
        <v>0</v>
      </c>
      <c r="V947" s="504" t="b">
        <v>0</v>
      </c>
      <c r="W947" s="118"/>
      <c r="X947" s="505" t="b">
        <v>0</v>
      </c>
      <c r="Y947" s="504" t="b">
        <v>0</v>
      </c>
      <c r="Z947" s="119"/>
      <c r="AA947" s="505" t="b">
        <v>0</v>
      </c>
      <c r="AB947" s="504" t="b">
        <v>0</v>
      </c>
      <c r="AC947" s="121"/>
      <c r="AD947" s="505" t="b">
        <v>0</v>
      </c>
      <c r="AE947" s="504" t="b">
        <v>0</v>
      </c>
      <c r="AF947" s="125"/>
      <c r="AG947" s="505" t="b">
        <v>0</v>
      </c>
      <c r="AH947" s="504" t="b">
        <v>0</v>
      </c>
      <c r="AI947" s="105"/>
      <c r="AJ947" s="505" t="b">
        <v>0</v>
      </c>
      <c r="AK947" s="504" t="b">
        <v>0</v>
      </c>
      <c r="AL947" s="126"/>
      <c r="AM947" s="505" t="b">
        <v>0</v>
      </c>
      <c r="AN947" s="504" t="b">
        <v>0</v>
      </c>
      <c r="AO947" s="105"/>
      <c r="AP947" s="105"/>
      <c r="AQ947" s="105"/>
      <c r="AR947" s="105"/>
      <c r="AS947" s="105"/>
      <c r="AT947" s="105"/>
      <c r="AU947" s="105"/>
      <c r="AV947" s="105"/>
      <c r="AW947" s="105"/>
      <c r="AX947" s="105"/>
      <c r="AY947" s="105"/>
      <c r="AZ947" s="105"/>
      <c r="BA947" s="105"/>
    </row>
    <row r="948">
      <c r="A948" s="105"/>
      <c r="B948" s="105"/>
      <c r="C948" s="105"/>
      <c r="D948" s="105"/>
      <c r="E948" s="105"/>
      <c r="F948" s="105"/>
      <c r="G948" s="105"/>
      <c r="H948" s="105"/>
      <c r="I948" s="505" t="b">
        <v>0</v>
      </c>
      <c r="J948" s="507" t="b">
        <v>0</v>
      </c>
      <c r="K948" s="112"/>
      <c r="L948" s="505" t="b">
        <v>0</v>
      </c>
      <c r="M948" s="504" t="b">
        <v>0</v>
      </c>
      <c r="N948" s="112"/>
      <c r="O948" s="505" t="b">
        <v>0</v>
      </c>
      <c r="P948" s="504" t="b">
        <v>0</v>
      </c>
      <c r="Q948" s="116"/>
      <c r="R948" s="505" t="b">
        <v>0</v>
      </c>
      <c r="S948" s="504" t="b">
        <v>0</v>
      </c>
      <c r="T948" s="117"/>
      <c r="U948" s="505" t="b">
        <v>0</v>
      </c>
      <c r="V948" s="504" t="b">
        <v>0</v>
      </c>
      <c r="W948" s="118"/>
      <c r="X948" s="505" t="b">
        <v>0</v>
      </c>
      <c r="Y948" s="504" t="b">
        <v>0</v>
      </c>
      <c r="Z948" s="119"/>
      <c r="AA948" s="505" t="b">
        <v>0</v>
      </c>
      <c r="AB948" s="504" t="b">
        <v>0</v>
      </c>
      <c r="AC948" s="121"/>
      <c r="AD948" s="505" t="b">
        <v>0</v>
      </c>
      <c r="AE948" s="504" t="b">
        <v>0</v>
      </c>
      <c r="AF948" s="125"/>
      <c r="AG948" s="505" t="b">
        <v>0</v>
      </c>
      <c r="AH948" s="504" t="b">
        <v>0</v>
      </c>
      <c r="AI948" s="105"/>
      <c r="AJ948" s="505" t="b">
        <v>0</v>
      </c>
      <c r="AK948" s="504" t="b">
        <v>0</v>
      </c>
      <c r="AL948" s="126"/>
      <c r="AM948" s="505" t="b">
        <v>0</v>
      </c>
      <c r="AN948" s="504" t="b">
        <v>0</v>
      </c>
      <c r="AO948" s="105"/>
      <c r="AP948" s="105"/>
      <c r="AQ948" s="105"/>
      <c r="AR948" s="105"/>
      <c r="AS948" s="105"/>
      <c r="AT948" s="105"/>
      <c r="AU948" s="105"/>
      <c r="AV948" s="105"/>
      <c r="AW948" s="105"/>
      <c r="AX948" s="105"/>
      <c r="AY948" s="105"/>
      <c r="AZ948" s="105"/>
      <c r="BA948" s="105"/>
    </row>
    <row r="949">
      <c r="A949" s="105"/>
      <c r="B949" s="105"/>
      <c r="C949" s="105"/>
      <c r="D949" s="105"/>
      <c r="E949" s="105"/>
      <c r="F949" s="105"/>
      <c r="G949" s="105"/>
      <c r="H949" s="105"/>
      <c r="I949" s="505" t="b">
        <v>0</v>
      </c>
      <c r="J949" s="507" t="b">
        <v>0</v>
      </c>
      <c r="K949" s="112"/>
      <c r="L949" s="505" t="b">
        <v>0</v>
      </c>
      <c r="M949" s="504" t="b">
        <v>0</v>
      </c>
      <c r="N949" s="112"/>
      <c r="O949" s="505" t="b">
        <v>0</v>
      </c>
      <c r="P949" s="504" t="b">
        <v>0</v>
      </c>
      <c r="Q949" s="116"/>
      <c r="R949" s="505" t="b">
        <v>0</v>
      </c>
      <c r="S949" s="504" t="b">
        <v>0</v>
      </c>
      <c r="T949" s="117"/>
      <c r="U949" s="505" t="b">
        <v>0</v>
      </c>
      <c r="V949" s="504" t="b">
        <v>0</v>
      </c>
      <c r="W949" s="118"/>
      <c r="X949" s="505" t="b">
        <v>0</v>
      </c>
      <c r="Y949" s="504" t="b">
        <v>0</v>
      </c>
      <c r="Z949" s="119"/>
      <c r="AA949" s="505" t="b">
        <v>0</v>
      </c>
      <c r="AB949" s="504" t="b">
        <v>0</v>
      </c>
      <c r="AC949" s="121"/>
      <c r="AD949" s="505" t="b">
        <v>0</v>
      </c>
      <c r="AE949" s="504" t="b">
        <v>0</v>
      </c>
      <c r="AF949" s="125"/>
      <c r="AG949" s="505" t="b">
        <v>0</v>
      </c>
      <c r="AH949" s="504" t="b">
        <v>0</v>
      </c>
      <c r="AI949" s="105"/>
      <c r="AJ949" s="505" t="b">
        <v>0</v>
      </c>
      <c r="AK949" s="504" t="b">
        <v>0</v>
      </c>
      <c r="AL949" s="126"/>
      <c r="AM949" s="505" t="b">
        <v>0</v>
      </c>
      <c r="AN949" s="504" t="b">
        <v>0</v>
      </c>
      <c r="AO949" s="105"/>
      <c r="AP949" s="105"/>
      <c r="AQ949" s="105"/>
      <c r="AR949" s="105"/>
      <c r="AS949" s="105"/>
      <c r="AT949" s="105"/>
      <c r="AU949" s="105"/>
      <c r="AV949" s="105"/>
      <c r="AW949" s="105"/>
      <c r="AX949" s="105"/>
      <c r="AY949" s="105"/>
      <c r="AZ949" s="105"/>
      <c r="BA949" s="105"/>
    </row>
    <row r="950">
      <c r="A950" s="105"/>
      <c r="B950" s="105"/>
      <c r="C950" s="105"/>
      <c r="D950" s="105"/>
      <c r="E950" s="105"/>
      <c r="F950" s="105"/>
      <c r="G950" s="105"/>
      <c r="H950" s="105"/>
      <c r="I950" s="505" t="b">
        <v>0</v>
      </c>
      <c r="J950" s="507" t="b">
        <v>0</v>
      </c>
      <c r="K950" s="112"/>
      <c r="L950" s="505" t="b">
        <v>0</v>
      </c>
      <c r="M950" s="504" t="b">
        <v>0</v>
      </c>
      <c r="N950" s="112"/>
      <c r="O950" s="505" t="b">
        <v>0</v>
      </c>
      <c r="P950" s="504" t="b">
        <v>0</v>
      </c>
      <c r="Q950" s="116"/>
      <c r="R950" s="505" t="b">
        <v>0</v>
      </c>
      <c r="S950" s="504" t="b">
        <v>0</v>
      </c>
      <c r="T950" s="117"/>
      <c r="U950" s="505" t="b">
        <v>0</v>
      </c>
      <c r="V950" s="504" t="b">
        <v>0</v>
      </c>
      <c r="W950" s="118"/>
      <c r="X950" s="505" t="b">
        <v>0</v>
      </c>
      <c r="Y950" s="504" t="b">
        <v>0</v>
      </c>
      <c r="Z950" s="119"/>
      <c r="AA950" s="505" t="b">
        <v>0</v>
      </c>
      <c r="AB950" s="504" t="b">
        <v>0</v>
      </c>
      <c r="AC950" s="121"/>
      <c r="AD950" s="505" t="b">
        <v>0</v>
      </c>
      <c r="AE950" s="504" t="b">
        <v>0</v>
      </c>
      <c r="AF950" s="125"/>
      <c r="AG950" s="505" t="b">
        <v>0</v>
      </c>
      <c r="AH950" s="504" t="b">
        <v>0</v>
      </c>
      <c r="AI950" s="105"/>
      <c r="AJ950" s="505" t="b">
        <v>0</v>
      </c>
      <c r="AK950" s="504" t="b">
        <v>0</v>
      </c>
      <c r="AL950" s="126"/>
      <c r="AM950" s="505" t="b">
        <v>0</v>
      </c>
      <c r="AN950" s="504" t="b">
        <v>0</v>
      </c>
      <c r="AO950" s="105"/>
      <c r="AP950" s="105"/>
      <c r="AQ950" s="105"/>
      <c r="AR950" s="105"/>
      <c r="AS950" s="105"/>
      <c r="AT950" s="105"/>
      <c r="AU950" s="105"/>
      <c r="AV950" s="105"/>
      <c r="AW950" s="105"/>
      <c r="AX950" s="105"/>
      <c r="AY950" s="105"/>
      <c r="AZ950" s="105"/>
      <c r="BA950" s="105"/>
    </row>
    <row r="951">
      <c r="A951" s="105"/>
      <c r="B951" s="105"/>
      <c r="C951" s="105"/>
      <c r="D951" s="105"/>
      <c r="E951" s="105"/>
      <c r="F951" s="105"/>
      <c r="G951" s="105"/>
      <c r="H951" s="105"/>
      <c r="I951" s="505" t="b">
        <v>0</v>
      </c>
      <c r="J951" s="507" t="b">
        <v>0</v>
      </c>
      <c r="K951" s="112"/>
      <c r="L951" s="505" t="b">
        <v>0</v>
      </c>
      <c r="M951" s="504" t="b">
        <v>0</v>
      </c>
      <c r="N951" s="112"/>
      <c r="O951" s="505" t="b">
        <v>0</v>
      </c>
      <c r="P951" s="504" t="b">
        <v>0</v>
      </c>
      <c r="Q951" s="116"/>
      <c r="R951" s="505" t="b">
        <v>0</v>
      </c>
      <c r="S951" s="504" t="b">
        <v>0</v>
      </c>
      <c r="T951" s="117"/>
      <c r="U951" s="505" t="b">
        <v>0</v>
      </c>
      <c r="V951" s="504" t="b">
        <v>0</v>
      </c>
      <c r="W951" s="118"/>
      <c r="X951" s="505" t="b">
        <v>0</v>
      </c>
      <c r="Y951" s="504" t="b">
        <v>0</v>
      </c>
      <c r="Z951" s="119"/>
      <c r="AA951" s="505" t="b">
        <v>0</v>
      </c>
      <c r="AB951" s="504" t="b">
        <v>0</v>
      </c>
      <c r="AC951" s="121"/>
      <c r="AD951" s="505" t="b">
        <v>0</v>
      </c>
      <c r="AE951" s="504" t="b">
        <v>0</v>
      </c>
      <c r="AF951" s="125"/>
      <c r="AG951" s="505" t="b">
        <v>0</v>
      </c>
      <c r="AH951" s="504" t="b">
        <v>0</v>
      </c>
      <c r="AI951" s="105"/>
      <c r="AJ951" s="505" t="b">
        <v>0</v>
      </c>
      <c r="AK951" s="504" t="b">
        <v>0</v>
      </c>
      <c r="AL951" s="126"/>
      <c r="AM951" s="505" t="b">
        <v>0</v>
      </c>
      <c r="AN951" s="504" t="b">
        <v>0</v>
      </c>
      <c r="AO951" s="105"/>
      <c r="AP951" s="105"/>
      <c r="AQ951" s="105"/>
      <c r="AR951" s="105"/>
      <c r="AS951" s="105"/>
      <c r="AT951" s="105"/>
      <c r="AU951" s="105"/>
      <c r="AV951" s="105"/>
      <c r="AW951" s="105"/>
      <c r="AX951" s="105"/>
      <c r="AY951" s="105"/>
      <c r="AZ951" s="105"/>
      <c r="BA951" s="105"/>
    </row>
    <row r="952">
      <c r="A952" s="105"/>
      <c r="B952" s="105"/>
      <c r="C952" s="105"/>
      <c r="D952" s="105"/>
      <c r="E952" s="105"/>
      <c r="F952" s="105"/>
      <c r="G952" s="105"/>
      <c r="H952" s="105"/>
      <c r="I952" s="505" t="b">
        <v>0</v>
      </c>
      <c r="J952" s="507" t="b">
        <v>0</v>
      </c>
      <c r="K952" s="112"/>
      <c r="L952" s="505" t="b">
        <v>0</v>
      </c>
      <c r="M952" s="504" t="b">
        <v>0</v>
      </c>
      <c r="N952" s="112"/>
      <c r="O952" s="505" t="b">
        <v>0</v>
      </c>
      <c r="P952" s="504" t="b">
        <v>0</v>
      </c>
      <c r="Q952" s="116"/>
      <c r="R952" s="505" t="b">
        <v>0</v>
      </c>
      <c r="S952" s="504" t="b">
        <v>0</v>
      </c>
      <c r="T952" s="117"/>
      <c r="U952" s="505" t="b">
        <v>0</v>
      </c>
      <c r="V952" s="504" t="b">
        <v>0</v>
      </c>
      <c r="W952" s="118"/>
      <c r="X952" s="505" t="b">
        <v>0</v>
      </c>
      <c r="Y952" s="504" t="b">
        <v>0</v>
      </c>
      <c r="Z952" s="119"/>
      <c r="AA952" s="505" t="b">
        <v>0</v>
      </c>
      <c r="AB952" s="504" t="b">
        <v>0</v>
      </c>
      <c r="AC952" s="121"/>
      <c r="AD952" s="505" t="b">
        <v>0</v>
      </c>
      <c r="AE952" s="504" t="b">
        <v>0</v>
      </c>
      <c r="AF952" s="125"/>
      <c r="AG952" s="505" t="b">
        <v>0</v>
      </c>
      <c r="AH952" s="504" t="b">
        <v>0</v>
      </c>
      <c r="AI952" s="105"/>
      <c r="AJ952" s="505" t="b">
        <v>0</v>
      </c>
      <c r="AK952" s="504" t="b">
        <v>0</v>
      </c>
      <c r="AL952" s="126"/>
      <c r="AM952" s="505" t="b">
        <v>0</v>
      </c>
      <c r="AN952" s="504" t="b">
        <v>0</v>
      </c>
      <c r="AO952" s="105"/>
      <c r="AP952" s="105"/>
      <c r="AQ952" s="105"/>
      <c r="AR952" s="105"/>
      <c r="AS952" s="105"/>
      <c r="AT952" s="105"/>
      <c r="AU952" s="105"/>
      <c r="AV952" s="105"/>
      <c r="AW952" s="105"/>
      <c r="AX952" s="105"/>
      <c r="AY952" s="105"/>
      <c r="AZ952" s="105"/>
      <c r="BA952" s="105"/>
    </row>
    <row r="953">
      <c r="A953" s="105"/>
      <c r="B953" s="105"/>
      <c r="C953" s="105"/>
      <c r="D953" s="105"/>
      <c r="E953" s="105"/>
      <c r="F953" s="105"/>
      <c r="G953" s="105"/>
      <c r="H953" s="105"/>
      <c r="I953" s="505" t="b">
        <v>0</v>
      </c>
      <c r="J953" s="507" t="b">
        <v>0</v>
      </c>
      <c r="K953" s="112"/>
      <c r="L953" s="505" t="b">
        <v>0</v>
      </c>
      <c r="M953" s="504" t="b">
        <v>0</v>
      </c>
      <c r="N953" s="112"/>
      <c r="O953" s="505" t="b">
        <v>0</v>
      </c>
      <c r="P953" s="504" t="b">
        <v>0</v>
      </c>
      <c r="Q953" s="116"/>
      <c r="R953" s="505" t="b">
        <v>0</v>
      </c>
      <c r="S953" s="504" t="b">
        <v>0</v>
      </c>
      <c r="T953" s="117"/>
      <c r="U953" s="505" t="b">
        <v>0</v>
      </c>
      <c r="V953" s="504" t="b">
        <v>0</v>
      </c>
      <c r="W953" s="118"/>
      <c r="X953" s="505" t="b">
        <v>0</v>
      </c>
      <c r="Y953" s="504" t="b">
        <v>0</v>
      </c>
      <c r="Z953" s="119"/>
      <c r="AA953" s="505" t="b">
        <v>0</v>
      </c>
      <c r="AB953" s="504" t="b">
        <v>0</v>
      </c>
      <c r="AC953" s="121"/>
      <c r="AD953" s="505" t="b">
        <v>0</v>
      </c>
      <c r="AE953" s="504" t="b">
        <v>0</v>
      </c>
      <c r="AF953" s="125"/>
      <c r="AG953" s="505" t="b">
        <v>0</v>
      </c>
      <c r="AH953" s="504" t="b">
        <v>0</v>
      </c>
      <c r="AI953" s="105"/>
      <c r="AJ953" s="505" t="b">
        <v>0</v>
      </c>
      <c r="AK953" s="504" t="b">
        <v>0</v>
      </c>
      <c r="AL953" s="126"/>
      <c r="AM953" s="505" t="b">
        <v>0</v>
      </c>
      <c r="AN953" s="504" t="b">
        <v>0</v>
      </c>
      <c r="AO953" s="105"/>
      <c r="AP953" s="105"/>
      <c r="AQ953" s="105"/>
      <c r="AR953" s="105"/>
      <c r="AS953" s="105"/>
      <c r="AT953" s="105"/>
      <c r="AU953" s="105"/>
      <c r="AV953" s="105"/>
      <c r="AW953" s="105"/>
      <c r="AX953" s="105"/>
      <c r="AY953" s="105"/>
      <c r="AZ953" s="105"/>
      <c r="BA953" s="105"/>
    </row>
    <row r="954">
      <c r="A954" s="105"/>
      <c r="B954" s="105"/>
      <c r="C954" s="105"/>
      <c r="D954" s="105"/>
      <c r="E954" s="105"/>
      <c r="F954" s="105"/>
      <c r="G954" s="105"/>
      <c r="H954" s="105"/>
      <c r="I954" s="505" t="b">
        <v>0</v>
      </c>
      <c r="J954" s="507" t="b">
        <v>0</v>
      </c>
      <c r="K954" s="112"/>
      <c r="L954" s="505" t="b">
        <v>0</v>
      </c>
      <c r="M954" s="504" t="b">
        <v>0</v>
      </c>
      <c r="N954" s="112"/>
      <c r="O954" s="505" t="b">
        <v>0</v>
      </c>
      <c r="P954" s="504" t="b">
        <v>0</v>
      </c>
      <c r="Q954" s="116"/>
      <c r="R954" s="505" t="b">
        <v>0</v>
      </c>
      <c r="S954" s="504" t="b">
        <v>0</v>
      </c>
      <c r="T954" s="117"/>
      <c r="U954" s="505" t="b">
        <v>0</v>
      </c>
      <c r="V954" s="504" t="b">
        <v>0</v>
      </c>
      <c r="W954" s="118"/>
      <c r="X954" s="505" t="b">
        <v>0</v>
      </c>
      <c r="Y954" s="504" t="b">
        <v>0</v>
      </c>
      <c r="Z954" s="119"/>
      <c r="AA954" s="505" t="b">
        <v>0</v>
      </c>
      <c r="AB954" s="504" t="b">
        <v>0</v>
      </c>
      <c r="AC954" s="121"/>
      <c r="AD954" s="505" t="b">
        <v>0</v>
      </c>
      <c r="AE954" s="504" t="b">
        <v>0</v>
      </c>
      <c r="AF954" s="125"/>
      <c r="AG954" s="505" t="b">
        <v>0</v>
      </c>
      <c r="AH954" s="504" t="b">
        <v>0</v>
      </c>
      <c r="AI954" s="105"/>
      <c r="AJ954" s="505" t="b">
        <v>0</v>
      </c>
      <c r="AK954" s="504" t="b">
        <v>0</v>
      </c>
      <c r="AL954" s="126"/>
      <c r="AM954" s="505" t="b">
        <v>0</v>
      </c>
      <c r="AN954" s="504" t="b">
        <v>0</v>
      </c>
      <c r="AO954" s="105"/>
      <c r="AP954" s="105"/>
      <c r="AQ954" s="105"/>
      <c r="AR954" s="105"/>
      <c r="AS954" s="105"/>
      <c r="AT954" s="105"/>
      <c r="AU954" s="105"/>
      <c r="AV954" s="105"/>
      <c r="AW954" s="105"/>
      <c r="AX954" s="105"/>
      <c r="AY954" s="105"/>
      <c r="AZ954" s="105"/>
      <c r="BA954" s="105"/>
    </row>
    <row r="955">
      <c r="A955" s="105"/>
      <c r="B955" s="105"/>
      <c r="C955" s="105"/>
      <c r="D955" s="105"/>
      <c r="E955" s="105"/>
      <c r="F955" s="105"/>
      <c r="G955" s="105"/>
      <c r="H955" s="105"/>
      <c r="I955" s="505" t="b">
        <v>0</v>
      </c>
      <c r="J955" s="507" t="b">
        <v>0</v>
      </c>
      <c r="K955" s="112"/>
      <c r="L955" s="505" t="b">
        <v>0</v>
      </c>
      <c r="M955" s="504" t="b">
        <v>0</v>
      </c>
      <c r="N955" s="112"/>
      <c r="O955" s="505" t="b">
        <v>0</v>
      </c>
      <c r="P955" s="504" t="b">
        <v>0</v>
      </c>
      <c r="Q955" s="116"/>
      <c r="R955" s="505" t="b">
        <v>0</v>
      </c>
      <c r="S955" s="504" t="b">
        <v>0</v>
      </c>
      <c r="T955" s="117"/>
      <c r="U955" s="505" t="b">
        <v>0</v>
      </c>
      <c r="V955" s="504" t="b">
        <v>0</v>
      </c>
      <c r="W955" s="118"/>
      <c r="X955" s="505" t="b">
        <v>0</v>
      </c>
      <c r="Y955" s="504" t="b">
        <v>0</v>
      </c>
      <c r="Z955" s="119"/>
      <c r="AA955" s="505" t="b">
        <v>0</v>
      </c>
      <c r="AB955" s="504" t="b">
        <v>0</v>
      </c>
      <c r="AC955" s="121"/>
      <c r="AD955" s="505" t="b">
        <v>0</v>
      </c>
      <c r="AE955" s="504" t="b">
        <v>0</v>
      </c>
      <c r="AF955" s="125"/>
      <c r="AG955" s="505" t="b">
        <v>0</v>
      </c>
      <c r="AH955" s="504" t="b">
        <v>0</v>
      </c>
      <c r="AI955" s="105"/>
      <c r="AJ955" s="505" t="b">
        <v>0</v>
      </c>
      <c r="AK955" s="504" t="b">
        <v>0</v>
      </c>
      <c r="AL955" s="126"/>
      <c r="AM955" s="505" t="b">
        <v>0</v>
      </c>
      <c r="AN955" s="504" t="b">
        <v>0</v>
      </c>
      <c r="AO955" s="105"/>
      <c r="AP955" s="105"/>
      <c r="AQ955" s="105"/>
      <c r="AR955" s="105"/>
      <c r="AS955" s="105"/>
      <c r="AT955" s="105"/>
      <c r="AU955" s="105"/>
      <c r="AV955" s="105"/>
      <c r="AW955" s="105"/>
      <c r="AX955" s="105"/>
      <c r="AY955" s="105"/>
      <c r="AZ955" s="105"/>
      <c r="BA955" s="105"/>
    </row>
    <row r="956">
      <c r="A956" s="105"/>
      <c r="B956" s="105"/>
      <c r="C956" s="105"/>
      <c r="D956" s="105"/>
      <c r="E956" s="105"/>
      <c r="F956" s="105"/>
      <c r="G956" s="105"/>
      <c r="H956" s="105"/>
      <c r="I956" s="505" t="b">
        <v>0</v>
      </c>
      <c r="J956" s="507" t="b">
        <v>0</v>
      </c>
      <c r="K956" s="112"/>
      <c r="L956" s="505" t="b">
        <v>0</v>
      </c>
      <c r="M956" s="504" t="b">
        <v>0</v>
      </c>
      <c r="N956" s="112"/>
      <c r="O956" s="505" t="b">
        <v>0</v>
      </c>
      <c r="P956" s="504" t="b">
        <v>0</v>
      </c>
      <c r="Q956" s="116"/>
      <c r="R956" s="505" t="b">
        <v>0</v>
      </c>
      <c r="S956" s="504" t="b">
        <v>0</v>
      </c>
      <c r="T956" s="117"/>
      <c r="U956" s="505" t="b">
        <v>0</v>
      </c>
      <c r="V956" s="504" t="b">
        <v>0</v>
      </c>
      <c r="W956" s="118"/>
      <c r="X956" s="505" t="b">
        <v>0</v>
      </c>
      <c r="Y956" s="504" t="b">
        <v>0</v>
      </c>
      <c r="Z956" s="119"/>
      <c r="AA956" s="505" t="b">
        <v>0</v>
      </c>
      <c r="AB956" s="504" t="b">
        <v>0</v>
      </c>
      <c r="AC956" s="121"/>
      <c r="AD956" s="505" t="b">
        <v>0</v>
      </c>
      <c r="AE956" s="504" t="b">
        <v>0</v>
      </c>
      <c r="AF956" s="125"/>
      <c r="AG956" s="505" t="b">
        <v>0</v>
      </c>
      <c r="AH956" s="504" t="b">
        <v>0</v>
      </c>
      <c r="AI956" s="105"/>
      <c r="AJ956" s="505" t="b">
        <v>0</v>
      </c>
      <c r="AK956" s="504" t="b">
        <v>0</v>
      </c>
      <c r="AL956" s="126"/>
      <c r="AM956" s="505" t="b">
        <v>0</v>
      </c>
      <c r="AN956" s="504" t="b">
        <v>0</v>
      </c>
      <c r="AO956" s="105"/>
      <c r="AP956" s="105"/>
      <c r="AQ956" s="105"/>
      <c r="AR956" s="105"/>
      <c r="AS956" s="105"/>
      <c r="AT956" s="105"/>
      <c r="AU956" s="105"/>
      <c r="AV956" s="105"/>
      <c r="AW956" s="105"/>
      <c r="AX956" s="105"/>
      <c r="AY956" s="105"/>
      <c r="AZ956" s="105"/>
      <c r="BA956" s="105"/>
    </row>
    <row r="957">
      <c r="A957" s="105"/>
      <c r="B957" s="105"/>
      <c r="C957" s="105"/>
      <c r="D957" s="105"/>
      <c r="E957" s="105"/>
      <c r="F957" s="105"/>
      <c r="G957" s="105"/>
      <c r="H957" s="105"/>
      <c r="I957" s="505" t="b">
        <v>0</v>
      </c>
      <c r="J957" s="507" t="b">
        <v>0</v>
      </c>
      <c r="K957" s="112"/>
      <c r="L957" s="505" t="b">
        <v>0</v>
      </c>
      <c r="M957" s="504" t="b">
        <v>0</v>
      </c>
      <c r="N957" s="112"/>
      <c r="O957" s="505" t="b">
        <v>0</v>
      </c>
      <c r="P957" s="504" t="b">
        <v>0</v>
      </c>
      <c r="Q957" s="116"/>
      <c r="R957" s="505" t="b">
        <v>0</v>
      </c>
      <c r="S957" s="504" t="b">
        <v>0</v>
      </c>
      <c r="T957" s="117"/>
      <c r="U957" s="505" t="b">
        <v>0</v>
      </c>
      <c r="V957" s="504" t="b">
        <v>0</v>
      </c>
      <c r="W957" s="118"/>
      <c r="X957" s="505" t="b">
        <v>0</v>
      </c>
      <c r="Y957" s="504" t="b">
        <v>0</v>
      </c>
      <c r="Z957" s="119"/>
      <c r="AA957" s="505" t="b">
        <v>0</v>
      </c>
      <c r="AB957" s="504" t="b">
        <v>0</v>
      </c>
      <c r="AC957" s="121"/>
      <c r="AD957" s="505" t="b">
        <v>0</v>
      </c>
      <c r="AE957" s="504" t="b">
        <v>0</v>
      </c>
      <c r="AF957" s="125"/>
      <c r="AG957" s="505" t="b">
        <v>0</v>
      </c>
      <c r="AH957" s="504" t="b">
        <v>0</v>
      </c>
      <c r="AI957" s="105"/>
      <c r="AJ957" s="505" t="b">
        <v>0</v>
      </c>
      <c r="AK957" s="504" t="b">
        <v>0</v>
      </c>
      <c r="AL957" s="126"/>
      <c r="AM957" s="505" t="b">
        <v>0</v>
      </c>
      <c r="AN957" s="504" t="b">
        <v>0</v>
      </c>
      <c r="AO957" s="105"/>
      <c r="AP957" s="105"/>
      <c r="AQ957" s="105"/>
      <c r="AR957" s="105"/>
      <c r="AS957" s="105"/>
      <c r="AT957" s="105"/>
      <c r="AU957" s="105"/>
      <c r="AV957" s="105"/>
      <c r="AW957" s="105"/>
      <c r="AX957" s="105"/>
      <c r="AY957" s="105"/>
      <c r="AZ957" s="105"/>
      <c r="BA957" s="105"/>
    </row>
    <row r="958">
      <c r="A958" s="105"/>
      <c r="B958" s="105"/>
      <c r="C958" s="105"/>
      <c r="D958" s="105"/>
      <c r="E958" s="105"/>
      <c r="F958" s="105"/>
      <c r="G958" s="105"/>
      <c r="H958" s="105"/>
      <c r="I958" s="505" t="b">
        <v>0</v>
      </c>
      <c r="J958" s="507" t="b">
        <v>0</v>
      </c>
      <c r="K958" s="112"/>
      <c r="L958" s="505" t="b">
        <v>0</v>
      </c>
      <c r="M958" s="504" t="b">
        <v>0</v>
      </c>
      <c r="N958" s="112"/>
      <c r="O958" s="505" t="b">
        <v>0</v>
      </c>
      <c r="P958" s="504" t="b">
        <v>0</v>
      </c>
      <c r="Q958" s="116"/>
      <c r="R958" s="505" t="b">
        <v>0</v>
      </c>
      <c r="S958" s="504" t="b">
        <v>0</v>
      </c>
      <c r="T958" s="117"/>
      <c r="U958" s="505" t="b">
        <v>0</v>
      </c>
      <c r="V958" s="504" t="b">
        <v>0</v>
      </c>
      <c r="W958" s="118"/>
      <c r="X958" s="505" t="b">
        <v>0</v>
      </c>
      <c r="Y958" s="504" t="b">
        <v>0</v>
      </c>
      <c r="Z958" s="119"/>
      <c r="AA958" s="505" t="b">
        <v>0</v>
      </c>
      <c r="AB958" s="504" t="b">
        <v>0</v>
      </c>
      <c r="AC958" s="121"/>
      <c r="AD958" s="505" t="b">
        <v>0</v>
      </c>
      <c r="AE958" s="504" t="b">
        <v>0</v>
      </c>
      <c r="AF958" s="125"/>
      <c r="AG958" s="505" t="b">
        <v>0</v>
      </c>
      <c r="AH958" s="504" t="b">
        <v>0</v>
      </c>
      <c r="AI958" s="105"/>
      <c r="AJ958" s="505" t="b">
        <v>0</v>
      </c>
      <c r="AK958" s="504" t="b">
        <v>0</v>
      </c>
      <c r="AL958" s="126"/>
      <c r="AM958" s="505" t="b">
        <v>0</v>
      </c>
      <c r="AN958" s="504" t="b">
        <v>0</v>
      </c>
      <c r="AO958" s="105"/>
      <c r="AP958" s="105"/>
      <c r="AQ958" s="105"/>
      <c r="AR958" s="105"/>
      <c r="AS958" s="105"/>
      <c r="AT958" s="105"/>
      <c r="AU958" s="105"/>
      <c r="AV958" s="105"/>
      <c r="AW958" s="105"/>
      <c r="AX958" s="105"/>
      <c r="AY958" s="105"/>
      <c r="AZ958" s="105"/>
      <c r="BA958" s="105"/>
    </row>
    <row r="959">
      <c r="A959" s="105"/>
      <c r="B959" s="105"/>
      <c r="C959" s="105"/>
      <c r="D959" s="105"/>
      <c r="E959" s="105"/>
      <c r="F959" s="105"/>
      <c r="G959" s="105"/>
      <c r="H959" s="105"/>
      <c r="I959" s="505" t="b">
        <v>0</v>
      </c>
      <c r="J959" s="507" t="b">
        <v>0</v>
      </c>
      <c r="K959" s="112"/>
      <c r="L959" s="505" t="b">
        <v>0</v>
      </c>
      <c r="M959" s="504" t="b">
        <v>0</v>
      </c>
      <c r="N959" s="112"/>
      <c r="O959" s="505" t="b">
        <v>0</v>
      </c>
      <c r="P959" s="504" t="b">
        <v>0</v>
      </c>
      <c r="Q959" s="116"/>
      <c r="R959" s="505" t="b">
        <v>0</v>
      </c>
      <c r="S959" s="504" t="b">
        <v>0</v>
      </c>
      <c r="T959" s="117"/>
      <c r="U959" s="505" t="b">
        <v>0</v>
      </c>
      <c r="V959" s="504" t="b">
        <v>0</v>
      </c>
      <c r="W959" s="118"/>
      <c r="X959" s="505" t="b">
        <v>0</v>
      </c>
      <c r="Y959" s="504" t="b">
        <v>0</v>
      </c>
      <c r="Z959" s="119"/>
      <c r="AA959" s="505" t="b">
        <v>0</v>
      </c>
      <c r="AB959" s="504" t="b">
        <v>0</v>
      </c>
      <c r="AC959" s="121"/>
      <c r="AD959" s="505" t="b">
        <v>0</v>
      </c>
      <c r="AE959" s="504" t="b">
        <v>0</v>
      </c>
      <c r="AF959" s="125"/>
      <c r="AG959" s="505" t="b">
        <v>0</v>
      </c>
      <c r="AH959" s="504" t="b">
        <v>0</v>
      </c>
      <c r="AI959" s="105"/>
      <c r="AJ959" s="505" t="b">
        <v>0</v>
      </c>
      <c r="AK959" s="504" t="b">
        <v>0</v>
      </c>
      <c r="AL959" s="126"/>
      <c r="AM959" s="505" t="b">
        <v>0</v>
      </c>
      <c r="AN959" s="504" t="b">
        <v>0</v>
      </c>
      <c r="AO959" s="105"/>
      <c r="AP959" s="105"/>
      <c r="AQ959" s="105"/>
      <c r="AR959" s="105"/>
      <c r="AS959" s="105"/>
      <c r="AT959" s="105"/>
      <c r="AU959" s="105"/>
      <c r="AV959" s="105"/>
      <c r="AW959" s="105"/>
      <c r="AX959" s="105"/>
      <c r="AY959" s="105"/>
      <c r="AZ959" s="105"/>
      <c r="BA959" s="105"/>
    </row>
    <row r="960">
      <c r="A960" s="105"/>
      <c r="B960" s="105"/>
      <c r="C960" s="105"/>
      <c r="D960" s="105"/>
      <c r="E960" s="105"/>
      <c r="F960" s="105"/>
      <c r="G960" s="105"/>
      <c r="H960" s="105"/>
      <c r="I960" s="505" t="b">
        <v>0</v>
      </c>
      <c r="J960" s="507" t="b">
        <v>0</v>
      </c>
      <c r="K960" s="112"/>
      <c r="L960" s="505" t="b">
        <v>0</v>
      </c>
      <c r="M960" s="504" t="b">
        <v>0</v>
      </c>
      <c r="N960" s="112"/>
      <c r="O960" s="505" t="b">
        <v>0</v>
      </c>
      <c r="P960" s="504" t="b">
        <v>0</v>
      </c>
      <c r="Q960" s="116"/>
      <c r="R960" s="505" t="b">
        <v>0</v>
      </c>
      <c r="S960" s="504" t="b">
        <v>0</v>
      </c>
      <c r="T960" s="117"/>
      <c r="U960" s="505" t="b">
        <v>0</v>
      </c>
      <c r="V960" s="504" t="b">
        <v>0</v>
      </c>
      <c r="W960" s="118"/>
      <c r="X960" s="505" t="b">
        <v>0</v>
      </c>
      <c r="Y960" s="504" t="b">
        <v>0</v>
      </c>
      <c r="Z960" s="119"/>
      <c r="AA960" s="505" t="b">
        <v>0</v>
      </c>
      <c r="AB960" s="504" t="b">
        <v>0</v>
      </c>
      <c r="AC960" s="121"/>
      <c r="AD960" s="505" t="b">
        <v>0</v>
      </c>
      <c r="AE960" s="504" t="b">
        <v>0</v>
      </c>
      <c r="AF960" s="125"/>
      <c r="AG960" s="505" t="b">
        <v>0</v>
      </c>
      <c r="AH960" s="504" t="b">
        <v>0</v>
      </c>
      <c r="AI960" s="105"/>
      <c r="AJ960" s="505" t="b">
        <v>0</v>
      </c>
      <c r="AK960" s="504" t="b">
        <v>0</v>
      </c>
      <c r="AL960" s="126"/>
      <c r="AM960" s="505" t="b">
        <v>0</v>
      </c>
      <c r="AN960" s="504" t="b">
        <v>0</v>
      </c>
      <c r="AO960" s="105"/>
      <c r="AP960" s="105"/>
      <c r="AQ960" s="105"/>
      <c r="AR960" s="105"/>
      <c r="AS960" s="105"/>
      <c r="AT960" s="105"/>
      <c r="AU960" s="105"/>
      <c r="AV960" s="105"/>
      <c r="AW960" s="105"/>
      <c r="AX960" s="105"/>
      <c r="AY960" s="105"/>
      <c r="AZ960" s="105"/>
      <c r="BA960" s="105"/>
    </row>
    <row r="961">
      <c r="A961" s="105"/>
      <c r="B961" s="105"/>
      <c r="C961" s="105"/>
      <c r="D961" s="105"/>
      <c r="E961" s="105"/>
      <c r="F961" s="105"/>
      <c r="G961" s="105"/>
      <c r="H961" s="105"/>
      <c r="I961" s="505" t="b">
        <v>0</v>
      </c>
      <c r="J961" s="507" t="b">
        <v>0</v>
      </c>
      <c r="K961" s="112"/>
      <c r="L961" s="505" t="b">
        <v>0</v>
      </c>
      <c r="M961" s="504" t="b">
        <v>0</v>
      </c>
      <c r="N961" s="112"/>
      <c r="O961" s="505" t="b">
        <v>0</v>
      </c>
      <c r="P961" s="504" t="b">
        <v>0</v>
      </c>
      <c r="Q961" s="116"/>
      <c r="R961" s="505" t="b">
        <v>0</v>
      </c>
      <c r="S961" s="504" t="b">
        <v>0</v>
      </c>
      <c r="T961" s="117"/>
      <c r="U961" s="505" t="b">
        <v>0</v>
      </c>
      <c r="V961" s="504" t="b">
        <v>0</v>
      </c>
      <c r="W961" s="118"/>
      <c r="X961" s="505" t="b">
        <v>0</v>
      </c>
      <c r="Y961" s="504" t="b">
        <v>0</v>
      </c>
      <c r="Z961" s="119"/>
      <c r="AA961" s="505" t="b">
        <v>0</v>
      </c>
      <c r="AB961" s="504" t="b">
        <v>0</v>
      </c>
      <c r="AC961" s="121"/>
      <c r="AD961" s="505" t="b">
        <v>0</v>
      </c>
      <c r="AE961" s="504" t="b">
        <v>0</v>
      </c>
      <c r="AF961" s="125"/>
      <c r="AG961" s="505" t="b">
        <v>0</v>
      </c>
      <c r="AH961" s="504" t="b">
        <v>0</v>
      </c>
      <c r="AI961" s="105"/>
      <c r="AJ961" s="505" t="b">
        <v>0</v>
      </c>
      <c r="AK961" s="504" t="b">
        <v>0</v>
      </c>
      <c r="AL961" s="126"/>
      <c r="AM961" s="505" t="b">
        <v>0</v>
      </c>
      <c r="AN961" s="504" t="b">
        <v>0</v>
      </c>
      <c r="AO961" s="105"/>
      <c r="AP961" s="105"/>
      <c r="AQ961" s="105"/>
      <c r="AR961" s="105"/>
      <c r="AS961" s="105"/>
      <c r="AT961" s="105"/>
      <c r="AU961" s="105"/>
      <c r="AV961" s="105"/>
      <c r="AW961" s="105"/>
      <c r="AX961" s="105"/>
      <c r="AY961" s="105"/>
      <c r="AZ961" s="105"/>
      <c r="BA961" s="105"/>
    </row>
    <row r="962">
      <c r="A962" s="105"/>
      <c r="B962" s="105"/>
      <c r="C962" s="105"/>
      <c r="D962" s="105"/>
      <c r="E962" s="105"/>
      <c r="F962" s="105"/>
      <c r="G962" s="105"/>
      <c r="H962" s="105"/>
      <c r="I962" s="505" t="b">
        <v>0</v>
      </c>
      <c r="J962" s="507" t="b">
        <v>0</v>
      </c>
      <c r="K962" s="112"/>
      <c r="L962" s="505" t="b">
        <v>0</v>
      </c>
      <c r="M962" s="504" t="b">
        <v>0</v>
      </c>
      <c r="N962" s="112"/>
      <c r="O962" s="505" t="b">
        <v>0</v>
      </c>
      <c r="P962" s="504" t="b">
        <v>0</v>
      </c>
      <c r="Q962" s="116"/>
      <c r="R962" s="505" t="b">
        <v>0</v>
      </c>
      <c r="S962" s="504" t="b">
        <v>0</v>
      </c>
      <c r="T962" s="117"/>
      <c r="U962" s="505" t="b">
        <v>0</v>
      </c>
      <c r="V962" s="504" t="b">
        <v>0</v>
      </c>
      <c r="W962" s="118"/>
      <c r="X962" s="505" t="b">
        <v>0</v>
      </c>
      <c r="Y962" s="504" t="b">
        <v>0</v>
      </c>
      <c r="Z962" s="119"/>
      <c r="AA962" s="505" t="b">
        <v>0</v>
      </c>
      <c r="AB962" s="504" t="b">
        <v>0</v>
      </c>
      <c r="AC962" s="121"/>
      <c r="AD962" s="505" t="b">
        <v>0</v>
      </c>
      <c r="AE962" s="504" t="b">
        <v>0</v>
      </c>
      <c r="AF962" s="125"/>
      <c r="AG962" s="505" t="b">
        <v>0</v>
      </c>
      <c r="AH962" s="504" t="b">
        <v>0</v>
      </c>
      <c r="AI962" s="105"/>
      <c r="AJ962" s="505" t="b">
        <v>0</v>
      </c>
      <c r="AK962" s="504" t="b">
        <v>0</v>
      </c>
      <c r="AL962" s="126"/>
      <c r="AM962" s="505" t="b">
        <v>0</v>
      </c>
      <c r="AN962" s="504" t="b">
        <v>0</v>
      </c>
      <c r="AO962" s="105"/>
      <c r="AP962" s="105"/>
      <c r="AQ962" s="105"/>
      <c r="AR962" s="105"/>
      <c r="AS962" s="105"/>
      <c r="AT962" s="105"/>
      <c r="AU962" s="105"/>
      <c r="AV962" s="105"/>
      <c r="AW962" s="105"/>
      <c r="AX962" s="105"/>
      <c r="AY962" s="105"/>
      <c r="AZ962" s="105"/>
      <c r="BA962" s="105"/>
    </row>
    <row r="963">
      <c r="A963" s="105"/>
      <c r="B963" s="105"/>
      <c r="C963" s="105"/>
      <c r="D963" s="105"/>
      <c r="E963" s="105"/>
      <c r="F963" s="105"/>
      <c r="G963" s="105"/>
      <c r="H963" s="105"/>
      <c r="I963" s="505" t="b">
        <v>0</v>
      </c>
      <c r="J963" s="507" t="b">
        <v>0</v>
      </c>
      <c r="K963" s="112"/>
      <c r="L963" s="505" t="b">
        <v>0</v>
      </c>
      <c r="M963" s="504" t="b">
        <v>0</v>
      </c>
      <c r="N963" s="112"/>
      <c r="O963" s="505" t="b">
        <v>0</v>
      </c>
      <c r="P963" s="504" t="b">
        <v>0</v>
      </c>
      <c r="Q963" s="116"/>
      <c r="R963" s="505" t="b">
        <v>0</v>
      </c>
      <c r="S963" s="504" t="b">
        <v>0</v>
      </c>
      <c r="T963" s="117"/>
      <c r="U963" s="505" t="b">
        <v>0</v>
      </c>
      <c r="V963" s="504" t="b">
        <v>0</v>
      </c>
      <c r="W963" s="118"/>
      <c r="X963" s="505" t="b">
        <v>0</v>
      </c>
      <c r="Y963" s="504" t="b">
        <v>0</v>
      </c>
      <c r="Z963" s="119"/>
      <c r="AA963" s="505" t="b">
        <v>0</v>
      </c>
      <c r="AB963" s="504" t="b">
        <v>0</v>
      </c>
      <c r="AC963" s="121"/>
      <c r="AD963" s="505" t="b">
        <v>0</v>
      </c>
      <c r="AE963" s="504" t="b">
        <v>0</v>
      </c>
      <c r="AF963" s="125"/>
      <c r="AG963" s="505" t="b">
        <v>0</v>
      </c>
      <c r="AH963" s="504" t="b">
        <v>0</v>
      </c>
      <c r="AI963" s="105"/>
      <c r="AJ963" s="505" t="b">
        <v>0</v>
      </c>
      <c r="AK963" s="504" t="b">
        <v>0</v>
      </c>
      <c r="AL963" s="126"/>
      <c r="AM963" s="505" t="b">
        <v>0</v>
      </c>
      <c r="AN963" s="504" t="b">
        <v>0</v>
      </c>
      <c r="AO963" s="105"/>
      <c r="AP963" s="105"/>
      <c r="AQ963" s="105"/>
      <c r="AR963" s="105"/>
      <c r="AS963" s="105"/>
      <c r="AT963" s="105"/>
      <c r="AU963" s="105"/>
      <c r="AV963" s="105"/>
      <c r="AW963" s="105"/>
      <c r="AX963" s="105"/>
      <c r="AY963" s="105"/>
      <c r="AZ963" s="105"/>
      <c r="BA963" s="105"/>
    </row>
    <row r="964">
      <c r="A964" s="105"/>
      <c r="B964" s="105"/>
      <c r="C964" s="105"/>
      <c r="D964" s="105"/>
      <c r="E964" s="105"/>
      <c r="F964" s="105"/>
      <c r="G964" s="105"/>
      <c r="H964" s="105"/>
      <c r="I964" s="505" t="b">
        <v>0</v>
      </c>
      <c r="J964" s="507" t="b">
        <v>0</v>
      </c>
      <c r="K964" s="112"/>
      <c r="L964" s="505" t="b">
        <v>0</v>
      </c>
      <c r="M964" s="504" t="b">
        <v>0</v>
      </c>
      <c r="N964" s="112"/>
      <c r="O964" s="505" t="b">
        <v>0</v>
      </c>
      <c r="P964" s="504" t="b">
        <v>0</v>
      </c>
      <c r="Q964" s="116"/>
      <c r="R964" s="505" t="b">
        <v>0</v>
      </c>
      <c r="S964" s="504" t="b">
        <v>0</v>
      </c>
      <c r="T964" s="117"/>
      <c r="U964" s="505" t="b">
        <v>0</v>
      </c>
      <c r="V964" s="504" t="b">
        <v>0</v>
      </c>
      <c r="W964" s="118"/>
      <c r="X964" s="505" t="b">
        <v>0</v>
      </c>
      <c r="Y964" s="504" t="b">
        <v>0</v>
      </c>
      <c r="Z964" s="119"/>
      <c r="AA964" s="505" t="b">
        <v>0</v>
      </c>
      <c r="AB964" s="504" t="b">
        <v>0</v>
      </c>
      <c r="AC964" s="121"/>
      <c r="AD964" s="505" t="b">
        <v>0</v>
      </c>
      <c r="AE964" s="504" t="b">
        <v>0</v>
      </c>
      <c r="AF964" s="125"/>
      <c r="AG964" s="505" t="b">
        <v>0</v>
      </c>
      <c r="AH964" s="504" t="b">
        <v>0</v>
      </c>
      <c r="AI964" s="105"/>
      <c r="AJ964" s="505" t="b">
        <v>0</v>
      </c>
      <c r="AK964" s="504" t="b">
        <v>0</v>
      </c>
      <c r="AL964" s="126"/>
      <c r="AM964" s="505" t="b">
        <v>0</v>
      </c>
      <c r="AN964" s="504" t="b">
        <v>0</v>
      </c>
      <c r="AO964" s="105"/>
      <c r="AP964" s="105"/>
      <c r="AQ964" s="105"/>
      <c r="AR964" s="105"/>
      <c r="AS964" s="105"/>
      <c r="AT964" s="105"/>
      <c r="AU964" s="105"/>
      <c r="AV964" s="105"/>
      <c r="AW964" s="105"/>
      <c r="AX964" s="105"/>
      <c r="AY964" s="105"/>
      <c r="AZ964" s="105"/>
      <c r="BA964" s="105"/>
    </row>
    <row r="965">
      <c r="A965" s="105"/>
      <c r="B965" s="105"/>
      <c r="C965" s="105"/>
      <c r="D965" s="105"/>
      <c r="E965" s="105"/>
      <c r="F965" s="105"/>
      <c r="G965" s="105"/>
      <c r="H965" s="105"/>
      <c r="I965" s="505" t="b">
        <v>0</v>
      </c>
      <c r="J965" s="507" t="b">
        <v>0</v>
      </c>
      <c r="K965" s="112"/>
      <c r="L965" s="505" t="b">
        <v>0</v>
      </c>
      <c r="M965" s="504" t="b">
        <v>0</v>
      </c>
      <c r="N965" s="112"/>
      <c r="O965" s="505" t="b">
        <v>0</v>
      </c>
      <c r="P965" s="504" t="b">
        <v>0</v>
      </c>
      <c r="Q965" s="116"/>
      <c r="R965" s="505" t="b">
        <v>0</v>
      </c>
      <c r="S965" s="504" t="b">
        <v>0</v>
      </c>
      <c r="T965" s="117"/>
      <c r="U965" s="505" t="b">
        <v>0</v>
      </c>
      <c r="V965" s="504" t="b">
        <v>0</v>
      </c>
      <c r="W965" s="118"/>
      <c r="X965" s="505" t="b">
        <v>0</v>
      </c>
      <c r="Y965" s="504" t="b">
        <v>0</v>
      </c>
      <c r="Z965" s="119"/>
      <c r="AA965" s="505" t="b">
        <v>0</v>
      </c>
      <c r="AB965" s="504" t="b">
        <v>0</v>
      </c>
      <c r="AC965" s="121"/>
      <c r="AD965" s="505" t="b">
        <v>0</v>
      </c>
      <c r="AE965" s="504" t="b">
        <v>0</v>
      </c>
      <c r="AF965" s="125"/>
      <c r="AG965" s="505" t="b">
        <v>0</v>
      </c>
      <c r="AH965" s="504" t="b">
        <v>0</v>
      </c>
      <c r="AI965" s="105"/>
      <c r="AJ965" s="505" t="b">
        <v>0</v>
      </c>
      <c r="AK965" s="504" t="b">
        <v>0</v>
      </c>
      <c r="AL965" s="126"/>
      <c r="AM965" s="505" t="b">
        <v>0</v>
      </c>
      <c r="AN965" s="504" t="b">
        <v>0</v>
      </c>
      <c r="AO965" s="105"/>
      <c r="AP965" s="105"/>
      <c r="AQ965" s="105"/>
      <c r="AR965" s="105"/>
      <c r="AS965" s="105"/>
      <c r="AT965" s="105"/>
      <c r="AU965" s="105"/>
      <c r="AV965" s="105"/>
      <c r="AW965" s="105"/>
      <c r="AX965" s="105"/>
      <c r="AY965" s="105"/>
      <c r="AZ965" s="105"/>
      <c r="BA965" s="105"/>
    </row>
    <row r="966">
      <c r="A966" s="105"/>
      <c r="B966" s="105"/>
      <c r="C966" s="105"/>
      <c r="D966" s="105"/>
      <c r="E966" s="105"/>
      <c r="F966" s="105"/>
      <c r="G966" s="105"/>
      <c r="H966" s="105"/>
      <c r="I966" s="505" t="b">
        <v>0</v>
      </c>
      <c r="J966" s="507" t="b">
        <v>0</v>
      </c>
      <c r="K966" s="112"/>
      <c r="L966" s="505" t="b">
        <v>0</v>
      </c>
      <c r="M966" s="504" t="b">
        <v>0</v>
      </c>
      <c r="N966" s="112"/>
      <c r="O966" s="505" t="b">
        <v>0</v>
      </c>
      <c r="P966" s="504" t="b">
        <v>0</v>
      </c>
      <c r="Q966" s="116"/>
      <c r="R966" s="505" t="b">
        <v>0</v>
      </c>
      <c r="S966" s="504" t="b">
        <v>0</v>
      </c>
      <c r="T966" s="117"/>
      <c r="U966" s="505" t="b">
        <v>0</v>
      </c>
      <c r="V966" s="504" t="b">
        <v>0</v>
      </c>
      <c r="W966" s="118"/>
      <c r="X966" s="505" t="b">
        <v>0</v>
      </c>
      <c r="Y966" s="504" t="b">
        <v>0</v>
      </c>
      <c r="Z966" s="119"/>
      <c r="AA966" s="505" t="b">
        <v>0</v>
      </c>
      <c r="AB966" s="504" t="b">
        <v>0</v>
      </c>
      <c r="AC966" s="121"/>
      <c r="AD966" s="505" t="b">
        <v>0</v>
      </c>
      <c r="AE966" s="504" t="b">
        <v>0</v>
      </c>
      <c r="AF966" s="125"/>
      <c r="AG966" s="505" t="b">
        <v>0</v>
      </c>
      <c r="AH966" s="504" t="b">
        <v>0</v>
      </c>
      <c r="AI966" s="105"/>
      <c r="AJ966" s="505" t="b">
        <v>0</v>
      </c>
      <c r="AK966" s="504" t="b">
        <v>0</v>
      </c>
      <c r="AL966" s="126"/>
      <c r="AM966" s="505" t="b">
        <v>0</v>
      </c>
      <c r="AN966" s="504" t="b">
        <v>0</v>
      </c>
      <c r="AO966" s="105"/>
      <c r="AP966" s="105"/>
      <c r="AQ966" s="105"/>
      <c r="AR966" s="105"/>
      <c r="AS966" s="105"/>
      <c r="AT966" s="105"/>
      <c r="AU966" s="105"/>
      <c r="AV966" s="105"/>
      <c r="AW966" s="105"/>
      <c r="AX966" s="105"/>
      <c r="AY966" s="105"/>
      <c r="AZ966" s="105"/>
      <c r="BA966" s="105"/>
    </row>
    <row r="967">
      <c r="A967" s="105"/>
      <c r="B967" s="105"/>
      <c r="C967" s="105"/>
      <c r="D967" s="105"/>
      <c r="E967" s="105"/>
      <c r="F967" s="105"/>
      <c r="G967" s="105"/>
      <c r="H967" s="105"/>
      <c r="I967" s="505" t="b">
        <v>0</v>
      </c>
      <c r="J967" s="507" t="b">
        <v>0</v>
      </c>
      <c r="K967" s="112"/>
      <c r="L967" s="505" t="b">
        <v>0</v>
      </c>
      <c r="M967" s="504" t="b">
        <v>0</v>
      </c>
      <c r="N967" s="112"/>
      <c r="O967" s="505" t="b">
        <v>0</v>
      </c>
      <c r="P967" s="504" t="b">
        <v>0</v>
      </c>
      <c r="Q967" s="116"/>
      <c r="R967" s="505" t="b">
        <v>0</v>
      </c>
      <c r="S967" s="504" t="b">
        <v>0</v>
      </c>
      <c r="T967" s="117"/>
      <c r="U967" s="505" t="b">
        <v>0</v>
      </c>
      <c r="V967" s="504" t="b">
        <v>0</v>
      </c>
      <c r="W967" s="118"/>
      <c r="X967" s="505" t="b">
        <v>0</v>
      </c>
      <c r="Y967" s="504" t="b">
        <v>0</v>
      </c>
      <c r="Z967" s="119"/>
      <c r="AA967" s="505" t="b">
        <v>0</v>
      </c>
      <c r="AB967" s="504" t="b">
        <v>0</v>
      </c>
      <c r="AC967" s="121"/>
      <c r="AD967" s="505" t="b">
        <v>0</v>
      </c>
      <c r="AE967" s="504" t="b">
        <v>0</v>
      </c>
      <c r="AF967" s="125"/>
      <c r="AG967" s="505" t="b">
        <v>0</v>
      </c>
      <c r="AH967" s="504" t="b">
        <v>0</v>
      </c>
      <c r="AI967" s="105"/>
      <c r="AJ967" s="505" t="b">
        <v>0</v>
      </c>
      <c r="AK967" s="504" t="b">
        <v>0</v>
      </c>
      <c r="AL967" s="126"/>
      <c r="AM967" s="505" t="b">
        <v>0</v>
      </c>
      <c r="AN967" s="504" t="b">
        <v>0</v>
      </c>
      <c r="AO967" s="105"/>
      <c r="AP967" s="105"/>
      <c r="AQ967" s="105"/>
      <c r="AR967" s="105"/>
      <c r="AS967" s="105"/>
      <c r="AT967" s="105"/>
      <c r="AU967" s="105"/>
      <c r="AV967" s="105"/>
      <c r="AW967" s="105"/>
      <c r="AX967" s="105"/>
      <c r="AY967" s="105"/>
      <c r="AZ967" s="105"/>
      <c r="BA967" s="105"/>
    </row>
    <row r="968">
      <c r="A968" s="105"/>
      <c r="B968" s="105"/>
      <c r="C968" s="105"/>
      <c r="D968" s="105"/>
      <c r="E968" s="105"/>
      <c r="F968" s="105"/>
      <c r="G968" s="105"/>
      <c r="H968" s="105"/>
      <c r="I968" s="505" t="b">
        <v>0</v>
      </c>
      <c r="J968" s="507" t="b">
        <v>0</v>
      </c>
      <c r="K968" s="112"/>
      <c r="L968" s="505" t="b">
        <v>0</v>
      </c>
      <c r="M968" s="504" t="b">
        <v>0</v>
      </c>
      <c r="N968" s="112"/>
      <c r="O968" s="505" t="b">
        <v>0</v>
      </c>
      <c r="P968" s="504" t="b">
        <v>0</v>
      </c>
      <c r="Q968" s="116"/>
      <c r="R968" s="505" t="b">
        <v>0</v>
      </c>
      <c r="S968" s="504" t="b">
        <v>0</v>
      </c>
      <c r="T968" s="117"/>
      <c r="U968" s="505" t="b">
        <v>0</v>
      </c>
      <c r="V968" s="504" t="b">
        <v>0</v>
      </c>
      <c r="W968" s="118"/>
      <c r="X968" s="505" t="b">
        <v>0</v>
      </c>
      <c r="Y968" s="504" t="b">
        <v>0</v>
      </c>
      <c r="Z968" s="119"/>
      <c r="AA968" s="505" t="b">
        <v>0</v>
      </c>
      <c r="AB968" s="504" t="b">
        <v>0</v>
      </c>
      <c r="AC968" s="121"/>
      <c r="AD968" s="505" t="b">
        <v>0</v>
      </c>
      <c r="AE968" s="504" t="b">
        <v>0</v>
      </c>
      <c r="AF968" s="125"/>
      <c r="AG968" s="505" t="b">
        <v>0</v>
      </c>
      <c r="AH968" s="504" t="b">
        <v>0</v>
      </c>
      <c r="AI968" s="105"/>
      <c r="AJ968" s="505" t="b">
        <v>0</v>
      </c>
      <c r="AK968" s="504" t="b">
        <v>0</v>
      </c>
      <c r="AL968" s="126"/>
      <c r="AM968" s="505" t="b">
        <v>0</v>
      </c>
      <c r="AN968" s="504" t="b">
        <v>0</v>
      </c>
      <c r="AO968" s="105"/>
      <c r="AP968" s="105"/>
      <c r="AQ968" s="105"/>
      <c r="AR968" s="105"/>
      <c r="AS968" s="105"/>
      <c r="AT968" s="105"/>
      <c r="AU968" s="105"/>
      <c r="AV968" s="105"/>
      <c r="AW968" s="105"/>
      <c r="AX968" s="105"/>
      <c r="AY968" s="105"/>
      <c r="AZ968" s="105"/>
      <c r="BA968" s="105"/>
    </row>
    <row r="969">
      <c r="A969" s="105"/>
      <c r="B969" s="105"/>
      <c r="C969" s="105"/>
      <c r="D969" s="105"/>
      <c r="E969" s="105"/>
      <c r="F969" s="105"/>
      <c r="G969" s="105"/>
      <c r="H969" s="105"/>
      <c r="I969" s="505" t="b">
        <v>0</v>
      </c>
      <c r="J969" s="507" t="b">
        <v>0</v>
      </c>
      <c r="K969" s="112"/>
      <c r="L969" s="505" t="b">
        <v>0</v>
      </c>
      <c r="M969" s="504" t="b">
        <v>0</v>
      </c>
      <c r="N969" s="112"/>
      <c r="O969" s="505" t="b">
        <v>0</v>
      </c>
      <c r="P969" s="504" t="b">
        <v>0</v>
      </c>
      <c r="Q969" s="116"/>
      <c r="R969" s="505" t="b">
        <v>0</v>
      </c>
      <c r="S969" s="504" t="b">
        <v>0</v>
      </c>
      <c r="T969" s="117"/>
      <c r="U969" s="505" t="b">
        <v>0</v>
      </c>
      <c r="V969" s="504" t="b">
        <v>0</v>
      </c>
      <c r="W969" s="118"/>
      <c r="X969" s="505" t="b">
        <v>0</v>
      </c>
      <c r="Y969" s="504" t="b">
        <v>0</v>
      </c>
      <c r="Z969" s="119"/>
      <c r="AA969" s="505" t="b">
        <v>0</v>
      </c>
      <c r="AB969" s="504" t="b">
        <v>0</v>
      </c>
      <c r="AC969" s="121"/>
      <c r="AD969" s="505" t="b">
        <v>0</v>
      </c>
      <c r="AE969" s="504" t="b">
        <v>0</v>
      </c>
      <c r="AF969" s="125"/>
      <c r="AG969" s="505" t="b">
        <v>0</v>
      </c>
      <c r="AH969" s="504" t="b">
        <v>0</v>
      </c>
      <c r="AI969" s="105"/>
      <c r="AJ969" s="505" t="b">
        <v>0</v>
      </c>
      <c r="AK969" s="504" t="b">
        <v>0</v>
      </c>
      <c r="AL969" s="126"/>
      <c r="AM969" s="505" t="b">
        <v>0</v>
      </c>
      <c r="AN969" s="504" t="b">
        <v>0</v>
      </c>
      <c r="AO969" s="105"/>
      <c r="AP969" s="105"/>
      <c r="AQ969" s="105"/>
      <c r="AR969" s="105"/>
      <c r="AS969" s="105"/>
      <c r="AT969" s="105"/>
      <c r="AU969" s="105"/>
      <c r="AV969" s="105"/>
      <c r="AW969" s="105"/>
      <c r="AX969" s="105"/>
      <c r="AY969" s="105"/>
      <c r="AZ969" s="105"/>
      <c r="BA969" s="105"/>
    </row>
    <row r="970">
      <c r="A970" s="105"/>
      <c r="B970" s="105"/>
      <c r="C970" s="105"/>
      <c r="D970" s="105"/>
      <c r="E970" s="105"/>
      <c r="F970" s="105"/>
      <c r="G970" s="105"/>
      <c r="H970" s="105"/>
      <c r="I970" s="505" t="b">
        <v>0</v>
      </c>
      <c r="J970" s="507" t="b">
        <v>0</v>
      </c>
      <c r="K970" s="112"/>
      <c r="L970" s="505" t="b">
        <v>0</v>
      </c>
      <c r="M970" s="504" t="b">
        <v>0</v>
      </c>
      <c r="N970" s="112"/>
      <c r="O970" s="505" t="b">
        <v>0</v>
      </c>
      <c r="P970" s="504" t="b">
        <v>0</v>
      </c>
      <c r="Q970" s="116"/>
      <c r="R970" s="505" t="b">
        <v>0</v>
      </c>
      <c r="S970" s="504" t="b">
        <v>0</v>
      </c>
      <c r="T970" s="117"/>
      <c r="U970" s="505" t="b">
        <v>0</v>
      </c>
      <c r="V970" s="504" t="b">
        <v>0</v>
      </c>
      <c r="W970" s="118"/>
      <c r="X970" s="505" t="b">
        <v>0</v>
      </c>
      <c r="Y970" s="504" t="b">
        <v>0</v>
      </c>
      <c r="Z970" s="119"/>
      <c r="AA970" s="505" t="b">
        <v>0</v>
      </c>
      <c r="AB970" s="504" t="b">
        <v>0</v>
      </c>
      <c r="AC970" s="121"/>
      <c r="AD970" s="505" t="b">
        <v>0</v>
      </c>
      <c r="AE970" s="504" t="b">
        <v>0</v>
      </c>
      <c r="AF970" s="125"/>
      <c r="AG970" s="505" t="b">
        <v>0</v>
      </c>
      <c r="AH970" s="504" t="b">
        <v>0</v>
      </c>
      <c r="AI970" s="105"/>
      <c r="AJ970" s="505" t="b">
        <v>0</v>
      </c>
      <c r="AK970" s="504" t="b">
        <v>0</v>
      </c>
      <c r="AL970" s="126"/>
      <c r="AM970" s="505" t="b">
        <v>0</v>
      </c>
      <c r="AN970" s="504" t="b">
        <v>0</v>
      </c>
      <c r="AO970" s="105"/>
      <c r="AP970" s="105"/>
      <c r="AQ970" s="105"/>
      <c r="AR970" s="105"/>
      <c r="AS970" s="105"/>
      <c r="AT970" s="105"/>
      <c r="AU970" s="105"/>
      <c r="AV970" s="105"/>
      <c r="AW970" s="105"/>
      <c r="AX970" s="105"/>
      <c r="AY970" s="105"/>
      <c r="AZ970" s="105"/>
      <c r="BA970" s="105"/>
    </row>
    <row r="971">
      <c r="A971" s="105"/>
      <c r="B971" s="105"/>
      <c r="C971" s="105"/>
      <c r="D971" s="105"/>
      <c r="E971" s="105"/>
      <c r="F971" s="105"/>
      <c r="G971" s="105"/>
      <c r="H971" s="105"/>
      <c r="I971" s="505" t="b">
        <v>0</v>
      </c>
      <c r="J971" s="507" t="b">
        <v>0</v>
      </c>
      <c r="K971" s="112"/>
      <c r="L971" s="505" t="b">
        <v>0</v>
      </c>
      <c r="M971" s="504" t="b">
        <v>0</v>
      </c>
      <c r="N971" s="112"/>
      <c r="O971" s="505" t="b">
        <v>0</v>
      </c>
      <c r="P971" s="504" t="b">
        <v>0</v>
      </c>
      <c r="Q971" s="116"/>
      <c r="R971" s="505" t="b">
        <v>0</v>
      </c>
      <c r="S971" s="504" t="b">
        <v>0</v>
      </c>
      <c r="T971" s="117"/>
      <c r="U971" s="505" t="b">
        <v>0</v>
      </c>
      <c r="V971" s="504" t="b">
        <v>0</v>
      </c>
      <c r="W971" s="118"/>
      <c r="X971" s="505" t="b">
        <v>0</v>
      </c>
      <c r="Y971" s="504" t="b">
        <v>0</v>
      </c>
      <c r="Z971" s="119"/>
      <c r="AA971" s="505" t="b">
        <v>0</v>
      </c>
      <c r="AB971" s="504" t="b">
        <v>0</v>
      </c>
      <c r="AC971" s="121"/>
      <c r="AD971" s="505" t="b">
        <v>0</v>
      </c>
      <c r="AE971" s="504" t="b">
        <v>0</v>
      </c>
      <c r="AF971" s="125"/>
      <c r="AG971" s="505" t="b">
        <v>0</v>
      </c>
      <c r="AH971" s="504" t="b">
        <v>0</v>
      </c>
      <c r="AI971" s="105"/>
      <c r="AJ971" s="505" t="b">
        <v>0</v>
      </c>
      <c r="AK971" s="504" t="b">
        <v>0</v>
      </c>
      <c r="AL971" s="126"/>
      <c r="AM971" s="505" t="b">
        <v>0</v>
      </c>
      <c r="AN971" s="504" t="b">
        <v>0</v>
      </c>
      <c r="AO971" s="105"/>
      <c r="AP971" s="105"/>
      <c r="AQ971" s="105"/>
      <c r="AR971" s="105"/>
      <c r="AS971" s="105"/>
      <c r="AT971" s="105"/>
      <c r="AU971" s="105"/>
      <c r="AV971" s="105"/>
      <c r="AW971" s="105"/>
      <c r="AX971" s="105"/>
      <c r="AY971" s="105"/>
      <c r="AZ971" s="105"/>
      <c r="BA971" s="105"/>
    </row>
    <row r="972">
      <c r="A972" s="105"/>
      <c r="B972" s="105"/>
      <c r="C972" s="105"/>
      <c r="D972" s="105"/>
      <c r="E972" s="105"/>
      <c r="F972" s="105"/>
      <c r="G972" s="105"/>
      <c r="H972" s="105"/>
      <c r="I972" s="505" t="b">
        <v>0</v>
      </c>
      <c r="J972" s="507" t="b">
        <v>0</v>
      </c>
      <c r="K972" s="112"/>
      <c r="L972" s="505" t="b">
        <v>0</v>
      </c>
      <c r="M972" s="504" t="b">
        <v>0</v>
      </c>
      <c r="N972" s="112"/>
      <c r="O972" s="505" t="b">
        <v>0</v>
      </c>
      <c r="P972" s="504" t="b">
        <v>0</v>
      </c>
      <c r="Q972" s="116"/>
      <c r="R972" s="505" t="b">
        <v>0</v>
      </c>
      <c r="S972" s="504" t="b">
        <v>0</v>
      </c>
      <c r="T972" s="117"/>
      <c r="U972" s="505" t="b">
        <v>0</v>
      </c>
      <c r="V972" s="504" t="b">
        <v>0</v>
      </c>
      <c r="W972" s="118"/>
      <c r="X972" s="505" t="b">
        <v>0</v>
      </c>
      <c r="Y972" s="504" t="b">
        <v>0</v>
      </c>
      <c r="Z972" s="119"/>
      <c r="AA972" s="505" t="b">
        <v>0</v>
      </c>
      <c r="AB972" s="504" t="b">
        <v>0</v>
      </c>
      <c r="AC972" s="121"/>
      <c r="AD972" s="505" t="b">
        <v>0</v>
      </c>
      <c r="AE972" s="504" t="b">
        <v>0</v>
      </c>
      <c r="AF972" s="125"/>
      <c r="AG972" s="505" t="b">
        <v>0</v>
      </c>
      <c r="AH972" s="504" t="b">
        <v>0</v>
      </c>
      <c r="AI972" s="105"/>
      <c r="AJ972" s="505" t="b">
        <v>0</v>
      </c>
      <c r="AK972" s="504" t="b">
        <v>0</v>
      </c>
      <c r="AL972" s="126"/>
      <c r="AM972" s="505" t="b">
        <v>0</v>
      </c>
      <c r="AN972" s="504" t="b">
        <v>0</v>
      </c>
      <c r="AO972" s="105"/>
      <c r="AP972" s="105"/>
      <c r="AQ972" s="105"/>
      <c r="AR972" s="105"/>
      <c r="AS972" s="105"/>
      <c r="AT972" s="105"/>
      <c r="AU972" s="105"/>
      <c r="AV972" s="105"/>
      <c r="AW972" s="105"/>
      <c r="AX972" s="105"/>
      <c r="AY972" s="105"/>
      <c r="AZ972" s="105"/>
      <c r="BA972" s="105"/>
    </row>
    <row r="973">
      <c r="A973" s="105"/>
      <c r="B973" s="105"/>
      <c r="C973" s="105"/>
      <c r="D973" s="105"/>
      <c r="E973" s="105"/>
      <c r="F973" s="105"/>
      <c r="G973" s="105"/>
      <c r="H973" s="105"/>
      <c r="I973" s="505" t="b">
        <v>0</v>
      </c>
      <c r="J973" s="507" t="b">
        <v>0</v>
      </c>
      <c r="K973" s="112"/>
      <c r="L973" s="505" t="b">
        <v>0</v>
      </c>
      <c r="M973" s="504" t="b">
        <v>0</v>
      </c>
      <c r="N973" s="112"/>
      <c r="O973" s="505" t="b">
        <v>0</v>
      </c>
      <c r="P973" s="504" t="b">
        <v>0</v>
      </c>
      <c r="Q973" s="116"/>
      <c r="R973" s="505" t="b">
        <v>0</v>
      </c>
      <c r="S973" s="504" t="b">
        <v>0</v>
      </c>
      <c r="T973" s="117"/>
      <c r="U973" s="505" t="b">
        <v>0</v>
      </c>
      <c r="V973" s="504" t="b">
        <v>0</v>
      </c>
      <c r="W973" s="118"/>
      <c r="X973" s="505" t="b">
        <v>0</v>
      </c>
      <c r="Y973" s="504" t="b">
        <v>0</v>
      </c>
      <c r="Z973" s="119"/>
      <c r="AA973" s="505" t="b">
        <v>0</v>
      </c>
      <c r="AB973" s="504" t="b">
        <v>0</v>
      </c>
      <c r="AC973" s="121"/>
      <c r="AD973" s="505" t="b">
        <v>0</v>
      </c>
      <c r="AE973" s="504" t="b">
        <v>0</v>
      </c>
      <c r="AF973" s="125"/>
      <c r="AG973" s="505" t="b">
        <v>0</v>
      </c>
      <c r="AH973" s="504" t="b">
        <v>0</v>
      </c>
      <c r="AI973" s="105"/>
      <c r="AJ973" s="505" t="b">
        <v>0</v>
      </c>
      <c r="AK973" s="504" t="b">
        <v>0</v>
      </c>
      <c r="AL973" s="126"/>
      <c r="AM973" s="505" t="b">
        <v>0</v>
      </c>
      <c r="AN973" s="504" t="b">
        <v>0</v>
      </c>
      <c r="AO973" s="105"/>
      <c r="AP973" s="105"/>
      <c r="AQ973" s="105"/>
      <c r="AR973" s="105"/>
      <c r="AS973" s="105"/>
      <c r="AT973" s="105"/>
      <c r="AU973" s="105"/>
      <c r="AV973" s="105"/>
      <c r="AW973" s="105"/>
      <c r="AX973" s="105"/>
      <c r="AY973" s="105"/>
      <c r="AZ973" s="105"/>
      <c r="BA973" s="105"/>
    </row>
    <row r="974">
      <c r="A974" s="105"/>
      <c r="B974" s="105"/>
      <c r="C974" s="105"/>
      <c r="D974" s="105"/>
      <c r="E974" s="105"/>
      <c r="F974" s="105"/>
      <c r="G974" s="105"/>
      <c r="H974" s="105"/>
      <c r="I974" s="505" t="b">
        <v>0</v>
      </c>
      <c r="J974" s="507" t="b">
        <v>0</v>
      </c>
      <c r="K974" s="112"/>
      <c r="L974" s="505" t="b">
        <v>0</v>
      </c>
      <c r="M974" s="504" t="b">
        <v>0</v>
      </c>
      <c r="N974" s="112"/>
      <c r="O974" s="505" t="b">
        <v>0</v>
      </c>
      <c r="P974" s="504" t="b">
        <v>0</v>
      </c>
      <c r="Q974" s="116"/>
      <c r="R974" s="505" t="b">
        <v>0</v>
      </c>
      <c r="S974" s="504" t="b">
        <v>0</v>
      </c>
      <c r="T974" s="117"/>
      <c r="U974" s="505" t="b">
        <v>0</v>
      </c>
      <c r="V974" s="504" t="b">
        <v>0</v>
      </c>
      <c r="W974" s="118"/>
      <c r="X974" s="505" t="b">
        <v>0</v>
      </c>
      <c r="Y974" s="504" t="b">
        <v>0</v>
      </c>
      <c r="Z974" s="119"/>
      <c r="AA974" s="505" t="b">
        <v>0</v>
      </c>
      <c r="AB974" s="504" t="b">
        <v>0</v>
      </c>
      <c r="AC974" s="121"/>
      <c r="AD974" s="505" t="b">
        <v>0</v>
      </c>
      <c r="AE974" s="504" t="b">
        <v>0</v>
      </c>
      <c r="AF974" s="125"/>
      <c r="AG974" s="505" t="b">
        <v>0</v>
      </c>
      <c r="AH974" s="504" t="b">
        <v>0</v>
      </c>
      <c r="AI974" s="105"/>
      <c r="AJ974" s="505" t="b">
        <v>0</v>
      </c>
      <c r="AK974" s="504" t="b">
        <v>0</v>
      </c>
      <c r="AL974" s="126"/>
      <c r="AM974" s="505" t="b">
        <v>0</v>
      </c>
      <c r="AN974" s="504" t="b">
        <v>0</v>
      </c>
      <c r="AO974" s="105"/>
      <c r="AP974" s="105"/>
      <c r="AQ974" s="105"/>
      <c r="AR974" s="105"/>
      <c r="AS974" s="105"/>
      <c r="AT974" s="105"/>
      <c r="AU974" s="105"/>
      <c r="AV974" s="105"/>
      <c r="AW974" s="105"/>
      <c r="AX974" s="105"/>
      <c r="AY974" s="105"/>
      <c r="AZ974" s="105"/>
      <c r="BA974" s="105"/>
    </row>
    <row r="975">
      <c r="A975" s="105"/>
      <c r="B975" s="105"/>
      <c r="C975" s="105"/>
      <c r="D975" s="105"/>
      <c r="E975" s="105"/>
      <c r="F975" s="105"/>
      <c r="G975" s="105"/>
      <c r="H975" s="105"/>
      <c r="I975" s="505" t="b">
        <v>0</v>
      </c>
      <c r="J975" s="507" t="b">
        <v>0</v>
      </c>
      <c r="K975" s="112"/>
      <c r="L975" s="505" t="b">
        <v>0</v>
      </c>
      <c r="M975" s="504" t="b">
        <v>0</v>
      </c>
      <c r="N975" s="112"/>
      <c r="O975" s="505" t="b">
        <v>0</v>
      </c>
      <c r="P975" s="504" t="b">
        <v>0</v>
      </c>
      <c r="Q975" s="116"/>
      <c r="R975" s="505" t="b">
        <v>0</v>
      </c>
      <c r="S975" s="504" t="b">
        <v>0</v>
      </c>
      <c r="T975" s="117"/>
      <c r="U975" s="505" t="b">
        <v>0</v>
      </c>
      <c r="V975" s="504" t="b">
        <v>0</v>
      </c>
      <c r="W975" s="118"/>
      <c r="X975" s="505" t="b">
        <v>0</v>
      </c>
      <c r="Y975" s="504" t="b">
        <v>0</v>
      </c>
      <c r="Z975" s="119"/>
      <c r="AA975" s="505" t="b">
        <v>0</v>
      </c>
      <c r="AB975" s="504" t="b">
        <v>0</v>
      </c>
      <c r="AC975" s="121"/>
      <c r="AD975" s="505" t="b">
        <v>0</v>
      </c>
      <c r="AE975" s="504" t="b">
        <v>0</v>
      </c>
      <c r="AF975" s="125"/>
      <c r="AG975" s="505" t="b">
        <v>0</v>
      </c>
      <c r="AH975" s="504" t="b">
        <v>0</v>
      </c>
      <c r="AI975" s="105"/>
      <c r="AJ975" s="505" t="b">
        <v>0</v>
      </c>
      <c r="AK975" s="504" t="b">
        <v>0</v>
      </c>
      <c r="AL975" s="126"/>
      <c r="AM975" s="505" t="b">
        <v>0</v>
      </c>
      <c r="AN975" s="504" t="b">
        <v>0</v>
      </c>
      <c r="AO975" s="105"/>
      <c r="AP975" s="105"/>
      <c r="AQ975" s="105"/>
      <c r="AR975" s="105"/>
      <c r="AS975" s="105"/>
      <c r="AT975" s="105"/>
      <c r="AU975" s="105"/>
      <c r="AV975" s="105"/>
      <c r="AW975" s="105"/>
      <c r="AX975" s="105"/>
      <c r="AY975" s="105"/>
      <c r="AZ975" s="105"/>
      <c r="BA975" s="105"/>
    </row>
    <row r="976">
      <c r="A976" s="105"/>
      <c r="B976" s="105"/>
      <c r="C976" s="105"/>
      <c r="D976" s="105"/>
      <c r="E976" s="105"/>
      <c r="F976" s="105"/>
      <c r="G976" s="105"/>
      <c r="H976" s="105"/>
      <c r="I976" s="505" t="b">
        <v>0</v>
      </c>
      <c r="J976" s="507" t="b">
        <v>0</v>
      </c>
      <c r="K976" s="112"/>
      <c r="L976" s="505" t="b">
        <v>0</v>
      </c>
      <c r="M976" s="504" t="b">
        <v>0</v>
      </c>
      <c r="N976" s="112"/>
      <c r="O976" s="505" t="b">
        <v>0</v>
      </c>
      <c r="P976" s="504" t="b">
        <v>0</v>
      </c>
      <c r="Q976" s="116"/>
      <c r="R976" s="505" t="b">
        <v>0</v>
      </c>
      <c r="S976" s="504" t="b">
        <v>0</v>
      </c>
      <c r="T976" s="117"/>
      <c r="U976" s="505" t="b">
        <v>0</v>
      </c>
      <c r="V976" s="504" t="b">
        <v>0</v>
      </c>
      <c r="W976" s="118"/>
      <c r="X976" s="505" t="b">
        <v>0</v>
      </c>
      <c r="Y976" s="504" t="b">
        <v>0</v>
      </c>
      <c r="Z976" s="119"/>
      <c r="AA976" s="505" t="b">
        <v>0</v>
      </c>
      <c r="AB976" s="504" t="b">
        <v>0</v>
      </c>
      <c r="AC976" s="121"/>
      <c r="AD976" s="505" t="b">
        <v>0</v>
      </c>
      <c r="AE976" s="504" t="b">
        <v>0</v>
      </c>
      <c r="AF976" s="125"/>
      <c r="AG976" s="505" t="b">
        <v>0</v>
      </c>
      <c r="AH976" s="504" t="b">
        <v>0</v>
      </c>
      <c r="AI976" s="105"/>
      <c r="AJ976" s="505" t="b">
        <v>0</v>
      </c>
      <c r="AK976" s="504" t="b">
        <v>0</v>
      </c>
      <c r="AL976" s="126"/>
      <c r="AM976" s="505" t="b">
        <v>0</v>
      </c>
      <c r="AN976" s="504" t="b">
        <v>0</v>
      </c>
      <c r="AO976" s="105"/>
      <c r="AP976" s="105"/>
      <c r="AQ976" s="105"/>
      <c r="AR976" s="105"/>
      <c r="AS976" s="105"/>
      <c r="AT976" s="105"/>
      <c r="AU976" s="105"/>
      <c r="AV976" s="105"/>
      <c r="AW976" s="105"/>
      <c r="AX976" s="105"/>
      <c r="AY976" s="105"/>
      <c r="AZ976" s="105"/>
      <c r="BA976" s="105"/>
    </row>
    <row r="977">
      <c r="A977" s="105"/>
      <c r="B977" s="105"/>
      <c r="C977" s="105"/>
      <c r="D977" s="105"/>
      <c r="E977" s="105"/>
      <c r="F977" s="105"/>
      <c r="G977" s="105"/>
      <c r="H977" s="105"/>
      <c r="I977" s="505" t="b">
        <v>0</v>
      </c>
      <c r="J977" s="507" t="b">
        <v>0</v>
      </c>
      <c r="K977" s="112"/>
      <c r="L977" s="505" t="b">
        <v>0</v>
      </c>
      <c r="M977" s="504" t="b">
        <v>0</v>
      </c>
      <c r="N977" s="112"/>
      <c r="O977" s="505" t="b">
        <v>0</v>
      </c>
      <c r="P977" s="504" t="b">
        <v>0</v>
      </c>
      <c r="Q977" s="116"/>
      <c r="R977" s="505" t="b">
        <v>0</v>
      </c>
      <c r="S977" s="504" t="b">
        <v>0</v>
      </c>
      <c r="T977" s="117"/>
      <c r="U977" s="505" t="b">
        <v>0</v>
      </c>
      <c r="V977" s="504" t="b">
        <v>0</v>
      </c>
      <c r="W977" s="118"/>
      <c r="X977" s="505" t="b">
        <v>0</v>
      </c>
      <c r="Y977" s="504" t="b">
        <v>0</v>
      </c>
      <c r="Z977" s="119"/>
      <c r="AA977" s="505" t="b">
        <v>0</v>
      </c>
      <c r="AB977" s="504" t="b">
        <v>0</v>
      </c>
      <c r="AC977" s="121"/>
      <c r="AD977" s="505" t="b">
        <v>0</v>
      </c>
      <c r="AE977" s="504" t="b">
        <v>0</v>
      </c>
      <c r="AF977" s="125"/>
      <c r="AG977" s="505" t="b">
        <v>0</v>
      </c>
      <c r="AH977" s="504" t="b">
        <v>0</v>
      </c>
      <c r="AI977" s="105"/>
      <c r="AJ977" s="505" t="b">
        <v>0</v>
      </c>
      <c r="AK977" s="504" t="b">
        <v>0</v>
      </c>
      <c r="AL977" s="126"/>
      <c r="AM977" s="505" t="b">
        <v>0</v>
      </c>
      <c r="AN977" s="504" t="b">
        <v>0</v>
      </c>
      <c r="AO977" s="105"/>
      <c r="AP977" s="105"/>
      <c r="AQ977" s="105"/>
      <c r="AR977" s="105"/>
      <c r="AS977" s="105"/>
      <c r="AT977" s="105"/>
      <c r="AU977" s="105"/>
      <c r="AV977" s="105"/>
      <c r="AW977" s="105"/>
      <c r="AX977" s="105"/>
      <c r="AY977" s="105"/>
      <c r="AZ977" s="105"/>
      <c r="BA977" s="105"/>
    </row>
    <row r="978">
      <c r="A978" s="105"/>
      <c r="B978" s="105"/>
      <c r="C978" s="105"/>
      <c r="D978" s="105"/>
      <c r="E978" s="105"/>
      <c r="F978" s="105"/>
      <c r="G978" s="105"/>
      <c r="H978" s="105"/>
      <c r="I978" s="505" t="b">
        <v>0</v>
      </c>
      <c r="J978" s="507" t="b">
        <v>0</v>
      </c>
      <c r="K978" s="112"/>
      <c r="L978" s="505" t="b">
        <v>0</v>
      </c>
      <c r="M978" s="504" t="b">
        <v>0</v>
      </c>
      <c r="N978" s="112"/>
      <c r="O978" s="505" t="b">
        <v>0</v>
      </c>
      <c r="P978" s="504" t="b">
        <v>0</v>
      </c>
      <c r="Q978" s="116"/>
      <c r="R978" s="505" t="b">
        <v>0</v>
      </c>
      <c r="S978" s="504" t="b">
        <v>0</v>
      </c>
      <c r="T978" s="117"/>
      <c r="U978" s="505" t="b">
        <v>0</v>
      </c>
      <c r="V978" s="504" t="b">
        <v>0</v>
      </c>
      <c r="W978" s="118"/>
      <c r="X978" s="505" t="b">
        <v>0</v>
      </c>
      <c r="Y978" s="504" t="b">
        <v>0</v>
      </c>
      <c r="Z978" s="119"/>
      <c r="AA978" s="505" t="b">
        <v>0</v>
      </c>
      <c r="AB978" s="504" t="b">
        <v>0</v>
      </c>
      <c r="AC978" s="121"/>
      <c r="AD978" s="505" t="b">
        <v>0</v>
      </c>
      <c r="AE978" s="504" t="b">
        <v>0</v>
      </c>
      <c r="AF978" s="125"/>
      <c r="AG978" s="505" t="b">
        <v>0</v>
      </c>
      <c r="AH978" s="504" t="b">
        <v>0</v>
      </c>
      <c r="AI978" s="105"/>
      <c r="AJ978" s="505" t="b">
        <v>0</v>
      </c>
      <c r="AK978" s="504" t="b">
        <v>0</v>
      </c>
      <c r="AL978" s="126"/>
      <c r="AM978" s="505" t="b">
        <v>0</v>
      </c>
      <c r="AN978" s="504" t="b">
        <v>0</v>
      </c>
      <c r="AO978" s="105"/>
      <c r="AP978" s="105"/>
      <c r="AQ978" s="105"/>
      <c r="AR978" s="105"/>
      <c r="AS978" s="105"/>
      <c r="AT978" s="105"/>
      <c r="AU978" s="105"/>
      <c r="AV978" s="105"/>
      <c r="AW978" s="105"/>
      <c r="AX978" s="105"/>
      <c r="AY978" s="105"/>
      <c r="AZ978" s="105"/>
      <c r="BA978" s="105"/>
    </row>
    <row r="979">
      <c r="A979" s="105"/>
      <c r="B979" s="105"/>
      <c r="C979" s="105"/>
      <c r="D979" s="105"/>
      <c r="E979" s="105"/>
      <c r="F979" s="105"/>
      <c r="G979" s="105"/>
      <c r="H979" s="105"/>
      <c r="I979" s="505" t="b">
        <v>0</v>
      </c>
      <c r="J979" s="507" t="b">
        <v>0</v>
      </c>
      <c r="K979" s="112"/>
      <c r="L979" s="505" t="b">
        <v>0</v>
      </c>
      <c r="M979" s="504" t="b">
        <v>0</v>
      </c>
      <c r="N979" s="112"/>
      <c r="O979" s="505" t="b">
        <v>0</v>
      </c>
      <c r="P979" s="504" t="b">
        <v>0</v>
      </c>
      <c r="Q979" s="116"/>
      <c r="R979" s="505" t="b">
        <v>0</v>
      </c>
      <c r="S979" s="504" t="b">
        <v>0</v>
      </c>
      <c r="T979" s="117"/>
      <c r="U979" s="505" t="b">
        <v>0</v>
      </c>
      <c r="V979" s="504" t="b">
        <v>0</v>
      </c>
      <c r="W979" s="118"/>
      <c r="X979" s="505" t="b">
        <v>0</v>
      </c>
      <c r="Y979" s="504" t="b">
        <v>0</v>
      </c>
      <c r="Z979" s="119"/>
      <c r="AA979" s="505" t="b">
        <v>0</v>
      </c>
      <c r="AB979" s="504" t="b">
        <v>0</v>
      </c>
      <c r="AC979" s="121"/>
      <c r="AD979" s="505" t="b">
        <v>0</v>
      </c>
      <c r="AE979" s="504" t="b">
        <v>0</v>
      </c>
      <c r="AF979" s="125"/>
      <c r="AG979" s="505" t="b">
        <v>0</v>
      </c>
      <c r="AH979" s="504" t="b">
        <v>0</v>
      </c>
      <c r="AI979" s="105"/>
      <c r="AJ979" s="505" t="b">
        <v>0</v>
      </c>
      <c r="AK979" s="504" t="b">
        <v>0</v>
      </c>
      <c r="AL979" s="126"/>
      <c r="AM979" s="505" t="b">
        <v>0</v>
      </c>
      <c r="AN979" s="504" t="b">
        <v>0</v>
      </c>
      <c r="AO979" s="105"/>
      <c r="AP979" s="105"/>
      <c r="AQ979" s="105"/>
      <c r="AR979" s="105"/>
      <c r="AS979" s="105"/>
      <c r="AT979" s="105"/>
      <c r="AU979" s="105"/>
      <c r="AV979" s="105"/>
      <c r="AW979" s="105"/>
      <c r="AX979" s="105"/>
      <c r="AY979" s="105"/>
      <c r="AZ979" s="105"/>
      <c r="BA979" s="105"/>
    </row>
    <row r="980">
      <c r="A980" s="105"/>
      <c r="B980" s="105"/>
      <c r="C980" s="105"/>
      <c r="D980" s="105"/>
      <c r="E980" s="105"/>
      <c r="F980" s="105"/>
      <c r="G980" s="105"/>
      <c r="H980" s="105"/>
      <c r="I980" s="505" t="b">
        <v>0</v>
      </c>
      <c r="J980" s="507" t="b">
        <v>0</v>
      </c>
      <c r="K980" s="112"/>
      <c r="L980" s="505" t="b">
        <v>0</v>
      </c>
      <c r="M980" s="504" t="b">
        <v>0</v>
      </c>
      <c r="N980" s="112"/>
      <c r="O980" s="505" t="b">
        <v>0</v>
      </c>
      <c r="P980" s="504" t="b">
        <v>0</v>
      </c>
      <c r="Q980" s="116"/>
      <c r="R980" s="505" t="b">
        <v>0</v>
      </c>
      <c r="S980" s="504" t="b">
        <v>0</v>
      </c>
      <c r="T980" s="117"/>
      <c r="U980" s="505" t="b">
        <v>0</v>
      </c>
      <c r="V980" s="504" t="b">
        <v>0</v>
      </c>
      <c r="W980" s="118"/>
      <c r="X980" s="505" t="b">
        <v>0</v>
      </c>
      <c r="Y980" s="504" t="b">
        <v>0</v>
      </c>
      <c r="Z980" s="119"/>
      <c r="AA980" s="505" t="b">
        <v>0</v>
      </c>
      <c r="AB980" s="504" t="b">
        <v>0</v>
      </c>
      <c r="AC980" s="121"/>
      <c r="AD980" s="505" t="b">
        <v>0</v>
      </c>
      <c r="AE980" s="504" t="b">
        <v>0</v>
      </c>
      <c r="AF980" s="125"/>
      <c r="AG980" s="505" t="b">
        <v>0</v>
      </c>
      <c r="AH980" s="504" t="b">
        <v>0</v>
      </c>
      <c r="AI980" s="105"/>
      <c r="AJ980" s="505" t="b">
        <v>0</v>
      </c>
      <c r="AK980" s="504" t="b">
        <v>0</v>
      </c>
      <c r="AL980" s="126"/>
      <c r="AM980" s="505" t="b">
        <v>0</v>
      </c>
      <c r="AN980" s="504" t="b">
        <v>0</v>
      </c>
      <c r="AO980" s="105"/>
      <c r="AP980" s="105"/>
      <c r="AQ980" s="105"/>
      <c r="AR980" s="105"/>
      <c r="AS980" s="105"/>
      <c r="AT980" s="105"/>
      <c r="AU980" s="105"/>
      <c r="AV980" s="105"/>
      <c r="AW980" s="105"/>
      <c r="AX980" s="105"/>
      <c r="AY980" s="105"/>
      <c r="AZ980" s="105"/>
      <c r="BA980" s="105"/>
    </row>
    <row r="981">
      <c r="A981" s="105"/>
      <c r="B981" s="105"/>
      <c r="C981" s="105"/>
      <c r="D981" s="105"/>
      <c r="E981" s="105"/>
      <c r="F981" s="105"/>
      <c r="G981" s="105"/>
      <c r="H981" s="105"/>
      <c r="I981" s="505" t="b">
        <v>0</v>
      </c>
      <c r="J981" s="507" t="b">
        <v>0</v>
      </c>
      <c r="K981" s="112"/>
      <c r="L981" s="505" t="b">
        <v>0</v>
      </c>
      <c r="M981" s="504" t="b">
        <v>0</v>
      </c>
      <c r="N981" s="112"/>
      <c r="O981" s="505" t="b">
        <v>0</v>
      </c>
      <c r="P981" s="504" t="b">
        <v>0</v>
      </c>
      <c r="Q981" s="116"/>
      <c r="R981" s="505" t="b">
        <v>0</v>
      </c>
      <c r="S981" s="504" t="b">
        <v>0</v>
      </c>
      <c r="T981" s="117"/>
      <c r="U981" s="505" t="b">
        <v>0</v>
      </c>
      <c r="V981" s="504" t="b">
        <v>0</v>
      </c>
      <c r="W981" s="118"/>
      <c r="X981" s="505" t="b">
        <v>0</v>
      </c>
      <c r="Y981" s="504" t="b">
        <v>0</v>
      </c>
      <c r="Z981" s="119"/>
      <c r="AA981" s="505" t="b">
        <v>0</v>
      </c>
      <c r="AB981" s="504" t="b">
        <v>0</v>
      </c>
      <c r="AC981" s="121"/>
      <c r="AD981" s="505" t="b">
        <v>0</v>
      </c>
      <c r="AE981" s="504" t="b">
        <v>0</v>
      </c>
      <c r="AF981" s="125"/>
      <c r="AG981" s="505" t="b">
        <v>0</v>
      </c>
      <c r="AH981" s="504" t="b">
        <v>0</v>
      </c>
      <c r="AI981" s="105"/>
      <c r="AJ981" s="505" t="b">
        <v>0</v>
      </c>
      <c r="AK981" s="504" t="b">
        <v>0</v>
      </c>
      <c r="AL981" s="126"/>
      <c r="AM981" s="505" t="b">
        <v>0</v>
      </c>
      <c r="AN981" s="504" t="b">
        <v>0</v>
      </c>
      <c r="AO981" s="105"/>
      <c r="AP981" s="105"/>
      <c r="AQ981" s="105"/>
      <c r="AR981" s="105"/>
      <c r="AS981" s="105"/>
      <c r="AT981" s="105"/>
      <c r="AU981" s="105"/>
      <c r="AV981" s="105"/>
      <c r="AW981" s="105"/>
      <c r="AX981" s="105"/>
      <c r="AY981" s="105"/>
      <c r="AZ981" s="105"/>
      <c r="BA981" s="105"/>
    </row>
    <row r="982">
      <c r="A982" s="105"/>
      <c r="B982" s="105"/>
      <c r="C982" s="105"/>
      <c r="D982" s="105"/>
      <c r="E982" s="105"/>
      <c r="F982" s="105"/>
      <c r="G982" s="105"/>
      <c r="H982" s="105"/>
      <c r="I982" s="505" t="b">
        <v>0</v>
      </c>
      <c r="J982" s="507" t="b">
        <v>0</v>
      </c>
      <c r="K982" s="112"/>
      <c r="L982" s="505" t="b">
        <v>0</v>
      </c>
      <c r="M982" s="504" t="b">
        <v>0</v>
      </c>
      <c r="N982" s="112"/>
      <c r="O982" s="505" t="b">
        <v>0</v>
      </c>
      <c r="P982" s="504" t="b">
        <v>0</v>
      </c>
      <c r="Q982" s="116"/>
      <c r="R982" s="505" t="b">
        <v>0</v>
      </c>
      <c r="S982" s="504" t="b">
        <v>0</v>
      </c>
      <c r="T982" s="117"/>
      <c r="U982" s="505" t="b">
        <v>0</v>
      </c>
      <c r="V982" s="504" t="b">
        <v>0</v>
      </c>
      <c r="W982" s="118"/>
      <c r="X982" s="505" t="b">
        <v>0</v>
      </c>
      <c r="Y982" s="504" t="b">
        <v>0</v>
      </c>
      <c r="Z982" s="119"/>
      <c r="AA982" s="505" t="b">
        <v>0</v>
      </c>
      <c r="AB982" s="504" t="b">
        <v>0</v>
      </c>
      <c r="AC982" s="121"/>
      <c r="AD982" s="505" t="b">
        <v>0</v>
      </c>
      <c r="AE982" s="504" t="b">
        <v>0</v>
      </c>
      <c r="AF982" s="125"/>
      <c r="AG982" s="505" t="b">
        <v>0</v>
      </c>
      <c r="AH982" s="504" t="b">
        <v>0</v>
      </c>
      <c r="AI982" s="105"/>
      <c r="AJ982" s="505" t="b">
        <v>0</v>
      </c>
      <c r="AK982" s="504" t="b">
        <v>0</v>
      </c>
      <c r="AL982" s="126"/>
      <c r="AM982" s="505" t="b">
        <v>0</v>
      </c>
      <c r="AN982" s="504" t="b">
        <v>0</v>
      </c>
      <c r="AO982" s="105"/>
      <c r="AP982" s="105"/>
      <c r="AQ982" s="105"/>
      <c r="AR982" s="105"/>
      <c r="AS982" s="105"/>
      <c r="AT982" s="105"/>
      <c r="AU982" s="105"/>
      <c r="AV982" s="105"/>
      <c r="AW982" s="105"/>
      <c r="AX982" s="105"/>
      <c r="AY982" s="105"/>
      <c r="AZ982" s="105"/>
      <c r="BA982" s="105"/>
    </row>
    <row r="983">
      <c r="A983" s="105"/>
      <c r="B983" s="105"/>
      <c r="C983" s="105"/>
      <c r="D983" s="105"/>
      <c r="E983" s="105"/>
      <c r="F983" s="105"/>
      <c r="G983" s="105"/>
      <c r="H983" s="105"/>
      <c r="I983" s="505" t="b">
        <v>0</v>
      </c>
      <c r="J983" s="507" t="b">
        <v>0</v>
      </c>
      <c r="K983" s="112"/>
      <c r="L983" s="505" t="b">
        <v>0</v>
      </c>
      <c r="M983" s="504" t="b">
        <v>0</v>
      </c>
      <c r="N983" s="112"/>
      <c r="O983" s="505" t="b">
        <v>0</v>
      </c>
      <c r="P983" s="504" t="b">
        <v>0</v>
      </c>
      <c r="Q983" s="116"/>
      <c r="R983" s="505" t="b">
        <v>0</v>
      </c>
      <c r="S983" s="504" t="b">
        <v>0</v>
      </c>
      <c r="T983" s="117"/>
      <c r="U983" s="505" t="b">
        <v>0</v>
      </c>
      <c r="V983" s="504" t="b">
        <v>0</v>
      </c>
      <c r="W983" s="118"/>
      <c r="X983" s="505" t="b">
        <v>0</v>
      </c>
      <c r="Y983" s="504" t="b">
        <v>0</v>
      </c>
      <c r="Z983" s="119"/>
      <c r="AA983" s="505" t="b">
        <v>0</v>
      </c>
      <c r="AB983" s="504" t="b">
        <v>0</v>
      </c>
      <c r="AC983" s="121"/>
      <c r="AD983" s="505" t="b">
        <v>0</v>
      </c>
      <c r="AE983" s="504" t="b">
        <v>0</v>
      </c>
      <c r="AF983" s="125"/>
      <c r="AG983" s="505" t="b">
        <v>0</v>
      </c>
      <c r="AH983" s="504" t="b">
        <v>0</v>
      </c>
      <c r="AI983" s="105"/>
      <c r="AJ983" s="505" t="b">
        <v>0</v>
      </c>
      <c r="AK983" s="504" t="b">
        <v>0</v>
      </c>
      <c r="AL983" s="126"/>
      <c r="AM983" s="505" t="b">
        <v>0</v>
      </c>
      <c r="AN983" s="504" t="b">
        <v>0</v>
      </c>
      <c r="AO983" s="105"/>
      <c r="AP983" s="105"/>
      <c r="AQ983" s="105"/>
      <c r="AR983" s="105"/>
      <c r="AS983" s="105"/>
      <c r="AT983" s="105"/>
      <c r="AU983" s="105"/>
      <c r="AV983" s="105"/>
      <c r="AW983" s="105"/>
      <c r="AX983" s="105"/>
      <c r="AY983" s="105"/>
      <c r="AZ983" s="105"/>
      <c r="BA983" s="105"/>
    </row>
    <row r="984">
      <c r="A984" s="105"/>
      <c r="B984" s="105"/>
      <c r="C984" s="105"/>
      <c r="D984" s="105"/>
      <c r="E984" s="105"/>
      <c r="F984" s="105"/>
      <c r="G984" s="105"/>
      <c r="H984" s="105"/>
      <c r="I984" s="505" t="b">
        <v>0</v>
      </c>
      <c r="J984" s="507" t="b">
        <v>0</v>
      </c>
      <c r="K984" s="112"/>
      <c r="L984" s="505" t="b">
        <v>0</v>
      </c>
      <c r="M984" s="504" t="b">
        <v>0</v>
      </c>
      <c r="N984" s="112"/>
      <c r="O984" s="505" t="b">
        <v>0</v>
      </c>
      <c r="P984" s="504" t="b">
        <v>0</v>
      </c>
      <c r="Q984" s="116"/>
      <c r="R984" s="505" t="b">
        <v>0</v>
      </c>
      <c r="S984" s="504" t="b">
        <v>0</v>
      </c>
      <c r="T984" s="117"/>
      <c r="U984" s="505" t="b">
        <v>0</v>
      </c>
      <c r="V984" s="504" t="b">
        <v>0</v>
      </c>
      <c r="W984" s="118"/>
      <c r="X984" s="505" t="b">
        <v>0</v>
      </c>
      <c r="Y984" s="504" t="b">
        <v>0</v>
      </c>
      <c r="Z984" s="119"/>
      <c r="AA984" s="505" t="b">
        <v>0</v>
      </c>
      <c r="AB984" s="504" t="b">
        <v>0</v>
      </c>
      <c r="AC984" s="121"/>
      <c r="AD984" s="505" t="b">
        <v>0</v>
      </c>
      <c r="AE984" s="504" t="b">
        <v>0</v>
      </c>
      <c r="AF984" s="125"/>
      <c r="AG984" s="505" t="b">
        <v>0</v>
      </c>
      <c r="AH984" s="504" t="b">
        <v>0</v>
      </c>
      <c r="AI984" s="105"/>
      <c r="AJ984" s="505" t="b">
        <v>0</v>
      </c>
      <c r="AK984" s="504" t="b">
        <v>0</v>
      </c>
      <c r="AL984" s="126"/>
      <c r="AM984" s="505" t="b">
        <v>0</v>
      </c>
      <c r="AN984" s="504" t="b">
        <v>0</v>
      </c>
      <c r="AO984" s="105"/>
      <c r="AP984" s="105"/>
      <c r="AQ984" s="105"/>
      <c r="AR984" s="105"/>
      <c r="AS984" s="105"/>
      <c r="AT984" s="105"/>
      <c r="AU984" s="105"/>
      <c r="AV984" s="105"/>
      <c r="AW984" s="105"/>
      <c r="AX984" s="105"/>
      <c r="AY984" s="105"/>
      <c r="AZ984" s="105"/>
      <c r="BA984" s="105"/>
    </row>
    <row r="985">
      <c r="A985" s="105"/>
      <c r="B985" s="105"/>
      <c r="C985" s="105"/>
      <c r="D985" s="105"/>
      <c r="E985" s="105"/>
      <c r="F985" s="105"/>
      <c r="G985" s="105"/>
      <c r="H985" s="105"/>
      <c r="I985" s="505" t="b">
        <v>0</v>
      </c>
      <c r="J985" s="507" t="b">
        <v>0</v>
      </c>
      <c r="K985" s="112"/>
      <c r="L985" s="505" t="b">
        <v>0</v>
      </c>
      <c r="M985" s="504" t="b">
        <v>0</v>
      </c>
      <c r="N985" s="112"/>
      <c r="O985" s="505" t="b">
        <v>0</v>
      </c>
      <c r="P985" s="504" t="b">
        <v>0</v>
      </c>
      <c r="Q985" s="116"/>
      <c r="R985" s="505" t="b">
        <v>0</v>
      </c>
      <c r="S985" s="504" t="b">
        <v>0</v>
      </c>
      <c r="T985" s="117"/>
      <c r="U985" s="505" t="b">
        <v>0</v>
      </c>
      <c r="V985" s="504" t="b">
        <v>0</v>
      </c>
      <c r="W985" s="118"/>
      <c r="X985" s="505" t="b">
        <v>0</v>
      </c>
      <c r="Y985" s="504" t="b">
        <v>0</v>
      </c>
      <c r="Z985" s="119"/>
      <c r="AA985" s="505" t="b">
        <v>0</v>
      </c>
      <c r="AB985" s="504" t="b">
        <v>0</v>
      </c>
      <c r="AC985" s="121"/>
      <c r="AD985" s="505" t="b">
        <v>0</v>
      </c>
      <c r="AE985" s="504" t="b">
        <v>0</v>
      </c>
      <c r="AF985" s="125"/>
      <c r="AG985" s="505" t="b">
        <v>0</v>
      </c>
      <c r="AH985" s="504" t="b">
        <v>0</v>
      </c>
      <c r="AI985" s="105"/>
      <c r="AJ985" s="505" t="b">
        <v>0</v>
      </c>
      <c r="AK985" s="504" t="b">
        <v>0</v>
      </c>
      <c r="AL985" s="126"/>
      <c r="AM985" s="505" t="b">
        <v>0</v>
      </c>
      <c r="AN985" s="504" t="b">
        <v>0</v>
      </c>
      <c r="AO985" s="105"/>
      <c r="AP985" s="105"/>
      <c r="AQ985" s="105"/>
      <c r="AR985" s="105"/>
      <c r="AS985" s="105"/>
      <c r="AT985" s="105"/>
      <c r="AU985" s="105"/>
      <c r="AV985" s="105"/>
      <c r="AW985" s="105"/>
      <c r="AX985" s="105"/>
      <c r="AY985" s="105"/>
      <c r="AZ985" s="105"/>
      <c r="BA985" s="105"/>
    </row>
    <row r="986">
      <c r="A986" s="105"/>
      <c r="B986" s="105"/>
      <c r="C986" s="105"/>
      <c r="D986" s="105"/>
      <c r="E986" s="105"/>
      <c r="F986" s="105"/>
      <c r="G986" s="105"/>
      <c r="H986" s="105"/>
      <c r="I986" s="505" t="b">
        <v>0</v>
      </c>
      <c r="J986" s="507" t="b">
        <v>0</v>
      </c>
      <c r="K986" s="112"/>
      <c r="L986" s="505" t="b">
        <v>0</v>
      </c>
      <c r="M986" s="504" t="b">
        <v>0</v>
      </c>
      <c r="N986" s="112"/>
      <c r="O986" s="505" t="b">
        <v>0</v>
      </c>
      <c r="P986" s="504" t="b">
        <v>0</v>
      </c>
      <c r="Q986" s="116"/>
      <c r="R986" s="505" t="b">
        <v>0</v>
      </c>
      <c r="S986" s="504" t="b">
        <v>0</v>
      </c>
      <c r="T986" s="117"/>
      <c r="U986" s="505" t="b">
        <v>0</v>
      </c>
      <c r="V986" s="504" t="b">
        <v>0</v>
      </c>
      <c r="W986" s="118"/>
      <c r="X986" s="505" t="b">
        <v>0</v>
      </c>
      <c r="Y986" s="504" t="b">
        <v>0</v>
      </c>
      <c r="Z986" s="119"/>
      <c r="AA986" s="505" t="b">
        <v>0</v>
      </c>
      <c r="AB986" s="504" t="b">
        <v>0</v>
      </c>
      <c r="AC986" s="121"/>
      <c r="AD986" s="505" t="b">
        <v>0</v>
      </c>
      <c r="AE986" s="504" t="b">
        <v>0</v>
      </c>
      <c r="AF986" s="125"/>
      <c r="AG986" s="505" t="b">
        <v>0</v>
      </c>
      <c r="AH986" s="504" t="b">
        <v>0</v>
      </c>
      <c r="AI986" s="105"/>
      <c r="AJ986" s="505" t="b">
        <v>0</v>
      </c>
      <c r="AK986" s="504" t="b">
        <v>0</v>
      </c>
      <c r="AL986" s="126"/>
      <c r="AM986" s="505" t="b">
        <v>0</v>
      </c>
      <c r="AN986" s="504" t="b">
        <v>0</v>
      </c>
      <c r="AO986" s="105"/>
      <c r="AP986" s="105"/>
      <c r="AQ986" s="105"/>
      <c r="AR986" s="105"/>
      <c r="AS986" s="105"/>
      <c r="AT986" s="105"/>
      <c r="AU986" s="105"/>
      <c r="AV986" s="105"/>
      <c r="AW986" s="105"/>
      <c r="AX986" s="105"/>
      <c r="AY986" s="105"/>
      <c r="AZ986" s="105"/>
      <c r="BA986" s="105"/>
    </row>
    <row r="987">
      <c r="A987" s="105"/>
      <c r="B987" s="105"/>
      <c r="C987" s="105"/>
      <c r="D987" s="105"/>
      <c r="E987" s="105"/>
      <c r="F987" s="105"/>
      <c r="G987" s="105"/>
      <c r="H987" s="105"/>
      <c r="I987" s="505" t="b">
        <v>0</v>
      </c>
      <c r="J987" s="507" t="b">
        <v>0</v>
      </c>
      <c r="K987" s="112"/>
      <c r="L987" s="505" t="b">
        <v>0</v>
      </c>
      <c r="M987" s="504" t="b">
        <v>0</v>
      </c>
      <c r="N987" s="112"/>
      <c r="O987" s="505" t="b">
        <v>0</v>
      </c>
      <c r="P987" s="504" t="b">
        <v>0</v>
      </c>
      <c r="Q987" s="116"/>
      <c r="R987" s="505" t="b">
        <v>0</v>
      </c>
      <c r="S987" s="504" t="b">
        <v>0</v>
      </c>
      <c r="T987" s="117"/>
      <c r="U987" s="505" t="b">
        <v>0</v>
      </c>
      <c r="V987" s="504" t="b">
        <v>0</v>
      </c>
      <c r="W987" s="118"/>
      <c r="X987" s="505" t="b">
        <v>0</v>
      </c>
      <c r="Y987" s="504" t="b">
        <v>0</v>
      </c>
      <c r="Z987" s="119"/>
      <c r="AA987" s="505" t="b">
        <v>0</v>
      </c>
      <c r="AB987" s="504" t="b">
        <v>0</v>
      </c>
      <c r="AC987" s="121"/>
      <c r="AD987" s="505" t="b">
        <v>0</v>
      </c>
      <c r="AE987" s="504" t="b">
        <v>0</v>
      </c>
      <c r="AF987" s="125"/>
      <c r="AG987" s="505" t="b">
        <v>0</v>
      </c>
      <c r="AH987" s="504" t="b">
        <v>0</v>
      </c>
      <c r="AI987" s="105"/>
      <c r="AJ987" s="505" t="b">
        <v>0</v>
      </c>
      <c r="AK987" s="504" t="b">
        <v>0</v>
      </c>
      <c r="AL987" s="126"/>
      <c r="AM987" s="505" t="b">
        <v>0</v>
      </c>
      <c r="AN987" s="504" t="b">
        <v>0</v>
      </c>
      <c r="AO987" s="105"/>
      <c r="AP987" s="105"/>
      <c r="AQ987" s="105"/>
      <c r="AR987" s="105"/>
      <c r="AS987" s="105"/>
      <c r="AT987" s="105"/>
      <c r="AU987" s="105"/>
      <c r="AV987" s="105"/>
      <c r="AW987" s="105"/>
      <c r="AX987" s="105"/>
      <c r="AY987" s="105"/>
      <c r="AZ987" s="105"/>
      <c r="BA987" s="105"/>
    </row>
    <row r="988">
      <c r="A988" s="105"/>
      <c r="B988" s="105"/>
      <c r="C988" s="105"/>
      <c r="D988" s="105"/>
      <c r="E988" s="105"/>
      <c r="F988" s="105"/>
      <c r="G988" s="105"/>
      <c r="H988" s="105"/>
      <c r="I988" s="505" t="b">
        <v>0</v>
      </c>
      <c r="J988" s="507" t="b">
        <v>0</v>
      </c>
      <c r="K988" s="112"/>
      <c r="L988" s="505" t="b">
        <v>0</v>
      </c>
      <c r="M988" s="504" t="b">
        <v>0</v>
      </c>
      <c r="N988" s="112"/>
      <c r="O988" s="505" t="b">
        <v>0</v>
      </c>
      <c r="P988" s="504" t="b">
        <v>0</v>
      </c>
      <c r="Q988" s="116"/>
      <c r="R988" s="505" t="b">
        <v>0</v>
      </c>
      <c r="S988" s="504" t="b">
        <v>0</v>
      </c>
      <c r="T988" s="117"/>
      <c r="U988" s="505" t="b">
        <v>0</v>
      </c>
      <c r="V988" s="504" t="b">
        <v>0</v>
      </c>
      <c r="W988" s="118"/>
      <c r="X988" s="505" t="b">
        <v>0</v>
      </c>
      <c r="Y988" s="504" t="b">
        <v>0</v>
      </c>
      <c r="Z988" s="119"/>
      <c r="AA988" s="505" t="b">
        <v>0</v>
      </c>
      <c r="AB988" s="504" t="b">
        <v>0</v>
      </c>
      <c r="AC988" s="121"/>
      <c r="AD988" s="505" t="b">
        <v>0</v>
      </c>
      <c r="AE988" s="504" t="b">
        <v>0</v>
      </c>
      <c r="AF988" s="125"/>
      <c r="AG988" s="505" t="b">
        <v>0</v>
      </c>
      <c r="AH988" s="504" t="b">
        <v>0</v>
      </c>
      <c r="AI988" s="105"/>
      <c r="AJ988" s="505" t="b">
        <v>0</v>
      </c>
      <c r="AK988" s="504" t="b">
        <v>0</v>
      </c>
      <c r="AL988" s="126"/>
      <c r="AM988" s="505" t="b">
        <v>0</v>
      </c>
      <c r="AN988" s="504" t="b">
        <v>0</v>
      </c>
      <c r="AO988" s="105"/>
      <c r="AP988" s="105"/>
      <c r="AQ988" s="105"/>
      <c r="AR988" s="105"/>
      <c r="AS988" s="105"/>
      <c r="AT988" s="105"/>
      <c r="AU988" s="105"/>
      <c r="AV988" s="105"/>
      <c r="AW988" s="105"/>
      <c r="AX988" s="105"/>
      <c r="AY988" s="105"/>
      <c r="AZ988" s="105"/>
      <c r="BA988" s="105"/>
    </row>
    <row r="989">
      <c r="A989" s="105"/>
      <c r="B989" s="105"/>
      <c r="C989" s="105"/>
      <c r="D989" s="105"/>
      <c r="E989" s="105"/>
      <c r="F989" s="105"/>
      <c r="G989" s="105"/>
      <c r="H989" s="105"/>
      <c r="I989" s="505" t="b">
        <v>0</v>
      </c>
      <c r="J989" s="507" t="b">
        <v>0</v>
      </c>
      <c r="K989" s="112"/>
      <c r="L989" s="505" t="b">
        <v>0</v>
      </c>
      <c r="M989" s="504" t="b">
        <v>0</v>
      </c>
      <c r="N989" s="112"/>
      <c r="O989" s="505" t="b">
        <v>0</v>
      </c>
      <c r="P989" s="504" t="b">
        <v>0</v>
      </c>
      <c r="Q989" s="116"/>
      <c r="R989" s="505" t="b">
        <v>0</v>
      </c>
      <c r="S989" s="504" t="b">
        <v>0</v>
      </c>
      <c r="T989" s="117"/>
      <c r="U989" s="505" t="b">
        <v>0</v>
      </c>
      <c r="V989" s="504" t="b">
        <v>0</v>
      </c>
      <c r="W989" s="118"/>
      <c r="X989" s="505" t="b">
        <v>0</v>
      </c>
      <c r="Y989" s="504" t="b">
        <v>0</v>
      </c>
      <c r="Z989" s="119"/>
      <c r="AA989" s="505" t="b">
        <v>0</v>
      </c>
      <c r="AB989" s="504" t="b">
        <v>0</v>
      </c>
      <c r="AC989" s="121"/>
      <c r="AD989" s="505" t="b">
        <v>0</v>
      </c>
      <c r="AE989" s="504" t="b">
        <v>0</v>
      </c>
      <c r="AF989" s="125"/>
      <c r="AG989" s="505" t="b">
        <v>0</v>
      </c>
      <c r="AH989" s="504" t="b">
        <v>0</v>
      </c>
      <c r="AI989" s="105"/>
      <c r="AJ989" s="505" t="b">
        <v>0</v>
      </c>
      <c r="AK989" s="504" t="b">
        <v>0</v>
      </c>
      <c r="AL989" s="126"/>
      <c r="AM989" s="505" t="b">
        <v>0</v>
      </c>
      <c r="AN989" s="504" t="b">
        <v>0</v>
      </c>
      <c r="AO989" s="105"/>
      <c r="AP989" s="105"/>
      <c r="AQ989" s="105"/>
      <c r="AR989" s="105"/>
      <c r="AS989" s="105"/>
      <c r="AT989" s="105"/>
      <c r="AU989" s="105"/>
      <c r="AV989" s="105"/>
      <c r="AW989" s="105"/>
      <c r="AX989" s="105"/>
      <c r="AY989" s="105"/>
      <c r="AZ989" s="105"/>
      <c r="BA989" s="105"/>
    </row>
    <row r="990">
      <c r="A990" s="105"/>
      <c r="B990" s="105"/>
      <c r="C990" s="105"/>
      <c r="D990" s="105"/>
      <c r="E990" s="105"/>
      <c r="F990" s="105"/>
      <c r="G990" s="105"/>
      <c r="H990" s="105"/>
      <c r="I990" s="505" t="b">
        <v>0</v>
      </c>
      <c r="J990" s="507" t="b">
        <v>0</v>
      </c>
      <c r="K990" s="112"/>
      <c r="L990" s="505" t="b">
        <v>0</v>
      </c>
      <c r="M990" s="504" t="b">
        <v>0</v>
      </c>
      <c r="N990" s="112"/>
      <c r="O990" s="505" t="b">
        <v>0</v>
      </c>
      <c r="P990" s="504" t="b">
        <v>0</v>
      </c>
      <c r="Q990" s="116"/>
      <c r="R990" s="505" t="b">
        <v>0</v>
      </c>
      <c r="S990" s="504" t="b">
        <v>0</v>
      </c>
      <c r="T990" s="117"/>
      <c r="U990" s="505" t="b">
        <v>0</v>
      </c>
      <c r="V990" s="504" t="b">
        <v>0</v>
      </c>
      <c r="W990" s="118"/>
      <c r="X990" s="505" t="b">
        <v>0</v>
      </c>
      <c r="Y990" s="504" t="b">
        <v>0</v>
      </c>
      <c r="Z990" s="119"/>
      <c r="AA990" s="505" t="b">
        <v>0</v>
      </c>
      <c r="AB990" s="504" t="b">
        <v>0</v>
      </c>
      <c r="AC990" s="121"/>
      <c r="AD990" s="505" t="b">
        <v>0</v>
      </c>
      <c r="AE990" s="504" t="b">
        <v>0</v>
      </c>
      <c r="AF990" s="125"/>
      <c r="AG990" s="505" t="b">
        <v>0</v>
      </c>
      <c r="AH990" s="504" t="b">
        <v>0</v>
      </c>
      <c r="AI990" s="105"/>
      <c r="AJ990" s="505" t="b">
        <v>0</v>
      </c>
      <c r="AK990" s="504" t="b">
        <v>0</v>
      </c>
      <c r="AL990" s="126"/>
      <c r="AM990" s="505" t="b">
        <v>0</v>
      </c>
      <c r="AN990" s="504" t="b">
        <v>0</v>
      </c>
      <c r="AO990" s="105"/>
      <c r="AP990" s="105"/>
      <c r="AQ990" s="105"/>
      <c r="AR990" s="105"/>
      <c r="AS990" s="105"/>
      <c r="AT990" s="105"/>
      <c r="AU990" s="105"/>
      <c r="AV990" s="105"/>
      <c r="AW990" s="105"/>
      <c r="AX990" s="105"/>
      <c r="AY990" s="105"/>
      <c r="AZ990" s="105"/>
      <c r="BA990" s="105"/>
    </row>
    <row r="991">
      <c r="A991" s="105"/>
      <c r="B991" s="105"/>
      <c r="C991" s="105"/>
      <c r="D991" s="105"/>
      <c r="E991" s="105"/>
      <c r="F991" s="105"/>
      <c r="G991" s="105"/>
      <c r="H991" s="105"/>
      <c r="I991" s="505" t="b">
        <v>0</v>
      </c>
      <c r="J991" s="507" t="b">
        <v>0</v>
      </c>
      <c r="K991" s="112"/>
      <c r="L991" s="505" t="b">
        <v>0</v>
      </c>
      <c r="M991" s="504" t="b">
        <v>0</v>
      </c>
      <c r="N991" s="112"/>
      <c r="O991" s="505" t="b">
        <v>0</v>
      </c>
      <c r="P991" s="504" t="b">
        <v>0</v>
      </c>
      <c r="Q991" s="116"/>
      <c r="R991" s="505" t="b">
        <v>0</v>
      </c>
      <c r="S991" s="504" t="b">
        <v>0</v>
      </c>
      <c r="T991" s="117"/>
      <c r="U991" s="505" t="b">
        <v>0</v>
      </c>
      <c r="V991" s="504" t="b">
        <v>0</v>
      </c>
      <c r="W991" s="118"/>
      <c r="X991" s="505" t="b">
        <v>0</v>
      </c>
      <c r="Y991" s="504" t="b">
        <v>0</v>
      </c>
      <c r="Z991" s="119"/>
      <c r="AA991" s="505" t="b">
        <v>0</v>
      </c>
      <c r="AB991" s="504" t="b">
        <v>0</v>
      </c>
      <c r="AC991" s="121"/>
      <c r="AD991" s="505" t="b">
        <v>0</v>
      </c>
      <c r="AE991" s="504" t="b">
        <v>0</v>
      </c>
      <c r="AF991" s="125"/>
      <c r="AG991" s="505" t="b">
        <v>0</v>
      </c>
      <c r="AH991" s="504" t="b">
        <v>0</v>
      </c>
      <c r="AI991" s="105"/>
      <c r="AJ991" s="505" t="b">
        <v>0</v>
      </c>
      <c r="AK991" s="504" t="b">
        <v>0</v>
      </c>
      <c r="AL991" s="126"/>
      <c r="AM991" s="505" t="b">
        <v>0</v>
      </c>
      <c r="AN991" s="504" t="b">
        <v>0</v>
      </c>
      <c r="AO991" s="105"/>
      <c r="AP991" s="105"/>
      <c r="AQ991" s="105"/>
      <c r="AR991" s="105"/>
      <c r="AS991" s="105"/>
      <c r="AT991" s="105"/>
      <c r="AU991" s="105"/>
      <c r="AV991" s="105"/>
      <c r="AW991" s="105"/>
      <c r="AX991" s="105"/>
      <c r="AY991" s="105"/>
      <c r="AZ991" s="105"/>
      <c r="BA991" s="105"/>
    </row>
    <row r="992">
      <c r="A992" s="105"/>
      <c r="B992" s="105"/>
      <c r="C992" s="105"/>
      <c r="D992" s="105"/>
      <c r="E992" s="105"/>
      <c r="F992" s="105"/>
      <c r="G992" s="105"/>
      <c r="H992" s="105"/>
      <c r="I992" s="505" t="b">
        <v>0</v>
      </c>
      <c r="J992" s="507" t="b">
        <v>0</v>
      </c>
      <c r="K992" s="112"/>
      <c r="L992" s="505" t="b">
        <v>0</v>
      </c>
      <c r="M992" s="504" t="b">
        <v>0</v>
      </c>
      <c r="N992" s="112"/>
      <c r="O992" s="505" t="b">
        <v>0</v>
      </c>
      <c r="P992" s="504" t="b">
        <v>0</v>
      </c>
      <c r="Q992" s="116"/>
      <c r="R992" s="505" t="b">
        <v>0</v>
      </c>
      <c r="S992" s="504" t="b">
        <v>0</v>
      </c>
      <c r="T992" s="117"/>
      <c r="U992" s="505" t="b">
        <v>0</v>
      </c>
      <c r="V992" s="504" t="b">
        <v>0</v>
      </c>
      <c r="W992" s="118"/>
      <c r="X992" s="505" t="b">
        <v>0</v>
      </c>
      <c r="Y992" s="504" t="b">
        <v>0</v>
      </c>
      <c r="Z992" s="119"/>
      <c r="AA992" s="505" t="b">
        <v>0</v>
      </c>
      <c r="AB992" s="504" t="b">
        <v>0</v>
      </c>
      <c r="AC992" s="121"/>
      <c r="AD992" s="505" t="b">
        <v>0</v>
      </c>
      <c r="AE992" s="504" t="b">
        <v>0</v>
      </c>
      <c r="AF992" s="125"/>
      <c r="AG992" s="505" t="b">
        <v>0</v>
      </c>
      <c r="AH992" s="504" t="b">
        <v>0</v>
      </c>
      <c r="AI992" s="105"/>
      <c r="AJ992" s="505" t="b">
        <v>0</v>
      </c>
      <c r="AK992" s="504" t="b">
        <v>0</v>
      </c>
      <c r="AL992" s="126"/>
      <c r="AM992" s="505" t="b">
        <v>0</v>
      </c>
      <c r="AN992" s="504" t="b">
        <v>0</v>
      </c>
      <c r="AO992" s="105"/>
      <c r="AP992" s="105"/>
      <c r="AQ992" s="105"/>
      <c r="AR992" s="105"/>
      <c r="AS992" s="105"/>
      <c r="AT992" s="105"/>
      <c r="AU992" s="105"/>
      <c r="AV992" s="105"/>
      <c r="AW992" s="105"/>
      <c r="AX992" s="105"/>
      <c r="AY992" s="105"/>
      <c r="AZ992" s="105"/>
      <c r="BA992" s="105"/>
    </row>
    <row r="993">
      <c r="A993" s="105"/>
      <c r="B993" s="105"/>
      <c r="C993" s="105"/>
      <c r="D993" s="105"/>
      <c r="E993" s="105"/>
      <c r="F993" s="105"/>
      <c r="G993" s="105"/>
      <c r="H993" s="105"/>
      <c r="I993" s="505" t="b">
        <v>0</v>
      </c>
      <c r="J993" s="507" t="b">
        <v>0</v>
      </c>
      <c r="K993" s="112"/>
      <c r="L993" s="505" t="b">
        <v>0</v>
      </c>
      <c r="M993" s="504" t="b">
        <v>0</v>
      </c>
      <c r="N993" s="112"/>
      <c r="O993" s="505" t="b">
        <v>0</v>
      </c>
      <c r="P993" s="504" t="b">
        <v>0</v>
      </c>
      <c r="Q993" s="116"/>
      <c r="R993" s="505" t="b">
        <v>0</v>
      </c>
      <c r="S993" s="504" t="b">
        <v>0</v>
      </c>
      <c r="T993" s="117"/>
      <c r="U993" s="505" t="b">
        <v>0</v>
      </c>
      <c r="V993" s="504" t="b">
        <v>0</v>
      </c>
      <c r="W993" s="118"/>
      <c r="X993" s="505" t="b">
        <v>0</v>
      </c>
      <c r="Y993" s="504" t="b">
        <v>0</v>
      </c>
      <c r="Z993" s="119"/>
      <c r="AA993" s="505" t="b">
        <v>0</v>
      </c>
      <c r="AB993" s="504" t="b">
        <v>0</v>
      </c>
      <c r="AC993" s="121"/>
      <c r="AD993" s="505" t="b">
        <v>0</v>
      </c>
      <c r="AE993" s="504" t="b">
        <v>0</v>
      </c>
      <c r="AF993" s="125"/>
      <c r="AG993" s="505" t="b">
        <v>0</v>
      </c>
      <c r="AH993" s="504" t="b">
        <v>0</v>
      </c>
      <c r="AI993" s="105"/>
      <c r="AJ993" s="505" t="b">
        <v>0</v>
      </c>
      <c r="AK993" s="504" t="b">
        <v>0</v>
      </c>
      <c r="AL993" s="126"/>
      <c r="AM993" s="505" t="b">
        <v>0</v>
      </c>
      <c r="AN993" s="504" t="b">
        <v>0</v>
      </c>
      <c r="AO993" s="105"/>
      <c r="AP993" s="105"/>
      <c r="AQ993" s="105"/>
      <c r="AR993" s="105"/>
      <c r="AS993" s="105"/>
      <c r="AT993" s="105"/>
      <c r="AU993" s="105"/>
      <c r="AV993" s="105"/>
      <c r="AW993" s="105"/>
      <c r="AX993" s="105"/>
      <c r="AY993" s="105"/>
      <c r="AZ993" s="105"/>
      <c r="BA993" s="105"/>
    </row>
    <row r="994">
      <c r="A994" s="105"/>
      <c r="B994" s="105"/>
      <c r="C994" s="105"/>
      <c r="D994" s="105"/>
      <c r="E994" s="105"/>
      <c r="F994" s="105"/>
      <c r="G994" s="105"/>
      <c r="H994" s="105"/>
      <c r="I994" s="505" t="b">
        <v>0</v>
      </c>
      <c r="J994" s="507" t="b">
        <v>0</v>
      </c>
      <c r="K994" s="112"/>
      <c r="L994" s="505" t="b">
        <v>0</v>
      </c>
      <c r="M994" s="504" t="b">
        <v>0</v>
      </c>
      <c r="N994" s="112"/>
      <c r="O994" s="505" t="b">
        <v>0</v>
      </c>
      <c r="P994" s="504" t="b">
        <v>0</v>
      </c>
      <c r="Q994" s="116"/>
      <c r="R994" s="505" t="b">
        <v>0</v>
      </c>
      <c r="S994" s="504" t="b">
        <v>0</v>
      </c>
      <c r="T994" s="117"/>
      <c r="U994" s="505" t="b">
        <v>0</v>
      </c>
      <c r="V994" s="504" t="b">
        <v>0</v>
      </c>
      <c r="W994" s="118"/>
      <c r="X994" s="505" t="b">
        <v>0</v>
      </c>
      <c r="Y994" s="504" t="b">
        <v>0</v>
      </c>
      <c r="Z994" s="119"/>
      <c r="AA994" s="505" t="b">
        <v>0</v>
      </c>
      <c r="AB994" s="504" t="b">
        <v>0</v>
      </c>
      <c r="AC994" s="121"/>
      <c r="AD994" s="505" t="b">
        <v>0</v>
      </c>
      <c r="AE994" s="504" t="b">
        <v>0</v>
      </c>
      <c r="AF994" s="125"/>
      <c r="AG994" s="505" t="b">
        <v>0</v>
      </c>
      <c r="AH994" s="504" t="b">
        <v>0</v>
      </c>
      <c r="AI994" s="105"/>
      <c r="AJ994" s="505" t="b">
        <v>0</v>
      </c>
      <c r="AK994" s="504" t="b">
        <v>0</v>
      </c>
      <c r="AL994" s="126"/>
      <c r="AM994" s="505" t="b">
        <v>0</v>
      </c>
      <c r="AN994" s="504" t="b">
        <v>0</v>
      </c>
      <c r="AO994" s="105"/>
      <c r="AP994" s="105"/>
      <c r="AQ994" s="105"/>
      <c r="AR994" s="105"/>
      <c r="AS994" s="105"/>
      <c r="AT994" s="105"/>
      <c r="AU994" s="105"/>
      <c r="AV994" s="105"/>
      <c r="AW994" s="105"/>
      <c r="AX994" s="105"/>
      <c r="AY994" s="105"/>
      <c r="AZ994" s="105"/>
      <c r="BA994" s="105"/>
    </row>
    <row r="995">
      <c r="A995" s="105"/>
      <c r="B995" s="105"/>
      <c r="C995" s="105"/>
      <c r="D995" s="105"/>
      <c r="E995" s="105"/>
      <c r="F995" s="105"/>
      <c r="G995" s="105"/>
      <c r="H995" s="105"/>
      <c r="I995" s="505" t="b">
        <v>0</v>
      </c>
      <c r="J995" s="507" t="b">
        <v>0</v>
      </c>
      <c r="K995" s="112"/>
      <c r="L995" s="505" t="b">
        <v>0</v>
      </c>
      <c r="M995" s="504" t="b">
        <v>0</v>
      </c>
      <c r="N995" s="112"/>
      <c r="O995" s="505" t="b">
        <v>0</v>
      </c>
      <c r="P995" s="504" t="b">
        <v>0</v>
      </c>
      <c r="Q995" s="116"/>
      <c r="R995" s="505" t="b">
        <v>0</v>
      </c>
      <c r="S995" s="504" t="b">
        <v>0</v>
      </c>
      <c r="T995" s="117"/>
      <c r="U995" s="505" t="b">
        <v>0</v>
      </c>
      <c r="V995" s="504" t="b">
        <v>0</v>
      </c>
      <c r="W995" s="118"/>
      <c r="X995" s="505" t="b">
        <v>0</v>
      </c>
      <c r="Y995" s="504" t="b">
        <v>0</v>
      </c>
      <c r="Z995" s="119"/>
      <c r="AA995" s="505" t="b">
        <v>0</v>
      </c>
      <c r="AB995" s="504" t="b">
        <v>0</v>
      </c>
      <c r="AC995" s="121"/>
      <c r="AD995" s="505" t="b">
        <v>0</v>
      </c>
      <c r="AE995" s="504" t="b">
        <v>0</v>
      </c>
      <c r="AF995" s="125"/>
      <c r="AG995" s="505" t="b">
        <v>0</v>
      </c>
      <c r="AH995" s="504" t="b">
        <v>0</v>
      </c>
      <c r="AI995" s="105"/>
      <c r="AJ995" s="505" t="b">
        <v>0</v>
      </c>
      <c r="AK995" s="504" t="b">
        <v>0</v>
      </c>
      <c r="AL995" s="126"/>
      <c r="AM995" s="505" t="b">
        <v>0</v>
      </c>
      <c r="AN995" s="504" t="b">
        <v>0</v>
      </c>
      <c r="AO995" s="105"/>
      <c r="AP995" s="105"/>
      <c r="AQ995" s="105"/>
      <c r="AR995" s="105"/>
      <c r="AS995" s="105"/>
      <c r="AT995" s="105"/>
      <c r="AU995" s="105"/>
      <c r="AV995" s="105"/>
      <c r="AW995" s="105"/>
      <c r="AX995" s="105"/>
      <c r="AY995" s="105"/>
      <c r="AZ995" s="105"/>
      <c r="BA995" s="105"/>
    </row>
    <row r="996">
      <c r="A996" s="105"/>
      <c r="B996" s="105"/>
      <c r="C996" s="105"/>
      <c r="D996" s="105"/>
      <c r="E996" s="105"/>
      <c r="F996" s="105"/>
      <c r="G996" s="105"/>
      <c r="H996" s="105"/>
      <c r="I996" s="505" t="b">
        <v>0</v>
      </c>
      <c r="J996" s="507" t="b">
        <v>0</v>
      </c>
      <c r="K996" s="112"/>
      <c r="L996" s="505" t="b">
        <v>0</v>
      </c>
      <c r="M996" s="504" t="b">
        <v>0</v>
      </c>
      <c r="N996" s="112"/>
      <c r="O996" s="505" t="b">
        <v>0</v>
      </c>
      <c r="P996" s="504" t="b">
        <v>0</v>
      </c>
      <c r="Q996" s="116"/>
      <c r="R996" s="505" t="b">
        <v>0</v>
      </c>
      <c r="S996" s="504" t="b">
        <v>0</v>
      </c>
      <c r="T996" s="117"/>
      <c r="U996" s="505" t="b">
        <v>0</v>
      </c>
      <c r="V996" s="504" t="b">
        <v>0</v>
      </c>
      <c r="W996" s="118"/>
      <c r="X996" s="505" t="b">
        <v>0</v>
      </c>
      <c r="Y996" s="504" t="b">
        <v>0</v>
      </c>
      <c r="Z996" s="119"/>
      <c r="AA996" s="505" t="b">
        <v>0</v>
      </c>
      <c r="AB996" s="504" t="b">
        <v>0</v>
      </c>
      <c r="AC996" s="121"/>
      <c r="AD996" s="505" t="b">
        <v>0</v>
      </c>
      <c r="AE996" s="504" t="b">
        <v>0</v>
      </c>
      <c r="AF996" s="125"/>
      <c r="AG996" s="505" t="b">
        <v>0</v>
      </c>
      <c r="AH996" s="504" t="b">
        <v>0</v>
      </c>
      <c r="AI996" s="105"/>
      <c r="AJ996" s="505" t="b">
        <v>0</v>
      </c>
      <c r="AK996" s="504" t="b">
        <v>0</v>
      </c>
      <c r="AL996" s="126"/>
      <c r="AM996" s="505" t="b">
        <v>0</v>
      </c>
      <c r="AN996" s="504" t="b">
        <v>0</v>
      </c>
      <c r="AO996" s="105"/>
      <c r="AP996" s="105"/>
      <c r="AQ996" s="105"/>
      <c r="AR996" s="105"/>
      <c r="AS996" s="105"/>
      <c r="AT996" s="105"/>
      <c r="AU996" s="105"/>
      <c r="AV996" s="105"/>
      <c r="AW996" s="105"/>
      <c r="AX996" s="105"/>
      <c r="AY996" s="105"/>
      <c r="AZ996" s="105"/>
      <c r="BA996" s="105"/>
    </row>
    <row r="997">
      <c r="A997" s="105"/>
      <c r="B997" s="105"/>
      <c r="C997" s="105"/>
      <c r="D997" s="105"/>
      <c r="E997" s="105"/>
      <c r="F997" s="105"/>
      <c r="G997" s="105"/>
      <c r="H997" s="105"/>
      <c r="I997" s="505" t="b">
        <v>0</v>
      </c>
      <c r="J997" s="507" t="b">
        <v>0</v>
      </c>
      <c r="K997" s="112"/>
      <c r="L997" s="505" t="b">
        <v>0</v>
      </c>
      <c r="M997" s="504" t="b">
        <v>0</v>
      </c>
      <c r="N997" s="112"/>
      <c r="O997" s="505" t="b">
        <v>0</v>
      </c>
      <c r="P997" s="504" t="b">
        <v>0</v>
      </c>
      <c r="Q997" s="116"/>
      <c r="R997" s="505" t="b">
        <v>0</v>
      </c>
      <c r="S997" s="504" t="b">
        <v>0</v>
      </c>
      <c r="T997" s="117"/>
      <c r="U997" s="505" t="b">
        <v>0</v>
      </c>
      <c r="V997" s="504" t="b">
        <v>0</v>
      </c>
      <c r="W997" s="118"/>
      <c r="X997" s="505" t="b">
        <v>0</v>
      </c>
      <c r="Y997" s="504" t="b">
        <v>0</v>
      </c>
      <c r="Z997" s="119"/>
      <c r="AA997" s="505" t="b">
        <v>0</v>
      </c>
      <c r="AB997" s="504" t="b">
        <v>0</v>
      </c>
      <c r="AC997" s="121"/>
      <c r="AD997" s="505" t="b">
        <v>0</v>
      </c>
      <c r="AE997" s="504" t="b">
        <v>0</v>
      </c>
      <c r="AF997" s="125"/>
      <c r="AG997" s="505" t="b">
        <v>0</v>
      </c>
      <c r="AH997" s="504" t="b">
        <v>0</v>
      </c>
      <c r="AI997" s="105"/>
      <c r="AJ997" s="505" t="b">
        <v>0</v>
      </c>
      <c r="AK997" s="504" t="b">
        <v>0</v>
      </c>
      <c r="AL997" s="126"/>
      <c r="AM997" s="505" t="b">
        <v>0</v>
      </c>
      <c r="AN997" s="504" t="b">
        <v>0</v>
      </c>
      <c r="AO997" s="105"/>
      <c r="AP997" s="105"/>
      <c r="AQ997" s="105"/>
      <c r="AR997" s="105"/>
      <c r="AS997" s="105"/>
      <c r="AT997" s="105"/>
      <c r="AU997" s="105"/>
      <c r="AV997" s="105"/>
      <c r="AW997" s="105"/>
      <c r="AX997" s="105"/>
      <c r="AY997" s="105"/>
      <c r="AZ997" s="105"/>
      <c r="BA997" s="105"/>
    </row>
    <row r="998">
      <c r="A998" s="105"/>
      <c r="B998" s="105"/>
      <c r="C998" s="105"/>
      <c r="D998" s="105"/>
      <c r="E998" s="105"/>
      <c r="F998" s="105"/>
      <c r="G998" s="105"/>
      <c r="H998" s="105"/>
      <c r="I998" s="505" t="b">
        <v>0</v>
      </c>
      <c r="J998" s="507" t="b">
        <v>0</v>
      </c>
      <c r="K998" s="112"/>
      <c r="L998" s="505" t="b">
        <v>0</v>
      </c>
      <c r="M998" s="504" t="b">
        <v>0</v>
      </c>
      <c r="N998" s="112"/>
      <c r="O998" s="505" t="b">
        <v>0</v>
      </c>
      <c r="P998" s="504" t="b">
        <v>0</v>
      </c>
      <c r="Q998" s="116"/>
      <c r="R998" s="505" t="b">
        <v>0</v>
      </c>
      <c r="S998" s="504" t="b">
        <v>0</v>
      </c>
      <c r="T998" s="117"/>
      <c r="U998" s="505" t="b">
        <v>0</v>
      </c>
      <c r="V998" s="504" t="b">
        <v>0</v>
      </c>
      <c r="W998" s="118"/>
      <c r="X998" s="505" t="b">
        <v>0</v>
      </c>
      <c r="Y998" s="504" t="b">
        <v>0</v>
      </c>
      <c r="Z998" s="119"/>
      <c r="AA998" s="505" t="b">
        <v>0</v>
      </c>
      <c r="AB998" s="504" t="b">
        <v>0</v>
      </c>
      <c r="AC998" s="121"/>
      <c r="AD998" s="505" t="b">
        <v>0</v>
      </c>
      <c r="AE998" s="504" t="b">
        <v>0</v>
      </c>
      <c r="AF998" s="125"/>
      <c r="AG998" s="505" t="b">
        <v>0</v>
      </c>
      <c r="AH998" s="504" t="b">
        <v>0</v>
      </c>
      <c r="AI998" s="105"/>
      <c r="AJ998" s="505" t="b">
        <v>0</v>
      </c>
      <c r="AK998" s="504" t="b">
        <v>0</v>
      </c>
      <c r="AL998" s="126"/>
      <c r="AM998" s="505" t="b">
        <v>0</v>
      </c>
      <c r="AN998" s="504" t="b">
        <v>0</v>
      </c>
      <c r="AO998" s="105"/>
      <c r="AP998" s="105"/>
      <c r="AQ998" s="105"/>
      <c r="AR998" s="105"/>
      <c r="AS998" s="105"/>
      <c r="AT998" s="105"/>
      <c r="AU998" s="105"/>
      <c r="AV998" s="105"/>
      <c r="AW998" s="105"/>
      <c r="AX998" s="105"/>
      <c r="AY998" s="105"/>
      <c r="AZ998" s="105"/>
      <c r="BA998" s="105"/>
    </row>
    <row r="999">
      <c r="A999" s="105"/>
      <c r="B999" s="105"/>
      <c r="C999" s="105"/>
      <c r="D999" s="105"/>
      <c r="E999" s="105"/>
      <c r="F999" s="105"/>
      <c r="G999" s="105"/>
      <c r="H999" s="105"/>
      <c r="I999" s="505" t="b">
        <v>0</v>
      </c>
      <c r="J999" s="507" t="b">
        <v>0</v>
      </c>
      <c r="K999" s="112"/>
      <c r="L999" s="505" t="b">
        <v>0</v>
      </c>
      <c r="M999" s="504" t="b">
        <v>0</v>
      </c>
      <c r="N999" s="112"/>
      <c r="O999" s="505" t="b">
        <v>0</v>
      </c>
      <c r="P999" s="504" t="b">
        <v>0</v>
      </c>
      <c r="Q999" s="116"/>
      <c r="R999" s="505" t="b">
        <v>0</v>
      </c>
      <c r="S999" s="504" t="b">
        <v>0</v>
      </c>
      <c r="T999" s="117"/>
      <c r="U999" s="505" t="b">
        <v>0</v>
      </c>
      <c r="V999" s="504" t="b">
        <v>0</v>
      </c>
      <c r="W999" s="118"/>
      <c r="X999" s="505" t="b">
        <v>0</v>
      </c>
      <c r="Y999" s="504" t="b">
        <v>0</v>
      </c>
      <c r="Z999" s="119"/>
      <c r="AA999" s="505" t="b">
        <v>0</v>
      </c>
      <c r="AB999" s="504" t="b">
        <v>0</v>
      </c>
      <c r="AC999" s="121"/>
      <c r="AD999" s="505" t="b">
        <v>0</v>
      </c>
      <c r="AE999" s="504" t="b">
        <v>0</v>
      </c>
      <c r="AF999" s="125"/>
      <c r="AG999" s="505" t="b">
        <v>0</v>
      </c>
      <c r="AH999" s="504" t="b">
        <v>0</v>
      </c>
      <c r="AI999" s="105"/>
      <c r="AJ999" s="505" t="b">
        <v>0</v>
      </c>
      <c r="AK999" s="504" t="b">
        <v>0</v>
      </c>
      <c r="AL999" s="126"/>
      <c r="AM999" s="505" t="b">
        <v>0</v>
      </c>
      <c r="AN999" s="504" t="b">
        <v>0</v>
      </c>
      <c r="AO999" s="105"/>
      <c r="AP999" s="105"/>
      <c r="AQ999" s="105"/>
      <c r="AR999" s="105"/>
      <c r="AS999" s="105"/>
      <c r="AT999" s="105"/>
      <c r="AU999" s="105"/>
      <c r="AV999" s="105"/>
      <c r="AW999" s="105"/>
      <c r="AX999" s="105"/>
      <c r="AY999" s="105"/>
      <c r="AZ999" s="105"/>
      <c r="BA999" s="105"/>
    </row>
    <row r="1000">
      <c r="A1000" s="105"/>
      <c r="B1000" s="105"/>
      <c r="C1000" s="105"/>
      <c r="D1000" s="105"/>
      <c r="E1000" s="105"/>
      <c r="F1000" s="105"/>
      <c r="G1000" s="105"/>
      <c r="H1000" s="105"/>
      <c r="I1000" s="505" t="b">
        <v>0</v>
      </c>
      <c r="J1000" s="507" t="b">
        <v>0</v>
      </c>
      <c r="K1000" s="112"/>
      <c r="L1000" s="505" t="b">
        <v>0</v>
      </c>
      <c r="M1000" s="504" t="b">
        <v>0</v>
      </c>
      <c r="N1000" s="112"/>
      <c r="O1000" s="505" t="b">
        <v>0</v>
      </c>
      <c r="P1000" s="504" t="b">
        <v>0</v>
      </c>
      <c r="Q1000" s="116"/>
      <c r="R1000" s="505" t="b">
        <v>0</v>
      </c>
      <c r="S1000" s="504" t="b">
        <v>0</v>
      </c>
      <c r="T1000" s="117"/>
      <c r="U1000" s="505" t="b">
        <v>0</v>
      </c>
      <c r="V1000" s="504" t="b">
        <v>0</v>
      </c>
      <c r="W1000" s="118"/>
      <c r="X1000" s="505" t="b">
        <v>0</v>
      </c>
      <c r="Y1000" s="504" t="b">
        <v>0</v>
      </c>
      <c r="Z1000" s="119"/>
      <c r="AA1000" s="505" t="b">
        <v>0</v>
      </c>
      <c r="AB1000" s="504" t="b">
        <v>0</v>
      </c>
      <c r="AC1000" s="121"/>
      <c r="AD1000" s="505" t="b">
        <v>0</v>
      </c>
      <c r="AE1000" s="504" t="b">
        <v>0</v>
      </c>
      <c r="AF1000" s="125"/>
      <c r="AG1000" s="505" t="b">
        <v>0</v>
      </c>
      <c r="AH1000" s="504" t="b">
        <v>0</v>
      </c>
      <c r="AI1000" s="105"/>
      <c r="AJ1000" s="505" t="b">
        <v>0</v>
      </c>
      <c r="AK1000" s="504" t="b">
        <v>0</v>
      </c>
      <c r="AL1000" s="126"/>
      <c r="AM1000" s="505" t="b">
        <v>0</v>
      </c>
      <c r="AN1000" s="504" t="b">
        <v>0</v>
      </c>
      <c r="AO1000" s="105"/>
      <c r="AP1000" s="105"/>
      <c r="AQ1000" s="105"/>
      <c r="AR1000" s="105"/>
      <c r="AS1000" s="105"/>
      <c r="AT1000" s="105"/>
      <c r="AU1000" s="105"/>
      <c r="AV1000" s="105"/>
      <c r="AW1000" s="105"/>
      <c r="AX1000" s="105"/>
      <c r="AY1000" s="105"/>
      <c r="AZ1000" s="105"/>
      <c r="BA1000" s="105"/>
    </row>
    <row r="1001">
      <c r="A1001" s="105"/>
      <c r="B1001" s="105"/>
      <c r="C1001" s="105"/>
      <c r="D1001" s="105"/>
      <c r="E1001" s="105"/>
      <c r="F1001" s="105"/>
      <c r="G1001" s="105"/>
      <c r="H1001" s="105"/>
      <c r="I1001" s="505" t="b">
        <v>0</v>
      </c>
      <c r="J1001" s="507" t="b">
        <v>0</v>
      </c>
      <c r="K1001" s="112"/>
      <c r="L1001" s="505" t="b">
        <v>0</v>
      </c>
      <c r="M1001" s="504" t="b">
        <v>0</v>
      </c>
      <c r="N1001" s="112"/>
      <c r="O1001" s="505" t="b">
        <v>0</v>
      </c>
      <c r="P1001" s="504" t="b">
        <v>0</v>
      </c>
      <c r="Q1001" s="116"/>
      <c r="R1001" s="505" t="b">
        <v>0</v>
      </c>
      <c r="S1001" s="504" t="b">
        <v>0</v>
      </c>
      <c r="T1001" s="117"/>
      <c r="U1001" s="505" t="b">
        <v>0</v>
      </c>
      <c r="V1001" s="504" t="b">
        <v>0</v>
      </c>
      <c r="W1001" s="118"/>
      <c r="X1001" s="505" t="b">
        <v>0</v>
      </c>
      <c r="Y1001" s="504" t="b">
        <v>0</v>
      </c>
      <c r="Z1001" s="119"/>
      <c r="AA1001" s="505" t="b">
        <v>0</v>
      </c>
      <c r="AB1001" s="504" t="b">
        <v>0</v>
      </c>
      <c r="AC1001" s="121"/>
      <c r="AD1001" s="505" t="b">
        <v>0</v>
      </c>
      <c r="AE1001" s="504" t="b">
        <v>0</v>
      </c>
      <c r="AF1001" s="125"/>
      <c r="AG1001" s="505" t="b">
        <v>0</v>
      </c>
      <c r="AH1001" s="504" t="b">
        <v>0</v>
      </c>
      <c r="AI1001" s="105"/>
      <c r="AJ1001" s="505" t="b">
        <v>0</v>
      </c>
      <c r="AK1001" s="504" t="b">
        <v>0</v>
      </c>
      <c r="AL1001" s="126"/>
      <c r="AM1001" s="505" t="b">
        <v>0</v>
      </c>
      <c r="AN1001" s="504" t="b">
        <v>0</v>
      </c>
      <c r="AO1001" s="105"/>
      <c r="AP1001" s="105"/>
      <c r="AQ1001" s="105"/>
      <c r="AR1001" s="105"/>
      <c r="AS1001" s="105"/>
      <c r="AT1001" s="105"/>
      <c r="AU1001" s="105"/>
      <c r="AV1001" s="105"/>
      <c r="AW1001" s="105"/>
      <c r="AX1001" s="105"/>
      <c r="AY1001" s="105"/>
      <c r="AZ1001" s="105"/>
      <c r="BA1001" s="105"/>
    </row>
    <row r="1002">
      <c r="A1002" s="105"/>
      <c r="B1002" s="105"/>
      <c r="C1002" s="105"/>
      <c r="D1002" s="105"/>
      <c r="E1002" s="105"/>
      <c r="F1002" s="105"/>
      <c r="G1002" s="105"/>
      <c r="H1002" s="105"/>
      <c r="I1002" s="505" t="b">
        <v>0</v>
      </c>
      <c r="J1002" s="507" t="b">
        <v>0</v>
      </c>
      <c r="K1002" s="112"/>
      <c r="L1002" s="505" t="b">
        <v>0</v>
      </c>
      <c r="M1002" s="504" t="b">
        <v>0</v>
      </c>
      <c r="N1002" s="112"/>
      <c r="O1002" s="505" t="b">
        <v>0</v>
      </c>
      <c r="P1002" s="504" t="b">
        <v>0</v>
      </c>
      <c r="Q1002" s="116"/>
      <c r="R1002" s="505" t="b">
        <v>0</v>
      </c>
      <c r="S1002" s="504" t="b">
        <v>0</v>
      </c>
      <c r="T1002" s="117"/>
      <c r="U1002" s="505" t="b">
        <v>0</v>
      </c>
      <c r="V1002" s="504" t="b">
        <v>0</v>
      </c>
      <c r="W1002" s="118"/>
      <c r="X1002" s="505" t="b">
        <v>0</v>
      </c>
      <c r="Y1002" s="504" t="b">
        <v>0</v>
      </c>
      <c r="Z1002" s="119"/>
      <c r="AA1002" s="505" t="b">
        <v>0</v>
      </c>
      <c r="AB1002" s="504" t="b">
        <v>0</v>
      </c>
      <c r="AC1002" s="121"/>
      <c r="AD1002" s="505" t="b">
        <v>0</v>
      </c>
      <c r="AE1002" s="504" t="b">
        <v>0</v>
      </c>
      <c r="AF1002" s="125"/>
      <c r="AG1002" s="505" t="b">
        <v>0</v>
      </c>
      <c r="AH1002" s="504" t="b">
        <v>0</v>
      </c>
      <c r="AI1002" s="105"/>
      <c r="AJ1002" s="505" t="b">
        <v>0</v>
      </c>
      <c r="AK1002" s="504" t="b">
        <v>0</v>
      </c>
      <c r="AL1002" s="126"/>
      <c r="AM1002" s="505" t="b">
        <v>0</v>
      </c>
      <c r="AN1002" s="504" t="b">
        <v>0</v>
      </c>
      <c r="AO1002" s="105"/>
      <c r="AP1002" s="105"/>
      <c r="AQ1002" s="105"/>
      <c r="AR1002" s="105"/>
      <c r="AS1002" s="105"/>
      <c r="AT1002" s="105"/>
      <c r="AU1002" s="105"/>
      <c r="AV1002" s="105"/>
      <c r="AW1002" s="105"/>
      <c r="AX1002" s="105"/>
      <c r="AY1002" s="105"/>
      <c r="AZ1002" s="105"/>
      <c r="BA1002" s="105"/>
    </row>
    <row r="1003">
      <c r="A1003" s="105"/>
      <c r="B1003" s="105"/>
      <c r="C1003" s="105"/>
      <c r="D1003" s="105"/>
      <c r="E1003" s="105"/>
      <c r="F1003" s="105"/>
      <c r="G1003" s="105"/>
      <c r="H1003" s="105"/>
      <c r="I1003" s="505" t="b">
        <v>0</v>
      </c>
      <c r="J1003" s="507" t="b">
        <v>0</v>
      </c>
      <c r="K1003" s="112"/>
      <c r="L1003" s="505" t="b">
        <v>0</v>
      </c>
      <c r="M1003" s="504" t="b">
        <v>0</v>
      </c>
      <c r="N1003" s="112"/>
      <c r="O1003" s="505" t="b">
        <v>0</v>
      </c>
      <c r="P1003" s="504" t="b">
        <v>0</v>
      </c>
      <c r="Q1003" s="116"/>
      <c r="R1003" s="505" t="b">
        <v>0</v>
      </c>
      <c r="S1003" s="504" t="b">
        <v>0</v>
      </c>
      <c r="T1003" s="117"/>
      <c r="U1003" s="505" t="b">
        <v>0</v>
      </c>
      <c r="V1003" s="504" t="b">
        <v>0</v>
      </c>
      <c r="W1003" s="118"/>
      <c r="X1003" s="505" t="b">
        <v>0</v>
      </c>
      <c r="Y1003" s="504" t="b">
        <v>0</v>
      </c>
      <c r="Z1003" s="119"/>
      <c r="AA1003" s="505" t="b">
        <v>0</v>
      </c>
      <c r="AB1003" s="504" t="b">
        <v>0</v>
      </c>
      <c r="AC1003" s="121"/>
      <c r="AD1003" s="505" t="b">
        <v>0</v>
      </c>
      <c r="AE1003" s="504" t="b">
        <v>0</v>
      </c>
      <c r="AF1003" s="125"/>
      <c r="AG1003" s="505" t="b">
        <v>0</v>
      </c>
      <c r="AH1003" s="504" t="b">
        <v>0</v>
      </c>
      <c r="AI1003" s="105"/>
      <c r="AJ1003" s="505" t="b">
        <v>0</v>
      </c>
      <c r="AK1003" s="504" t="b">
        <v>0</v>
      </c>
      <c r="AL1003" s="126"/>
      <c r="AM1003" s="505" t="b">
        <v>0</v>
      </c>
      <c r="AN1003" s="504" t="b">
        <v>0</v>
      </c>
      <c r="AO1003" s="105"/>
      <c r="AP1003" s="105"/>
      <c r="AQ1003" s="105"/>
      <c r="AR1003" s="105"/>
      <c r="AS1003" s="105"/>
      <c r="AT1003" s="105"/>
      <c r="AU1003" s="105"/>
      <c r="AV1003" s="105"/>
      <c r="AW1003" s="105"/>
      <c r="AX1003" s="105"/>
      <c r="AY1003" s="105"/>
      <c r="AZ1003" s="105"/>
      <c r="BA1003" s="105"/>
    </row>
  </sheetData>
  <hyperlinks>
    <hyperlink r:id="rId4" ref="E8"/>
    <hyperlink r:id="rId5" ref="E46"/>
    <hyperlink r:id="rId6" ref="E47"/>
    <hyperlink r:id="rId7" ref="E163"/>
    <hyperlink r:id="rId8" ref="E190"/>
  </hyperlinks>
  <drawing r:id="rId9"/>
  <legacyDrawing r:id="rId10"/>
</worksheet>
</file>