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ctual Week" r:id="rId3" sheetId="1"/>
    <sheet name="Last Week" r:id="rId4" sheetId="2"/>
    <sheet name="Final Report" r:id="rId5" sheetId="3"/>
  </sheets>
</workbook>
</file>

<file path=xl/sharedStrings.xml><?xml version="1.0" encoding="utf-8"?>
<sst xmlns="http://schemas.openxmlformats.org/spreadsheetml/2006/main" count="5551" uniqueCount="977">
  <si>
    <t>LATAM-SD-BI-MSTR-SR-V1</t>
  </si>
  <si>
    <t>Solicitud de servicio</t>
  </si>
  <si>
    <t>Resumen</t>
  </si>
  <si>
    <t>Notificado por</t>
  </si>
  <si>
    <t>Creado por</t>
  </si>
  <si>
    <t>Estado</t>
  </si>
  <si>
    <t>Fecha de estado</t>
  </si>
  <si>
    <t>Fecha de creación</t>
  </si>
  <si>
    <t>Grupo propietario</t>
  </si>
  <si>
    <t>Propietario</t>
  </si>
  <si>
    <t>Aging</t>
  </si>
  <si>
    <t>SR1301530</t>
  </si>
  <si>
    <t>alta de microstrategy</t>
  </si>
  <si>
    <t>NSZEMIS@DIRECTVLA.COM.AR</t>
  </si>
  <si>
    <t>COTTINO@DIRECTVLA.COM.AR</t>
  </si>
  <si>
    <t>CLOSED</t>
  </si>
  <si>
    <t>LATAM-SD-BI-MSTR</t>
  </si>
  <si>
    <t>IMONZON@DIRECTVLA.COM.AR</t>
  </si>
  <si>
    <t>SR1301586</t>
  </si>
  <si>
    <t>Pedido de Reporte</t>
  </si>
  <si>
    <t>RDEIBE@DIRECTVLA.COM.AR</t>
  </si>
  <si>
    <t>SENNA@DIRECTVLA.COM.AR</t>
  </si>
  <si>
    <t>SR1301796</t>
  </si>
  <si>
    <t>Revisar acceso a MICROSTRATEGY(SR1249806)</t>
  </si>
  <si>
    <t>JDELEON@DIRECTVLA.COM.UY</t>
  </si>
  <si>
    <t>FPACHECO2@DIRECTVLA.COM.AR</t>
  </si>
  <si>
    <t>SR1301852</t>
  </si>
  <si>
    <t>RV: autorización reportes operativos</t>
  </si>
  <si>
    <t>TCHAME@DIRECTVLA.COM.AR</t>
  </si>
  <si>
    <t>DAJALIN@DIRECTVLA.COM.AR</t>
  </si>
  <si>
    <t>ETRONCOS@DIRECTVLA.COM.AR</t>
  </si>
  <si>
    <t>SR1301957</t>
  </si>
  <si>
    <t>churn</t>
  </si>
  <si>
    <t>MAPALIZ@DIRECTV.COM.EC</t>
  </si>
  <si>
    <t>TRUFRANO@DIRECTVLA.COM.AR</t>
  </si>
  <si>
    <t>SR1303563</t>
  </si>
  <si>
    <t>Nueva PLANIFICACION en MicroStrategy</t>
  </si>
  <si>
    <t>JPONS@DIRECTVLA.COM.AR</t>
  </si>
  <si>
    <t>EZELIA@DIRECTVLA.COM.AR</t>
  </si>
  <si>
    <t>SR1303925</t>
  </si>
  <si>
    <t>Reporte de retenciones postpago</t>
  </si>
  <si>
    <t>MGCANDO@DIRECTV.COM.EC</t>
  </si>
  <si>
    <t>GFMORONI@DIRECTVLA.COM.AR</t>
  </si>
  <si>
    <t>SR1305522</t>
  </si>
  <si>
    <t>Errores con correo y Microstrategy</t>
  </si>
  <si>
    <t>MDAROSA@DIRECTVLA.COM.UY</t>
  </si>
  <si>
    <t>LNIEVAS@DIRECTVLA.COM.AR</t>
  </si>
  <si>
    <t>DEMAZA@DIRECTVLA.COM.AR</t>
  </si>
  <si>
    <t>SR1305671</t>
  </si>
  <si>
    <t>Acceso a microstrategy</t>
  </si>
  <si>
    <t>CCASTELLANOS@DIRECTV.PE</t>
  </si>
  <si>
    <t>JMONTER3@DIRECTVLA.COM.AR</t>
  </si>
  <si>
    <t>SR1305672</t>
  </si>
  <si>
    <t>SR1306148</t>
  </si>
  <si>
    <t>Usuarios sin accesos 60 d?as</t>
  </si>
  <si>
    <t>DOTERO@DIRECTVLA.COM.AR</t>
  </si>
  <si>
    <t>PCHIESA@DIRECTVLA.COM.AR</t>
  </si>
  <si>
    <t>SR1306165</t>
  </si>
  <si>
    <t>Publicar documentación Microstrategy</t>
  </si>
  <si>
    <t>CNACIMBERA@DIRECTVLA.COM.AR</t>
  </si>
  <si>
    <t>SR1306637</t>
  </si>
  <si>
    <t>Cali - Reporting - ticket en proceso</t>
  </si>
  <si>
    <t>SEBROL@DIRECTVLA.COM.CO</t>
  </si>
  <si>
    <t>JUASOL@DIRECTVLA.COM.CO</t>
  </si>
  <si>
    <t>SR1307131</t>
  </si>
  <si>
    <t>-Reactivación cuenta de Nelson Merced</t>
  </si>
  <si>
    <t>ILOPEZV@DIRECTVPR.COM</t>
  </si>
  <si>
    <t>SR1307461</t>
  </si>
  <si>
    <t>Request to Remove Recipients from Email Subsription to BI Reports</t>
  </si>
  <si>
    <t>AATTZS@DIRECTVTT.COM</t>
  </si>
  <si>
    <t>SR1307579</t>
  </si>
  <si>
    <t>Acceso operations Microstrategy</t>
  </si>
  <si>
    <t>GCALAGUA@DIRECTV.PE</t>
  </si>
  <si>
    <t>FGALARZA@DIRECTVLA.COM.AR</t>
  </si>
  <si>
    <t>SR1307979</t>
  </si>
  <si>
    <t>Error de acceso</t>
  </si>
  <si>
    <t>MCARRASCOH@DIRECTV.CL</t>
  </si>
  <si>
    <t>SR1311041</t>
  </si>
  <si>
    <t>Microstrategy Report missing data</t>
  </si>
  <si>
    <t>JKHAN@DIRECTVTT.COM</t>
  </si>
  <si>
    <t>SR1311144</t>
  </si>
  <si>
    <t>Cambio conexión IBS UY - Microstrategy Desarrollo</t>
  </si>
  <si>
    <t>MMUNOZW@DIRECTVLA.COM.AR</t>
  </si>
  <si>
    <t>SR1311273</t>
  </si>
  <si>
    <t>Pedido de datos</t>
  </si>
  <si>
    <t>RLOPEZ@DIRECTVLA.COM.AR</t>
  </si>
  <si>
    <t>CANCELLED</t>
  </si>
  <si>
    <t>SR1311286</t>
  </si>
  <si>
    <t>Creación de SR para realizar mapeo en Microstrategy</t>
  </si>
  <si>
    <t>EPASCUSSO@DIRECTVLA.COM.AR</t>
  </si>
  <si>
    <t>SR1311310</t>
  </si>
  <si>
    <t>SR1311414</t>
  </si>
  <si>
    <t>Cali  Alta Supervisores</t>
  </si>
  <si>
    <t>JUABEJ@DIRECTVLA.COM.CO</t>
  </si>
  <si>
    <t>ERISTU@DIRECTVLA.COM.CO</t>
  </si>
  <si>
    <t>SR1311641</t>
  </si>
  <si>
    <t>Modificar la conexión de IBS Caribe Online en Microstrategy</t>
  </si>
  <si>
    <t>HFURLONG@DIRECTVLA.COM.AR</t>
  </si>
  <si>
    <t>SR1311854</t>
  </si>
  <si>
    <t>Cambio conexión IBS CARIBE - Microstrategy</t>
  </si>
  <si>
    <t>SR1311858</t>
  </si>
  <si>
    <t>Cambio conexión IBS COLOMBIA - Microstrategy</t>
  </si>
  <si>
    <t>SR1312612</t>
  </si>
  <si>
    <t>MCALLEJA@DIRECTVLA.COM.UY</t>
  </si>
  <si>
    <t>SR1313705</t>
  </si>
  <si>
    <t>Restablecer usuario Righy Meneses en MicroStrategy</t>
  </si>
  <si>
    <t>SR1314769</t>
  </si>
  <si>
    <t>ABM - Microstrategy</t>
  </si>
  <si>
    <t>CVILLAR2@DIRECTVLA.COM.AR</t>
  </si>
  <si>
    <t>NSAYES@DIRECTVLA.COM.AR</t>
  </si>
  <si>
    <t>LALBARRA@DIRECTVLA.COM.AR</t>
  </si>
  <si>
    <t>SR1315287</t>
  </si>
  <si>
    <t>Reporte Premiums 2015-2017 MicroS</t>
  </si>
  <si>
    <t>EMRIVADENEIRA@DIRECTV.COM.EC</t>
  </si>
  <si>
    <t>SR1315433</t>
  </si>
  <si>
    <t>Rehabilitacion de user Microestrategy</t>
  </si>
  <si>
    <t>MRODRI22@DIRECTVLA.COM.AR</t>
  </si>
  <si>
    <t>SR1315448</t>
  </si>
  <si>
    <t>Baja de usuarios en Microstrategy</t>
  </si>
  <si>
    <t>MBERNARD@DIRECTVLA.COM.AR</t>
  </si>
  <si>
    <t>SR1315567</t>
  </si>
  <si>
    <t>Bogota- performance - Solicitud de Usuario Microstrategy Analista Performance Management</t>
  </si>
  <si>
    <t>LSUAREZ7@DTVPAN.COM</t>
  </si>
  <si>
    <t>JULTOR1@DIRECTVLA.COM.CO</t>
  </si>
  <si>
    <t>SR1315906</t>
  </si>
  <si>
    <t>Rehabilitación de usuario en BI</t>
  </si>
  <si>
    <t>GBAQUELA@DIRECTVLA.COM.AR</t>
  </si>
  <si>
    <t>MFRANCUC@DIRECTVLA.COM.AR</t>
  </si>
  <si>
    <t>SR1315995</t>
  </si>
  <si>
    <t>SR1316016</t>
  </si>
  <si>
    <t>Blanqueo de clave</t>
  </si>
  <si>
    <t>IROCHA@DIRECTVLA.COM.AR</t>
  </si>
  <si>
    <t>SR1316395</t>
  </si>
  <si>
    <t>Información adicional Microestrategy</t>
  </si>
  <si>
    <t>ARMARQUEZ@DIRECTVLA.COM.AR</t>
  </si>
  <si>
    <t>SR1316821</t>
  </si>
  <si>
    <t>Reportes - Modificacion de reporte</t>
  </si>
  <si>
    <t>ANSAYAGO@DIRECTVLA.COM.VE</t>
  </si>
  <si>
    <t>NOMENDEZ@DIRECTVLA.COM.VE</t>
  </si>
  <si>
    <t>SR1316824</t>
  </si>
  <si>
    <t>Cali - Reporting - PERMISOS DE USUARIO EN MICROSTRATEGY</t>
  </si>
  <si>
    <t>LEIHIN@DIRECTVLA.COM.CO</t>
  </si>
  <si>
    <t>SR1317042</t>
  </si>
  <si>
    <t>Cali - Reporting - Alta Supervisores REC/REN/TLV/RET MicroStrategy 47 Usuarios</t>
  </si>
  <si>
    <t>SR1317104</t>
  </si>
  <si>
    <t>MICROSTRATEGY - en base del SR1313171</t>
  </si>
  <si>
    <t>GOCON@DIRECTVLA.COM.AR</t>
  </si>
  <si>
    <t>SR1317508</t>
  </si>
  <si>
    <t>Eliminar suscripciones</t>
  </si>
  <si>
    <t>MMARQUEZ@DIRECTV.PE</t>
  </si>
  <si>
    <t>SR1317716</t>
  </si>
  <si>
    <t>Estado del usuario</t>
  </si>
  <si>
    <t>VLATTEMA@DIRECTVLA.COM.AR</t>
  </si>
  <si>
    <t>SR1317916</t>
  </si>
  <si>
    <t>PPM 114282 - Agregar campos a Verint</t>
  </si>
  <si>
    <t>JFERLIJI@DIRECTVLA.COM.AR</t>
  </si>
  <si>
    <t>SR1318338</t>
  </si>
  <si>
    <t>PERMISOS DE USUARIO EN MICROSTRATEGY</t>
  </si>
  <si>
    <t>SR1318413</t>
  </si>
  <si>
    <t>Alta Supervisores REC/REN/TLV/RET MicroStrategy 47 Usuarios</t>
  </si>
  <si>
    <t>SR1318459</t>
  </si>
  <si>
    <t>MICROESTRATEGY - Alta de usuario</t>
  </si>
  <si>
    <t>JMAXIMO@DIRECTVLA.COM.AR</t>
  </si>
  <si>
    <t>SR1318678</t>
  </si>
  <si>
    <t>Quitar permiso en Microstrategy</t>
  </si>
  <si>
    <t>PHERMOSI@DIRECTVLA.COM.AR</t>
  </si>
  <si>
    <t>SR1318902</t>
  </si>
  <si>
    <t>Reportes de planeamiento financieto no generados</t>
  </si>
  <si>
    <t>SR1319000</t>
  </si>
  <si>
    <t>no puede acceder a  Microstrategy</t>
  </si>
  <si>
    <t>DMORENO2@DIRECTVLA.COM.AR</t>
  </si>
  <si>
    <t>SR1319674</t>
  </si>
  <si>
    <t>Alta Supervisores MicroStrategy 69 Usuarios</t>
  </si>
  <si>
    <t>SR1319824</t>
  </si>
  <si>
    <t>RV: Solicitud de Usuario Microstrategy Analista Performance Management</t>
  </si>
  <si>
    <t>LUIS.SUAREZ@DIRECTVTLC.COM</t>
  </si>
  <si>
    <t>JEFASSI@DIRECTVLA.COM.AR</t>
  </si>
  <si>
    <t>SR1320372</t>
  </si>
  <si>
    <t>Consulta por alta Microestrategy</t>
  </si>
  <si>
    <t>SR1320374</t>
  </si>
  <si>
    <t>Argentina,Gestion de Accesos,ABM Acceso a aplicaciones</t>
  </si>
  <si>
    <t>SR1320612</t>
  </si>
  <si>
    <t>Alta en microstrategy</t>
  </si>
  <si>
    <t>TFIJTMAN@DIRECTVLA.COM.AR</t>
  </si>
  <si>
    <t>CCORDOBA@DIRECTVLA.COM.AR</t>
  </si>
  <si>
    <t>SR1320727</t>
  </si>
  <si>
    <t>generar un schedule en Microstrategy</t>
  </si>
  <si>
    <t>FGULMEZ@DIRECTVLA.COM.AR</t>
  </si>
  <si>
    <t>SR1323271</t>
  </si>
  <si>
    <t>Restablecer usuario Carlos Enrique Vargas Torres en MicroStrategy</t>
  </si>
  <si>
    <t>SR1324468</t>
  </si>
  <si>
    <t>DAR DE BAJA USUARIO EN MICROSTRATEGY</t>
  </si>
  <si>
    <t>SR1324750</t>
  </si>
  <si>
    <t>Command Manager Script cambio de propietario</t>
  </si>
  <si>
    <t>AREYES1@DIRECTVLA.COM.VE</t>
  </si>
  <si>
    <t>SR1324882</t>
  </si>
  <si>
    <t>Usuarios sin accesos por 60 días a Microstrategy</t>
  </si>
  <si>
    <t>SR1324886</t>
  </si>
  <si>
    <t>Publicar Documentación de Microstrategy</t>
  </si>
  <si>
    <t>SR1325335</t>
  </si>
  <si>
    <t>Falla de acceso a Microstrategy</t>
  </si>
  <si>
    <t>PIBACACHES@DIRECTV.CL</t>
  </si>
  <si>
    <t>SR1325344</t>
  </si>
  <si>
    <t>Usuarios con +1 Comunidad</t>
  </si>
  <si>
    <t>SR1325346</t>
  </si>
  <si>
    <t>ABM  - Microstrategy</t>
  </si>
  <si>
    <t>SR1326108</t>
  </si>
  <si>
    <t>Alta en MicroStrategy</t>
  </si>
  <si>
    <t>MIBANEZ@DIRECTVLA.COM.AR</t>
  </si>
  <si>
    <t>GGRUBISA@DIRECTVLA.COM.AR</t>
  </si>
  <si>
    <t>SR1326334</t>
  </si>
  <si>
    <t>PPM 113401 - MiDirectv - Mapeo Tablas Nuevas</t>
  </si>
  <si>
    <t>SR1326677</t>
  </si>
  <si>
    <t>Restablecer usuario Katherine Vergez en MicroStrategy</t>
  </si>
  <si>
    <t>SR1326952</t>
  </si>
  <si>
    <t>Modificar permisos BI</t>
  </si>
  <si>
    <t>PSCHONFE@DIRECTVLA.COM.AR</t>
  </si>
  <si>
    <t>SR1327145</t>
  </si>
  <si>
    <t>PRIORIDAD ALTA: Reporte de Datos de CLientes Corporativos</t>
  </si>
  <si>
    <t>HORTECHO@DIRECTV.PE</t>
  </si>
  <si>
    <t>SR1328569</t>
  </si>
  <si>
    <t>revisar el acco a MICRO(SR1319824)</t>
  </si>
  <si>
    <t>SR1328830</t>
  </si>
  <si>
    <t>AC - Microstrategy - ABM</t>
  </si>
  <si>
    <t>LORSARIA@DIRECTVLA.COM.AR</t>
  </si>
  <si>
    <t>SR1329732</t>
  </si>
  <si>
    <t>Iceberg - Modulo Disponibilidad - Error en Metrica</t>
  </si>
  <si>
    <t>SR1330260</t>
  </si>
  <si>
    <t>Microstrategy - ABM</t>
  </si>
  <si>
    <t>DGBETANCOURT@DIRECTV.COM.EC</t>
  </si>
  <si>
    <t>WRALONSO@DIRECTVLA.COM.AR</t>
  </si>
  <si>
    <t>SR1330505</t>
  </si>
  <si>
    <t>Crear listado de mails dinamico</t>
  </si>
  <si>
    <t>CHENKIN@DIRECTVLA.COM.AR</t>
  </si>
  <si>
    <t>SR1330947</t>
  </si>
  <si>
    <t>Urgente RE: IN909029  Ingreso Microstrategy</t>
  </si>
  <si>
    <t>DORMAL@DIRECTVLA.COM.CO</t>
  </si>
  <si>
    <t>SR1331039</t>
  </si>
  <si>
    <t>Agregar métricas de Cambios 60 / detalle - Mapeo en Microstrategy</t>
  </si>
  <si>
    <t>SR1331597</t>
  </si>
  <si>
    <t>No puede acceder a usuario de Microstrategy</t>
  </si>
  <si>
    <t>ALIENDO@DIRECTVLA.COM.AR</t>
  </si>
  <si>
    <t>LDUTRA@DIRECTVLA.COM.AR</t>
  </si>
  <si>
    <t>SR1332372</t>
  </si>
  <si>
    <t>SR1332454</t>
  </si>
  <si>
    <t>Error de acceso a Microstrategy</t>
  </si>
  <si>
    <t>ABZAMBRANO@DIRECTV.COM.EC</t>
  </si>
  <si>
    <t>SR1332814</t>
  </si>
  <si>
    <t>RV: Mapeo Form USU_NAME en el atributo Usuario Asignado Contacto (Carpeta Contactos)</t>
  </si>
  <si>
    <t>SR1333074</t>
  </si>
  <si>
    <t>Acceso a Microestrategy.</t>
  </si>
  <si>
    <t>ANYEST@DIRECTVLA.COM.CO</t>
  </si>
  <si>
    <t>SR1334454</t>
  </si>
  <si>
    <t>Acceso MICRO(SR1327044)</t>
  </si>
  <si>
    <t>ANICOLAO@DIRECTVLA.COM.AR</t>
  </si>
  <si>
    <t>SR1334791</t>
  </si>
  <si>
    <t>Microtestrategy - Verificar recepcion de reporte</t>
  </si>
  <si>
    <t>ISABATINO@DIRECTVLA.COM.VE</t>
  </si>
  <si>
    <t>SR1335906</t>
  </si>
  <si>
    <t>Creacion usuario Cinthya Garza Martinez en Microstrategy</t>
  </si>
  <si>
    <t>SR1335945</t>
  </si>
  <si>
    <t>JUBALTON@DIRECTVLA.COM.AR</t>
  </si>
  <si>
    <t>SR1336064</t>
  </si>
  <si>
    <t>SR1336671</t>
  </si>
  <si>
    <t>PPM 115157 - C.Care - Estado de Cuenta</t>
  </si>
  <si>
    <t>SR1336906</t>
  </si>
  <si>
    <t>Creacion usuario Cecilia Molina en Microstrategy</t>
  </si>
  <si>
    <t>SR1337909</t>
  </si>
  <si>
    <t>Restablecer usuario Fabian Saavedra Ruiz en Microstrategy</t>
  </si>
  <si>
    <t>SR1338032</t>
  </si>
  <si>
    <t>Creación  de usuarios en Microstrategy</t>
  </si>
  <si>
    <t>SR1338071</t>
  </si>
  <si>
    <t>Reactivar Usuario en MicroStrategy</t>
  </si>
  <si>
    <t>SR1338684</t>
  </si>
  <si>
    <t>MR31 Ecuador - SUAT - Migrar reportes Microstrategy solicitados por el Negocio</t>
  </si>
  <si>
    <t>SR1338776</t>
  </si>
  <si>
    <t>Alta Microestrategy</t>
  </si>
  <si>
    <t>SMTOLOZA@DIRECTVLA.COM.AR</t>
  </si>
  <si>
    <t>CGARCI14@DIRECTVLA.COM.AR</t>
  </si>
  <si>
    <t>SR1338916</t>
  </si>
  <si>
    <t>Alta de usuario en microstrategy</t>
  </si>
  <si>
    <t>DPASSERI@DIRECTVLA.COM.AR</t>
  </si>
  <si>
    <t>GRAINO@DIRECTVLA.COM.AR</t>
  </si>
  <si>
    <t>SR1340139</t>
  </si>
  <si>
    <t>error en Microstrategy</t>
  </si>
  <si>
    <t>AMPHER@DIRECTVLA.COM.CO</t>
  </si>
  <si>
    <t>SR1340191</t>
  </si>
  <si>
    <t>Solicitud Reactivación de Usuario</t>
  </si>
  <si>
    <t>JMOYETONES@DIRECTVLA.COM.VE</t>
  </si>
  <si>
    <t>SR1340209</t>
  </si>
  <si>
    <t>Alta de usuario Jessica Valdez</t>
  </si>
  <si>
    <t>ACRIMI@DIRECTVLA.COM.AR</t>
  </si>
  <si>
    <t>SR1340774</t>
  </si>
  <si>
    <t>Rehabilitación de usuario</t>
  </si>
  <si>
    <t>SR1340918</t>
  </si>
  <si>
    <t>MR31 Ecuador - SUAT - Resolución de incidentes de Spira</t>
  </si>
  <si>
    <t>SR1341158</t>
  </si>
  <si>
    <t>ABM: Microstrategy</t>
  </si>
  <si>
    <t>SR1341727</t>
  </si>
  <si>
    <t>Restablecer usuarios Maximiliano Contreras,Luis Daniel Antonelli,Helios Fachino en Microstrategy</t>
  </si>
  <si>
    <t>SR1342210</t>
  </si>
  <si>
    <t>Rehabilitación usuario BI</t>
  </si>
  <si>
    <t>SR1342747</t>
  </si>
  <si>
    <t>Creacion usuario Paola Estrada en Microstrategy</t>
  </si>
  <si>
    <t>SR1343430</t>
  </si>
  <si>
    <t>Revisión ingreso a Microstrategy</t>
  </si>
  <si>
    <t>VXMADERA@DIRECTV.COM.EC</t>
  </si>
  <si>
    <t>SR1346046</t>
  </si>
  <si>
    <t>MICRO DANIEL SIERRA</t>
  </si>
  <si>
    <t>EDSIERRA@DIRECTV.COM.EC</t>
  </si>
  <si>
    <t>SR1346320</t>
  </si>
  <si>
    <t>RV: Usuarios sin accesos 60 d?as</t>
  </si>
  <si>
    <t>SR1346349</t>
  </si>
  <si>
    <t>Publicar Documentación Microstrategy</t>
  </si>
  <si>
    <t>SR1346453</t>
  </si>
  <si>
    <t>ABM USERS BI_v2 8 (SEBASTIAN GUTIERREZ).xlsx</t>
  </si>
  <si>
    <t>KLPROANO@DIRECTV.COM.EC</t>
  </si>
  <si>
    <t>SR1346632</t>
  </si>
  <si>
    <t>Creación usuarios en Microstrategy</t>
  </si>
  <si>
    <t>SR1346870</t>
  </si>
  <si>
    <t>Correccion de usuario</t>
  </si>
  <si>
    <t>SR1346884</t>
  </si>
  <si>
    <t>RESUELTO – La solicitud de servicio SR1341732 fue completada</t>
  </si>
  <si>
    <t>SR1347460</t>
  </si>
  <si>
    <t>Restablecer usuario Oceania Torres en Microstrategy</t>
  </si>
  <si>
    <t>SR1348110</t>
  </si>
  <si>
    <t>Alta en BI</t>
  </si>
  <si>
    <t>SR1348868</t>
  </si>
  <si>
    <t>ABM: Microstrategy (viene del Ticket SR1339131)</t>
  </si>
  <si>
    <t>SR1348896</t>
  </si>
  <si>
    <t>ABM: Microstrategy (viene del Ticket SR1341674)</t>
  </si>
  <si>
    <t>SR1349170</t>
  </si>
  <si>
    <t>ABM: Microstrategy (viene del Ticket SR1342756)</t>
  </si>
  <si>
    <t>SR1350218</t>
  </si>
  <si>
    <t>SR1350316</t>
  </si>
  <si>
    <t>Permisos Control Total en carpeta de BI</t>
  </si>
  <si>
    <t>SR1350639</t>
  </si>
  <si>
    <t>Restablecer usuario Yorlenis Roa en Microstrategy</t>
  </si>
  <si>
    <t>SR1351017</t>
  </si>
  <si>
    <t>Acceso a Microestrategi</t>
  </si>
  <si>
    <t>ETORRESD@DIRECTVPR.COM</t>
  </si>
  <si>
    <t>SR1351256</t>
  </si>
  <si>
    <t>SR1351366</t>
  </si>
  <si>
    <t>ALTA EN Microestrategy</t>
  </si>
  <si>
    <t>MGODNJAVEC@DIRECTVLA.COM.UY</t>
  </si>
  <si>
    <t>SR1351483</t>
  </si>
  <si>
    <t>RE: Modificacion de usuarios Adalberto Tapia-Sergio Reales en Microstrategy</t>
  </si>
  <si>
    <t>SR1351558</t>
  </si>
  <si>
    <t>Acceso Microstrategy</t>
  </si>
  <si>
    <t>PGUEDES@DIRECTVLA.COM.VE</t>
  </si>
  <si>
    <t>SR1351792</t>
  </si>
  <si>
    <t>SR1352173</t>
  </si>
  <si>
    <t>RV: Restablecer usuarios Nataly Mosquera-Andres Ruiz en Microstrategy</t>
  </si>
  <si>
    <t>SR1352838</t>
  </si>
  <si>
    <t>Cambio base de datos Microstrategy</t>
  </si>
  <si>
    <t>SR1352993</t>
  </si>
  <si>
    <t>configurar base de datos</t>
  </si>
  <si>
    <t>SR1353153</t>
  </si>
  <si>
    <t>RE: Solicitud permisos Microstrategy</t>
  </si>
  <si>
    <t>HOLAPO@DIRECTVLA.COM.CO</t>
  </si>
  <si>
    <t>SR1353504</t>
  </si>
  <si>
    <t>SR1354120</t>
  </si>
  <si>
    <t>Restablecer usuario Fernanda Rojas en Microstrategy</t>
  </si>
  <si>
    <t>SR1354124</t>
  </si>
  <si>
    <t>RE: Reactivar cuenta de usuario Microstrategy</t>
  </si>
  <si>
    <t>YORTIZ@DIRECTV.PE</t>
  </si>
  <si>
    <t>SR1354631</t>
  </si>
  <si>
    <t>PErfiles de MIcroestrategy</t>
  </si>
  <si>
    <t>OLOPEZC@DIRECTV.CL</t>
  </si>
  <si>
    <t>SR1355214</t>
  </si>
  <si>
    <t>permiso (05.11 - Web Professional).</t>
  </si>
  <si>
    <t>SR1356398</t>
  </si>
  <si>
    <t>Baja usuario Isabel Cristina Erazo Gonzalez en Microstrategy</t>
  </si>
  <si>
    <t>SR1356877</t>
  </si>
  <si>
    <t>SR1356952</t>
  </si>
  <si>
    <t>REPORTES AUTOMATICOS BASE SIN FORWARD 30 MES ANTERIOR, BASE SIN FORWARD 7 Y 30, CONTACTOS WIMT - WO REPORTE</t>
  </si>
  <si>
    <t>DGCABRERA@DIRECTV.COM.EC</t>
  </si>
  <si>
    <t>SR1357509</t>
  </si>
  <si>
    <t>Alta en Microstrategy</t>
  </si>
  <si>
    <t>SR1357562</t>
  </si>
  <si>
    <t>Datos Churn 60 Prepago en Microstartegy</t>
  </si>
  <si>
    <t>FPANTOJA@DIRECTV.CL</t>
  </si>
  <si>
    <t>SR1357902</t>
  </si>
  <si>
    <t>SR1357935</t>
  </si>
  <si>
    <t>SR1358915</t>
  </si>
  <si>
    <t>ALTA MICROSTRATERY</t>
  </si>
  <si>
    <t>AVISCA@DIRECTVLA.COM.UY</t>
  </si>
  <si>
    <t>SR1359266</t>
  </si>
  <si>
    <t>SR a LATAM-SD-BI-MSTR solicitando la baja de las suscipciones del usuario floosli@directv.cl</t>
  </si>
  <si>
    <t>SR1359305</t>
  </si>
  <si>
    <t>-Verificacion cuenta user mosorio en Micristrategy</t>
  </si>
  <si>
    <t>SR1359618</t>
  </si>
  <si>
    <t>RE: Aviso de Inactividad de Usuario</t>
  </si>
  <si>
    <t>JUAMIRA@DIRECTVLA.COM.CO</t>
  </si>
  <si>
    <t>SR1360121</t>
  </si>
  <si>
    <t>Mapeo de un atributo en MicroStrategy</t>
  </si>
  <si>
    <t>SR1361442</t>
  </si>
  <si>
    <t>Validar acceso a MICROSTRATEGY(SR1334518)</t>
  </si>
  <si>
    <t>ABLUGO@DIRECTVLA.COM.VE</t>
  </si>
  <si>
    <t>SR1361923</t>
  </si>
  <si>
    <t>verificacion de usuario</t>
  </si>
  <si>
    <t>FCUNESE@DIRECTVLA.COM.AR</t>
  </si>
  <si>
    <t>FKLINK@DIRECTVLA.COM.AR</t>
  </si>
  <si>
    <t>SR1363861</t>
  </si>
  <si>
    <t>alta microstrategy</t>
  </si>
  <si>
    <t>SR1364184</t>
  </si>
  <si>
    <t>Mapeo Usuario calculado en Field Services</t>
  </si>
  <si>
    <t>SR1364998</t>
  </si>
  <si>
    <t>RE: RESUELTO – La solicitud de servicio SR1322468 fue completada.</t>
  </si>
  <si>
    <t>BETROD@DIRECTVLA.COM.CO</t>
  </si>
  <si>
    <t>SR1365649</t>
  </si>
  <si>
    <t>SR1365685</t>
  </si>
  <si>
    <t>Microstrategy: Deshabilitar usuarios</t>
  </si>
  <si>
    <t>SR1367097</t>
  </si>
  <si>
    <t>Rehabilitación user Microstrategy</t>
  </si>
  <si>
    <t>NGUIMARA@DIRECTVLA.COM.AR</t>
  </si>
  <si>
    <t>SR1367302</t>
  </si>
  <si>
    <t>JUCHACON@DIRECTVLA.COM.VE</t>
  </si>
  <si>
    <t>SR1367361</t>
  </si>
  <si>
    <t>Conectividad 172.22.4.171 y smtp.dtvla.com</t>
  </si>
  <si>
    <t>SR1368285</t>
  </si>
  <si>
    <t>Blanqueo de Pass de acceso a Microstrategy</t>
  </si>
  <si>
    <t>ADRAND@DIRECTVLA.COM.CO</t>
  </si>
  <si>
    <t>SR1368476</t>
  </si>
  <si>
    <t>SR1368479</t>
  </si>
  <si>
    <t>Incidencia con Microstrategy</t>
  </si>
  <si>
    <t>ABELIZARIO@DIRECTVLA.COM.VE</t>
  </si>
  <si>
    <t>SR1368747</t>
  </si>
  <si>
    <t>Activar Usuarios Supervisores en MicroStrategy</t>
  </si>
  <si>
    <t>SR1368781</t>
  </si>
  <si>
    <t>Solicitud de acceso a Microstrategy</t>
  </si>
  <si>
    <t>FGUIULFO@DIRECTV.PE</t>
  </si>
  <si>
    <t>SR1369499</t>
  </si>
  <si>
    <t>Mapeo Fecha Contacto Agenda - Modelo Field Services</t>
  </si>
  <si>
    <t>SR1370401</t>
  </si>
  <si>
    <t>Rehabilitar usuario Microstrategy</t>
  </si>
  <si>
    <t>ALONG@DIRECTVLA.COM.AR</t>
  </si>
  <si>
    <t>SR1371060</t>
  </si>
  <si>
    <t>ABM: Microstrategy (supervisores)</t>
  </si>
  <si>
    <t>SR1371125</t>
  </si>
  <si>
    <t>Modificar atributos VDN y VDN Siguiente en Micro</t>
  </si>
  <si>
    <t>SR1371861</t>
  </si>
  <si>
    <t>BM Microstrategy</t>
  </si>
  <si>
    <t>MJACOB1@DIRECTVLA.COM.AR</t>
  </si>
  <si>
    <t>SR1372141</t>
  </si>
  <si>
    <t>Error en MicroStrategy</t>
  </si>
  <si>
    <t>RCHIRINOS@DIRECTVLA.COM.VE</t>
  </si>
  <si>
    <t>SR1373193</t>
  </si>
  <si>
    <t>Error Micro  Commercial Reporte de ajustes</t>
  </si>
  <si>
    <t>CCASTILLOSA@DIRECTV.CL</t>
  </si>
  <si>
    <t>SR1373196</t>
  </si>
  <si>
    <t>Ajustes MS - ENGAGE regional</t>
  </si>
  <si>
    <t>SR1373199</t>
  </si>
  <si>
    <t>Restablecer usuario Jeynson Hernandez Bastidas en Microstrategy</t>
  </si>
  <si>
    <t>SR1373250</t>
  </si>
  <si>
    <t>RE: Recuperación de Acceso a Microstrategy</t>
  </si>
  <si>
    <t>JEYHER@DIRECTVLA.COM.CO</t>
  </si>
  <si>
    <t>SR1373788</t>
  </si>
  <si>
    <t>RV: Alta en Microstrategy</t>
  </si>
  <si>
    <t>FXVELASCO@DIRECTV.COM.EC</t>
  </si>
  <si>
    <t>SR1374418</t>
  </si>
  <si>
    <t>Consulta sobre Alta de Usuario MicroStrategy</t>
  </si>
  <si>
    <t>CARLOS.AVENDANO@DIRECTVTLC.COM</t>
  </si>
  <si>
    <t>SR1375199</t>
  </si>
  <si>
    <t>Modificacion usuario Micro</t>
  </si>
  <si>
    <t>RBARILLARO@DIRECTVLA.COM.AR</t>
  </si>
  <si>
    <t>SR1375900</t>
  </si>
  <si>
    <t>RE: LH01 CO | Pruebas de Cierre (BI)</t>
  </si>
  <si>
    <t>JUABOL@DIRECTVLA.COM.CO</t>
  </si>
  <si>
    <t>SR1376422</t>
  </si>
  <si>
    <t>Acceso Microstrategy Auditoes AT&amp;T</t>
  </si>
  <si>
    <t>JESTEVE@DIRECTVLA.COM.AR</t>
  </si>
  <si>
    <t>SR1376740</t>
  </si>
  <si>
    <t>MICROSTRATEGY No puede acceder por error de User y Pass</t>
  </si>
  <si>
    <t>ALEOSP@DIRECTVLA.COM.CO</t>
  </si>
  <si>
    <t>SR1376850</t>
  </si>
  <si>
    <t>acceso a microestrategy</t>
  </si>
  <si>
    <t>NMANRIQU@DIRECTVLA.COM.AR</t>
  </si>
  <si>
    <t>SR1377742</t>
  </si>
  <si>
    <t>PPM 30682 Proyecto LHR01 - Requerimientos IP Callback / matriz de mapeo</t>
  </si>
  <si>
    <t>ACOLUCCI@DIRECTVLA.COM.AR</t>
  </si>
  <si>
    <t>SR1378458</t>
  </si>
  <si>
    <t>Solicitud de Clave y Usuario</t>
  </si>
  <si>
    <t>MDORAZIO@DIRECTVLA.COM.VE</t>
  </si>
  <si>
    <t>SR1378511</t>
  </si>
  <si>
    <t>Alta de Mirco</t>
  </si>
  <si>
    <t>SR1379127</t>
  </si>
  <si>
    <t>Modificaicon Microestraegy</t>
  </si>
  <si>
    <t>CBOSCH@DIRECTVLA.COM.AR</t>
  </si>
  <si>
    <t>SR1379773</t>
  </si>
  <si>
    <t>Restablecer usuario Lina Catherin Sierra Forero en Microstrategy</t>
  </si>
  <si>
    <t>SR1380393</t>
  </si>
  <si>
    <t>Acceso a la Herramienta MicroStrategy</t>
  </si>
  <si>
    <t>SSUAREZ@DIRECTVLA.COM.VE</t>
  </si>
  <si>
    <t>SR1380420</t>
  </si>
  <si>
    <t>DIAGOMM@DIRECTVLA.COM.CO</t>
  </si>
  <si>
    <t>SR1382918</t>
  </si>
  <si>
    <t>SR1383035</t>
  </si>
  <si>
    <t>Publicar Documentación</t>
  </si>
  <si>
    <t>SR1383062</t>
  </si>
  <si>
    <t>Rehabilitación Microstrategy</t>
  </si>
  <si>
    <t>FANIDO@DIRECTVLA.COM.AR</t>
  </si>
  <si>
    <t>SR1383462</t>
  </si>
  <si>
    <t>SR1384569</t>
  </si>
  <si>
    <t>SR1384593</t>
  </si>
  <si>
    <t>Solicitud Migración de Cuenta Microstrategy por Cambio de Dominio en Email de TLC a LA.COM.CO</t>
  </si>
  <si>
    <t>LSUAREZ1@DIRECTVLA.COM.CO</t>
  </si>
  <si>
    <t>SR1385400</t>
  </si>
  <si>
    <t>SR1385492</t>
  </si>
  <si>
    <t>Mapeo fecha para F_MDTV_LOGRECORDTODVR_RBWS</t>
  </si>
  <si>
    <t>SR1386328</t>
  </si>
  <si>
    <t>SOLICTUD DE FORMATO PARA REQUERIR LA AUTORIZACIÓN PARA UN NUEVO USUARIO MICROSTRATEGI</t>
  </si>
  <si>
    <t>FARANA@DIRECTVLA.COM.VE</t>
  </si>
  <si>
    <t>SR1386654</t>
  </si>
  <si>
    <t>Alta microestrategy</t>
  </si>
  <si>
    <t>MHERNANDEZ2@DIRECTVLA.COM.VE</t>
  </si>
  <si>
    <t>SR1386697</t>
  </si>
  <si>
    <t>Acceso Microstrategy Johanna Acosta</t>
  </si>
  <si>
    <t>JOHACO@DIRECTVLA.COM.CO</t>
  </si>
  <si>
    <t>SR1386840</t>
  </si>
  <si>
    <t>Alta MicroStrategy</t>
  </si>
  <si>
    <t>SGUTIERREZ@DIRECTVLA.COM.AR</t>
  </si>
  <si>
    <t>SR1386955</t>
  </si>
  <si>
    <t>MODIFICAR CONEXIÓN ESALES UY Benedict Baumann</t>
  </si>
  <si>
    <t>SR1387625</t>
  </si>
  <si>
    <t>HUGO.GARZON@ALLUS.COM.CO</t>
  </si>
  <si>
    <t>SR1387638</t>
  </si>
  <si>
    <t>SR1388503</t>
  </si>
  <si>
    <t>Revisión de permisos de Microstrategy</t>
  </si>
  <si>
    <t>RSALAS1@DIRECTVLA.COM.AR</t>
  </si>
  <si>
    <t>SR1388967</t>
  </si>
  <si>
    <t>RE: sin ingreso a Micro</t>
  </si>
  <si>
    <t>SR1389267</t>
  </si>
  <si>
    <t>Supervisores sin uso MICRO</t>
  </si>
  <si>
    <t>SR1389273</t>
  </si>
  <si>
    <t>Restablecer usuario Hugo Armando Fonseca en MicroStrategy</t>
  </si>
  <si>
    <t>SR1390301</t>
  </si>
  <si>
    <t>RV: Autorización Usuario Microstrategy</t>
  </si>
  <si>
    <t>NVALENZUES@DIRECTV.CL</t>
  </si>
  <si>
    <t>SR1390627</t>
  </si>
  <si>
    <t>Cifras de Churn D-1 Microstrategy en cero</t>
  </si>
  <si>
    <t>LGUTIERREZ@DIRECTVLA.COM.VE</t>
  </si>
  <si>
    <t>SR1391052</t>
  </si>
  <si>
    <t>Mapeos BI</t>
  </si>
  <si>
    <t>SR1391720</t>
  </si>
  <si>
    <t>Revisar Ticket SR1385032</t>
  </si>
  <si>
    <t>SR1392194</t>
  </si>
  <si>
    <t>Restablecer usuario Manuel Alejandro Puerto Ortiz en MicroStrategy</t>
  </si>
  <si>
    <t>SR1392195</t>
  </si>
  <si>
    <t>Restablecer usuario Ileana Trapes en MicroStrategy</t>
  </si>
  <si>
    <t>SR1392553</t>
  </si>
  <si>
    <t>RE: Mapeo fecha para F_MDTV_LOGRECORDTODVR_RBWS</t>
  </si>
  <si>
    <t>SR1392832</t>
  </si>
  <si>
    <t>Usuario de MicroStrategy</t>
  </si>
  <si>
    <t>DOSUNA@DIRECTVLA.COM.AR</t>
  </si>
  <si>
    <t>SR1394127</t>
  </si>
  <si>
    <t>modificacion de usuarios micro</t>
  </si>
  <si>
    <t>MCARDOZO@DIRECTVLA.COM.AR</t>
  </si>
  <si>
    <t>SR1394994</t>
  </si>
  <si>
    <t>SR1395329</t>
  </si>
  <si>
    <t>DPAZ@DIRECTVLA.COM.AR</t>
  </si>
  <si>
    <t>SR1396946</t>
  </si>
  <si>
    <t>MICROSTRATEGY  - Alta de usuario</t>
  </si>
  <si>
    <t>YENSAN@DIRECTVLA.COM.CO</t>
  </si>
  <si>
    <t>SR1399551</t>
  </si>
  <si>
    <t>Baja usuario Giselle Sanchez Ariza en Microstrategy</t>
  </si>
  <si>
    <t>SR1399954</t>
  </si>
  <si>
    <t>SR1400378</t>
  </si>
  <si>
    <t>SR1400818</t>
  </si>
  <si>
    <t>Usuarios Pruebas Micro Migracion LH01</t>
  </si>
  <si>
    <t>ANAAVI@DIRECTVLA.COM.CO</t>
  </si>
  <si>
    <t>SR1401097</t>
  </si>
  <si>
    <t>SR 1401097 Formulario alta usuario MIcrostrategy</t>
  </si>
  <si>
    <t>MOTERO@DIRECTVLA.COM.AR</t>
  </si>
  <si>
    <t>SR1401171</t>
  </si>
  <si>
    <t>SR1401194</t>
  </si>
  <si>
    <t>Restablecer usuario Idangela Mendez Cubides en MicroStrategy</t>
  </si>
  <si>
    <t>SR1402686</t>
  </si>
  <si>
    <t>Publicar Documentación MSTR</t>
  </si>
  <si>
    <t>SR1402901</t>
  </si>
  <si>
    <t>B.I _ Usuario : jalvarado</t>
  </si>
  <si>
    <t>JALVARADO@DIRECTV.PE</t>
  </si>
  <si>
    <t>SR1403637</t>
  </si>
  <si>
    <t>Modificacion usuario Nancy Fredes en Microstrategy</t>
  </si>
  <si>
    <t>SR1404051</t>
  </si>
  <si>
    <t>SR1404546</t>
  </si>
  <si>
    <t>Acceso Microstrategy VICROJ.</t>
  </si>
  <si>
    <t>VICROJ@DIRECTVLA.COM.CO</t>
  </si>
  <si>
    <t>SR1404784</t>
  </si>
  <si>
    <t>Reactivar Usuario en MicroStrategy PVilla@directvla.com.ar</t>
  </si>
  <si>
    <t>SR1407417</t>
  </si>
  <si>
    <t>SR1407671</t>
  </si>
  <si>
    <t>Verificar cuentas en Microstrategy</t>
  </si>
  <si>
    <t>BGALLINI@DIRECTVLA.COM.AR</t>
  </si>
  <si>
    <t>SR1408010</t>
  </si>
  <si>
    <t>JCASTIELLA@DIRECTVLA.COM.UY</t>
  </si>
  <si>
    <t>SR1409080</t>
  </si>
  <si>
    <t>Modificacion usuario Juleyvis Gonzalez en Microstrategy</t>
  </si>
  <si>
    <t>SR1409326</t>
  </si>
  <si>
    <t>MICROSTRATEGY - Modificar Perfil (SR1408622)</t>
  </si>
  <si>
    <t>FFERREIRO@DIRECTVLA.COM.AR</t>
  </si>
  <si>
    <t>SR1409821</t>
  </si>
  <si>
    <t>Reactivar Usuario SPereyr2@directvla.com.ar en MicroStrategy</t>
  </si>
  <si>
    <t>SR1409822</t>
  </si>
  <si>
    <t>QUITAR PERMISOS DE USUARIOS EN MICROSTRATEGY</t>
  </si>
  <si>
    <t>SR1409851</t>
  </si>
  <si>
    <t>SARANCIB@DIRECTVLA.COM.AR</t>
  </si>
  <si>
    <t>SR1410889</t>
  </si>
  <si>
    <t>Problemas con Microstrategy Churn 60</t>
  </si>
  <si>
    <t>CORTEGAN@DIRECTV.CL</t>
  </si>
  <si>
    <t>SR1411210</t>
  </si>
  <si>
    <t>Consulta MicroStrategy</t>
  </si>
  <si>
    <t>CPIZA@DIRECTV.PE</t>
  </si>
  <si>
    <t>SR1411240</t>
  </si>
  <si>
    <t>RV: Accesos a Microestrategy</t>
  </si>
  <si>
    <t>JGONZALES@DIRECTVLA.COM.CO</t>
  </si>
  <si>
    <t>SBRITOS@DIRECTVLA.COM.AR</t>
  </si>
  <si>
    <t>SR1412347</t>
  </si>
  <si>
    <t>RE: sin ingreso a micro  [External] INFORMACION ADICIONAL - Incidente IN935041</t>
  </si>
  <si>
    <t>SR1414005</t>
  </si>
  <si>
    <t>Solicitud Usuario Microestrategy</t>
  </si>
  <si>
    <t>INGMIR@DIRECTVLA.COM.CO</t>
  </si>
  <si>
    <t>SR1414841</t>
  </si>
  <si>
    <t>Creación Usuario en MicroStrategy</t>
  </si>
  <si>
    <t>SR1416829</t>
  </si>
  <si>
    <t>Solicitud Modificación Accesos Microstrategy</t>
  </si>
  <si>
    <t>MPJIMENEZ@DIRECTV.PE</t>
  </si>
  <si>
    <t>SR1417388</t>
  </si>
  <si>
    <t>VAlidar usuario Microstrategy</t>
  </si>
  <si>
    <t>FERMAT@DIRECTVLA.COM.CO</t>
  </si>
  <si>
    <t>SR1418251</t>
  </si>
  <si>
    <t>Upselling &amp; Migración Prepago a Pospago (#30730) / Matriz  de mapeo</t>
  </si>
  <si>
    <t>SR1419786</t>
  </si>
  <si>
    <t>Autorización Carpeta Microstrategy</t>
  </si>
  <si>
    <t>KARANDA@DIRECTVLA.COM.AR</t>
  </si>
  <si>
    <t>SR1419837</t>
  </si>
  <si>
    <t>SR1419842</t>
  </si>
  <si>
    <t>SR1420290</t>
  </si>
  <si>
    <t>RV: Usuarios con +1 Comunidad</t>
  </si>
  <si>
    <t>SR1420440</t>
  </si>
  <si>
    <t>EDCORTES@DIRECTVLA.COM.CO</t>
  </si>
  <si>
    <t>SR1420838</t>
  </si>
  <si>
    <t>SR1420844</t>
  </si>
  <si>
    <t>Reset usuario Microstrategy</t>
  </si>
  <si>
    <t>LRIVERAN@DIRECTVPR.COM</t>
  </si>
  <si>
    <t>SR1421048</t>
  </si>
  <si>
    <t>Modififacion usuario Gonzalo William en Microstrategy</t>
  </si>
  <si>
    <t>SR1421551</t>
  </si>
  <si>
    <t>AGREGAR PERMISO DE USUARIO EN MICROSTRATEGY</t>
  </si>
  <si>
    <t>SR1421658</t>
  </si>
  <si>
    <t>Solicitud Adicionar Accesos de Micro strategy</t>
  </si>
  <si>
    <t>JARELLANOG@DIRECTV.CL</t>
  </si>
  <si>
    <t>SR1421769</t>
  </si>
  <si>
    <t>Modififacion usuario Maria del Pilar Jimenez en Microstrategy</t>
  </si>
  <si>
    <t>SR1421868</t>
  </si>
  <si>
    <t>SR1423801</t>
  </si>
  <si>
    <t>Restablecer usuario Adrian Scardillo en Microstrategy</t>
  </si>
  <si>
    <t>SR1423864</t>
  </si>
  <si>
    <t>SR1424482</t>
  </si>
  <si>
    <t>Acceso a carpeta en microstrategy</t>
  </si>
  <si>
    <t>SR1424629</t>
  </si>
  <si>
    <t>Modificacion usuario Pablo Jesús Arias Almeida en Microstrategy</t>
  </si>
  <si>
    <t>SR1424898</t>
  </si>
  <si>
    <t>Restablecer usuario Juan Rodriguez en MicroStrategy</t>
  </si>
  <si>
    <t>SR1425152</t>
  </si>
  <si>
    <t>Modificacion usuario Marlyn Sol Gonzalez en Microstrategy</t>
  </si>
  <si>
    <t>SR1425513</t>
  </si>
  <si>
    <t>Create a BI user for Rianne George</t>
  </si>
  <si>
    <t>VBENIMADHO@DIRECTVTT.COM</t>
  </si>
  <si>
    <t>SR1425744</t>
  </si>
  <si>
    <t>SNASERE@DIRECTV.CL</t>
  </si>
  <si>
    <t>SR1425986</t>
  </si>
  <si>
    <t>Solicitud de reportes de BI panamericana</t>
  </si>
  <si>
    <t>JCONTRERASR@DIRECTV.CL</t>
  </si>
  <si>
    <t>SR1426103</t>
  </si>
  <si>
    <t>SR1426478</t>
  </si>
  <si>
    <t>Alta usuario Microstrategy</t>
  </si>
  <si>
    <t>BPEREZ1@DIRECTVLA.COM.AR</t>
  </si>
  <si>
    <t>SR1428612</t>
  </si>
  <si>
    <t>SR1429277</t>
  </si>
  <si>
    <t>Rehabilitar usuario en Microstrategy</t>
  </si>
  <si>
    <t>MCAMIGLI@DIRECTVLA.COM.AR</t>
  </si>
  <si>
    <t>SR1429301</t>
  </si>
  <si>
    <t>SR1429411</t>
  </si>
  <si>
    <t>OBSERVACION REPORTE Clientes_HD SinLNBw_Detalle suscripcion</t>
  </si>
  <si>
    <t>SR1432252</t>
  </si>
  <si>
    <t>No accede a microstrategy proviene del IN935041</t>
  </si>
  <si>
    <t>SR1432255</t>
  </si>
  <si>
    <t>RE: formulario</t>
  </si>
  <si>
    <t>DAVPIN@DIRECTVLA.COM.CO</t>
  </si>
  <si>
    <t>SR1432726</t>
  </si>
  <si>
    <t>LGOTELLI@DIRECTVLA.COM.AR</t>
  </si>
  <si>
    <t>SR1432766</t>
  </si>
  <si>
    <t>Microstrategy Caribbean YTD Subscriber Dashboard - modify scale</t>
  </si>
  <si>
    <t>LCARRAUD@DIRECTVLA.COM.AR</t>
  </si>
  <si>
    <t>SR1433228</t>
  </si>
  <si>
    <t>RV: Activaciones Prepago WEB</t>
  </si>
  <si>
    <t>ESCADENA@DIRECTV.COM.EC</t>
  </si>
  <si>
    <t>SR1433707</t>
  </si>
  <si>
    <t>Pasar desarrolloo a UAT</t>
  </si>
  <si>
    <t>SR1435353</t>
  </si>
  <si>
    <t>Métrica de Adherencia</t>
  </si>
  <si>
    <t>SR1435409</t>
  </si>
  <si>
    <t>RABARRAL@DIRECTV.CL</t>
  </si>
  <si>
    <t>SR1435415</t>
  </si>
  <si>
    <t>SR1435552</t>
  </si>
  <si>
    <t>Deshabilitar Usuarios Microstrategy</t>
  </si>
  <si>
    <t>SR1435819</t>
  </si>
  <si>
    <t>Habilitar usuarios para Microestrategy</t>
  </si>
  <si>
    <t>IZMUDA@DIRECTVLA.COM.AR</t>
  </si>
  <si>
    <t>SR1435844</t>
  </si>
  <si>
    <t>Jerarquias de SKILL</t>
  </si>
  <si>
    <t>SR1436673</t>
  </si>
  <si>
    <t>Usuario sin acceder a Micro</t>
  </si>
  <si>
    <t>FJARAMILLOB@DIRECTV.CL</t>
  </si>
  <si>
    <t>SR1438238</t>
  </si>
  <si>
    <t>Microstrategy - Rehabilitación de usuario</t>
  </si>
  <si>
    <t>MRATENB@DIRECTVLA.COM.AR</t>
  </si>
  <si>
    <t>SR1438933</t>
  </si>
  <si>
    <t>FMOUZO@DIRECTVLA.COM.AR</t>
  </si>
  <si>
    <t>SR1440290</t>
  </si>
  <si>
    <t>Acceso MicroStrategy CHILE Auditores AT&amp;T</t>
  </si>
  <si>
    <t>SR1440320</t>
  </si>
  <si>
    <t>DREVETRI@DIRECTVLA.COM.AR</t>
  </si>
  <si>
    <t>SR1440835</t>
  </si>
  <si>
    <t>Acceso Microestrategy</t>
  </si>
  <si>
    <t>NSCABO@DIRECTVLA.COM.AR</t>
  </si>
  <si>
    <t>SR1440908</t>
  </si>
  <si>
    <t>generar un usuario generico para pruebas en UAT</t>
  </si>
  <si>
    <t>MSALGUEIRO@DIRECTVLA.COM.AR</t>
  </si>
  <si>
    <t>SR1441221</t>
  </si>
  <si>
    <t>Restablecer usuario Roberto Naquiche en MicroStrategy</t>
  </si>
  <si>
    <t>SR1441746</t>
  </si>
  <si>
    <t>Activar Usuario de Microstrategy</t>
  </si>
  <si>
    <t>SR1443300</t>
  </si>
  <si>
    <t>RE: Acceso Microstrategy VICROJ. - SR1404546</t>
  </si>
  <si>
    <t>SR1443331</t>
  </si>
  <si>
    <t>Agrupacion de paises x region</t>
  </si>
  <si>
    <t>SR1443866</t>
  </si>
  <si>
    <t>Habilitar usuario Microstrategy</t>
  </si>
  <si>
    <t>OLGALV@DIRECTVLA.COM.CO</t>
  </si>
  <si>
    <t>SR1444181</t>
  </si>
  <si>
    <t>Consulta sobre Reporte (MicroStrategy)</t>
  </si>
  <si>
    <t>SR1444250</t>
  </si>
  <si>
    <t>SR1444384</t>
  </si>
  <si>
    <t>Acceso a Developer Desarrollo</t>
  </si>
  <si>
    <t>SR1444698</t>
  </si>
  <si>
    <t>Proyecto Migracion Pre-Post/ Upsell - Metricas Ventas</t>
  </si>
  <si>
    <t>SR1444729</t>
  </si>
  <si>
    <t>Aviso de Inactividad de Usuario</t>
  </si>
  <si>
    <t>NGUILARTE@DIRECTVLA.COM.VE</t>
  </si>
  <si>
    <t>SR1445293</t>
  </si>
  <si>
    <t>Habilitacion de Usuario (MicroStrategy)</t>
  </si>
  <si>
    <t>DAVILA@DIRECTVLA.COM.AR</t>
  </si>
  <si>
    <t>SR1445327</t>
  </si>
  <si>
    <t>Acceso a Micro Strategy</t>
  </si>
  <si>
    <t>ANORTIZC@DIRECTVPR.COM</t>
  </si>
  <si>
    <t>SR1445656</t>
  </si>
  <si>
    <t>Revision de perfil Microstrategy</t>
  </si>
  <si>
    <t>EPOT@DIRECTVLA.COM.AR</t>
  </si>
  <si>
    <t>SR1445657</t>
  </si>
  <si>
    <t>Rehabilitacion de usuario Microstrategy</t>
  </si>
  <si>
    <t>SR1445961</t>
  </si>
  <si>
    <t>Rehabilitacion de User Id de Microstrategy</t>
  </si>
  <si>
    <t>CAPARRA@DIRECTVLA.COM.VE</t>
  </si>
  <si>
    <t>SR1446056</t>
  </si>
  <si>
    <t>Solicitud de Mapeo</t>
  </si>
  <si>
    <t>SR1447139</t>
  </si>
  <si>
    <t>Usuarios Microstrategy</t>
  </si>
  <si>
    <t>OPEREIRA1@DIRECTVLA.COM.VE</t>
  </si>
  <si>
    <t>SR1447240</t>
  </si>
  <si>
    <t>SR1447342</t>
  </si>
  <si>
    <t>mapear nuevo campo en microstrategy</t>
  </si>
  <si>
    <t>SR1447979</t>
  </si>
  <si>
    <t>Restablecer usuario Andres Felipe Angel Castaño en MicroStrategy</t>
  </si>
  <si>
    <t>SR1448266</t>
  </si>
  <si>
    <t>SR1448480</t>
  </si>
  <si>
    <t>Restablecer usuario Raul Rodriguez Sanchez en MicroStrategy</t>
  </si>
  <si>
    <t>SR1448969</t>
  </si>
  <si>
    <t>verificiacion de acceso</t>
  </si>
  <si>
    <t>SR1449076</t>
  </si>
  <si>
    <t>CARRIBIL@DIRECTVLA.COM.AR</t>
  </si>
  <si>
    <t>SR1449460</t>
  </si>
  <si>
    <t>Modificacion de usuario Diana Carolina Ramirez Bedoya en Microstrategy</t>
  </si>
  <si>
    <t>SR1449496</t>
  </si>
  <si>
    <t>Clientes Suspendidos EOP Puerto Rico</t>
  </si>
  <si>
    <t>LGONZALEZ@DIRECTVPR.COM</t>
  </si>
  <si>
    <t>SR1449942</t>
  </si>
  <si>
    <t>Modificacion de usuario Johanna María Acosta Botero en Microstrategy</t>
  </si>
  <si>
    <t>SR1450547</t>
  </si>
  <si>
    <t>SR1450964</t>
  </si>
  <si>
    <t>Modificacion de usuario Carina Mariana Bosch en Microstrategy</t>
  </si>
  <si>
    <t>SR1453154</t>
  </si>
  <si>
    <t>Restablecer usuario Daniel Reffray en MicroStrategy</t>
  </si>
  <si>
    <t>SR1453414</t>
  </si>
  <si>
    <t>Consulta sobre permisos</t>
  </si>
  <si>
    <t>SR1453649</t>
  </si>
  <si>
    <t>Restablecer usuario Yenny Velazquez en MicroStrategy</t>
  </si>
  <si>
    <t>SR1454982</t>
  </si>
  <si>
    <t>Reactivar Usuario Microstrategy</t>
  </si>
  <si>
    <t>NRODRIGUEZ@DIRECTVPR.COM</t>
  </si>
  <si>
    <t>SR1455931</t>
  </si>
  <si>
    <t>Restablecer usuario Nohora Patricia Cupitra Arias en MicroStrategy</t>
  </si>
  <si>
    <t>SR1456100</t>
  </si>
  <si>
    <t>Microstrategy</t>
  </si>
  <si>
    <t>AFERNA11@DIRECTVLA.COM.AR</t>
  </si>
  <si>
    <t>SR1456182</t>
  </si>
  <si>
    <t>juan felipe salgado dos perfiles como supervisor y ejecutivo</t>
  </si>
  <si>
    <t>JSALGADOH@DIRECTV.CL</t>
  </si>
  <si>
    <t>SR1457789</t>
  </si>
  <si>
    <t>No puede crear ni copiar informes - SR1420333</t>
  </si>
  <si>
    <t>DROJAST@DIRECTV.PE</t>
  </si>
  <si>
    <t>HFIGUERE@DIRECTVLA.COM.AR</t>
  </si>
  <si>
    <t>SR1458724</t>
  </si>
  <si>
    <t>Modificacion usuario Milena Muñoz en Microstrategy</t>
  </si>
  <si>
    <t>SR1459113</t>
  </si>
  <si>
    <t>SR1459114</t>
  </si>
  <si>
    <t>SR1459967</t>
  </si>
  <si>
    <t>solicitud de envio de reporte</t>
  </si>
  <si>
    <t>PBAUTE@DIRECTVLA.COM.UY</t>
  </si>
  <si>
    <t>SR1460095</t>
  </si>
  <si>
    <t>MICROSTRATEGY  - Modificación/Baja de usuario</t>
  </si>
  <si>
    <t>SR1460424</t>
  </si>
  <si>
    <t>SR1462813</t>
  </si>
  <si>
    <t>-Acceso a Microstrategy - Luz Amy</t>
  </si>
  <si>
    <t>LCALDERON@DIRECTVPR.COM</t>
  </si>
  <si>
    <t>SR1464921</t>
  </si>
  <si>
    <t>Reacomodamiento de atributos en  subcarpetas para categoria contacto</t>
  </si>
  <si>
    <t>SR1466881</t>
  </si>
  <si>
    <t>Formato Acceso BI</t>
  </si>
  <si>
    <t>LEOCER@DIRECTVLA.COM.CO</t>
  </si>
  <si>
    <t>SR1468644</t>
  </si>
  <si>
    <t>Sin acceso a Microestrategy</t>
  </si>
  <si>
    <t>MOSPINA@DIRECTVLA.COM.CO</t>
  </si>
  <si>
    <t>SR1469754</t>
  </si>
  <si>
    <t>Mapeos MS - tipo agente/usuario SDS/creacion WO CH</t>
  </si>
  <si>
    <t>SR1471045</t>
  </si>
  <si>
    <t>ICEBERG - Actualizar componentes y calculos Disponibilidad IT</t>
  </si>
  <si>
    <t>SR1472178</t>
  </si>
  <si>
    <t>Pasar desarrollo al Proyecto  PREPRO y Planificar el pasaje a PROD despues del  2.3 pase</t>
  </si>
  <si>
    <t>SR1473082</t>
  </si>
  <si>
    <t>Reactivar/ Creacion de usuario aflores1 en Microstrategy</t>
  </si>
  <si>
    <t>AFLORES1@DIRECTVLA.COM.AR</t>
  </si>
  <si>
    <t>SR1477175</t>
  </si>
  <si>
    <t>SR - LATAM-SD-BI-MSTR - Usuarios sin accesos 60 d?as</t>
  </si>
  <si>
    <t>SR1477179</t>
  </si>
  <si>
    <t>SR - LATAM-SD-BI-MSTR - Publicar Documentación Microstrategy</t>
  </si>
  <si>
    <t>SR1478405</t>
  </si>
  <si>
    <t>ICEBERG - Actualizar componentes Disponibilidad IT</t>
  </si>
  <si>
    <t>QUEUED</t>
  </si>
  <si>
    <t>SR1480482</t>
  </si>
  <si>
    <t>SR1480830</t>
  </si>
  <si>
    <t>Metrica de agenda en 1ra linea</t>
  </si>
  <si>
    <t>SR1481016</t>
  </si>
  <si>
    <t>Reactivación usuario Elizabeth Rivera Salazar en Microstrategy</t>
  </si>
  <si>
    <t>LBUITRAG@DIRECTVLA.COM.CO</t>
  </si>
  <si>
    <t>SR1483068</t>
  </si>
  <si>
    <t>Permisos MicroStrategy</t>
  </si>
  <si>
    <t>FRAPLA@DIRECTVLA.COM.CO</t>
  </si>
  <si>
    <t>SR1485546</t>
  </si>
  <si>
    <t>PPM 32350 Proyecto Migración PRE-POS  Colombia /mapeor de atributos y metricas en MicroStrategy</t>
  </si>
  <si>
    <t>SR1487399</t>
  </si>
  <si>
    <t>Eliminar Suscripción BI Microstrategy</t>
  </si>
  <si>
    <t>MMORANCH@DIRECTVLA.COM.AR</t>
  </si>
  <si>
    <t>SR1487769</t>
  </si>
  <si>
    <t>Conexión MS - SURVEYMONKEY</t>
  </si>
  <si>
    <t>SR1488299</t>
  </si>
  <si>
    <t>MICROSTRATEGY  - Modificación</t>
  </si>
  <si>
    <t>SR1490026</t>
  </si>
  <si>
    <t>RE: Creación de Usuario/Accesos //SR1464678</t>
  </si>
  <si>
    <t>AVELIZB@DIRECTV.CL</t>
  </si>
  <si>
    <t>SR1491006</t>
  </si>
  <si>
    <t>Conexión MS - GOOGLE ANALYTICS</t>
  </si>
  <si>
    <t>SR1491645</t>
  </si>
  <si>
    <t>Consulta Permisos Micro</t>
  </si>
  <si>
    <t>SR1491647</t>
  </si>
  <si>
    <t>SR1491649</t>
  </si>
  <si>
    <t>SR1496196</t>
  </si>
  <si>
    <t>SR1496314</t>
  </si>
  <si>
    <t>Copiar carpeta de Micro</t>
  </si>
  <si>
    <t>SR1496424</t>
  </si>
  <si>
    <t>Por favor, deshabilitar en Microstrategy a los usuarios del archivo adjunto.</t>
  </si>
  <si>
    <t>SR1496908</t>
  </si>
  <si>
    <t>RE: Reactivación de los usuarios en MicroStrategy</t>
  </si>
  <si>
    <t>SR1499855</t>
  </si>
  <si>
    <t>MICROSTRATEGY  - Alta de usuario ( ticket de registro)</t>
  </si>
  <si>
    <t>SR1502324</t>
  </si>
  <si>
    <t>Permisos Carpeta Vendors MicroStrategy</t>
  </si>
  <si>
    <t>SR1504052</t>
  </si>
  <si>
    <t>INCLUSION CORREO</t>
  </si>
  <si>
    <t>SR1506324</t>
  </si>
  <si>
    <t>MicroStrategy - Error Code= -2147212797</t>
  </si>
  <si>
    <t>SFILIPPI@DIRECTVLA.COM.AR</t>
  </si>
  <si>
    <t>SR1506963</t>
  </si>
  <si>
    <t>Falla ingreso a MicroStrategy</t>
  </si>
  <si>
    <t>JEFFERSON.BENJUMEA@DIRECTVTLC.COM</t>
  </si>
  <si>
    <t>SR1507089</t>
  </si>
  <si>
    <t>MAPEOS C.CARE - TI_OTHERTIME y SUPERVISOR_AVAYA_CMS_CO</t>
  </si>
  <si>
    <t>SR1507291</t>
  </si>
  <si>
    <t>RE: Cambio Horario Planificación Cubo MicroStrategy</t>
  </si>
  <si>
    <t>SR1509938</t>
  </si>
  <si>
    <t>solicitud tkt</t>
  </si>
  <si>
    <t>SR1509940</t>
  </si>
  <si>
    <t>metricas 23/4</t>
  </si>
  <si>
    <t>SR1512230</t>
  </si>
  <si>
    <t>MICROSTRATEGY - Habilitación de cuenta</t>
  </si>
  <si>
    <t>JSAN@DIRECTVLA.COM.AR</t>
  </si>
  <si>
    <t>FBOSCACC@DIRECTVLA.COM.AR</t>
  </si>
  <si>
    <t>SR1512948</t>
  </si>
  <si>
    <t>Error inicio de sesión</t>
  </si>
  <si>
    <t>FELBUI@DIRECTVLA.COM.CO</t>
  </si>
  <si>
    <t>SR1515244</t>
  </si>
  <si>
    <t>SR1516049</t>
  </si>
  <si>
    <t>Permiso en Microestrategy</t>
  </si>
  <si>
    <t>NMIGUEL@DIRECTVLA.COM.AR</t>
  </si>
  <si>
    <t>SR1516297</t>
  </si>
  <si>
    <t>correccion de tablero</t>
  </si>
  <si>
    <t>SR1519705</t>
  </si>
  <si>
    <t>no accede a Microstrategy</t>
  </si>
  <si>
    <t>PAODEV@DIRECTVLA.COM.CO</t>
  </si>
  <si>
    <t>SR1519919</t>
  </si>
  <si>
    <t>moficacion de mapeos cantidad de decos</t>
  </si>
  <si>
    <t>SR1520149</t>
  </si>
  <si>
    <t>Consulta Base Microestrategy</t>
  </si>
  <si>
    <t>JALVAREZG@DIRECTV.CL</t>
  </si>
  <si>
    <t>SR1520234</t>
  </si>
  <si>
    <t>Reactivar usuario en Microstrategy</t>
  </si>
  <si>
    <t>IPOMA@DIRECTVLA.COM.AR</t>
  </si>
  <si>
    <t>SR1522223</t>
  </si>
  <si>
    <t>Mapeos MS - C.CARE</t>
  </si>
  <si>
    <t>SR1522913</t>
  </si>
  <si>
    <t>Error en reportería Microstrategy</t>
  </si>
  <si>
    <t>SATERAN@DIRECTV.COM.EC</t>
  </si>
  <si>
    <t>SR1523421</t>
  </si>
  <si>
    <t>Cambiar Propietario en Desarrollos y Cubos Microstrategy</t>
  </si>
  <si>
    <t>MBALBUJA@DIRECTV.COM.EC</t>
  </si>
  <si>
    <t>SR1523527</t>
  </si>
  <si>
    <t>no desactivar cuenta de bi</t>
  </si>
  <si>
    <t>VCAILLOU@DIRECTVLA.COM.AR</t>
  </si>
  <si>
    <t>SR1523807</t>
  </si>
  <si>
    <t>RE: Creación Carpeta para suscipción en MicroStrategy al FTP</t>
  </si>
  <si>
    <t>SR1523997</t>
  </si>
  <si>
    <t>Habilitar schedule</t>
  </si>
  <si>
    <t>SR1527363</t>
  </si>
  <si>
    <t>RV: pasar a produccion LATAM-SD-BI-MSTR</t>
  </si>
  <si>
    <t>SR1527811</t>
  </si>
  <si>
    <t>ADMINISTRACIÓN DE USUARIOS VENDORS EN MSTGY</t>
  </si>
  <si>
    <t>SR1532035</t>
  </si>
  <si>
    <t>Pasaje</t>
  </si>
  <si>
    <t>SR1533120</t>
  </si>
  <si>
    <t>Actualización de métricas modelo Aspect</t>
  </si>
  <si>
    <t>GWILLIAM@DIRECTVLA.COM.AR</t>
  </si>
  <si>
    <t>SR1534698</t>
  </si>
  <si>
    <t>Documentación MSTR</t>
  </si>
  <si>
    <t>SR1534703</t>
  </si>
  <si>
    <t>SR1534792</t>
  </si>
  <si>
    <t>Sin datos Utilización MicroStrategy</t>
  </si>
  <si>
    <t>CRILOPP@DIRECTVLA.COM.CO</t>
  </si>
  <si>
    <t>SR1538154</t>
  </si>
  <si>
    <t>Reporte Log-in-out</t>
  </si>
  <si>
    <t>JGOMEZM2@DIRECTVLA.COM.CO</t>
  </si>
  <si>
    <t>INPROG</t>
  </si>
  <si>
    <t>SR1538285</t>
  </si>
  <si>
    <t>Cambio de Usuario y Permisos en Microstrategy</t>
  </si>
  <si>
    <t>ACEVALLO@DIRECTV.COM.EC</t>
  </si>
  <si>
    <t>Número de registros:</t>
  </si>
  <si>
    <t>Cláusula Where guardada:</t>
  </si>
  <si>
    <t>( sr.ownergroup  =  'LATAM-SD-BI-MSTR'  )</t>
  </si>
  <si>
    <t>Cláusula Where de tiempo de ejecución:</t>
  </si>
  <si>
    <t>15/06/2018 09:01:43</t>
  </si>
  <si>
    <t>1</t>
  </si>
  <si>
    <t>/</t>
  </si>
  <si>
    <t>RESOLVED</t>
  </si>
  <si>
    <t>SR1524817</t>
  </si>
  <si>
    <t>Inconsistencias en información de Clientes en Microstrategy</t>
  </si>
  <si>
    <t/>
  </si>
  <si>
    <t>01/06/2018 09:01:35</t>
  </si>
</sst>
</file>

<file path=xl/styles.xml><?xml version="1.0" encoding="utf-8"?>
<styleSheet xmlns="http://schemas.openxmlformats.org/spreadsheetml/2006/main">
  <numFmts count="6">
    <numFmt numFmtId="164" formatCode="DD/MM/YY"/>
    <numFmt numFmtId="165" formatCode="HH:MM:SS"/>
    <numFmt numFmtId="166" formatCode="#"/>
    <numFmt numFmtId="167" formatCode="[$-C0A]dd/mm/yy"/>
    <numFmt numFmtId="168" formatCode="[$-C0A]hh:mm:ss"/>
    <numFmt numFmtId="169" formatCode="#.#"/>
  </numFmts>
  <fonts count="113">
    <font>
      <sz val="11.0"/>
      <color indexed="8"/>
      <name val="Calibri"/>
      <family val="2"/>
      <scheme val="minor"/>
    </font>
    <font>
      <name val="serif"/>
      <sz val="10.0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22.5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Calibri"/>
      <sz val="11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0"/>
      <u val="none"/>
      <charset val="1"/>
    </font>
    <font>
      <name val="serif"/>
      <sz val="10.0"/>
      <color indexed="8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22.5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62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  <font>
      <name val="serif"/>
      <sz val="10.0"/>
      <color indexed="8"/>
      <u val="none"/>
      <charset val="0"/>
    </font>
  </fonts>
  <fills count="5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6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bottom style="dotted"/>
    </border>
    <border>
      <bottom style="dotted">
        <color indexed="0"/>
      </bottom>
    </border>
    <border>
      <left>
        <color indexed="8"/>
      </left>
      <bottom style="dotted">
        <color indexed="0"/>
      </bottom>
    </border>
    <border>
      <left>
        <color indexed="8"/>
      </left>
      <right>
        <color indexed="8"/>
      </right>
      <bottom style="dotted">
        <color indexed="0"/>
      </bottom>
    </border>
    <border>
      <left>
        <color indexed="8"/>
      </left>
      <right>
        <color indexed="8"/>
      </right>
      <top>
        <color indexed="8"/>
      </top>
      <bottom style="dotted">
        <color indexed="0"/>
      </bottom>
    </border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bottom style="thin">
        <color indexed="0"/>
      </bottom>
    </border>
    <border>
      <left>
        <color indexed="8"/>
      </left>
      <bottom style="thin">
        <color indexed="0"/>
      </bottom>
    </border>
    <border>
      <left>
        <color indexed="8"/>
      </left>
      <right>
        <color indexed="8"/>
      </right>
      <bottom style="thin">
        <color indexed="0"/>
      </bottom>
    </border>
    <border>
      <left>
        <color indexed="8"/>
      </left>
      <right>
        <color indexed="8"/>
      </right>
      <top>
        <color indexed="8"/>
      </top>
      <bottom style="thin">
        <color indexed="0"/>
      </bottom>
    </border>
    <border>
      <left>
        <color indexed="8"/>
      </left>
      <right>
        <color indexed="8"/>
      </right>
      <top style="thin">
        <color indexed="0"/>
      </top>
      <bottom>
        <color indexed="8"/>
      </bottom>
    </border>
  </borders>
  <cellStyleXfs count="1">
    <xf numFmtId="0" fontId="0" fillId="0" borderId="0"/>
  </cellStyleXfs>
  <cellXfs count="14435">
    <xf numFmtId="0" fontId="0" fillId="0" borderId="0" xfId="0"/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2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3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6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7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8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9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0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2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3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4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5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6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7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8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19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0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1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2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3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4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5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6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7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8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29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30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31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32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33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34" fillId="4" borderId="10" xfId="0" applyFont="true" applyNumberFormat="true" applyBorder="true" applyFill="true">
      <alignment horizontal="right" wrapText="tru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4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5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9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166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6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37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20" xfId="0" applyFont="true" applyNumberFormat="true" applyBorder="true" applyFill="true">
      <alignment horizontal="left" wrapText="true" indent="0" textRotation="0" vertical="top"/>
      <protection hidden="false" locked="true"/>
    </xf>
    <xf numFmtId="0" fontId="38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39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0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2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3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4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5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6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7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8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49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0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2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3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4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5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6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57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10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1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9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0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1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2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3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4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5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6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7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69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0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1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2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3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4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75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76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77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78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79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0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1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2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3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4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5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6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7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8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89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90" fillId="4" borderId="24" xfId="0" applyFont="true" applyNumberFormat="true" applyBorder="true" applyFill="true">
      <alignment horizontal="right" wrapText="tru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7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68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15" xfId="0" applyFont="true" applyNumberFormat="true" applyBorder="true" applyFill="true">
      <alignment horizontal="right" wrapText="true" indent="0" textRotation="0" vertical="top"/>
      <protection hidden="false" locked="true"/>
    </xf>
    <xf numFmtId="1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91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92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5" xfId="0" applyFont="true" applyNumberFormat="true" applyBorder="true" applyFill="true">
      <alignment horizontal="left" wrapText="true" indent="0" textRotation="0" vertical="top"/>
      <protection hidden="false" locked="true"/>
    </xf>
    <xf numFmtId="0" fontId="93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4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5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6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7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99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0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1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2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3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4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5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6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7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09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10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111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112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24" xfId="0" applyFont="true" applyNumberFormat="true" applyBorder="true" applyFill="true">
      <alignment horizontal="left" wrapText="true" indent="0" textRotation="0" vertical="top"/>
      <protection hidden="false" locked="true"/>
    </xf>
    <xf numFmtId="0" fontId="35" fillId="4" borderId="5" xfId="0" applyFont="true" applyNumberFormat="true" applyBorder="true" applyFill="true">
      <alignment horizontal="general" wrapText="false" indent="0" textRotation="0" vertical="bottom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lef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  <xf numFmtId="0" fontId="58" fillId="4" borderId="5" xfId="0" applyFont="true" applyNumberFormat="true" applyBorder="true" applyFill="true">
      <alignment horizontal="right" wrapText="true" indent="0" textRotation="0" vertical="top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04"/>
  <sheetViews>
    <sheetView workbookViewId="0" tabSelected="true"/>
  </sheetViews>
  <sheetFormatPr defaultRowHeight="15.0"/>
  <cols>
    <col min="1" max="1" width="9.56640625" customWidth="true"/>
    <col min="2" max="2" width="15.13671875" customWidth="true"/>
    <col min="3" max="3" width="5.4296875" customWidth="true"/>
    <col min="4" max="4" width="20.56640625" customWidth="true"/>
    <col min="5" max="5" width="17.84765625" customWidth="true"/>
    <col min="6" max="6" width="2.70703125" customWidth="true"/>
    <col min="7" max="7" width="9.56640625" customWidth="true"/>
    <col min="8" max="8" width="9.56640625" customWidth="true"/>
    <col min="9" max="9" width="9.56640625" customWidth="true"/>
    <col min="10" max="10" width="9.56640625" customWidth="true"/>
    <col min="11" max="11" width="9.56640625" customWidth="true"/>
    <col min="12" max="12" width="11.0" customWidth="true"/>
    <col min="13" max="13" width="1.4296875" customWidth="true"/>
    <col min="14" max="14" width="5.4296875" customWidth="true"/>
    <col min="15" max="15" width="2.70703125" customWidth="true"/>
    <col min="16" max="16" width="20.56640625" customWidth="true"/>
    <col min="17" max="17" width="8.52734375" customWidth="true"/>
    <col min="18" max="18" width="8.52734375" customWidth="true"/>
    <col min="19" max="19" width="8.52734375" customWidth="true"/>
  </cols>
  <sheetData>
    <row r="1">
      <c r="A1" s="1"/>
      <c r="B1" s="2"/>
      <c r="C1" s="3"/>
      <c r="D1" s="4"/>
      <c r="E1" s="5"/>
      <c r="F1" s="6"/>
      <c r="G1" s="7"/>
      <c r="H1" s="8"/>
      <c r="I1" s="9"/>
      <c r="J1" s="10"/>
      <c r="K1" s="11"/>
      <c r="L1" s="12"/>
      <c r="M1" s="13"/>
      <c r="N1" s="14"/>
    </row>
    <row r="2" ht="27.6" customHeight="true">
      <c r="A2" s="15" t="s">
        <v>0</v>
      </c>
      <c r="B2" s="16"/>
      <c r="C2" s="17"/>
      <c r="D2" s="18"/>
      <c r="E2" s="19"/>
      <c r="F2" s="20"/>
      <c r="G2" s="21"/>
      <c r="H2" s="22"/>
      <c r="I2" s="23"/>
      <c r="J2" s="24"/>
      <c r="K2" s="25"/>
      <c r="L2" s="26"/>
      <c r="M2" s="27"/>
      <c r="N2" s="28"/>
      <c r="O2" s="29"/>
      <c r="P2" s="30"/>
    </row>
    <row r="3" ht="35.05" customHeight="true">
      <c r="A3" s="31" t="s">
        <v>1</v>
      </c>
      <c r="B3" s="32" t="s">
        <v>2</v>
      </c>
      <c r="C3" s="33"/>
      <c r="D3" s="34" t="s">
        <v>3</v>
      </c>
      <c r="E3" s="35" t="s">
        <v>4</v>
      </c>
      <c r="F3" s="36"/>
      <c r="G3" s="37" t="s">
        <v>5</v>
      </c>
      <c r="H3" s="38" t="s">
        <v>6</v>
      </c>
      <c r="I3" s="39"/>
      <c r="J3" s="40" t="s">
        <v>7</v>
      </c>
      <c r="K3" s="41"/>
      <c r="L3" s="42" t="s">
        <v>8</v>
      </c>
      <c r="M3" s="43"/>
      <c r="N3" s="44"/>
      <c r="O3" s="45"/>
      <c r="P3" s="46" t="s">
        <v>9</v>
      </c>
      <c r="Q3" s="46" t="s">
        <v>10</v>
      </c>
    </row>
    <row r="4" ht="23.85" customHeight="true">
      <c r="A4" s="48" t="s">
        <v>11</v>
      </c>
      <c r="B4" s="49" t="s">
        <v>12</v>
      </c>
      <c r="C4" s="50"/>
      <c r="D4" s="51" t="s">
        <v>13</v>
      </c>
      <c r="E4" s="52" t="s">
        <v>14</v>
      </c>
      <c r="F4" s="53"/>
      <c r="G4" s="54" t="s">
        <v>15</v>
      </c>
      <c r="H4" s="55" t="n">
        <v>42901.6059224769</v>
      </c>
      <c r="I4" s="56" t="n">
        <v>42901.6059224769</v>
      </c>
      <c r="J4" s="57" t="n">
        <v>42884.5312501968</v>
      </c>
      <c r="K4" s="58" t="n">
        <v>42884.5312501968</v>
      </c>
      <c r="L4" s="59" t="s">
        <v>16</v>
      </c>
      <c r="M4" s="60"/>
      <c r="N4" s="61"/>
      <c r="O4" s="62"/>
      <c r="P4" s="63" t="s">
        <v>17</v>
      </c>
      <c r="Q4" s="64">
        <f>TODAY()-j4</f>
      </c>
      <c r="R4" s="65">
        <f>VLOOKUP(A4,'Last Week'!A4:I395,7,FALSE)</f>
      </c>
    </row>
    <row r="5" ht="23.85" customHeight="true">
      <c r="A5" s="66" t="s">
        <v>18</v>
      </c>
      <c r="B5" s="67" t="s">
        <v>19</v>
      </c>
      <c r="C5" s="68"/>
      <c r="D5" s="69" t="s">
        <v>20</v>
      </c>
      <c r="E5" s="70" t="s">
        <v>21</v>
      </c>
      <c r="F5" s="71"/>
      <c r="G5" s="72" t="s">
        <v>15</v>
      </c>
      <c r="H5" s="73" t="n">
        <v>43032.3923224653</v>
      </c>
      <c r="I5" s="74" t="n">
        <v>43032.3923224653</v>
      </c>
      <c r="J5" s="75" t="n">
        <v>42884.5874923727</v>
      </c>
      <c r="K5" s="76" t="n">
        <v>42884.5874923727</v>
      </c>
      <c r="L5" s="77" t="s">
        <v>16</v>
      </c>
      <c r="M5" s="78"/>
      <c r="N5" s="79"/>
      <c r="O5" s="80"/>
      <c r="P5" s="81" t="s">
        <v>17</v>
      </c>
      <c r="Q5" s="82">
        <f>TODAY()-j5</f>
      </c>
      <c r="R5" s="83">
        <f>VLOOKUP(A5,'Last Week'!A4:I395,7,FALSE)</f>
      </c>
    </row>
    <row r="6" ht="35.05" customHeight="true">
      <c r="A6" s="84" t="s">
        <v>22</v>
      </c>
      <c r="B6" s="85" t="s">
        <v>23</v>
      </c>
      <c r="C6" s="86"/>
      <c r="D6" s="87" t="s">
        <v>24</v>
      </c>
      <c r="E6" s="88" t="s">
        <v>25</v>
      </c>
      <c r="F6" s="89"/>
      <c r="G6" s="90" t="s">
        <v>15</v>
      </c>
      <c r="H6" s="91" t="n">
        <v>42901.6081178009</v>
      </c>
      <c r="I6" s="92" t="n">
        <v>42901.6081178009</v>
      </c>
      <c r="J6" s="93" t="n">
        <v>42884.6915527315</v>
      </c>
      <c r="K6" s="94" t="n">
        <v>42884.6915527315</v>
      </c>
      <c r="L6" s="95" t="s">
        <v>16</v>
      </c>
      <c r="M6" s="96"/>
      <c r="N6" s="97"/>
      <c r="O6" s="98"/>
      <c r="P6" s="99" t="s">
        <v>17</v>
      </c>
      <c r="Q6" s="100">
        <f>TODAY()-j6</f>
      </c>
      <c r="R6" s="101">
        <f>VLOOKUP(A6,'Last Week'!A4:I395,7,FALSE)</f>
      </c>
    </row>
    <row r="7" ht="23.85" customHeight="true">
      <c r="A7" s="102" t="s">
        <v>26</v>
      </c>
      <c r="B7" s="103" t="s">
        <v>27</v>
      </c>
      <c r="C7" s="104"/>
      <c r="D7" s="105" t="s">
        <v>28</v>
      </c>
      <c r="E7" s="106" t="s">
        <v>29</v>
      </c>
      <c r="F7" s="107"/>
      <c r="G7" s="108" t="s">
        <v>15</v>
      </c>
      <c r="H7" s="109" t="n">
        <v>42898.4248504051</v>
      </c>
      <c r="I7" s="110" t="n">
        <v>42898.4248504051</v>
      </c>
      <c r="J7" s="111" t="n">
        <v>42884.7199743171</v>
      </c>
      <c r="K7" s="112" t="n">
        <v>42884.7199743171</v>
      </c>
      <c r="L7" s="113" t="s">
        <v>16</v>
      </c>
      <c r="M7" s="114"/>
      <c r="N7" s="115"/>
      <c r="O7" s="116"/>
      <c r="P7" s="117" t="s">
        <v>30</v>
      </c>
      <c r="Q7" s="118">
        <f>TODAY()-j7</f>
      </c>
      <c r="R7" s="119">
        <f>VLOOKUP(A7,'Last Week'!A4:I395,7,FALSE)</f>
      </c>
    </row>
    <row r="8" ht="23.85" customHeight="true">
      <c r="A8" s="120" t="s">
        <v>31</v>
      </c>
      <c r="B8" s="121" t="s">
        <v>32</v>
      </c>
      <c r="C8" s="122"/>
      <c r="D8" s="123" t="s">
        <v>33</v>
      </c>
      <c r="E8" s="124" t="s">
        <v>34</v>
      </c>
      <c r="F8" s="125"/>
      <c r="G8" s="126" t="s">
        <v>15</v>
      </c>
      <c r="H8" s="127" t="n">
        <v>42888.4879480903</v>
      </c>
      <c r="I8" s="128" t="n">
        <v>42888.4879480903</v>
      </c>
      <c r="J8" s="129" t="n">
        <v>42884.8594750694</v>
      </c>
      <c r="K8" s="130" t="n">
        <v>42884.8594750694</v>
      </c>
      <c r="L8" s="131" t="s">
        <v>16</v>
      </c>
      <c r="M8" s="132"/>
      <c r="N8" s="133"/>
      <c r="O8" s="134"/>
      <c r="P8" s="135" t="s">
        <v>30</v>
      </c>
      <c r="Q8" s="136">
        <f>TODAY()-j8</f>
      </c>
      <c r="R8" s="137">
        <f>VLOOKUP(A8,'Last Week'!A4:I395,7,FALSE)</f>
      </c>
    </row>
    <row r="9" ht="23.85" customHeight="true">
      <c r="A9" s="138" t="s">
        <v>35</v>
      </c>
      <c r="B9" s="139" t="s">
        <v>36</v>
      </c>
      <c r="C9" s="140"/>
      <c r="D9" s="141" t="s">
        <v>37</v>
      </c>
      <c r="E9" s="142" t="s">
        <v>38</v>
      </c>
      <c r="F9" s="143"/>
      <c r="G9" s="144" t="s">
        <v>15</v>
      </c>
      <c r="H9" s="145" t="n">
        <v>42892.6995155671</v>
      </c>
      <c r="I9" s="146" t="n">
        <v>42892.6995155671</v>
      </c>
      <c r="J9" s="147" t="n">
        <v>42886.6004946875</v>
      </c>
      <c r="K9" s="148" t="n">
        <v>42886.6004946875</v>
      </c>
      <c r="L9" s="149" t="s">
        <v>16</v>
      </c>
      <c r="M9" s="150"/>
      <c r="N9" s="151"/>
      <c r="O9" s="152"/>
      <c r="P9" s="153" t="s">
        <v>30</v>
      </c>
      <c r="Q9" s="154">
        <f>TODAY()-j9</f>
      </c>
      <c r="R9" s="155">
        <f>VLOOKUP(A9,'Last Week'!A4:I395,7,FALSE)</f>
      </c>
    </row>
    <row r="10" ht="23.85" customHeight="true">
      <c r="A10" s="156" t="s">
        <v>39</v>
      </c>
      <c r="B10" s="157" t="s">
        <v>40</v>
      </c>
      <c r="C10" s="158"/>
      <c r="D10" s="159" t="s">
        <v>41</v>
      </c>
      <c r="E10" s="160" t="s">
        <v>42</v>
      </c>
      <c r="F10" s="161"/>
      <c r="G10" s="162" t="s">
        <v>15</v>
      </c>
      <c r="H10" s="163" t="n">
        <v>42941.7614384607</v>
      </c>
      <c r="I10" s="164" t="n">
        <v>42941.7614384607</v>
      </c>
      <c r="J10" s="165" t="n">
        <v>42886.9156795023</v>
      </c>
      <c r="K10" s="166" t="n">
        <v>42886.9156795023</v>
      </c>
      <c r="L10" s="167" t="s">
        <v>16</v>
      </c>
      <c r="M10" s="168"/>
      <c r="N10" s="169"/>
      <c r="O10" s="170"/>
      <c r="P10" s="171" t="s">
        <v>30</v>
      </c>
      <c r="Q10" s="172">
        <f>TODAY()-j10</f>
      </c>
      <c r="R10" s="173">
        <f>VLOOKUP(A10,'Last Week'!A4:I395,7,FALSE)</f>
      </c>
    </row>
    <row r="11" ht="23.85" customHeight="true">
      <c r="A11" s="174" t="s">
        <v>43</v>
      </c>
      <c r="B11" s="175" t="s">
        <v>44</v>
      </c>
      <c r="C11" s="176"/>
      <c r="D11" s="177" t="s">
        <v>45</v>
      </c>
      <c r="E11" s="178" t="s">
        <v>46</v>
      </c>
      <c r="F11" s="179"/>
      <c r="G11" s="180" t="s">
        <v>15</v>
      </c>
      <c r="H11" s="181" t="n">
        <v>42895.7057748958</v>
      </c>
      <c r="I11" s="182" t="n">
        <v>42895.7057748958</v>
      </c>
      <c r="J11" s="183" t="n">
        <v>42888.7494872685</v>
      </c>
      <c r="K11" s="184" t="n">
        <v>42888.7494872685</v>
      </c>
      <c r="L11" s="185" t="s">
        <v>16</v>
      </c>
      <c r="M11" s="186"/>
      <c r="N11" s="187"/>
      <c r="O11" s="188"/>
      <c r="P11" s="189" t="s">
        <v>47</v>
      </c>
      <c r="Q11" s="190">
        <f>TODAY()-j11</f>
      </c>
      <c r="R11" s="191">
        <f>VLOOKUP(A11,'Last Week'!A4:I395,7,FALSE)</f>
      </c>
    </row>
    <row r="12" ht="23.85" customHeight="true">
      <c r="A12" s="192" t="s">
        <v>48</v>
      </c>
      <c r="B12" s="193" t="s">
        <v>49</v>
      </c>
      <c r="C12" s="194"/>
      <c r="D12" s="195" t="s">
        <v>50</v>
      </c>
      <c r="E12" s="196" t="s">
        <v>51</v>
      </c>
      <c r="F12" s="197"/>
      <c r="G12" s="198" t="s">
        <v>15</v>
      </c>
      <c r="H12" s="199" t="n">
        <v>42891.6745201157</v>
      </c>
      <c r="I12" s="200" t="n">
        <v>42891.6745201157</v>
      </c>
      <c r="J12" s="201" t="n">
        <v>42889.2776105787</v>
      </c>
      <c r="K12" s="202" t="n">
        <v>42889.2776105787</v>
      </c>
      <c r="L12" s="203" t="s">
        <v>16</v>
      </c>
      <c r="M12" s="204"/>
      <c r="N12" s="205"/>
      <c r="O12" s="206"/>
      <c r="P12" s="207" t="s">
        <v>47</v>
      </c>
      <c r="Q12" s="208">
        <f>TODAY()-j12</f>
      </c>
      <c r="R12" s="209">
        <f>VLOOKUP(A12,'Last Week'!A4:I395,7,FALSE)</f>
      </c>
    </row>
    <row r="13" ht="23.85" customHeight="true">
      <c r="A13" s="210" t="s">
        <v>52</v>
      </c>
      <c r="B13" s="211" t="s">
        <v>49</v>
      </c>
      <c r="C13" s="212"/>
      <c r="D13" s="213" t="s">
        <v>50</v>
      </c>
      <c r="E13" s="214" t="s">
        <v>51</v>
      </c>
      <c r="F13" s="215"/>
      <c r="G13" s="216" t="s">
        <v>15</v>
      </c>
      <c r="H13" s="217" t="n">
        <v>42892.4968852083</v>
      </c>
      <c r="I13" s="218" t="n">
        <v>42892.4968852083</v>
      </c>
      <c r="J13" s="219" t="n">
        <v>42889.2795772801</v>
      </c>
      <c r="K13" s="220" t="n">
        <v>42889.2795772801</v>
      </c>
      <c r="L13" s="221" t="s">
        <v>16</v>
      </c>
      <c r="M13" s="222"/>
      <c r="N13" s="223"/>
      <c r="O13" s="224"/>
      <c r="P13" s="225" t="s">
        <v>47</v>
      </c>
      <c r="Q13" s="226">
        <f>TODAY()-j13</f>
      </c>
      <c r="R13" s="227">
        <f>VLOOKUP(A13,'Last Week'!A4:I395,7,FALSE)</f>
      </c>
    </row>
    <row r="14" ht="23.85" customHeight="true">
      <c r="A14" s="228" t="s">
        <v>53</v>
      </c>
      <c r="B14" s="229" t="s">
        <v>54</v>
      </c>
      <c r="C14" s="230"/>
      <c r="D14" s="231" t="s">
        <v>55</v>
      </c>
      <c r="E14" s="232" t="s">
        <v>56</v>
      </c>
      <c r="F14" s="233"/>
      <c r="G14" s="234" t="s">
        <v>15</v>
      </c>
      <c r="H14" s="235" t="n">
        <v>42892.4888567361</v>
      </c>
      <c r="I14" s="236" t="n">
        <v>42892.4888567361</v>
      </c>
      <c r="J14" s="237" t="n">
        <v>42891.4915506944</v>
      </c>
      <c r="K14" s="238" t="n">
        <v>42891.4915506944</v>
      </c>
      <c r="L14" s="239" t="s">
        <v>16</v>
      </c>
      <c r="M14" s="240"/>
      <c r="N14" s="241"/>
      <c r="O14" s="242"/>
      <c r="P14" s="243" t="s">
        <v>47</v>
      </c>
      <c r="Q14" s="244">
        <f>TODAY()-j14</f>
      </c>
      <c r="R14" s="245">
        <f>VLOOKUP(A14,'Last Week'!A4:I395,7,FALSE)</f>
      </c>
    </row>
    <row r="15" ht="23.85" customHeight="true">
      <c r="A15" s="246" t="s">
        <v>57</v>
      </c>
      <c r="B15" s="247" t="s">
        <v>58</v>
      </c>
      <c r="C15" s="248"/>
      <c r="D15" s="249" t="s">
        <v>55</v>
      </c>
      <c r="E15" s="250" t="s">
        <v>56</v>
      </c>
      <c r="F15" s="251"/>
      <c r="G15" s="252" t="s">
        <v>15</v>
      </c>
      <c r="H15" s="253" t="n">
        <v>42891.6816487384</v>
      </c>
      <c r="I15" s="254" t="n">
        <v>42891.6816487384</v>
      </c>
      <c r="J15" s="255" t="n">
        <v>42891.4949005208</v>
      </c>
      <c r="K15" s="256" t="n">
        <v>42891.4949005208</v>
      </c>
      <c r="L15" s="257" t="s">
        <v>16</v>
      </c>
      <c r="M15" s="258"/>
      <c r="N15" s="259"/>
      <c r="O15" s="260"/>
      <c r="P15" s="261" t="s">
        <v>59</v>
      </c>
      <c r="Q15" s="262">
        <f>TODAY()-j15</f>
      </c>
      <c r="R15" s="263">
        <f>VLOOKUP(A15,'Last Week'!A4:I395,7,FALSE)</f>
      </c>
    </row>
    <row r="16" ht="23.85" customHeight="true">
      <c r="A16" s="264" t="s">
        <v>60</v>
      </c>
      <c r="B16" s="265" t="s">
        <v>61</v>
      </c>
      <c r="C16" s="266"/>
      <c r="D16" s="267" t="s">
        <v>62</v>
      </c>
      <c r="E16" s="268" t="s">
        <v>63</v>
      </c>
      <c r="F16" s="269"/>
      <c r="G16" s="270" t="s">
        <v>15</v>
      </c>
      <c r="H16" s="271" t="n">
        <v>42894.6284437153</v>
      </c>
      <c r="I16" s="272" t="n">
        <v>42894.6284437153</v>
      </c>
      <c r="J16" s="273" t="n">
        <v>42891.6888400926</v>
      </c>
      <c r="K16" s="274" t="n">
        <v>42891.6888400926</v>
      </c>
      <c r="L16" s="275" t="s">
        <v>16</v>
      </c>
      <c r="M16" s="276"/>
      <c r="N16" s="277"/>
      <c r="O16" s="278"/>
      <c r="P16" s="279" t="s">
        <v>47</v>
      </c>
      <c r="Q16" s="280">
        <f>TODAY()-j16</f>
      </c>
      <c r="R16" s="281">
        <f>VLOOKUP(A16,'Last Week'!A4:I395,7,FALSE)</f>
      </c>
    </row>
    <row r="17" ht="23.85" customHeight="true">
      <c r="A17" s="282" t="s">
        <v>64</v>
      </c>
      <c r="B17" s="283" t="s">
        <v>65</v>
      </c>
      <c r="C17" s="284"/>
      <c r="D17" s="285" t="s">
        <v>66</v>
      </c>
      <c r="E17" s="286" t="s">
        <v>66</v>
      </c>
      <c r="F17" s="287"/>
      <c r="G17" s="288" t="s">
        <v>15</v>
      </c>
      <c r="H17" s="289" t="n">
        <v>42897.8753913889</v>
      </c>
      <c r="I17" s="290" t="n">
        <v>42897.8753913889</v>
      </c>
      <c r="J17" s="291" t="n">
        <v>42892.4119567361</v>
      </c>
      <c r="K17" s="292" t="n">
        <v>42892.4119567361</v>
      </c>
      <c r="L17" s="293" t="s">
        <v>16</v>
      </c>
      <c r="M17" s="294"/>
      <c r="N17" s="295"/>
      <c r="O17" s="296"/>
      <c r="P17" s="297" t="s">
        <v>17</v>
      </c>
      <c r="Q17" s="298">
        <f>TODAY()-j17</f>
      </c>
      <c r="R17" s="299">
        <f>VLOOKUP(A17,'Last Week'!A4:I395,7,FALSE)</f>
      </c>
    </row>
    <row r="18" ht="35.05" customHeight="true">
      <c r="A18" s="300" t="s">
        <v>67</v>
      </c>
      <c r="B18" s="301" t="s">
        <v>68</v>
      </c>
      <c r="C18" s="302"/>
      <c r="D18" s="303" t="s">
        <v>69</v>
      </c>
      <c r="E18" s="304" t="s">
        <v>69</v>
      </c>
      <c r="F18" s="305"/>
      <c r="G18" s="306" t="s">
        <v>15</v>
      </c>
      <c r="H18" s="307" t="n">
        <v>43217.0854084722</v>
      </c>
      <c r="I18" s="308" t="n">
        <v>43217.0854084722</v>
      </c>
      <c r="J18" s="309" t="n">
        <v>42892.5333289931</v>
      </c>
      <c r="K18" s="310" t="n">
        <v>42892.5333289931</v>
      </c>
      <c r="L18" s="311" t="s">
        <v>16</v>
      </c>
      <c r="M18" s="312"/>
      <c r="N18" s="313"/>
      <c r="O18" s="314"/>
      <c r="P18" s="315" t="s">
        <v>17</v>
      </c>
      <c r="Q18" s="316">
        <f>TODAY()-j18</f>
      </c>
      <c r="R18" s="317">
        <f>VLOOKUP(A18,'Last Week'!A4:I395,7,FALSE)</f>
      </c>
    </row>
    <row r="19" ht="23.85" customHeight="true">
      <c r="A19" s="318" t="s">
        <v>70</v>
      </c>
      <c r="B19" s="319" t="s">
        <v>71</v>
      </c>
      <c r="C19" s="320"/>
      <c r="D19" s="321" t="s">
        <v>72</v>
      </c>
      <c r="E19" s="322" t="s">
        <v>73</v>
      </c>
      <c r="F19" s="323"/>
      <c r="G19" s="324" t="s">
        <v>15</v>
      </c>
      <c r="H19" s="325" t="n">
        <v>42892.7022148958</v>
      </c>
      <c r="I19" s="326" t="n">
        <v>42892.7022148958</v>
      </c>
      <c r="J19" s="327" t="n">
        <v>42892.5943287732</v>
      </c>
      <c r="K19" s="328" t="n">
        <v>42892.5943287732</v>
      </c>
      <c r="L19" s="329" t="s">
        <v>16</v>
      </c>
      <c r="M19" s="330"/>
      <c r="N19" s="331"/>
      <c r="O19" s="332"/>
      <c r="P19" s="333" t="s">
        <v>47</v>
      </c>
      <c r="Q19" s="334">
        <f>TODAY()-j19</f>
      </c>
      <c r="R19" s="335">
        <f>VLOOKUP(A19,'Last Week'!A4:I395,7,FALSE)</f>
      </c>
    </row>
    <row r="20" ht="23.85" customHeight="true">
      <c r="A20" s="336" t="s">
        <v>74</v>
      </c>
      <c r="B20" s="337" t="s">
        <v>75</v>
      </c>
      <c r="C20" s="338"/>
      <c r="D20" s="339" t="s">
        <v>76</v>
      </c>
      <c r="E20" s="340" t="s">
        <v>42</v>
      </c>
      <c r="F20" s="341"/>
      <c r="G20" s="342" t="s">
        <v>15</v>
      </c>
      <c r="H20" s="343" t="n">
        <v>42893.4888499537</v>
      </c>
      <c r="I20" s="344" t="n">
        <v>42893.4888499537</v>
      </c>
      <c r="J20" s="345" t="n">
        <v>42892.7833707639</v>
      </c>
      <c r="K20" s="346" t="n">
        <v>42892.7833707639</v>
      </c>
      <c r="L20" s="347" t="s">
        <v>16</v>
      </c>
      <c r="M20" s="348"/>
      <c r="N20" s="349"/>
      <c r="O20" s="350"/>
      <c r="P20" s="351" t="s">
        <v>47</v>
      </c>
      <c r="Q20" s="352">
        <f>TODAY()-j20</f>
      </c>
      <c r="R20" s="353">
        <f>VLOOKUP(A20,'Last Week'!A4:I395,7,FALSE)</f>
      </c>
    </row>
    <row r="21" ht="23.85" customHeight="true">
      <c r="A21" s="354" t="s">
        <v>77</v>
      </c>
      <c r="B21" s="355" t="s">
        <v>78</v>
      </c>
      <c r="C21" s="356"/>
      <c r="D21" s="357" t="s">
        <v>79</v>
      </c>
      <c r="E21" s="358" t="s">
        <v>79</v>
      </c>
      <c r="F21" s="359"/>
      <c r="G21" s="360" t="s">
        <v>15</v>
      </c>
      <c r="H21" s="361" t="n">
        <v>42935.5243868866</v>
      </c>
      <c r="I21" s="362" t="n">
        <v>42935.5243868866</v>
      </c>
      <c r="J21" s="363" t="n">
        <v>42898.3949218403</v>
      </c>
      <c r="K21" s="364" t="n">
        <v>42898.3949218403</v>
      </c>
      <c r="L21" s="365" t="s">
        <v>16</v>
      </c>
      <c r="M21" s="366"/>
      <c r="N21" s="367"/>
      <c r="O21" s="368"/>
      <c r="P21" s="369" t="s">
        <v>17</v>
      </c>
      <c r="Q21" s="370">
        <f>TODAY()-j21</f>
      </c>
      <c r="R21" s="371">
        <f>VLOOKUP(A21,'Last Week'!A4:I395,7,FALSE)</f>
      </c>
    </row>
    <row r="22" ht="23.85" customHeight="true">
      <c r="A22" s="372" t="s">
        <v>80</v>
      </c>
      <c r="B22" s="373" t="s">
        <v>81</v>
      </c>
      <c r="C22" s="374"/>
      <c r="D22" s="375" t="s">
        <v>55</v>
      </c>
      <c r="E22" s="376" t="s">
        <v>82</v>
      </c>
      <c r="F22" s="377"/>
      <c r="G22" s="378" t="s">
        <v>15</v>
      </c>
      <c r="H22" s="379" t="n">
        <v>42899.5145534028</v>
      </c>
      <c r="I22" s="380" t="n">
        <v>42899.5145534028</v>
      </c>
      <c r="J22" s="381" t="n">
        <v>42898.4401928356</v>
      </c>
      <c r="K22" s="382" t="n">
        <v>42898.4401928356</v>
      </c>
      <c r="L22" s="383" t="s">
        <v>16</v>
      </c>
      <c r="M22" s="384"/>
      <c r="N22" s="385"/>
      <c r="O22" s="386"/>
      <c r="P22" s="387" t="s">
        <v>59</v>
      </c>
      <c r="Q22" s="388">
        <f>TODAY()-j22</f>
      </c>
      <c r="R22" s="389">
        <f>VLOOKUP(A22,'Last Week'!A4:I395,7,FALSE)</f>
      </c>
    </row>
    <row r="23" ht="23.85" customHeight="true">
      <c r="A23" s="390" t="s">
        <v>83</v>
      </c>
      <c r="B23" s="391" t="s">
        <v>84</v>
      </c>
      <c r="C23" s="392"/>
      <c r="D23" s="393" t="s">
        <v>85</v>
      </c>
      <c r="E23" s="394" t="s">
        <v>17</v>
      </c>
      <c r="F23" s="395"/>
      <c r="G23" s="396" t="s">
        <v>86</v>
      </c>
      <c r="H23" s="397" t="n">
        <v>42902.6380265278</v>
      </c>
      <c r="I23" s="398" t="n">
        <v>42902.6380265278</v>
      </c>
      <c r="J23" s="399" t="n">
        <v>42898.4876343634</v>
      </c>
      <c r="K23" s="400" t="n">
        <v>42898.4876343634</v>
      </c>
      <c r="L23" s="401" t="s">
        <v>16</v>
      </c>
      <c r="M23" s="402"/>
      <c r="N23" s="403"/>
      <c r="O23" s="404"/>
      <c r="P23" s="405" t="s">
        <v>30</v>
      </c>
      <c r="Q23" s="406">
        <f>TODAY()-j23</f>
      </c>
      <c r="R23" s="407">
        <f>VLOOKUP(A23,'Last Week'!A4:I395,7,FALSE)</f>
      </c>
    </row>
    <row r="24" ht="35.05" customHeight="true">
      <c r="A24" s="408" t="s">
        <v>87</v>
      </c>
      <c r="B24" s="409" t="s">
        <v>88</v>
      </c>
      <c r="C24" s="410"/>
      <c r="D24" s="411" t="s">
        <v>89</v>
      </c>
      <c r="E24" s="412" t="s">
        <v>17</v>
      </c>
      <c r="F24" s="413"/>
      <c r="G24" s="414" t="s">
        <v>15</v>
      </c>
      <c r="H24" s="415" t="n">
        <v>42933.4786543634</v>
      </c>
      <c r="I24" s="416" t="n">
        <v>42933.4786543634</v>
      </c>
      <c r="J24" s="417" t="n">
        <v>42898.4924035532</v>
      </c>
      <c r="K24" s="418" t="n">
        <v>42898.4924035532</v>
      </c>
      <c r="L24" s="419" t="s">
        <v>16</v>
      </c>
      <c r="M24" s="420"/>
      <c r="N24" s="421"/>
      <c r="O24" s="422"/>
      <c r="P24" s="423" t="s">
        <v>17</v>
      </c>
      <c r="Q24" s="424">
        <f>TODAY()-j24</f>
      </c>
      <c r="R24" s="425">
        <f>VLOOKUP(A24,'Last Week'!A4:I395,7,FALSE)</f>
      </c>
    </row>
    <row r="25" ht="35.05" customHeight="true">
      <c r="A25" s="426" t="s">
        <v>90</v>
      </c>
      <c r="B25" s="427" t="s">
        <v>88</v>
      </c>
      <c r="C25" s="428"/>
      <c r="D25" s="429" t="s">
        <v>89</v>
      </c>
      <c r="E25" s="430" t="s">
        <v>17</v>
      </c>
      <c r="F25" s="431"/>
      <c r="G25" s="432" t="s">
        <v>86</v>
      </c>
      <c r="H25" s="433" t="n">
        <v>42902.6531151968</v>
      </c>
      <c r="I25" s="434" t="n">
        <v>42902.6531151968</v>
      </c>
      <c r="J25" s="435" t="n">
        <v>42898.4992831482</v>
      </c>
      <c r="K25" s="436" t="n">
        <v>42898.4992831482</v>
      </c>
      <c r="L25" s="437" t="s">
        <v>16</v>
      </c>
      <c r="M25" s="438"/>
      <c r="N25" s="439"/>
      <c r="O25" s="440"/>
      <c r="P25" s="441" t="s">
        <v>30</v>
      </c>
      <c r="Q25" s="442">
        <f>TODAY()-j25</f>
      </c>
      <c r="R25" s="443">
        <f>VLOOKUP(A25,'Last Week'!A4:I395,7,FALSE)</f>
      </c>
    </row>
    <row r="26" ht="23.85" customHeight="true">
      <c r="A26" s="444" t="s">
        <v>91</v>
      </c>
      <c r="B26" s="445" t="s">
        <v>92</v>
      </c>
      <c r="C26" s="446"/>
      <c r="D26" s="447" t="s">
        <v>93</v>
      </c>
      <c r="E26" s="448" t="s">
        <v>94</v>
      </c>
      <c r="F26" s="449"/>
      <c r="G26" s="450" t="s">
        <v>15</v>
      </c>
      <c r="H26" s="451" t="n">
        <v>42898.5974044676</v>
      </c>
      <c r="I26" s="452" t="n">
        <v>42898.5974044676</v>
      </c>
      <c r="J26" s="453" t="n">
        <v>42898.5333932407</v>
      </c>
      <c r="K26" s="454" t="n">
        <v>42898.5333932407</v>
      </c>
      <c r="L26" s="455" t="s">
        <v>16</v>
      </c>
      <c r="M26" s="456"/>
      <c r="N26" s="457"/>
      <c r="O26" s="458"/>
      <c r="P26" s="459" t="s">
        <v>47</v>
      </c>
      <c r="Q26" s="460">
        <f>TODAY()-j26</f>
      </c>
      <c r="R26" s="461">
        <f>VLOOKUP(A26,'Last Week'!A4:I395,7,FALSE)</f>
      </c>
    </row>
    <row r="27" ht="35.05" customHeight="true">
      <c r="A27" s="462" t="s">
        <v>95</v>
      </c>
      <c r="B27" s="463" t="s">
        <v>96</v>
      </c>
      <c r="C27" s="464"/>
      <c r="D27" s="465" t="s">
        <v>97</v>
      </c>
      <c r="E27" s="466" t="s">
        <v>97</v>
      </c>
      <c r="F27" s="467"/>
      <c r="G27" s="468" t="s">
        <v>15</v>
      </c>
      <c r="H27" s="469" t="n">
        <v>42899.5717687269</v>
      </c>
      <c r="I27" s="470" t="n">
        <v>42899.5717687269</v>
      </c>
      <c r="J27" s="471" t="n">
        <v>42898.6557099769</v>
      </c>
      <c r="K27" s="472" t="n">
        <v>42898.6557099769</v>
      </c>
      <c r="L27" s="473" t="s">
        <v>16</v>
      </c>
      <c r="M27" s="474"/>
      <c r="N27" s="475"/>
      <c r="O27" s="476"/>
      <c r="P27" s="477" t="s">
        <v>59</v>
      </c>
      <c r="Q27" s="478">
        <f>TODAY()-j27</f>
      </c>
      <c r="R27" s="479">
        <f>VLOOKUP(A27,'Last Week'!A4:I395,7,FALSE)</f>
      </c>
    </row>
    <row r="28" ht="23.85" customHeight="true">
      <c r="A28" s="480" t="s">
        <v>98</v>
      </c>
      <c r="B28" s="481" t="s">
        <v>99</v>
      </c>
      <c r="C28" s="482"/>
      <c r="D28" s="483" t="s">
        <v>55</v>
      </c>
      <c r="E28" s="484" t="s">
        <v>82</v>
      </c>
      <c r="F28" s="485"/>
      <c r="G28" s="486" t="s">
        <v>15</v>
      </c>
      <c r="H28" s="487" t="n">
        <v>42899.5953940972</v>
      </c>
      <c r="I28" s="488" t="n">
        <v>42899.5953940972</v>
      </c>
      <c r="J28" s="489" t="n">
        <v>42898.7305568403</v>
      </c>
      <c r="K28" s="490" t="n">
        <v>42898.7305568403</v>
      </c>
      <c r="L28" s="491" t="s">
        <v>16</v>
      </c>
      <c r="M28" s="492"/>
      <c r="N28" s="493"/>
      <c r="O28" s="494"/>
      <c r="P28" s="495" t="s">
        <v>17</v>
      </c>
      <c r="Q28" s="496">
        <f>TODAY()-j28</f>
      </c>
      <c r="R28" s="497">
        <f>VLOOKUP(A28,'Last Week'!A4:I395,7,FALSE)</f>
      </c>
    </row>
    <row r="29" ht="23.85" customHeight="true">
      <c r="A29" s="498" t="s">
        <v>100</v>
      </c>
      <c r="B29" s="499" t="s">
        <v>101</v>
      </c>
      <c r="C29" s="500"/>
      <c r="D29" s="501" t="s">
        <v>55</v>
      </c>
      <c r="E29" s="502" t="s">
        <v>82</v>
      </c>
      <c r="F29" s="503"/>
      <c r="G29" s="504" t="s">
        <v>15</v>
      </c>
      <c r="H29" s="505" t="n">
        <v>42905.4416840625</v>
      </c>
      <c r="I29" s="506" t="n">
        <v>42905.4416840625</v>
      </c>
      <c r="J29" s="507" t="n">
        <v>42898.7321348148</v>
      </c>
      <c r="K29" s="508" t="n">
        <v>42898.7321348148</v>
      </c>
      <c r="L29" s="509" t="s">
        <v>16</v>
      </c>
      <c r="M29" s="510"/>
      <c r="N29" s="511"/>
      <c r="O29" s="512"/>
      <c r="P29" s="513" t="s">
        <v>17</v>
      </c>
      <c r="Q29" s="514">
        <f>TODAY()-j29</f>
      </c>
      <c r="R29" s="515">
        <f>VLOOKUP(A29,'Last Week'!A4:I395,7,FALSE)</f>
      </c>
    </row>
    <row r="30" ht="35.05" customHeight="true">
      <c r="A30" s="516" t="s">
        <v>102</v>
      </c>
      <c r="B30" s="517" t="s">
        <v>23</v>
      </c>
      <c r="C30" s="518"/>
      <c r="D30" s="519" t="s">
        <v>24</v>
      </c>
      <c r="E30" s="520" t="s">
        <v>103</v>
      </c>
      <c r="F30" s="521"/>
      <c r="G30" s="522" t="s">
        <v>15</v>
      </c>
      <c r="H30" s="523" t="n">
        <v>42905.7129309954</v>
      </c>
      <c r="I30" s="524" t="n">
        <v>42905.7129309954</v>
      </c>
      <c r="J30" s="525" t="n">
        <v>42899.6300111227</v>
      </c>
      <c r="K30" s="526" t="n">
        <v>42899.6300111227</v>
      </c>
      <c r="L30" s="527" t="s">
        <v>16</v>
      </c>
      <c r="M30" s="528"/>
      <c r="N30" s="529"/>
      <c r="O30" s="530"/>
      <c r="P30" s="531" t="s">
        <v>47</v>
      </c>
      <c r="Q30" s="532">
        <f>TODAY()-j30</f>
      </c>
      <c r="R30" s="533">
        <f>VLOOKUP(A30,'Last Week'!A4:I395,7,FALSE)</f>
      </c>
    </row>
    <row r="31" ht="23.85" customHeight="true">
      <c r="A31" s="534" t="s">
        <v>104</v>
      </c>
      <c r="B31" s="535" t="s">
        <v>105</v>
      </c>
      <c r="C31" s="536"/>
      <c r="D31" s="537" t="s">
        <v>62</v>
      </c>
      <c r="E31" s="538" t="s">
        <v>82</v>
      </c>
      <c r="F31" s="539"/>
      <c r="G31" s="540" t="s">
        <v>15</v>
      </c>
      <c r="H31" s="541" t="n">
        <v>42901.4592201736</v>
      </c>
      <c r="I31" s="542" t="n">
        <v>42901.4592201736</v>
      </c>
      <c r="J31" s="543" t="n">
        <v>42900.7072950926</v>
      </c>
      <c r="K31" s="544" t="n">
        <v>42900.7072950926</v>
      </c>
      <c r="L31" s="545" t="s">
        <v>16</v>
      </c>
      <c r="M31" s="546"/>
      <c r="N31" s="547"/>
      <c r="O31" s="548"/>
      <c r="P31" s="549" t="s">
        <v>30</v>
      </c>
      <c r="Q31" s="550">
        <f>TODAY()-j31</f>
      </c>
      <c r="R31" s="551">
        <f>VLOOKUP(A31,'Last Week'!A4:I395,7,FALSE)</f>
      </c>
    </row>
    <row r="32" ht="23.85" customHeight="true">
      <c r="A32" s="552" t="s">
        <v>106</v>
      </c>
      <c r="B32" s="553" t="s">
        <v>107</v>
      </c>
      <c r="C32" s="554"/>
      <c r="D32" s="555" t="s">
        <v>108</v>
      </c>
      <c r="E32" s="556" t="s">
        <v>109</v>
      </c>
      <c r="F32" s="557"/>
      <c r="G32" s="558" t="s">
        <v>86</v>
      </c>
      <c r="H32" s="559" t="n">
        <v>42919.7466891551</v>
      </c>
      <c r="I32" s="560" t="n">
        <v>42919.7466891551</v>
      </c>
      <c r="J32" s="561" t="n">
        <v>42902.3444632986</v>
      </c>
      <c r="K32" s="562" t="n">
        <v>42902.3444632986</v>
      </c>
      <c r="L32" s="563" t="s">
        <v>16</v>
      </c>
      <c r="M32" s="564"/>
      <c r="N32" s="565"/>
      <c r="O32" s="566"/>
      <c r="P32" s="567" t="s">
        <v>110</v>
      </c>
      <c r="Q32" s="568">
        <f>TODAY()-j32</f>
      </c>
      <c r="R32" s="569">
        <f>VLOOKUP(A32,'Last Week'!A4:I395,7,FALSE)</f>
      </c>
    </row>
    <row r="33" ht="23.85" customHeight="true">
      <c r="A33" s="570" t="s">
        <v>111</v>
      </c>
      <c r="B33" s="571" t="s">
        <v>112</v>
      </c>
      <c r="C33" s="572"/>
      <c r="D33" s="573" t="s">
        <v>113</v>
      </c>
      <c r="E33" s="574" t="s">
        <v>73</v>
      </c>
      <c r="F33" s="575"/>
      <c r="G33" s="576" t="s">
        <v>15</v>
      </c>
      <c r="H33" s="577" t="n">
        <v>42945.6005633449</v>
      </c>
      <c r="I33" s="578" t="n">
        <v>42945.6005633449</v>
      </c>
      <c r="J33" s="579" t="n">
        <v>42902.6737462616</v>
      </c>
      <c r="K33" s="580" t="n">
        <v>42902.6737462616</v>
      </c>
      <c r="L33" s="581" t="s">
        <v>16</v>
      </c>
      <c r="M33" s="582"/>
      <c r="N33" s="583"/>
      <c r="O33" s="584"/>
      <c r="P33" s="585" t="s">
        <v>47</v>
      </c>
      <c r="Q33" s="586">
        <f>TODAY()-j33</f>
      </c>
      <c r="R33" s="587">
        <f>VLOOKUP(A33,'Last Week'!A4:I395,7,FALSE)</f>
      </c>
    </row>
    <row r="34" ht="23.85" customHeight="true">
      <c r="A34" s="588" t="s">
        <v>114</v>
      </c>
      <c r="B34" s="589" t="s">
        <v>115</v>
      </c>
      <c r="C34" s="590"/>
      <c r="D34" s="591" t="s">
        <v>89</v>
      </c>
      <c r="E34" s="592" t="s">
        <v>116</v>
      </c>
      <c r="F34" s="593"/>
      <c r="G34" s="594" t="s">
        <v>15</v>
      </c>
      <c r="H34" s="595" t="n">
        <v>42907.0849714583</v>
      </c>
      <c r="I34" s="596" t="n">
        <v>42907.0849714583</v>
      </c>
      <c r="J34" s="597" t="n">
        <v>42902.7364539005</v>
      </c>
      <c r="K34" s="598" t="n">
        <v>42902.7364539005</v>
      </c>
      <c r="L34" s="599" t="s">
        <v>16</v>
      </c>
      <c r="M34" s="600"/>
      <c r="N34" s="601"/>
      <c r="O34" s="602"/>
      <c r="P34" s="603" t="s">
        <v>30</v>
      </c>
      <c r="Q34" s="604">
        <f>TODAY()-j34</f>
      </c>
      <c r="R34" s="605">
        <f>VLOOKUP(A34,'Last Week'!A4:I395,7,FALSE)</f>
      </c>
    </row>
    <row r="35" ht="23.85" customHeight="true">
      <c r="A35" s="606" t="s">
        <v>117</v>
      </c>
      <c r="B35" s="607" t="s">
        <v>118</v>
      </c>
      <c r="C35" s="608"/>
      <c r="D35" s="609" t="s">
        <v>119</v>
      </c>
      <c r="E35" s="610" t="s">
        <v>46</v>
      </c>
      <c r="F35" s="611"/>
      <c r="G35" s="612" t="s">
        <v>15</v>
      </c>
      <c r="H35" s="613" t="n">
        <v>42905.5917673843</v>
      </c>
      <c r="I35" s="614" t="n">
        <v>42905.5917673843</v>
      </c>
      <c r="J35" s="615" t="n">
        <v>42902.7438200116</v>
      </c>
      <c r="K35" s="616" t="n">
        <v>42902.7438200116</v>
      </c>
      <c r="L35" s="617" t="s">
        <v>16</v>
      </c>
      <c r="M35" s="618"/>
      <c r="N35" s="619"/>
      <c r="O35" s="620"/>
      <c r="P35" s="621" t="s">
        <v>59</v>
      </c>
      <c r="Q35" s="622">
        <f>TODAY()-j35</f>
      </c>
      <c r="R35" s="623">
        <f>VLOOKUP(A35,'Last Week'!A4:I395,7,FALSE)</f>
      </c>
    </row>
    <row r="36" ht="46.25" customHeight="true">
      <c r="A36" s="624" t="s">
        <v>120</v>
      </c>
      <c r="B36" s="625" t="s">
        <v>121</v>
      </c>
      <c r="C36" s="626"/>
      <c r="D36" s="627" t="s">
        <v>122</v>
      </c>
      <c r="E36" s="628" t="s">
        <v>123</v>
      </c>
      <c r="F36" s="629"/>
      <c r="G36" s="630" t="s">
        <v>15</v>
      </c>
      <c r="H36" s="631" t="n">
        <v>42922.6388873727</v>
      </c>
      <c r="I36" s="632" t="n">
        <v>42922.6388873727</v>
      </c>
      <c r="J36" s="633" t="n">
        <v>42902.9725404514</v>
      </c>
      <c r="K36" s="634" t="n">
        <v>42902.9725404514</v>
      </c>
      <c r="L36" s="635" t="s">
        <v>16</v>
      </c>
      <c r="M36" s="636"/>
      <c r="N36" s="637"/>
      <c r="O36" s="638"/>
      <c r="P36" s="639" t="s">
        <v>30</v>
      </c>
      <c r="Q36" s="640">
        <f>TODAY()-j36</f>
      </c>
      <c r="R36" s="641">
        <f>VLOOKUP(A36,'Last Week'!A4:I395,7,FALSE)</f>
      </c>
    </row>
    <row r="37" ht="23.85" customHeight="true">
      <c r="A37" s="642" t="s">
        <v>124</v>
      </c>
      <c r="B37" s="643" t="s">
        <v>125</v>
      </c>
      <c r="C37" s="644"/>
      <c r="D37" s="645" t="s">
        <v>126</v>
      </c>
      <c r="E37" s="646" t="s">
        <v>127</v>
      </c>
      <c r="F37" s="647"/>
      <c r="G37" s="648" t="s">
        <v>15</v>
      </c>
      <c r="H37" s="649" t="n">
        <v>42907.6083703357</v>
      </c>
      <c r="I37" s="650" t="n">
        <v>42907.6083703357</v>
      </c>
      <c r="J37" s="651" t="n">
        <v>42905.4454640278</v>
      </c>
      <c r="K37" s="652" t="n">
        <v>42905.4454640278</v>
      </c>
      <c r="L37" s="653" t="s">
        <v>16</v>
      </c>
      <c r="M37" s="654"/>
      <c r="N37" s="655"/>
      <c r="O37" s="656"/>
      <c r="P37" s="657" t="s">
        <v>30</v>
      </c>
      <c r="Q37" s="658">
        <f>TODAY()-j37</f>
      </c>
      <c r="R37" s="659">
        <f>VLOOKUP(A37,'Last Week'!A4:I395,7,FALSE)</f>
      </c>
    </row>
    <row r="38" ht="23.85" customHeight="true">
      <c r="A38" s="660" t="s">
        <v>128</v>
      </c>
      <c r="B38" s="661" t="s">
        <v>125</v>
      </c>
      <c r="C38" s="662"/>
      <c r="D38" s="663" t="s">
        <v>126</v>
      </c>
      <c r="E38" s="664" t="s">
        <v>127</v>
      </c>
      <c r="F38" s="665"/>
      <c r="G38" s="666" t="s">
        <v>15</v>
      </c>
      <c r="H38" s="667" t="n">
        <v>42907.6087339699</v>
      </c>
      <c r="I38" s="668" t="n">
        <v>42907.6087339699</v>
      </c>
      <c r="J38" s="669" t="n">
        <v>42905.4873849653</v>
      </c>
      <c r="K38" s="670" t="n">
        <v>42905.4873849653</v>
      </c>
      <c r="L38" s="671" t="s">
        <v>16</v>
      </c>
      <c r="M38" s="672"/>
      <c r="N38" s="673"/>
      <c r="O38" s="674"/>
      <c r="P38" s="675" t="s">
        <v>30</v>
      </c>
      <c r="Q38" s="676">
        <f>TODAY()-j38</f>
      </c>
      <c r="R38" s="677">
        <f>VLOOKUP(A38,'Last Week'!A4:I395,7,FALSE)</f>
      </c>
    </row>
    <row r="39" ht="23.85" customHeight="true">
      <c r="A39" s="678" t="s">
        <v>129</v>
      </c>
      <c r="B39" s="679" t="s">
        <v>130</v>
      </c>
      <c r="C39" s="680"/>
      <c r="D39" s="681" t="s">
        <v>131</v>
      </c>
      <c r="E39" s="682" t="s">
        <v>25</v>
      </c>
      <c r="F39" s="683"/>
      <c r="G39" s="684" t="s">
        <v>15</v>
      </c>
      <c r="H39" s="685" t="n">
        <v>42907.6004406482</v>
      </c>
      <c r="I39" s="686" t="n">
        <v>42907.6004406482</v>
      </c>
      <c r="J39" s="687" t="n">
        <v>42905.4967282176</v>
      </c>
      <c r="K39" s="688" t="n">
        <v>42905.4967282176</v>
      </c>
      <c r="L39" s="689" t="s">
        <v>16</v>
      </c>
      <c r="M39" s="690"/>
      <c r="N39" s="691"/>
      <c r="O39" s="692"/>
      <c r="P39" s="693" t="s">
        <v>30</v>
      </c>
      <c r="Q39" s="694">
        <f>TODAY()-j39</f>
      </c>
      <c r="R39" s="695">
        <f>VLOOKUP(A39,'Last Week'!A4:I395,7,FALSE)</f>
      </c>
    </row>
    <row r="40" ht="23.85" customHeight="true">
      <c r="A40" s="696" t="s">
        <v>132</v>
      </c>
      <c r="B40" s="697" t="s">
        <v>133</v>
      </c>
      <c r="C40" s="698"/>
      <c r="D40" s="699" t="s">
        <v>41</v>
      </c>
      <c r="E40" s="700" t="s">
        <v>134</v>
      </c>
      <c r="F40" s="701"/>
      <c r="G40" s="702" t="s">
        <v>15</v>
      </c>
      <c r="H40" s="703" t="n">
        <v>42907.6025941204</v>
      </c>
      <c r="I40" s="704" t="n">
        <v>42907.6025941204</v>
      </c>
      <c r="J40" s="705" t="n">
        <v>42905.8870565972</v>
      </c>
      <c r="K40" s="706" t="n">
        <v>42905.8870565972</v>
      </c>
      <c r="L40" s="707" t="s">
        <v>16</v>
      </c>
      <c r="M40" s="708"/>
      <c r="N40" s="709"/>
      <c r="O40" s="710"/>
      <c r="P40" s="711" t="s">
        <v>30</v>
      </c>
      <c r="Q40" s="712">
        <f>TODAY()-j40</f>
      </c>
      <c r="R40" s="713">
        <f>VLOOKUP(A40,'Last Week'!A4:I395,7,FALSE)</f>
      </c>
    </row>
    <row r="41" ht="23.85" customHeight="true">
      <c r="A41" s="714" t="s">
        <v>135</v>
      </c>
      <c r="B41" s="715" t="s">
        <v>136</v>
      </c>
      <c r="C41" s="716"/>
      <c r="D41" s="717" t="s">
        <v>137</v>
      </c>
      <c r="E41" s="718" t="s">
        <v>138</v>
      </c>
      <c r="F41" s="719"/>
      <c r="G41" s="720" t="s">
        <v>86</v>
      </c>
      <c r="H41" s="721" t="n">
        <v>43055.4259765394</v>
      </c>
      <c r="I41" s="722" t="n">
        <v>43055.4259765394</v>
      </c>
      <c r="J41" s="723" t="n">
        <v>42906.6758507755</v>
      </c>
      <c r="K41" s="724" t="n">
        <v>42906.6758507755</v>
      </c>
      <c r="L41" s="725" t="s">
        <v>16</v>
      </c>
      <c r="M41" s="726"/>
      <c r="N41" s="727"/>
      <c r="O41" s="728"/>
      <c r="P41" s="729" t="s">
        <v>17</v>
      </c>
      <c r="Q41" s="730">
        <f>TODAY()-j41</f>
      </c>
      <c r="R41" s="731">
        <f>VLOOKUP(A41,'Last Week'!A4:I395,7,FALSE)</f>
      </c>
    </row>
    <row r="42" ht="35.05" customHeight="true">
      <c r="A42" s="732" t="s">
        <v>139</v>
      </c>
      <c r="B42" s="733" t="s">
        <v>140</v>
      </c>
      <c r="C42" s="734"/>
      <c r="D42" s="735" t="s">
        <v>141</v>
      </c>
      <c r="E42" s="736" t="s">
        <v>123</v>
      </c>
      <c r="F42" s="737"/>
      <c r="G42" s="738" t="s">
        <v>15</v>
      </c>
      <c r="H42" s="739" t="n">
        <v>42909.2921225</v>
      </c>
      <c r="I42" s="740" t="n">
        <v>42909.2921225</v>
      </c>
      <c r="J42" s="741" t="n">
        <v>42906.6772510185</v>
      </c>
      <c r="K42" s="742" t="n">
        <v>42906.6772510185</v>
      </c>
      <c r="L42" s="743" t="s">
        <v>16</v>
      </c>
      <c r="M42" s="744"/>
      <c r="N42" s="745"/>
      <c r="O42" s="746"/>
      <c r="P42" s="747" t="s">
        <v>17</v>
      </c>
      <c r="Q42" s="748">
        <f>TODAY()-j42</f>
      </c>
      <c r="R42" s="749">
        <f>VLOOKUP(A42,'Last Week'!A4:I395,7,FALSE)</f>
      </c>
    </row>
    <row r="43" ht="46.25" customHeight="true">
      <c r="A43" s="750" t="s">
        <v>142</v>
      </c>
      <c r="B43" s="751" t="s">
        <v>143</v>
      </c>
      <c r="C43" s="752"/>
      <c r="D43" s="753" t="s">
        <v>141</v>
      </c>
      <c r="E43" s="754" t="s">
        <v>123</v>
      </c>
      <c r="F43" s="755"/>
      <c r="G43" s="756" t="s">
        <v>15</v>
      </c>
      <c r="H43" s="757" t="n">
        <v>42907.6707240394</v>
      </c>
      <c r="I43" s="758" t="n">
        <v>42907.6707240394</v>
      </c>
      <c r="J43" s="759" t="n">
        <v>42906.9455422685</v>
      </c>
      <c r="K43" s="760" t="n">
        <v>42906.9455422685</v>
      </c>
      <c r="L43" s="761" t="s">
        <v>16</v>
      </c>
      <c r="M43" s="762"/>
      <c r="N43" s="763"/>
      <c r="O43" s="764"/>
      <c r="P43" s="765" t="s">
        <v>30</v>
      </c>
      <c r="Q43" s="766">
        <f>TODAY()-j43</f>
      </c>
      <c r="R43" s="767">
        <f>VLOOKUP(A43,'Last Week'!A4:I395,7,FALSE)</f>
      </c>
    </row>
    <row r="44" ht="23.85" customHeight="true">
      <c r="A44" s="768" t="s">
        <v>144</v>
      </c>
      <c r="B44" s="769" t="s">
        <v>145</v>
      </c>
      <c r="C44" s="770"/>
      <c r="D44" s="771" t="s">
        <v>146</v>
      </c>
      <c r="E44" s="772" t="s">
        <v>109</v>
      </c>
      <c r="F44" s="773"/>
      <c r="G44" s="774" t="s">
        <v>15</v>
      </c>
      <c r="H44" s="775" t="n">
        <v>42921.5421058449</v>
      </c>
      <c r="I44" s="776" t="n">
        <v>42921.5421058449</v>
      </c>
      <c r="J44" s="777" t="n">
        <v>42907.372979757</v>
      </c>
      <c r="K44" s="778" t="n">
        <v>42907.372979757</v>
      </c>
      <c r="L44" s="779" t="s">
        <v>16</v>
      </c>
      <c r="M44" s="780"/>
      <c r="N44" s="781"/>
      <c r="O44" s="782"/>
      <c r="P44" s="783" t="s">
        <v>59</v>
      </c>
      <c r="Q44" s="784">
        <f>TODAY()-j44</f>
      </c>
      <c r="R44" s="785">
        <f>VLOOKUP(A44,'Last Week'!A4:I395,7,FALSE)</f>
      </c>
    </row>
    <row r="45" ht="23.85" customHeight="true">
      <c r="A45" s="786" t="s">
        <v>147</v>
      </c>
      <c r="B45" s="787" t="s">
        <v>148</v>
      </c>
      <c r="C45" s="788"/>
      <c r="D45" s="789" t="s">
        <v>149</v>
      </c>
      <c r="E45" s="790" t="s">
        <v>73</v>
      </c>
      <c r="F45" s="791"/>
      <c r="G45" s="792" t="s">
        <v>15</v>
      </c>
      <c r="H45" s="793" t="n">
        <v>42908.6242202083</v>
      </c>
      <c r="I45" s="794" t="n">
        <v>42908.6242202083</v>
      </c>
      <c r="J45" s="795" t="n">
        <v>42907.5321448727</v>
      </c>
      <c r="K45" s="796" t="n">
        <v>42907.5321448727</v>
      </c>
      <c r="L45" s="797" t="s">
        <v>16</v>
      </c>
      <c r="M45" s="798"/>
      <c r="N45" s="799"/>
      <c r="O45" s="800"/>
      <c r="P45" s="801" t="s">
        <v>30</v>
      </c>
      <c r="Q45" s="802">
        <f>TODAY()-j45</f>
      </c>
      <c r="R45" s="803">
        <f>VLOOKUP(A45,'Last Week'!A4:I395,7,FALSE)</f>
      </c>
    </row>
    <row r="46" ht="23.85" customHeight="true">
      <c r="A46" s="804" t="s">
        <v>150</v>
      </c>
      <c r="B46" s="805" t="s">
        <v>151</v>
      </c>
      <c r="C46" s="806"/>
      <c r="D46" s="807" t="s">
        <v>152</v>
      </c>
      <c r="E46" s="808" t="s">
        <v>110</v>
      </c>
      <c r="F46" s="809"/>
      <c r="G46" s="810" t="s">
        <v>15</v>
      </c>
      <c r="H46" s="811" t="n">
        <v>42911.4719198495</v>
      </c>
      <c r="I46" s="812" t="n">
        <v>42911.4719198495</v>
      </c>
      <c r="J46" s="813" t="n">
        <v>42907.6518111806</v>
      </c>
      <c r="K46" s="814" t="n">
        <v>42907.6518111806</v>
      </c>
      <c r="L46" s="815" t="s">
        <v>16</v>
      </c>
      <c r="M46" s="816"/>
      <c r="N46" s="817"/>
      <c r="O46" s="818"/>
      <c r="P46" s="819" t="s">
        <v>17</v>
      </c>
      <c r="Q46" s="820">
        <f>TODAY()-j46</f>
      </c>
      <c r="R46" s="821">
        <f>VLOOKUP(A46,'Last Week'!A4:I395,7,FALSE)</f>
      </c>
    </row>
    <row r="47" ht="23.85" customHeight="true">
      <c r="A47" s="822" t="s">
        <v>153</v>
      </c>
      <c r="B47" s="823" t="s">
        <v>154</v>
      </c>
      <c r="C47" s="824"/>
      <c r="D47" s="825" t="s">
        <v>155</v>
      </c>
      <c r="E47" s="826" t="s">
        <v>29</v>
      </c>
      <c r="F47" s="827"/>
      <c r="G47" s="828" t="s">
        <v>15</v>
      </c>
      <c r="H47" s="829" t="n">
        <v>42918.3957873032</v>
      </c>
      <c r="I47" s="830" t="n">
        <v>42918.3957873032</v>
      </c>
      <c r="J47" s="831" t="n">
        <v>42907.7369756366</v>
      </c>
      <c r="K47" s="832" t="n">
        <v>42907.7369756366</v>
      </c>
      <c r="L47" s="833" t="s">
        <v>16</v>
      </c>
      <c r="M47" s="834"/>
      <c r="N47" s="835"/>
      <c r="O47" s="836"/>
      <c r="P47" s="837" t="s">
        <v>47</v>
      </c>
      <c r="Q47" s="838">
        <f>TODAY()-j47</f>
      </c>
      <c r="R47" s="839">
        <f>VLOOKUP(A47,'Last Week'!A4:I395,7,FALSE)</f>
      </c>
    </row>
    <row r="48" ht="23.85" customHeight="true">
      <c r="A48" s="840" t="s">
        <v>156</v>
      </c>
      <c r="B48" s="841" t="s">
        <v>157</v>
      </c>
      <c r="C48" s="842"/>
      <c r="D48" s="843" t="s">
        <v>141</v>
      </c>
      <c r="E48" s="844" t="s">
        <v>73</v>
      </c>
      <c r="F48" s="845"/>
      <c r="G48" s="846" t="s">
        <v>15</v>
      </c>
      <c r="H48" s="847" t="n">
        <v>42914.0839920023</v>
      </c>
      <c r="I48" s="848" t="n">
        <v>42914.0839920023</v>
      </c>
      <c r="J48" s="849" t="n">
        <v>42908.4731283449</v>
      </c>
      <c r="K48" s="850" t="n">
        <v>42908.4731283449</v>
      </c>
      <c r="L48" s="851" t="s">
        <v>16</v>
      </c>
      <c r="M48" s="852"/>
      <c r="N48" s="853"/>
      <c r="O48" s="854"/>
      <c r="P48" s="855" t="s">
        <v>59</v>
      </c>
      <c r="Q48" s="856">
        <f>TODAY()-j48</f>
      </c>
      <c r="R48" s="857">
        <f>VLOOKUP(A48,'Last Week'!A4:I395,7,FALSE)</f>
      </c>
    </row>
    <row r="49" ht="35.05" customHeight="true">
      <c r="A49" s="858" t="s">
        <v>158</v>
      </c>
      <c r="B49" s="859" t="s">
        <v>159</v>
      </c>
      <c r="C49" s="860"/>
      <c r="D49" s="861" t="s">
        <v>141</v>
      </c>
      <c r="E49" s="862" t="s">
        <v>73</v>
      </c>
      <c r="F49" s="863"/>
      <c r="G49" s="864" t="s">
        <v>15</v>
      </c>
      <c r="H49" s="865" t="n">
        <v>42911.7149796181</v>
      </c>
      <c r="I49" s="866" t="n">
        <v>42911.7149796181</v>
      </c>
      <c r="J49" s="867" t="n">
        <v>42908.4996737153</v>
      </c>
      <c r="K49" s="868" t="n">
        <v>42908.4996737153</v>
      </c>
      <c r="L49" s="869" t="s">
        <v>16</v>
      </c>
      <c r="M49" s="870"/>
      <c r="N49" s="871"/>
      <c r="O49" s="872"/>
      <c r="P49" s="873" t="s">
        <v>30</v>
      </c>
      <c r="Q49" s="874">
        <f>TODAY()-j49</f>
      </c>
      <c r="R49" s="875">
        <f>VLOOKUP(A49,'Last Week'!A4:I395,7,FALSE)</f>
      </c>
    </row>
    <row r="50" ht="23.85" customHeight="true">
      <c r="A50" s="876" t="s">
        <v>160</v>
      </c>
      <c r="B50" s="877" t="s">
        <v>161</v>
      </c>
      <c r="C50" s="878"/>
      <c r="D50" s="879" t="s">
        <v>162</v>
      </c>
      <c r="E50" s="880" t="s">
        <v>109</v>
      </c>
      <c r="F50" s="881"/>
      <c r="G50" s="882" t="s">
        <v>15</v>
      </c>
      <c r="H50" s="883" t="n">
        <v>42916.6108801157</v>
      </c>
      <c r="I50" s="884" t="n">
        <v>42916.6108801157</v>
      </c>
      <c r="J50" s="885" t="n">
        <v>42908.5140878241</v>
      </c>
      <c r="K50" s="886" t="n">
        <v>42908.5140878241</v>
      </c>
      <c r="L50" s="887" t="s">
        <v>16</v>
      </c>
      <c r="M50" s="888"/>
      <c r="N50" s="889"/>
      <c r="O50" s="890"/>
      <c r="P50" s="891" t="s">
        <v>30</v>
      </c>
      <c r="Q50" s="892">
        <f>TODAY()-j50</f>
      </c>
      <c r="R50" s="893">
        <f>VLOOKUP(A50,'Last Week'!A4:I395,7,FALSE)</f>
      </c>
    </row>
    <row r="51" ht="23.85" customHeight="true">
      <c r="A51" s="894" t="s">
        <v>163</v>
      </c>
      <c r="B51" s="895" t="s">
        <v>164</v>
      </c>
      <c r="C51" s="896"/>
      <c r="D51" s="897" t="s">
        <v>165</v>
      </c>
      <c r="E51" s="898" t="s">
        <v>127</v>
      </c>
      <c r="F51" s="899"/>
      <c r="G51" s="900" t="s">
        <v>15</v>
      </c>
      <c r="H51" s="901" t="n">
        <v>42909.5269081366</v>
      </c>
      <c r="I51" s="902" t="n">
        <v>42909.5269081366</v>
      </c>
      <c r="J51" s="903" t="n">
        <v>42908.6332856713</v>
      </c>
      <c r="K51" s="904" t="n">
        <v>42908.6332856713</v>
      </c>
      <c r="L51" s="905" t="s">
        <v>16</v>
      </c>
      <c r="M51" s="906"/>
      <c r="N51" s="907"/>
      <c r="O51" s="908"/>
      <c r="P51" s="909" t="s">
        <v>30</v>
      </c>
      <c r="Q51" s="910">
        <f>TODAY()-j51</f>
      </c>
      <c r="R51" s="911">
        <f>VLOOKUP(A51,'Last Week'!A4:I395,7,FALSE)</f>
      </c>
    </row>
    <row r="52" ht="23.85" customHeight="true">
      <c r="A52" s="912" t="s">
        <v>166</v>
      </c>
      <c r="B52" s="913" t="s">
        <v>167</v>
      </c>
      <c r="C52" s="914"/>
      <c r="D52" s="915" t="s">
        <v>97</v>
      </c>
      <c r="E52" s="916" t="s">
        <v>97</v>
      </c>
      <c r="F52" s="917"/>
      <c r="G52" s="918" t="s">
        <v>15</v>
      </c>
      <c r="H52" s="919" t="n">
        <v>42912.6316483102</v>
      </c>
      <c r="I52" s="920" t="n">
        <v>42912.6316483102</v>
      </c>
      <c r="J52" s="921" t="n">
        <v>42908.7364715394</v>
      </c>
      <c r="K52" s="922" t="n">
        <v>42908.7364715394</v>
      </c>
      <c r="L52" s="923" t="s">
        <v>16</v>
      </c>
      <c r="M52" s="924"/>
      <c r="N52" s="925"/>
      <c r="O52" s="926"/>
      <c r="P52" s="927" t="s">
        <v>47</v>
      </c>
      <c r="Q52" s="928">
        <f>TODAY()-j52</f>
      </c>
      <c r="R52" s="929">
        <f>VLOOKUP(A52,'Last Week'!A4:I395,7,FALSE)</f>
      </c>
    </row>
    <row r="53" ht="23.85" customHeight="true">
      <c r="A53" s="930" t="s">
        <v>168</v>
      </c>
      <c r="B53" s="931" t="s">
        <v>169</v>
      </c>
      <c r="C53" s="932"/>
      <c r="D53" s="933" t="s">
        <v>170</v>
      </c>
      <c r="E53" s="934" t="s">
        <v>29</v>
      </c>
      <c r="F53" s="935"/>
      <c r="G53" s="936" t="s">
        <v>15</v>
      </c>
      <c r="H53" s="937" t="n">
        <v>42912.4018030671</v>
      </c>
      <c r="I53" s="938" t="n">
        <v>42912.4018030671</v>
      </c>
      <c r="J53" s="939" t="n">
        <v>42908.9212867593</v>
      </c>
      <c r="K53" s="940" t="n">
        <v>42908.9212867593</v>
      </c>
      <c r="L53" s="941" t="s">
        <v>16</v>
      </c>
      <c r="M53" s="942"/>
      <c r="N53" s="943"/>
      <c r="O53" s="944"/>
      <c r="P53" s="945" t="s">
        <v>30</v>
      </c>
      <c r="Q53" s="946">
        <f>TODAY()-j53</f>
      </c>
      <c r="R53" s="947">
        <f>VLOOKUP(A53,'Last Week'!A4:I395,7,FALSE)</f>
      </c>
    </row>
    <row r="54" ht="23.85" customHeight="true">
      <c r="A54" s="948" t="s">
        <v>171</v>
      </c>
      <c r="B54" s="949" t="s">
        <v>172</v>
      </c>
      <c r="C54" s="950"/>
      <c r="D54" s="951" t="s">
        <v>141</v>
      </c>
      <c r="E54" s="952" t="s">
        <v>73</v>
      </c>
      <c r="F54" s="953"/>
      <c r="G54" s="954" t="s">
        <v>15</v>
      </c>
      <c r="H54" s="955" t="n">
        <v>42914.0843416435</v>
      </c>
      <c r="I54" s="956" t="n">
        <v>42914.0843416435</v>
      </c>
      <c r="J54" s="957" t="n">
        <v>42909.7131197454</v>
      </c>
      <c r="K54" s="958" t="n">
        <v>42909.7131197454</v>
      </c>
      <c r="L54" s="959" t="s">
        <v>16</v>
      </c>
      <c r="M54" s="960"/>
      <c r="N54" s="961"/>
      <c r="O54" s="962"/>
      <c r="P54" s="963" t="s">
        <v>30</v>
      </c>
      <c r="Q54" s="964">
        <f>TODAY()-j54</f>
      </c>
      <c r="R54" s="965">
        <f>VLOOKUP(A54,'Last Week'!A4:I395,7,FALSE)</f>
      </c>
    </row>
    <row r="55" ht="35.05" customHeight="true">
      <c r="A55" s="966" t="s">
        <v>173</v>
      </c>
      <c r="B55" s="967" t="s">
        <v>174</v>
      </c>
      <c r="C55" s="968"/>
      <c r="D55" s="969" t="s">
        <v>175</v>
      </c>
      <c r="E55" s="970" t="s">
        <v>176</v>
      </c>
      <c r="F55" s="971"/>
      <c r="G55" s="972" t="s">
        <v>15</v>
      </c>
      <c r="H55" s="973" t="n">
        <v>42915.4858763773</v>
      </c>
      <c r="I55" s="974" t="n">
        <v>42915.4858763773</v>
      </c>
      <c r="J55" s="975" t="n">
        <v>42909.9384311574</v>
      </c>
      <c r="K55" s="976" t="n">
        <v>42909.9384311574</v>
      </c>
      <c r="L55" s="977" t="s">
        <v>16</v>
      </c>
      <c r="M55" s="978"/>
      <c r="N55" s="979"/>
      <c r="O55" s="980"/>
      <c r="P55" s="981" t="s">
        <v>30</v>
      </c>
      <c r="Q55" s="982">
        <f>TODAY()-j55</f>
      </c>
      <c r="R55" s="983">
        <f>VLOOKUP(A55,'Last Week'!A4:I395,7,FALSE)</f>
      </c>
    </row>
    <row r="56" ht="23.85" customHeight="true">
      <c r="A56" s="984" t="s">
        <v>177</v>
      </c>
      <c r="B56" s="985" t="s">
        <v>178</v>
      </c>
      <c r="C56" s="986"/>
      <c r="D56" s="987" t="s">
        <v>89</v>
      </c>
      <c r="E56" s="988" t="s">
        <v>116</v>
      </c>
      <c r="F56" s="989"/>
      <c r="G56" s="990" t="s">
        <v>15</v>
      </c>
      <c r="H56" s="991" t="n">
        <v>42915.0845276157</v>
      </c>
      <c r="I56" s="992" t="n">
        <v>42915.0845276157</v>
      </c>
      <c r="J56" s="993" t="n">
        <v>42912.4939295139</v>
      </c>
      <c r="K56" s="994" t="n">
        <v>42912.4939295139</v>
      </c>
      <c r="L56" s="995" t="s">
        <v>16</v>
      </c>
      <c r="M56" s="996"/>
      <c r="N56" s="997"/>
      <c r="O56" s="998"/>
      <c r="P56" s="999" t="s">
        <v>59</v>
      </c>
      <c r="Q56" s="1000">
        <f>TODAY()-j56</f>
      </c>
      <c r="R56" s="1001">
        <f>VLOOKUP(A56,'Last Week'!A4:I395,7,FALSE)</f>
      </c>
    </row>
    <row r="57" ht="35.05" customHeight="true">
      <c r="A57" s="1002" t="s">
        <v>179</v>
      </c>
      <c r="B57" s="1003" t="s">
        <v>180</v>
      </c>
      <c r="C57" s="1004"/>
      <c r="D57" s="1005" t="s">
        <v>126</v>
      </c>
      <c r="E57" s="1006" t="s">
        <v>127</v>
      </c>
      <c r="F57" s="1007"/>
      <c r="G57" s="1008" t="s">
        <v>15</v>
      </c>
      <c r="H57" s="1009" t="n">
        <v>42912.5317527199</v>
      </c>
      <c r="I57" s="1010" t="n">
        <v>42912.5317527199</v>
      </c>
      <c r="J57" s="1011" t="n">
        <v>42912.4954524306</v>
      </c>
      <c r="K57" s="1012" t="n">
        <v>42912.4954524306</v>
      </c>
      <c r="L57" s="1013" t="s">
        <v>16</v>
      </c>
      <c r="M57" s="1014"/>
      <c r="N57" s="1015"/>
      <c r="O57" s="1016"/>
      <c r="P57" s="1017" t="s">
        <v>30</v>
      </c>
      <c r="Q57" s="1018">
        <f>TODAY()-j57</f>
      </c>
      <c r="R57" s="1019">
        <f>VLOOKUP(A57,'Last Week'!A4:I395,7,FALSE)</f>
      </c>
    </row>
    <row r="58" ht="23.85" customHeight="true">
      <c r="A58" s="1020" t="s">
        <v>181</v>
      </c>
      <c r="B58" s="1021" t="s">
        <v>182</v>
      </c>
      <c r="C58" s="1022"/>
      <c r="D58" s="1023" t="s">
        <v>183</v>
      </c>
      <c r="E58" s="1024" t="s">
        <v>184</v>
      </c>
      <c r="F58" s="1025"/>
      <c r="G58" s="1026" t="s">
        <v>15</v>
      </c>
      <c r="H58" s="1027" t="n">
        <v>42914.6809026968</v>
      </c>
      <c r="I58" s="1028" t="n">
        <v>42914.6809026968</v>
      </c>
      <c r="J58" s="1029" t="n">
        <v>42912.6598284144</v>
      </c>
      <c r="K58" s="1030" t="n">
        <v>42912.6598284144</v>
      </c>
      <c r="L58" s="1031" t="s">
        <v>16</v>
      </c>
      <c r="M58" s="1032"/>
      <c r="N58" s="1033"/>
      <c r="O58" s="1034"/>
      <c r="P58" s="1035" t="s">
        <v>30</v>
      </c>
      <c r="Q58" s="1036">
        <f>TODAY()-j58</f>
      </c>
      <c r="R58" s="1037">
        <f>VLOOKUP(A58,'Last Week'!A4:I395,7,FALSE)</f>
      </c>
    </row>
    <row r="59" ht="23.85" customHeight="true">
      <c r="A59" s="1038" t="s">
        <v>185</v>
      </c>
      <c r="B59" s="1039" t="s">
        <v>186</v>
      </c>
      <c r="C59" s="1040"/>
      <c r="D59" s="1041" t="s">
        <v>187</v>
      </c>
      <c r="E59" s="1042" t="s">
        <v>14</v>
      </c>
      <c r="F59" s="1043"/>
      <c r="G59" s="1044" t="s">
        <v>15</v>
      </c>
      <c r="H59" s="1045" t="n">
        <v>42915.5887589352</v>
      </c>
      <c r="I59" s="1046" t="n">
        <v>42915.5887589352</v>
      </c>
      <c r="J59" s="1047" t="n">
        <v>42912.7248455324</v>
      </c>
      <c r="K59" s="1048" t="n">
        <v>42912.7248455324</v>
      </c>
      <c r="L59" s="1049" t="s">
        <v>16</v>
      </c>
      <c r="M59" s="1050"/>
      <c r="N59" s="1051"/>
      <c r="O59" s="1052"/>
      <c r="P59" s="1053" t="s">
        <v>30</v>
      </c>
      <c r="Q59" s="1054">
        <f>TODAY()-j59</f>
      </c>
      <c r="R59" s="1055">
        <f>VLOOKUP(A59,'Last Week'!A4:I395,7,FALSE)</f>
      </c>
    </row>
    <row r="60" ht="35.05" customHeight="true">
      <c r="A60" s="1056" t="s">
        <v>188</v>
      </c>
      <c r="B60" s="1057" t="s">
        <v>189</v>
      </c>
      <c r="C60" s="1058"/>
      <c r="D60" s="1059" t="s">
        <v>62</v>
      </c>
      <c r="E60" s="1060" t="s">
        <v>73</v>
      </c>
      <c r="F60" s="1061"/>
      <c r="G60" s="1062" t="s">
        <v>15</v>
      </c>
      <c r="H60" s="1063" t="n">
        <v>42915.7169279514</v>
      </c>
      <c r="I60" s="1064" t="n">
        <v>42915.7169279514</v>
      </c>
      <c r="J60" s="1065" t="n">
        <v>42915.6483138079</v>
      </c>
      <c r="K60" s="1066" t="n">
        <v>42915.6483138079</v>
      </c>
      <c r="L60" s="1067" t="s">
        <v>16</v>
      </c>
      <c r="M60" s="1068"/>
      <c r="N60" s="1069"/>
      <c r="O60" s="1070"/>
      <c r="P60" s="1071" t="s">
        <v>30</v>
      </c>
      <c r="Q60" s="1072">
        <f>TODAY()-j60</f>
      </c>
      <c r="R60" s="1073">
        <f>VLOOKUP(A60,'Last Week'!A4:I395,7,FALSE)</f>
      </c>
    </row>
    <row r="61" ht="23.85" customHeight="true">
      <c r="A61" s="1074" t="s">
        <v>190</v>
      </c>
      <c r="B61" s="1075" t="s">
        <v>191</v>
      </c>
      <c r="C61" s="1076"/>
      <c r="D61" s="1077" t="s">
        <v>141</v>
      </c>
      <c r="E61" s="1078" t="s">
        <v>176</v>
      </c>
      <c r="F61" s="1079"/>
      <c r="G61" s="1080" t="s">
        <v>15</v>
      </c>
      <c r="H61" s="1081" t="n">
        <v>42921.0845721644</v>
      </c>
      <c r="I61" s="1082" t="n">
        <v>42921.0845721644</v>
      </c>
      <c r="J61" s="1083" t="n">
        <v>42916.9759287963</v>
      </c>
      <c r="K61" s="1084" t="n">
        <v>42916.9759287963</v>
      </c>
      <c r="L61" s="1085" t="s">
        <v>16</v>
      </c>
      <c r="M61" s="1086"/>
      <c r="N61" s="1087"/>
      <c r="O61" s="1088"/>
      <c r="P61" s="1089" t="s">
        <v>59</v>
      </c>
      <c r="Q61" s="1090">
        <f>TODAY()-j61</f>
      </c>
      <c r="R61" s="1091">
        <f>VLOOKUP(A61,'Last Week'!A4:I395,7,FALSE)</f>
      </c>
    </row>
    <row r="62" ht="23.85" customHeight="true">
      <c r="A62" s="1092" t="s">
        <v>192</v>
      </c>
      <c r="B62" s="1093" t="s">
        <v>193</v>
      </c>
      <c r="C62" s="1094"/>
      <c r="D62" s="1095" t="s">
        <v>194</v>
      </c>
      <c r="E62" s="1096" t="s">
        <v>73</v>
      </c>
      <c r="F62" s="1097"/>
      <c r="G62" s="1098" t="s">
        <v>15</v>
      </c>
      <c r="H62" s="1099" t="n">
        <v>42921.0846093866</v>
      </c>
      <c r="I62" s="1100" t="n">
        <v>42921.0846093866</v>
      </c>
      <c r="J62" s="1101" t="n">
        <v>42919.4009502315</v>
      </c>
      <c r="K62" s="1102" t="n">
        <v>42919.4009502315</v>
      </c>
      <c r="L62" s="1103" t="s">
        <v>16</v>
      </c>
      <c r="M62" s="1104"/>
      <c r="N62" s="1105"/>
      <c r="O62" s="1106"/>
      <c r="P62" s="1107" t="s">
        <v>30</v>
      </c>
      <c r="Q62" s="1108">
        <f>TODAY()-j62</f>
      </c>
      <c r="R62" s="1109">
        <f>VLOOKUP(A62,'Last Week'!A4:I395,7,FALSE)</f>
      </c>
    </row>
    <row r="63" ht="23.85" customHeight="true">
      <c r="A63" s="1110" t="s">
        <v>195</v>
      </c>
      <c r="B63" s="1111" t="s">
        <v>196</v>
      </c>
      <c r="C63" s="1112"/>
      <c r="D63" s="1113" t="s">
        <v>55</v>
      </c>
      <c r="E63" s="1114" t="s">
        <v>82</v>
      </c>
      <c r="F63" s="1115"/>
      <c r="G63" s="1116" t="s">
        <v>15</v>
      </c>
      <c r="H63" s="1117" t="n">
        <v>42919.6061510532</v>
      </c>
      <c r="I63" s="1118" t="n">
        <v>42919.6061510532</v>
      </c>
      <c r="J63" s="1119" t="n">
        <v>42919.464950706</v>
      </c>
      <c r="K63" s="1120" t="n">
        <v>42919.464950706</v>
      </c>
      <c r="L63" s="1121" t="s">
        <v>16</v>
      </c>
      <c r="M63" s="1122"/>
      <c r="N63" s="1123"/>
      <c r="O63" s="1124"/>
      <c r="P63" s="1125" t="s">
        <v>47</v>
      </c>
      <c r="Q63" s="1126">
        <f>TODAY()-j63</f>
      </c>
      <c r="R63" s="1127">
        <f>VLOOKUP(A63,'Last Week'!A4:I395,7,FALSE)</f>
      </c>
    </row>
    <row r="64" ht="23.85" customHeight="true">
      <c r="A64" s="1128" t="s">
        <v>197</v>
      </c>
      <c r="B64" s="1129" t="s">
        <v>198</v>
      </c>
      <c r="C64" s="1130"/>
      <c r="D64" s="1131" t="s">
        <v>55</v>
      </c>
      <c r="E64" s="1132" t="s">
        <v>82</v>
      </c>
      <c r="F64" s="1133"/>
      <c r="G64" s="1134" t="s">
        <v>15</v>
      </c>
      <c r="H64" s="1135" t="n">
        <v>42921.5004906019</v>
      </c>
      <c r="I64" s="1136" t="n">
        <v>42921.5004906019</v>
      </c>
      <c r="J64" s="1137" t="n">
        <v>42919.4673653009</v>
      </c>
      <c r="K64" s="1138" t="n">
        <v>42919.4673653009</v>
      </c>
      <c r="L64" s="1139" t="s">
        <v>16</v>
      </c>
      <c r="M64" s="1140"/>
      <c r="N64" s="1141"/>
      <c r="O64" s="1142"/>
      <c r="P64" s="1143" t="s">
        <v>59</v>
      </c>
      <c r="Q64" s="1144">
        <f>TODAY()-j64</f>
      </c>
      <c r="R64" s="1145">
        <f>VLOOKUP(A64,'Last Week'!A4:I395,7,FALSE)</f>
      </c>
    </row>
    <row r="65" ht="23.85" customHeight="true">
      <c r="A65" s="1146" t="s">
        <v>199</v>
      </c>
      <c r="B65" s="1147" t="s">
        <v>200</v>
      </c>
      <c r="C65" s="1148"/>
      <c r="D65" s="1149" t="s">
        <v>201</v>
      </c>
      <c r="E65" s="1150" t="s">
        <v>34</v>
      </c>
      <c r="F65" s="1151"/>
      <c r="G65" s="1152" t="s">
        <v>15</v>
      </c>
      <c r="H65" s="1153" t="n">
        <v>42921.5838008449</v>
      </c>
      <c r="I65" s="1154" t="n">
        <v>42921.5838008449</v>
      </c>
      <c r="J65" s="1155" t="n">
        <v>42919.7179456829</v>
      </c>
      <c r="K65" s="1156" t="n">
        <v>42919.7179456829</v>
      </c>
      <c r="L65" s="1157" t="s">
        <v>16</v>
      </c>
      <c r="M65" s="1158"/>
      <c r="N65" s="1159"/>
      <c r="O65" s="1160"/>
      <c r="P65" s="1161" t="s">
        <v>59</v>
      </c>
      <c r="Q65" s="1162">
        <f>TODAY()-j65</f>
      </c>
      <c r="R65" s="1163">
        <f>VLOOKUP(A65,'Last Week'!A4:I395,7,FALSE)</f>
      </c>
    </row>
    <row r="66" ht="23.85" customHeight="true">
      <c r="A66" s="1164" t="s">
        <v>202</v>
      </c>
      <c r="B66" s="1165" t="s">
        <v>203</v>
      </c>
      <c r="C66" s="1166"/>
      <c r="D66" s="1167" t="s">
        <v>55</v>
      </c>
      <c r="E66" s="1168" t="s">
        <v>82</v>
      </c>
      <c r="F66" s="1169"/>
      <c r="G66" s="1170" t="s">
        <v>15</v>
      </c>
      <c r="H66" s="1171" t="n">
        <v>42921.5005301273</v>
      </c>
      <c r="I66" s="1172" t="n">
        <v>42921.5005301273</v>
      </c>
      <c r="J66" s="1173" t="n">
        <v>42919.7204132639</v>
      </c>
      <c r="K66" s="1174" t="n">
        <v>42919.7204132639</v>
      </c>
      <c r="L66" s="1175" t="s">
        <v>16</v>
      </c>
      <c r="M66" s="1176"/>
      <c r="N66" s="1177"/>
      <c r="O66" s="1178"/>
      <c r="P66" s="1179" t="s">
        <v>59</v>
      </c>
      <c r="Q66" s="1180">
        <f>TODAY()-j66</f>
      </c>
      <c r="R66" s="1181">
        <f>VLOOKUP(A66,'Last Week'!A4:I395,7,FALSE)</f>
      </c>
    </row>
    <row r="67" ht="23.85" customHeight="true">
      <c r="A67" s="1182" t="s">
        <v>204</v>
      </c>
      <c r="B67" s="1183" t="s">
        <v>205</v>
      </c>
      <c r="C67" s="1184"/>
      <c r="D67" s="1185" t="s">
        <v>108</v>
      </c>
      <c r="E67" s="1186" t="s">
        <v>110</v>
      </c>
      <c r="F67" s="1187"/>
      <c r="G67" s="1188" t="s">
        <v>15</v>
      </c>
      <c r="H67" s="1189" t="n">
        <v>42922.0845896065</v>
      </c>
      <c r="I67" s="1190" t="n">
        <v>42922.0845896065</v>
      </c>
      <c r="J67" s="1191" t="n">
        <v>42919.7209586806</v>
      </c>
      <c r="K67" s="1192" t="n">
        <v>42919.7209586806</v>
      </c>
      <c r="L67" s="1193" t="s">
        <v>16</v>
      </c>
      <c r="M67" s="1194"/>
      <c r="N67" s="1195"/>
      <c r="O67" s="1196"/>
      <c r="P67" s="1197" t="s">
        <v>59</v>
      </c>
      <c r="Q67" s="1198">
        <f>TODAY()-j67</f>
      </c>
      <c r="R67" s="1199">
        <f>VLOOKUP(A67,'Last Week'!A4:I395,7,FALSE)</f>
      </c>
    </row>
    <row r="68" ht="23.85" customHeight="true">
      <c r="A68" s="1200" t="s">
        <v>206</v>
      </c>
      <c r="B68" s="1201" t="s">
        <v>207</v>
      </c>
      <c r="C68" s="1202"/>
      <c r="D68" s="1203" t="s">
        <v>208</v>
      </c>
      <c r="E68" s="1204" t="s">
        <v>209</v>
      </c>
      <c r="F68" s="1205"/>
      <c r="G68" s="1206" t="s">
        <v>15</v>
      </c>
      <c r="H68" s="1207" t="n">
        <v>42921.4889533912</v>
      </c>
      <c r="I68" s="1208" t="n">
        <v>42921.4889533912</v>
      </c>
      <c r="J68" s="1209" t="n">
        <v>42920.695838044</v>
      </c>
      <c r="K68" s="1210" t="n">
        <v>42920.695838044</v>
      </c>
      <c r="L68" s="1211" t="s">
        <v>16</v>
      </c>
      <c r="M68" s="1212"/>
      <c r="N68" s="1213"/>
      <c r="O68" s="1214"/>
      <c r="P68" s="1215" t="s">
        <v>30</v>
      </c>
      <c r="Q68" s="1216">
        <f>TODAY()-j68</f>
      </c>
      <c r="R68" s="1217">
        <f>VLOOKUP(A68,'Last Week'!A4:I395,7,FALSE)</f>
      </c>
    </row>
    <row r="69" ht="23.85" customHeight="true">
      <c r="A69" s="1218" t="s">
        <v>210</v>
      </c>
      <c r="B69" s="1219" t="s">
        <v>211</v>
      </c>
      <c r="C69" s="1220"/>
      <c r="D69" s="1221" t="s">
        <v>155</v>
      </c>
      <c r="E69" s="1222" t="s">
        <v>29</v>
      </c>
      <c r="F69" s="1223"/>
      <c r="G69" s="1224" t="s">
        <v>15</v>
      </c>
      <c r="H69" s="1225" t="n">
        <v>42929.7306847106</v>
      </c>
      <c r="I69" s="1226" t="n">
        <v>42929.7306847106</v>
      </c>
      <c r="J69" s="1227" t="n">
        <v>42920.810438912</v>
      </c>
      <c r="K69" s="1228" t="n">
        <v>42920.810438912</v>
      </c>
      <c r="L69" s="1229" t="s">
        <v>16</v>
      </c>
      <c r="M69" s="1230"/>
      <c r="N69" s="1231"/>
      <c r="O69" s="1232"/>
      <c r="P69" s="1233" t="s">
        <v>47</v>
      </c>
      <c r="Q69" s="1234">
        <f>TODAY()-j69</f>
      </c>
      <c r="R69" s="1235">
        <f>VLOOKUP(A69,'Last Week'!A4:I395,7,FALSE)</f>
      </c>
    </row>
    <row r="70" ht="35.05" customHeight="true">
      <c r="A70" s="1236" t="s">
        <v>212</v>
      </c>
      <c r="B70" s="1237" t="s">
        <v>213</v>
      </c>
      <c r="C70" s="1238"/>
      <c r="D70" s="1239" t="s">
        <v>62</v>
      </c>
      <c r="E70" s="1240" t="s">
        <v>73</v>
      </c>
      <c r="F70" s="1241"/>
      <c r="G70" s="1242" t="s">
        <v>15</v>
      </c>
      <c r="H70" s="1243" t="n">
        <v>42923.1254635185</v>
      </c>
      <c r="I70" s="1244" t="n">
        <v>42923.1254635185</v>
      </c>
      <c r="J70" s="1245" t="n">
        <v>42921.476019919</v>
      </c>
      <c r="K70" s="1246" t="n">
        <v>42921.476019919</v>
      </c>
      <c r="L70" s="1247" t="s">
        <v>16</v>
      </c>
      <c r="M70" s="1248"/>
      <c r="N70" s="1249"/>
      <c r="O70" s="1250"/>
      <c r="P70" s="1251" t="s">
        <v>47</v>
      </c>
      <c r="Q70" s="1252">
        <f>TODAY()-j70</f>
      </c>
      <c r="R70" s="1253">
        <f>VLOOKUP(A70,'Last Week'!A4:I395,7,FALSE)</f>
      </c>
    </row>
    <row r="71" ht="23.85" customHeight="true">
      <c r="A71" s="1254" t="s">
        <v>214</v>
      </c>
      <c r="B71" s="1255" t="s">
        <v>215</v>
      </c>
      <c r="C71" s="1256"/>
      <c r="D71" s="1257" t="s">
        <v>165</v>
      </c>
      <c r="E71" s="1258" t="s">
        <v>216</v>
      </c>
      <c r="F71" s="1259"/>
      <c r="G71" s="1260" t="s">
        <v>15</v>
      </c>
      <c r="H71" s="1261" t="n">
        <v>42923.3755210301</v>
      </c>
      <c r="I71" s="1262" t="n">
        <v>42923.3755210301</v>
      </c>
      <c r="J71" s="1263" t="n">
        <v>42921.6231527662</v>
      </c>
      <c r="K71" s="1264" t="n">
        <v>42921.6231527662</v>
      </c>
      <c r="L71" s="1265" t="s">
        <v>16</v>
      </c>
      <c r="M71" s="1266"/>
      <c r="N71" s="1267"/>
      <c r="O71" s="1268"/>
      <c r="P71" s="1269" t="s">
        <v>59</v>
      </c>
      <c r="Q71" s="1270">
        <f>TODAY()-j71</f>
      </c>
      <c r="R71" s="1271">
        <f>VLOOKUP(A71,'Last Week'!A4:I395,7,FALSE)</f>
      </c>
    </row>
    <row r="72" ht="35.05" customHeight="true">
      <c r="A72" s="1272" t="s">
        <v>217</v>
      </c>
      <c r="B72" s="1273" t="s">
        <v>218</v>
      </c>
      <c r="C72" s="1274"/>
      <c r="D72" s="1275" t="s">
        <v>219</v>
      </c>
      <c r="E72" s="1276" t="s">
        <v>25</v>
      </c>
      <c r="F72" s="1277"/>
      <c r="G72" s="1278" t="s">
        <v>86</v>
      </c>
      <c r="H72" s="1279" t="n">
        <v>43049.4088353588</v>
      </c>
      <c r="I72" s="1280" t="n">
        <v>43049.4088353588</v>
      </c>
      <c r="J72" s="1281" t="n">
        <v>42921.710419838</v>
      </c>
      <c r="K72" s="1282" t="n">
        <v>42921.710419838</v>
      </c>
      <c r="L72" s="1283" t="s">
        <v>16</v>
      </c>
      <c r="M72" s="1284"/>
      <c r="N72" s="1285"/>
      <c r="O72" s="1286"/>
      <c r="P72" s="1287" t="s">
        <v>17</v>
      </c>
      <c r="Q72" s="1288">
        <f>TODAY()-j72</f>
      </c>
      <c r="R72" s="1289">
        <f>VLOOKUP(A72,'Last Week'!A4:I395,7,FALSE)</f>
      </c>
    </row>
    <row r="73" ht="23.85" customHeight="true">
      <c r="A73" s="1290" t="s">
        <v>220</v>
      </c>
      <c r="B73" s="1291" t="s">
        <v>221</v>
      </c>
      <c r="C73" s="1292"/>
      <c r="D73" s="1293" t="s">
        <v>175</v>
      </c>
      <c r="E73" s="1294" t="s">
        <v>25</v>
      </c>
      <c r="F73" s="1295"/>
      <c r="G73" s="1296" t="s">
        <v>15</v>
      </c>
      <c r="H73" s="1297" t="n">
        <v>42929.4160802546</v>
      </c>
      <c r="I73" s="1298" t="n">
        <v>42929.4160802546</v>
      </c>
      <c r="J73" s="1299" t="n">
        <v>42923.5454521181</v>
      </c>
      <c r="K73" s="1300" t="n">
        <v>42923.5454521181</v>
      </c>
      <c r="L73" s="1301" t="s">
        <v>16</v>
      </c>
      <c r="M73" s="1302"/>
      <c r="N73" s="1303"/>
      <c r="O73" s="1304"/>
      <c r="P73" s="1305" t="s">
        <v>47</v>
      </c>
      <c r="Q73" s="1306">
        <f>TODAY()-j73</f>
      </c>
      <c r="R73" s="1307">
        <f>VLOOKUP(A73,'Last Week'!A4:I395,7,FALSE)</f>
      </c>
    </row>
    <row r="74" ht="23.85" customHeight="true">
      <c r="A74" s="1308" t="s">
        <v>222</v>
      </c>
      <c r="B74" s="1309" t="s">
        <v>223</v>
      </c>
      <c r="C74" s="1310"/>
      <c r="D74" s="1311" t="s">
        <v>224</v>
      </c>
      <c r="E74" s="1312" t="s">
        <v>42</v>
      </c>
      <c r="F74" s="1313"/>
      <c r="G74" s="1314" t="s">
        <v>15</v>
      </c>
      <c r="H74" s="1315" t="n">
        <v>42927.7662939815</v>
      </c>
      <c r="I74" s="1316" t="n">
        <v>42927.7662939815</v>
      </c>
      <c r="J74" s="1317" t="n">
        <v>42923.7124407986</v>
      </c>
      <c r="K74" s="1318" t="n">
        <v>42923.7124407986</v>
      </c>
      <c r="L74" s="1319" t="s">
        <v>16</v>
      </c>
      <c r="M74" s="1320"/>
      <c r="N74" s="1321"/>
      <c r="O74" s="1322"/>
      <c r="P74" s="1323" t="s">
        <v>47</v>
      </c>
      <c r="Q74" s="1324">
        <f>TODAY()-j74</f>
      </c>
      <c r="R74" s="1325">
        <f>VLOOKUP(A74,'Last Week'!A4:I395,7,FALSE)</f>
      </c>
    </row>
    <row r="75" ht="35.05" customHeight="true">
      <c r="A75" s="1326" t="s">
        <v>225</v>
      </c>
      <c r="B75" s="1327" t="s">
        <v>226</v>
      </c>
      <c r="C75" s="1328"/>
      <c r="D75" s="1329" t="s">
        <v>165</v>
      </c>
      <c r="E75" s="1330" t="s">
        <v>216</v>
      </c>
      <c r="F75" s="1331"/>
      <c r="G75" s="1332" t="s">
        <v>15</v>
      </c>
      <c r="H75" s="1333" t="n">
        <v>42930.0843623148</v>
      </c>
      <c r="I75" s="1334" t="n">
        <v>42930.0843623148</v>
      </c>
      <c r="J75" s="1335" t="n">
        <v>42926.5782820255</v>
      </c>
      <c r="K75" s="1336" t="n">
        <v>42926.5782820255</v>
      </c>
      <c r="L75" s="1337" t="s">
        <v>16</v>
      </c>
      <c r="M75" s="1338"/>
      <c r="N75" s="1339"/>
      <c r="O75" s="1340"/>
      <c r="P75" s="1341" t="s">
        <v>47</v>
      </c>
      <c r="Q75" s="1342">
        <f>TODAY()-j75</f>
      </c>
      <c r="R75" s="1343">
        <f>VLOOKUP(A75,'Last Week'!A4:I395,7,FALSE)</f>
      </c>
    </row>
    <row r="76" ht="23.85" customHeight="true">
      <c r="A76" s="1344" t="s">
        <v>227</v>
      </c>
      <c r="B76" s="1345" t="s">
        <v>228</v>
      </c>
      <c r="C76" s="1346"/>
      <c r="D76" s="1347" t="s">
        <v>229</v>
      </c>
      <c r="E76" s="1348" t="s">
        <v>230</v>
      </c>
      <c r="F76" s="1349"/>
      <c r="G76" s="1350" t="s">
        <v>15</v>
      </c>
      <c r="H76" s="1351" t="n">
        <v>42930.4667978472</v>
      </c>
      <c r="I76" s="1352" t="n">
        <v>42930.4667978472</v>
      </c>
      <c r="J76" s="1353" t="n">
        <v>42926.9458308681</v>
      </c>
      <c r="K76" s="1354" t="n">
        <v>42926.9458308681</v>
      </c>
      <c r="L76" s="1355" t="s">
        <v>16</v>
      </c>
      <c r="M76" s="1356"/>
      <c r="N76" s="1357"/>
      <c r="O76" s="1358"/>
      <c r="P76" s="1359" t="s">
        <v>47</v>
      </c>
      <c r="Q76" s="1360">
        <f>TODAY()-j76</f>
      </c>
      <c r="R76" s="1361">
        <f>VLOOKUP(A76,'Last Week'!A4:I395,7,FALSE)</f>
      </c>
    </row>
    <row r="77" ht="23.85" customHeight="true">
      <c r="A77" s="1362" t="s">
        <v>231</v>
      </c>
      <c r="B77" s="1363" t="s">
        <v>232</v>
      </c>
      <c r="C77" s="1364"/>
      <c r="D77" s="1365" t="s">
        <v>233</v>
      </c>
      <c r="E77" s="1366" t="s">
        <v>116</v>
      </c>
      <c r="F77" s="1367"/>
      <c r="G77" s="1368" t="s">
        <v>15</v>
      </c>
      <c r="H77" s="1369" t="n">
        <v>42927.53327625</v>
      </c>
      <c r="I77" s="1370" t="n">
        <v>42927.53327625</v>
      </c>
      <c r="J77" s="1371" t="n">
        <v>42927.469872963</v>
      </c>
      <c r="K77" s="1372" t="n">
        <v>42927.469872963</v>
      </c>
      <c r="L77" s="1373" t="s">
        <v>16</v>
      </c>
      <c r="M77" s="1374"/>
      <c r="N77" s="1375"/>
      <c r="O77" s="1376"/>
      <c r="P77" s="1377" t="s">
        <v>47</v>
      </c>
      <c r="Q77" s="1378">
        <f>TODAY()-j77</f>
      </c>
      <c r="R77" s="1379">
        <f>VLOOKUP(A77,'Last Week'!A4:I395,7,FALSE)</f>
      </c>
    </row>
    <row r="78" ht="23.85" customHeight="true">
      <c r="A78" s="1380" t="s">
        <v>234</v>
      </c>
      <c r="B78" s="1381" t="s">
        <v>235</v>
      </c>
      <c r="C78" s="1382"/>
      <c r="D78" s="1383" t="s">
        <v>236</v>
      </c>
      <c r="E78" s="1384" t="s">
        <v>34</v>
      </c>
      <c r="F78" s="1385"/>
      <c r="G78" s="1386" t="s">
        <v>15</v>
      </c>
      <c r="H78" s="1387" t="n">
        <v>42930.0846141551</v>
      </c>
      <c r="I78" s="1388" t="n">
        <v>42930.0846141551</v>
      </c>
      <c r="J78" s="1389" t="n">
        <v>42927.6981807292</v>
      </c>
      <c r="K78" s="1390" t="n">
        <v>42927.6981807292</v>
      </c>
      <c r="L78" s="1391" t="s">
        <v>16</v>
      </c>
      <c r="M78" s="1392"/>
      <c r="N78" s="1393"/>
      <c r="O78" s="1394"/>
      <c r="P78" s="1395" t="s">
        <v>47</v>
      </c>
      <c r="Q78" s="1396">
        <f>TODAY()-j78</f>
      </c>
      <c r="R78" s="1397">
        <f>VLOOKUP(A78,'Last Week'!A4:I395,7,FALSE)</f>
      </c>
    </row>
    <row r="79" ht="35.05" customHeight="true">
      <c r="A79" s="1398" t="s">
        <v>237</v>
      </c>
      <c r="B79" s="1399" t="s">
        <v>238</v>
      </c>
      <c r="C79" s="1400"/>
      <c r="D79" s="1401" t="s">
        <v>89</v>
      </c>
      <c r="E79" s="1402" t="s">
        <v>82</v>
      </c>
      <c r="F79" s="1403"/>
      <c r="G79" s="1404" t="s">
        <v>15</v>
      </c>
      <c r="H79" s="1405" t="n">
        <v>42936.1256416898</v>
      </c>
      <c r="I79" s="1406" t="n">
        <v>42936.1256416898</v>
      </c>
      <c r="J79" s="1407" t="n">
        <v>42927.7428479398</v>
      </c>
      <c r="K79" s="1408" t="n">
        <v>42927.7428479398</v>
      </c>
      <c r="L79" s="1409" t="s">
        <v>16</v>
      </c>
      <c r="M79" s="1410"/>
      <c r="N79" s="1411"/>
      <c r="O79" s="1412"/>
      <c r="P79" s="1413" t="s">
        <v>47</v>
      </c>
      <c r="Q79" s="1414">
        <f>TODAY()-j79</f>
      </c>
      <c r="R79" s="1415">
        <f>VLOOKUP(A79,'Last Week'!A4:I395,7,FALSE)</f>
      </c>
    </row>
    <row r="80" ht="23.85" customHeight="true">
      <c r="A80" s="1416" t="s">
        <v>239</v>
      </c>
      <c r="B80" s="1417" t="s">
        <v>240</v>
      </c>
      <c r="C80" s="1418"/>
      <c r="D80" s="1419" t="s">
        <v>241</v>
      </c>
      <c r="E80" s="1420" t="s">
        <v>242</v>
      </c>
      <c r="F80" s="1421"/>
      <c r="G80" s="1422" t="s">
        <v>15</v>
      </c>
      <c r="H80" s="1423" t="n">
        <v>42931.0844454977</v>
      </c>
      <c r="I80" s="1424" t="n">
        <v>42931.0844454977</v>
      </c>
      <c r="J80" s="1425" t="n">
        <v>42928.5507479745</v>
      </c>
      <c r="K80" s="1426" t="n">
        <v>42928.5507479745</v>
      </c>
      <c r="L80" s="1427" t="s">
        <v>16</v>
      </c>
      <c r="M80" s="1428"/>
      <c r="N80" s="1429"/>
      <c r="O80" s="1430"/>
      <c r="P80" s="1431" t="s">
        <v>47</v>
      </c>
      <c r="Q80" s="1432">
        <f>TODAY()-j80</f>
      </c>
      <c r="R80" s="1433">
        <f>VLOOKUP(A80,'Last Week'!A4:I395,7,FALSE)</f>
      </c>
    </row>
    <row r="81" ht="23.85" customHeight="true">
      <c r="A81" s="1434" t="s">
        <v>243</v>
      </c>
      <c r="B81" s="1435" t="s">
        <v>191</v>
      </c>
      <c r="C81" s="1436"/>
      <c r="D81" s="1437" t="s">
        <v>141</v>
      </c>
      <c r="E81" s="1438" t="s">
        <v>73</v>
      </c>
      <c r="F81" s="1439"/>
      <c r="G81" s="1440" t="s">
        <v>15</v>
      </c>
      <c r="H81" s="1441" t="n">
        <v>42931.0848729861</v>
      </c>
      <c r="I81" s="1442" t="n">
        <v>42931.0848729861</v>
      </c>
      <c r="J81" s="1443" t="n">
        <v>42929.5212310533</v>
      </c>
      <c r="K81" s="1444" t="n">
        <v>42929.5212310533</v>
      </c>
      <c r="L81" s="1445" t="s">
        <v>16</v>
      </c>
      <c r="M81" s="1446"/>
      <c r="N81" s="1447"/>
      <c r="O81" s="1448"/>
      <c r="P81" s="1449" t="s">
        <v>17</v>
      </c>
      <c r="Q81" s="1450">
        <f>TODAY()-j81</f>
      </c>
      <c r="R81" s="1451">
        <f>VLOOKUP(A81,'Last Week'!A4:I395,7,FALSE)</f>
      </c>
    </row>
    <row r="82" ht="23.85" customHeight="true">
      <c r="A82" s="1452" t="s">
        <v>244</v>
      </c>
      <c r="B82" s="1453" t="s">
        <v>245</v>
      </c>
      <c r="C82" s="1454"/>
      <c r="D82" s="1455" t="s">
        <v>246</v>
      </c>
      <c r="E82" s="1456" t="s">
        <v>21</v>
      </c>
      <c r="F82" s="1457"/>
      <c r="G82" s="1458" t="s">
        <v>15</v>
      </c>
      <c r="H82" s="1459" t="n">
        <v>42935.6102158796</v>
      </c>
      <c r="I82" s="1460" t="n">
        <v>42935.6102158796</v>
      </c>
      <c r="J82" s="1461" t="n">
        <v>42929.5793664236</v>
      </c>
      <c r="K82" s="1462" t="n">
        <v>42929.5793664236</v>
      </c>
      <c r="L82" s="1463" t="s">
        <v>16</v>
      </c>
      <c r="M82" s="1464"/>
      <c r="N82" s="1465"/>
      <c r="O82" s="1466"/>
      <c r="P82" s="1467" t="s">
        <v>17</v>
      </c>
      <c r="Q82" s="1468">
        <f>TODAY()-j82</f>
      </c>
      <c r="R82" s="1469">
        <f>VLOOKUP(A82,'Last Week'!A4:I395,7,FALSE)</f>
      </c>
    </row>
    <row r="83" ht="46.25" customHeight="true">
      <c r="A83" s="1470" t="s">
        <v>247</v>
      </c>
      <c r="B83" s="1471" t="s">
        <v>248</v>
      </c>
      <c r="C83" s="1472"/>
      <c r="D83" s="1473" t="s">
        <v>30</v>
      </c>
      <c r="E83" s="1474" t="s">
        <v>29</v>
      </c>
      <c r="F83" s="1475"/>
      <c r="G83" s="1476" t="s">
        <v>15</v>
      </c>
      <c r="H83" s="1477" t="n">
        <v>42932.9173044907</v>
      </c>
      <c r="I83" s="1478" t="n">
        <v>42932.9173044907</v>
      </c>
      <c r="J83" s="1479" t="n">
        <v>42929.8446177431</v>
      </c>
      <c r="K83" s="1480" t="n">
        <v>42929.8446177431</v>
      </c>
      <c r="L83" s="1481" t="s">
        <v>16</v>
      </c>
      <c r="M83" s="1482"/>
      <c r="N83" s="1483"/>
      <c r="O83" s="1484"/>
      <c r="P83" s="1485" t="s">
        <v>30</v>
      </c>
      <c r="Q83" s="1486">
        <f>TODAY()-j83</f>
      </c>
      <c r="R83" s="1487">
        <f>VLOOKUP(A83,'Last Week'!A4:I395,7,FALSE)</f>
      </c>
    </row>
    <row r="84" ht="23.85" customHeight="true">
      <c r="A84" s="1488" t="s">
        <v>249</v>
      </c>
      <c r="B84" s="1489" t="s">
        <v>250</v>
      </c>
      <c r="C84" s="1490"/>
      <c r="D84" s="1491" t="s">
        <v>251</v>
      </c>
      <c r="E84" s="1492" t="s">
        <v>73</v>
      </c>
      <c r="F84" s="1493"/>
      <c r="G84" s="1494" t="s">
        <v>15</v>
      </c>
      <c r="H84" s="1495" t="n">
        <v>42933.6678690046</v>
      </c>
      <c r="I84" s="1496" t="n">
        <v>42933.6678690046</v>
      </c>
      <c r="J84" s="1497" t="n">
        <v>42930.470284294</v>
      </c>
      <c r="K84" s="1498" t="n">
        <v>42930.470284294</v>
      </c>
      <c r="L84" s="1499" t="s">
        <v>16</v>
      </c>
      <c r="M84" s="1500"/>
      <c r="N84" s="1501"/>
      <c r="O84" s="1502"/>
      <c r="P84" s="1503" t="s">
        <v>17</v>
      </c>
      <c r="Q84" s="1504">
        <f>TODAY()-j84</f>
      </c>
      <c r="R84" s="1505">
        <f>VLOOKUP(A84,'Last Week'!A4:I395,7,FALSE)</f>
      </c>
    </row>
    <row r="85" ht="23.85" customHeight="true">
      <c r="A85" s="1506" t="s">
        <v>252</v>
      </c>
      <c r="B85" s="1507" t="s">
        <v>253</v>
      </c>
      <c r="C85" s="1508"/>
      <c r="D85" s="1509" t="s">
        <v>254</v>
      </c>
      <c r="E85" s="1510" t="s">
        <v>25</v>
      </c>
      <c r="F85" s="1511"/>
      <c r="G85" s="1512" t="s">
        <v>15</v>
      </c>
      <c r="H85" s="1513" t="n">
        <v>42935.2923459143</v>
      </c>
      <c r="I85" s="1514" t="n">
        <v>42935.2923459143</v>
      </c>
      <c r="J85" s="1515" t="n">
        <v>42933.5445446875</v>
      </c>
      <c r="K85" s="1516" t="n">
        <v>42933.5445446875</v>
      </c>
      <c r="L85" s="1517" t="s">
        <v>16</v>
      </c>
      <c r="M85" s="1518"/>
      <c r="N85" s="1519"/>
      <c r="O85" s="1520"/>
      <c r="P85" s="1521" t="s">
        <v>17</v>
      </c>
      <c r="Q85" s="1522">
        <f>TODAY()-j85</f>
      </c>
      <c r="R85" s="1523">
        <f>VLOOKUP(A85,'Last Week'!A4:I395,7,FALSE)</f>
      </c>
    </row>
    <row r="86" ht="23.85" customHeight="true">
      <c r="A86" s="1524" t="s">
        <v>255</v>
      </c>
      <c r="B86" s="1525" t="s">
        <v>256</v>
      </c>
      <c r="C86" s="1526"/>
      <c r="D86" s="1527" t="s">
        <v>257</v>
      </c>
      <c r="E86" s="1528" t="s">
        <v>138</v>
      </c>
      <c r="F86" s="1529"/>
      <c r="G86" s="1530" t="s">
        <v>15</v>
      </c>
      <c r="H86" s="1531" t="n">
        <v>42937.7324127894</v>
      </c>
      <c r="I86" s="1532" t="n">
        <v>42937.7324127894</v>
      </c>
      <c r="J86" s="1533" t="n">
        <v>42933.7089353241</v>
      </c>
      <c r="K86" s="1534" t="n">
        <v>42933.7089353241</v>
      </c>
      <c r="L86" s="1535" t="s">
        <v>16</v>
      </c>
      <c r="M86" s="1536"/>
      <c r="N86" s="1537"/>
      <c r="O86" s="1538"/>
      <c r="P86" s="1539" t="s">
        <v>30</v>
      </c>
      <c r="Q86" s="1540">
        <f>TODAY()-j86</f>
      </c>
      <c r="R86" s="1541">
        <f>VLOOKUP(A86,'Last Week'!A4:I395,7,FALSE)</f>
      </c>
    </row>
    <row r="87" ht="35.05" customHeight="true">
      <c r="A87" s="1542" t="s">
        <v>258</v>
      </c>
      <c r="B87" s="1543" t="s">
        <v>259</v>
      </c>
      <c r="C87" s="1544"/>
      <c r="D87" s="1545" t="s">
        <v>62</v>
      </c>
      <c r="E87" s="1546" t="s">
        <v>176</v>
      </c>
      <c r="F87" s="1547"/>
      <c r="G87" s="1548" t="s">
        <v>15</v>
      </c>
      <c r="H87" s="1549" t="n">
        <v>42949.0842308912</v>
      </c>
      <c r="I87" s="1550" t="n">
        <v>42949.0842308912</v>
      </c>
      <c r="J87" s="1551" t="n">
        <v>42934.9435381713</v>
      </c>
      <c r="K87" s="1552" t="n">
        <v>42934.9435381713</v>
      </c>
      <c r="L87" s="1553" t="s">
        <v>16</v>
      </c>
      <c r="M87" s="1554"/>
      <c r="N87" s="1555"/>
      <c r="O87" s="1556"/>
      <c r="P87" s="1557" t="s">
        <v>17</v>
      </c>
      <c r="Q87" s="1558">
        <f>TODAY()-j87</f>
      </c>
      <c r="R87" s="1559">
        <f>VLOOKUP(A87,'Last Week'!A4:I395,7,FALSE)</f>
      </c>
    </row>
    <row r="88" ht="35.05" customHeight="true">
      <c r="A88" s="1560" t="s">
        <v>260</v>
      </c>
      <c r="B88" s="1561" t="s">
        <v>180</v>
      </c>
      <c r="C88" s="1562"/>
      <c r="D88" s="1563" t="s">
        <v>261</v>
      </c>
      <c r="E88" s="1564" t="s">
        <v>127</v>
      </c>
      <c r="F88" s="1565"/>
      <c r="G88" s="1566" t="s">
        <v>15</v>
      </c>
      <c r="H88" s="1567" t="n">
        <v>42935.6108894907</v>
      </c>
      <c r="I88" s="1568" t="n">
        <v>42935.6108894907</v>
      </c>
      <c r="J88" s="1569" t="n">
        <v>42935.3743845255</v>
      </c>
      <c r="K88" s="1570" t="n">
        <v>42935.3743845255</v>
      </c>
      <c r="L88" s="1571" t="s">
        <v>16</v>
      </c>
      <c r="M88" s="1572"/>
      <c r="N88" s="1573"/>
      <c r="O88" s="1574"/>
      <c r="P88" s="1575" t="s">
        <v>17</v>
      </c>
      <c r="Q88" s="1576">
        <f>TODAY()-j88</f>
      </c>
      <c r="R88" s="1577">
        <f>VLOOKUP(A88,'Last Week'!A4:I395,7,FALSE)</f>
      </c>
    </row>
    <row r="89" ht="23.85" customHeight="true">
      <c r="A89" s="1578" t="s">
        <v>262</v>
      </c>
      <c r="B89" s="1579" t="s">
        <v>125</v>
      </c>
      <c r="C89" s="1580"/>
      <c r="D89" s="1581" t="s">
        <v>126</v>
      </c>
      <c r="E89" s="1582" t="s">
        <v>127</v>
      </c>
      <c r="F89" s="1583"/>
      <c r="G89" s="1584" t="s">
        <v>15</v>
      </c>
      <c r="H89" s="1585" t="n">
        <v>42937.0848876736</v>
      </c>
      <c r="I89" s="1586" t="n">
        <v>42937.0848876736</v>
      </c>
      <c r="J89" s="1587" t="n">
        <v>42935.4414632407</v>
      </c>
      <c r="K89" s="1588" t="n">
        <v>42935.4414632407</v>
      </c>
      <c r="L89" s="1589" t="s">
        <v>16</v>
      </c>
      <c r="M89" s="1590"/>
      <c r="N89" s="1591"/>
      <c r="O89" s="1592"/>
      <c r="P89" s="1593" t="s">
        <v>17</v>
      </c>
      <c r="Q89" s="1594">
        <f>TODAY()-j89</f>
      </c>
      <c r="R89" s="1595">
        <f>VLOOKUP(A89,'Last Week'!A4:I395,7,FALSE)</f>
      </c>
    </row>
    <row r="90" ht="23.85" customHeight="true">
      <c r="A90" s="1596" t="s">
        <v>263</v>
      </c>
      <c r="B90" s="1597" t="s">
        <v>264</v>
      </c>
      <c r="C90" s="1598"/>
      <c r="D90" s="1599" t="s">
        <v>155</v>
      </c>
      <c r="E90" s="1600" t="s">
        <v>29</v>
      </c>
      <c r="F90" s="1601"/>
      <c r="G90" s="1602" t="s">
        <v>15</v>
      </c>
      <c r="H90" s="1603" t="n">
        <v>42942.0843916898</v>
      </c>
      <c r="I90" s="1604" t="n">
        <v>42942.0843916898</v>
      </c>
      <c r="J90" s="1605" t="n">
        <v>42935.8314512153</v>
      </c>
      <c r="K90" s="1606" t="n">
        <v>42935.8314512153</v>
      </c>
      <c r="L90" s="1607" t="s">
        <v>16</v>
      </c>
      <c r="M90" s="1608"/>
      <c r="N90" s="1609"/>
      <c r="O90" s="1610"/>
      <c r="P90" s="1611" t="s">
        <v>47</v>
      </c>
      <c r="Q90" s="1612">
        <f>TODAY()-j90</f>
      </c>
      <c r="R90" s="1613">
        <f>VLOOKUP(A90,'Last Week'!A4:I395,7,FALSE)</f>
      </c>
    </row>
    <row r="91" ht="23.85" customHeight="true">
      <c r="A91" s="1614" t="s">
        <v>265</v>
      </c>
      <c r="B91" s="1615" t="s">
        <v>266</v>
      </c>
      <c r="C91" s="1616"/>
      <c r="D91" s="1617" t="s">
        <v>62</v>
      </c>
      <c r="E91" s="1618" t="s">
        <v>73</v>
      </c>
      <c r="F91" s="1619"/>
      <c r="G91" s="1620" t="s">
        <v>15</v>
      </c>
      <c r="H91" s="1621" t="n">
        <v>42937.5600636343</v>
      </c>
      <c r="I91" s="1622" t="n">
        <v>42937.5600636343</v>
      </c>
      <c r="J91" s="1623" t="n">
        <v>42936.444134294</v>
      </c>
      <c r="K91" s="1624" t="n">
        <v>42936.444134294</v>
      </c>
      <c r="L91" s="1625" t="s">
        <v>16</v>
      </c>
      <c r="M91" s="1626"/>
      <c r="N91" s="1627"/>
      <c r="O91" s="1628"/>
      <c r="P91" s="1629" t="s">
        <v>17</v>
      </c>
      <c r="Q91" s="1630">
        <f>TODAY()-j91</f>
      </c>
      <c r="R91" s="1631">
        <f>VLOOKUP(A91,'Last Week'!A4:I395,7,FALSE)</f>
      </c>
    </row>
    <row r="92" ht="35.05" customHeight="true">
      <c r="A92" s="1632" t="s">
        <v>267</v>
      </c>
      <c r="B92" s="1633" t="s">
        <v>268</v>
      </c>
      <c r="C92" s="1634"/>
      <c r="D92" s="1635" t="s">
        <v>62</v>
      </c>
      <c r="E92" s="1636" t="s">
        <v>73</v>
      </c>
      <c r="F92" s="1637"/>
      <c r="G92" s="1638" t="s">
        <v>15</v>
      </c>
      <c r="H92" s="1639" t="n">
        <v>42940.5006621875</v>
      </c>
      <c r="I92" s="1640" t="n">
        <v>42940.5006621875</v>
      </c>
      <c r="J92" s="1641" t="n">
        <v>42937.7327000347</v>
      </c>
      <c r="K92" s="1642" t="n">
        <v>42937.7327000347</v>
      </c>
      <c r="L92" s="1643" t="s">
        <v>16</v>
      </c>
      <c r="M92" s="1644"/>
      <c r="N92" s="1645"/>
      <c r="O92" s="1646"/>
      <c r="P92" s="1647" t="s">
        <v>17</v>
      </c>
      <c r="Q92" s="1648">
        <f>TODAY()-j92</f>
      </c>
      <c r="R92" s="1649">
        <f>VLOOKUP(A92,'Last Week'!A4:I395,7,FALSE)</f>
      </c>
    </row>
    <row r="93" ht="23.85" customHeight="true">
      <c r="A93" s="1650" t="s">
        <v>269</v>
      </c>
      <c r="B93" s="1651" t="s">
        <v>270</v>
      </c>
      <c r="C93" s="1652"/>
      <c r="D93" s="1653" t="s">
        <v>229</v>
      </c>
      <c r="E93" s="1654" t="s">
        <v>230</v>
      </c>
      <c r="F93" s="1655"/>
      <c r="G93" s="1656" t="s">
        <v>15</v>
      </c>
      <c r="H93" s="1657" t="n">
        <v>42945.0843503125</v>
      </c>
      <c r="I93" s="1658" t="n">
        <v>42945.0843503125</v>
      </c>
      <c r="J93" s="1659" t="n">
        <v>42937.8699369213</v>
      </c>
      <c r="K93" s="1660" t="n">
        <v>42937.8699369213</v>
      </c>
      <c r="L93" s="1661" t="s">
        <v>16</v>
      </c>
      <c r="M93" s="1662"/>
      <c r="N93" s="1663"/>
      <c r="O93" s="1664"/>
      <c r="P93" s="1665" t="s">
        <v>17</v>
      </c>
      <c r="Q93" s="1666">
        <f>TODAY()-j93</f>
      </c>
      <c r="R93" s="1667">
        <f>VLOOKUP(A93,'Last Week'!A4:I395,7,FALSE)</f>
      </c>
    </row>
    <row r="94" ht="23.85" customHeight="true">
      <c r="A94" s="1668" t="s">
        <v>271</v>
      </c>
      <c r="B94" s="1669" t="s">
        <v>272</v>
      </c>
      <c r="C94" s="1670"/>
      <c r="D94" s="1671" t="s">
        <v>141</v>
      </c>
      <c r="E94" s="1672" t="s">
        <v>176</v>
      </c>
      <c r="F94" s="1673"/>
      <c r="G94" s="1674" t="s">
        <v>15</v>
      </c>
      <c r="H94" s="1675" t="n">
        <v>42942.0846992593</v>
      </c>
      <c r="I94" s="1676" t="n">
        <v>42942.0846992593</v>
      </c>
      <c r="J94" s="1677" t="n">
        <v>42937.9452086343</v>
      </c>
      <c r="K94" s="1678" t="n">
        <v>42937.9452086343</v>
      </c>
      <c r="L94" s="1679" t="s">
        <v>16</v>
      </c>
      <c r="M94" s="1680"/>
      <c r="N94" s="1681"/>
      <c r="O94" s="1682"/>
      <c r="P94" s="1683" t="s">
        <v>17</v>
      </c>
      <c r="Q94" s="1684">
        <f>TODAY()-j94</f>
      </c>
      <c r="R94" s="1685">
        <f>VLOOKUP(A94,'Last Week'!A4:I395,7,FALSE)</f>
      </c>
    </row>
    <row r="95" ht="46.25" customHeight="true">
      <c r="A95" s="1686" t="s">
        <v>273</v>
      </c>
      <c r="B95" s="1687" t="s">
        <v>274</v>
      </c>
      <c r="C95" s="1688"/>
      <c r="D95" s="1689" t="s">
        <v>97</v>
      </c>
      <c r="E95" s="1690" t="s">
        <v>97</v>
      </c>
      <c r="F95" s="1691"/>
      <c r="G95" s="1692" t="s">
        <v>15</v>
      </c>
      <c r="H95" s="1693" t="n">
        <v>42944.5409607755</v>
      </c>
      <c r="I95" s="1694" t="n">
        <v>42944.5409607755</v>
      </c>
      <c r="J95" s="1695" t="n">
        <v>42940.4449396412</v>
      </c>
      <c r="K95" s="1696" t="n">
        <v>42940.4449396412</v>
      </c>
      <c r="L95" s="1697" t="s">
        <v>16</v>
      </c>
      <c r="M95" s="1698"/>
      <c r="N95" s="1699"/>
      <c r="O95" s="1700"/>
      <c r="P95" s="1701" t="s">
        <v>47</v>
      </c>
      <c r="Q95" s="1702">
        <f>TODAY()-j95</f>
      </c>
      <c r="R95" s="1703">
        <f>VLOOKUP(A95,'Last Week'!A4:I395,7,FALSE)</f>
      </c>
    </row>
    <row r="96" ht="23.85" customHeight="true">
      <c r="A96" s="1704" t="s">
        <v>275</v>
      </c>
      <c r="B96" s="1705" t="s">
        <v>276</v>
      </c>
      <c r="C96" s="1706"/>
      <c r="D96" s="1707" t="s">
        <v>277</v>
      </c>
      <c r="E96" s="1708" t="s">
        <v>278</v>
      </c>
      <c r="F96" s="1709"/>
      <c r="G96" s="1710" t="s">
        <v>15</v>
      </c>
      <c r="H96" s="1711" t="n">
        <v>42943.5431655903</v>
      </c>
      <c r="I96" s="1712" t="n">
        <v>42943.5431655903</v>
      </c>
      <c r="J96" s="1713" t="n">
        <v>42940.4733572222</v>
      </c>
      <c r="K96" s="1714" t="n">
        <v>42940.4733572222</v>
      </c>
      <c r="L96" s="1715" t="s">
        <v>16</v>
      </c>
      <c r="M96" s="1716"/>
      <c r="N96" s="1717"/>
      <c r="O96" s="1718"/>
      <c r="P96" s="1719" t="s">
        <v>17</v>
      </c>
      <c r="Q96" s="1720">
        <f>TODAY()-j96</f>
      </c>
      <c r="R96" s="1721">
        <f>VLOOKUP(A96,'Last Week'!A4:I395,7,FALSE)</f>
      </c>
    </row>
    <row r="97" ht="23.85" customHeight="true">
      <c r="A97" s="1722" t="s">
        <v>279</v>
      </c>
      <c r="B97" s="1723" t="s">
        <v>280</v>
      </c>
      <c r="C97" s="1724"/>
      <c r="D97" s="1725" t="s">
        <v>281</v>
      </c>
      <c r="E97" s="1726" t="s">
        <v>282</v>
      </c>
      <c r="F97" s="1727"/>
      <c r="G97" s="1728" t="s">
        <v>15</v>
      </c>
      <c r="H97" s="1729" t="n">
        <v>42943.711655544</v>
      </c>
      <c r="I97" s="1730" t="n">
        <v>42943.711655544</v>
      </c>
      <c r="J97" s="1731" t="n">
        <v>42940.5475249884</v>
      </c>
      <c r="K97" s="1732" t="n">
        <v>42940.5475249884</v>
      </c>
      <c r="L97" s="1733" t="s">
        <v>16</v>
      </c>
      <c r="M97" s="1734"/>
      <c r="N97" s="1735"/>
      <c r="O97" s="1736"/>
      <c r="P97" s="1737" t="s">
        <v>17</v>
      </c>
      <c r="Q97" s="1738">
        <f>TODAY()-j97</f>
      </c>
      <c r="R97" s="1739">
        <f>VLOOKUP(A97,'Last Week'!A4:I395,7,FALSE)</f>
      </c>
    </row>
    <row r="98" ht="23.85" customHeight="true">
      <c r="A98" s="1740" t="s">
        <v>283</v>
      </c>
      <c r="B98" s="1741" t="s">
        <v>284</v>
      </c>
      <c r="C98" s="1742"/>
      <c r="D98" s="1743" t="s">
        <v>285</v>
      </c>
      <c r="E98" s="1744" t="s">
        <v>56</v>
      </c>
      <c r="F98" s="1745"/>
      <c r="G98" s="1746" t="s">
        <v>15</v>
      </c>
      <c r="H98" s="1747" t="n">
        <v>42945.3783433102</v>
      </c>
      <c r="I98" s="1748" t="n">
        <v>42945.3783433102</v>
      </c>
      <c r="J98" s="1749" t="n">
        <v>42941.6469496875</v>
      </c>
      <c r="K98" s="1750" t="n">
        <v>42941.6469496875</v>
      </c>
      <c r="L98" s="1751" t="s">
        <v>16</v>
      </c>
      <c r="M98" s="1752"/>
      <c r="N98" s="1753"/>
      <c r="O98" s="1754"/>
      <c r="P98" s="1755" t="s">
        <v>59</v>
      </c>
      <c r="Q98" s="1756">
        <f>TODAY()-j98</f>
      </c>
      <c r="R98" s="1757">
        <f>VLOOKUP(A98,'Last Week'!A4:I395,7,FALSE)</f>
      </c>
    </row>
    <row r="99" ht="23.85" customHeight="true">
      <c r="A99" s="1758" t="s">
        <v>286</v>
      </c>
      <c r="B99" s="1759" t="s">
        <v>287</v>
      </c>
      <c r="C99" s="1760"/>
      <c r="D99" s="1761" t="s">
        <v>288</v>
      </c>
      <c r="E99" s="1762" t="s">
        <v>73</v>
      </c>
      <c r="F99" s="1763"/>
      <c r="G99" s="1764" t="s">
        <v>15</v>
      </c>
      <c r="H99" s="1765" t="n">
        <v>42942.3840230787</v>
      </c>
      <c r="I99" s="1766" t="n">
        <v>42942.3840230787</v>
      </c>
      <c r="J99" s="1767" t="n">
        <v>42941.6722782523</v>
      </c>
      <c r="K99" s="1768" t="n">
        <v>42941.6722782523</v>
      </c>
      <c r="L99" s="1769" t="s">
        <v>16</v>
      </c>
      <c r="M99" s="1770"/>
      <c r="N99" s="1771"/>
      <c r="O99" s="1772"/>
      <c r="P99" s="1773" t="s">
        <v>47</v>
      </c>
      <c r="Q99" s="1774">
        <f>TODAY()-j99</f>
      </c>
      <c r="R99" s="1775">
        <f>VLOOKUP(A99,'Last Week'!A4:I395,7,FALSE)</f>
      </c>
    </row>
    <row r="100" ht="23.85" customHeight="true">
      <c r="A100" s="1776" t="s">
        <v>289</v>
      </c>
      <c r="B100" s="1777" t="s">
        <v>290</v>
      </c>
      <c r="C100" s="1778"/>
      <c r="D100" s="1779" t="s">
        <v>291</v>
      </c>
      <c r="E100" s="1780" t="s">
        <v>209</v>
      </c>
      <c r="F100" s="1781"/>
      <c r="G100" s="1782" t="s">
        <v>15</v>
      </c>
      <c r="H100" s="1783" t="n">
        <v>42943.4827519676</v>
      </c>
      <c r="I100" s="1784" t="n">
        <v>42943.4827519676</v>
      </c>
      <c r="J100" s="1785" t="n">
        <v>42941.6801021759</v>
      </c>
      <c r="K100" s="1786" t="n">
        <v>42941.6801021759</v>
      </c>
      <c r="L100" s="1787" t="s">
        <v>16</v>
      </c>
      <c r="M100" s="1788"/>
      <c r="N100" s="1789"/>
      <c r="O100" s="1790"/>
      <c r="P100" s="1791" t="s">
        <v>30</v>
      </c>
      <c r="Q100" s="1792">
        <f>TODAY()-j100</f>
      </c>
      <c r="R100" s="1793">
        <f>VLOOKUP(A100,'Last Week'!A4:I395,7,FALSE)</f>
      </c>
    </row>
    <row r="101" ht="23.85" customHeight="true">
      <c r="A101" s="1794" t="s">
        <v>292</v>
      </c>
      <c r="B101" s="1795" t="s">
        <v>293</v>
      </c>
      <c r="C101" s="1796"/>
      <c r="D101" s="1797" t="s">
        <v>126</v>
      </c>
      <c r="E101" s="1798" t="s">
        <v>127</v>
      </c>
      <c r="F101" s="1799"/>
      <c r="G101" s="1800" t="s">
        <v>15</v>
      </c>
      <c r="H101" s="1801" t="n">
        <v>42942.7419530208</v>
      </c>
      <c r="I101" s="1802" t="n">
        <v>42942.7419530208</v>
      </c>
      <c r="J101" s="1803" t="n">
        <v>42942.5143818056</v>
      </c>
      <c r="K101" s="1804" t="n">
        <v>42942.5143818056</v>
      </c>
      <c r="L101" s="1805" t="s">
        <v>16</v>
      </c>
      <c r="M101" s="1806"/>
      <c r="N101" s="1807"/>
      <c r="O101" s="1808"/>
      <c r="P101" s="1809" t="s">
        <v>30</v>
      </c>
      <c r="Q101" s="1810">
        <f>TODAY()-j101</f>
      </c>
      <c r="R101" s="1811">
        <f>VLOOKUP(A101,'Last Week'!A4:I395,7,FALSE)</f>
      </c>
    </row>
    <row r="102" ht="35.05" customHeight="true">
      <c r="A102" s="1812" t="s">
        <v>294</v>
      </c>
      <c r="B102" s="1813" t="s">
        <v>295</v>
      </c>
      <c r="C102" s="1814"/>
      <c r="D102" s="1815" t="s">
        <v>97</v>
      </c>
      <c r="E102" s="1816" t="s">
        <v>97</v>
      </c>
      <c r="F102" s="1817"/>
      <c r="G102" s="1818" t="s">
        <v>15</v>
      </c>
      <c r="H102" s="1819" t="n">
        <v>42944.5428817824</v>
      </c>
      <c r="I102" s="1820" t="n">
        <v>42944.5428817824</v>
      </c>
      <c r="J102" s="1821" t="n">
        <v>42942.6220223727</v>
      </c>
      <c r="K102" s="1822" t="n">
        <v>42942.6220223727</v>
      </c>
      <c r="L102" s="1823" t="s">
        <v>16</v>
      </c>
      <c r="M102" s="1824"/>
      <c r="N102" s="1825"/>
      <c r="O102" s="1826"/>
      <c r="P102" s="1827" t="s">
        <v>47</v>
      </c>
      <c r="Q102" s="1828">
        <f>TODAY()-j102</f>
      </c>
      <c r="R102" s="1829">
        <f>VLOOKUP(A102,'Last Week'!A4:I395,7,FALSE)</f>
      </c>
    </row>
    <row r="103" ht="23.85" customHeight="true">
      <c r="A103" s="1830" t="s">
        <v>296</v>
      </c>
      <c r="B103" s="1831" t="s">
        <v>297</v>
      </c>
      <c r="C103" s="1832"/>
      <c r="D103" s="1833" t="s">
        <v>141</v>
      </c>
      <c r="E103" s="1834" t="s">
        <v>82</v>
      </c>
      <c r="F103" s="1835"/>
      <c r="G103" s="1836" t="s">
        <v>15</v>
      </c>
      <c r="H103" s="1837" t="n">
        <v>42943.4487511111</v>
      </c>
      <c r="I103" s="1838" t="n">
        <v>42943.4487511111</v>
      </c>
      <c r="J103" s="1839" t="n">
        <v>42942.7378733681</v>
      </c>
      <c r="K103" s="1840" t="n">
        <v>42942.7378733681</v>
      </c>
      <c r="L103" s="1841" t="s">
        <v>16</v>
      </c>
      <c r="M103" s="1842"/>
      <c r="N103" s="1843"/>
      <c r="O103" s="1844"/>
      <c r="P103" s="1845" t="s">
        <v>17</v>
      </c>
      <c r="Q103" s="1846">
        <f>TODAY()-j103</f>
      </c>
      <c r="R103" s="1847">
        <f>VLOOKUP(A103,'Last Week'!A4:I395,7,FALSE)</f>
      </c>
    </row>
    <row r="104" ht="46.25" customHeight="true">
      <c r="A104" s="1848" t="s">
        <v>298</v>
      </c>
      <c r="B104" s="1849" t="s">
        <v>299</v>
      </c>
      <c r="C104" s="1850"/>
      <c r="D104" s="1851" t="s">
        <v>62</v>
      </c>
      <c r="E104" s="1852" t="s">
        <v>73</v>
      </c>
      <c r="F104" s="1853"/>
      <c r="G104" s="1854" t="s">
        <v>15</v>
      </c>
      <c r="H104" s="1855" t="n">
        <v>42944.4584441088</v>
      </c>
      <c r="I104" s="1856" t="n">
        <v>42944.4584441088</v>
      </c>
      <c r="J104" s="1857" t="n">
        <v>42943.6523933449</v>
      </c>
      <c r="K104" s="1858" t="n">
        <v>42943.6523933449</v>
      </c>
      <c r="L104" s="1859" t="s">
        <v>16</v>
      </c>
      <c r="M104" s="1860"/>
      <c r="N104" s="1861"/>
      <c r="O104" s="1862"/>
      <c r="P104" s="1863" t="s">
        <v>30</v>
      </c>
      <c r="Q104" s="1864">
        <f>TODAY()-j104</f>
      </c>
      <c r="R104" s="1865">
        <f>VLOOKUP(A104,'Last Week'!A4:I395,7,FALSE)</f>
      </c>
    </row>
    <row r="105" ht="23.85" customHeight="true">
      <c r="A105" s="1866" t="s">
        <v>300</v>
      </c>
      <c r="B105" s="1867" t="s">
        <v>301</v>
      </c>
      <c r="C105" s="1868"/>
      <c r="D105" s="1869" t="s">
        <v>126</v>
      </c>
      <c r="E105" s="1870" t="s">
        <v>127</v>
      </c>
      <c r="F105" s="1871"/>
      <c r="G105" s="1872" t="s">
        <v>15</v>
      </c>
      <c r="H105" s="1873" t="n">
        <v>42947.0423500347</v>
      </c>
      <c r="I105" s="1874" t="n">
        <v>42947.0423500347</v>
      </c>
      <c r="J105" s="1875" t="n">
        <v>42944.4825366898</v>
      </c>
      <c r="K105" s="1876" t="n">
        <v>42944.4825366898</v>
      </c>
      <c r="L105" s="1877" t="s">
        <v>16</v>
      </c>
      <c r="M105" s="1878"/>
      <c r="N105" s="1879"/>
      <c r="O105" s="1880"/>
      <c r="P105" s="1881" t="s">
        <v>47</v>
      </c>
      <c r="Q105" s="1882">
        <f>TODAY()-j105</f>
      </c>
      <c r="R105" s="1883">
        <f>VLOOKUP(A105,'Last Week'!A4:I395,7,FALSE)</f>
      </c>
    </row>
    <row r="106" ht="23.85" customHeight="true">
      <c r="A106" s="1884" t="s">
        <v>302</v>
      </c>
      <c r="B106" s="1885" t="s">
        <v>303</v>
      </c>
      <c r="C106" s="1886"/>
      <c r="D106" s="1887" t="s">
        <v>62</v>
      </c>
      <c r="E106" s="1888" t="s">
        <v>176</v>
      </c>
      <c r="F106" s="1889"/>
      <c r="G106" s="1890" t="s">
        <v>15</v>
      </c>
      <c r="H106" s="1891" t="n">
        <v>42947.487320625</v>
      </c>
      <c r="I106" s="1892" t="n">
        <v>42947.487320625</v>
      </c>
      <c r="J106" s="1893" t="n">
        <v>42944.7694461574</v>
      </c>
      <c r="K106" s="1894" t="n">
        <v>42944.7694461574</v>
      </c>
      <c r="L106" s="1895" t="s">
        <v>16</v>
      </c>
      <c r="M106" s="1896"/>
      <c r="N106" s="1897"/>
      <c r="O106" s="1898"/>
      <c r="P106" s="1899" t="s">
        <v>47</v>
      </c>
      <c r="Q106" s="1900">
        <f>TODAY()-j106</f>
      </c>
      <c r="R106" s="1901">
        <f>VLOOKUP(A106,'Last Week'!A4:I395,7,FALSE)</f>
      </c>
    </row>
    <row r="107" ht="23.85" customHeight="true">
      <c r="A107" s="1902" t="s">
        <v>304</v>
      </c>
      <c r="B107" s="1903" t="s">
        <v>305</v>
      </c>
      <c r="C107" s="1904"/>
      <c r="D107" s="1905" t="s">
        <v>306</v>
      </c>
      <c r="E107" s="1906" t="s">
        <v>73</v>
      </c>
      <c r="F107" s="1907"/>
      <c r="G107" s="1908" t="s">
        <v>15</v>
      </c>
      <c r="H107" s="1909" t="n">
        <v>42949.3922281713</v>
      </c>
      <c r="I107" s="1910" t="n">
        <v>42949.3922281713</v>
      </c>
      <c r="J107" s="1911" t="n">
        <v>42947.4907656944</v>
      </c>
      <c r="K107" s="1912" t="n">
        <v>42947.4907656944</v>
      </c>
      <c r="L107" s="1913" t="s">
        <v>16</v>
      </c>
      <c r="M107" s="1914"/>
      <c r="N107" s="1915"/>
      <c r="O107" s="1916"/>
      <c r="P107" s="1917" t="s">
        <v>47</v>
      </c>
      <c r="Q107" s="1918">
        <f>TODAY()-j107</f>
      </c>
      <c r="R107" s="1919">
        <f>VLOOKUP(A107,'Last Week'!A4:I395,7,FALSE)</f>
      </c>
    </row>
    <row r="108" ht="23.85" customHeight="true">
      <c r="A108" s="1920" t="s">
        <v>307</v>
      </c>
      <c r="B108" s="1921" t="s">
        <v>308</v>
      </c>
      <c r="C108" s="1922"/>
      <c r="D108" s="1923" t="s">
        <v>309</v>
      </c>
      <c r="E108" s="1924" t="s">
        <v>230</v>
      </c>
      <c r="F108" s="1925"/>
      <c r="G108" s="1926" t="s">
        <v>15</v>
      </c>
      <c r="H108" s="1927" t="n">
        <v>42953.3922820602</v>
      </c>
      <c r="I108" s="1928" t="n">
        <v>42953.3922820602</v>
      </c>
      <c r="J108" s="1929" t="n">
        <v>42949.9444884144</v>
      </c>
      <c r="K108" s="1930" t="n">
        <v>42949.9444884144</v>
      </c>
      <c r="L108" s="1931" t="s">
        <v>16</v>
      </c>
      <c r="M108" s="1932"/>
      <c r="N108" s="1933"/>
      <c r="O108" s="1934"/>
      <c r="P108" s="1935" t="s">
        <v>17</v>
      </c>
      <c r="Q108" s="1936">
        <f>TODAY()-j108</f>
      </c>
      <c r="R108" s="1937">
        <f>VLOOKUP(A108,'Last Week'!A4:I395,7,FALSE)</f>
      </c>
    </row>
    <row r="109" ht="23.85" customHeight="true">
      <c r="A109" s="1938" t="s">
        <v>310</v>
      </c>
      <c r="B109" s="1939" t="s">
        <v>311</v>
      </c>
      <c r="C109" s="1940"/>
      <c r="D109" s="1941" t="s">
        <v>55</v>
      </c>
      <c r="E109" s="1942" t="s">
        <v>56</v>
      </c>
      <c r="F109" s="1943"/>
      <c r="G109" s="1944" t="s">
        <v>15</v>
      </c>
      <c r="H109" s="1945" t="n">
        <v>42952.167395162</v>
      </c>
      <c r="I109" s="1946" t="n">
        <v>42952.167395162</v>
      </c>
      <c r="J109" s="1947" t="n">
        <v>42950.5152983333</v>
      </c>
      <c r="K109" s="1948" t="n">
        <v>42950.5152983333</v>
      </c>
      <c r="L109" s="1949" t="s">
        <v>16</v>
      </c>
      <c r="M109" s="1950"/>
      <c r="N109" s="1951"/>
      <c r="O109" s="1952"/>
      <c r="P109" s="1953" t="s">
        <v>17</v>
      </c>
      <c r="Q109" s="1954">
        <f>TODAY()-j109</f>
      </c>
      <c r="R109" s="1955">
        <f>VLOOKUP(A109,'Last Week'!A4:I395,7,FALSE)</f>
      </c>
    </row>
    <row r="110" ht="23.85" customHeight="true">
      <c r="A110" s="1956" t="s">
        <v>312</v>
      </c>
      <c r="B110" s="1957" t="s">
        <v>313</v>
      </c>
      <c r="C110" s="1958"/>
      <c r="D110" s="1959" t="s">
        <v>55</v>
      </c>
      <c r="E110" s="1960" t="s">
        <v>56</v>
      </c>
      <c r="F110" s="1961"/>
      <c r="G110" s="1962" t="s">
        <v>15</v>
      </c>
      <c r="H110" s="1963" t="n">
        <v>42953.7507221991</v>
      </c>
      <c r="I110" s="1964" t="n">
        <v>42953.7507221991</v>
      </c>
      <c r="J110" s="1965" t="n">
        <v>42950.5278230324</v>
      </c>
      <c r="K110" s="1966" t="n">
        <v>42950.5278230324</v>
      </c>
      <c r="L110" s="1967" t="s">
        <v>16</v>
      </c>
      <c r="M110" s="1968"/>
      <c r="N110" s="1969"/>
      <c r="O110" s="1970"/>
      <c r="P110" s="1971" t="s">
        <v>59</v>
      </c>
      <c r="Q110" s="1972">
        <f>TODAY()-j110</f>
      </c>
      <c r="R110" s="1973">
        <f>VLOOKUP(A110,'Last Week'!A4:I395,7,FALSE)</f>
      </c>
    </row>
    <row r="111" ht="35.05" customHeight="true">
      <c r="A111" s="1974" t="s">
        <v>314</v>
      </c>
      <c r="B111" s="1975" t="s">
        <v>315</v>
      </c>
      <c r="C111" s="1976"/>
      <c r="D111" s="1977" t="s">
        <v>316</v>
      </c>
      <c r="E111" s="1978" t="s">
        <v>25</v>
      </c>
      <c r="F111" s="1979"/>
      <c r="G111" s="1980" t="s">
        <v>15</v>
      </c>
      <c r="H111" s="1981" t="n">
        <v>42953.6492269444</v>
      </c>
      <c r="I111" s="1982" t="n">
        <v>42953.6492269444</v>
      </c>
      <c r="J111" s="1983" t="n">
        <v>42950.6160591204</v>
      </c>
      <c r="K111" s="1984" t="n">
        <v>42950.6160591204</v>
      </c>
      <c r="L111" s="1985" t="s">
        <v>16</v>
      </c>
      <c r="M111" s="1986"/>
      <c r="N111" s="1987"/>
      <c r="O111" s="1988"/>
      <c r="P111" s="1989" t="s">
        <v>30</v>
      </c>
      <c r="Q111" s="1990">
        <f>TODAY()-j111</f>
      </c>
      <c r="R111" s="1991">
        <f>VLOOKUP(A111,'Last Week'!A4:I395,7,FALSE)</f>
      </c>
    </row>
    <row r="112" ht="23.85" customHeight="true">
      <c r="A112" s="1992" t="s">
        <v>317</v>
      </c>
      <c r="B112" s="1993" t="s">
        <v>318</v>
      </c>
      <c r="C112" s="1994"/>
      <c r="D112" s="1995" t="s">
        <v>30</v>
      </c>
      <c r="E112" s="1996" t="s">
        <v>73</v>
      </c>
      <c r="F112" s="1997"/>
      <c r="G112" s="1998" t="s">
        <v>15</v>
      </c>
      <c r="H112" s="1999" t="n">
        <v>42950.7243851273</v>
      </c>
      <c r="I112" s="2000" t="n">
        <v>42950.7243851273</v>
      </c>
      <c r="J112" s="2001" t="n">
        <v>42950.7158599653</v>
      </c>
      <c r="K112" s="2002" t="n">
        <v>42950.7158599653</v>
      </c>
      <c r="L112" s="2003" t="s">
        <v>16</v>
      </c>
      <c r="M112" s="2004"/>
      <c r="N112" s="2005"/>
      <c r="O112" s="2006"/>
      <c r="P112" s="2007" t="s">
        <v>30</v>
      </c>
      <c r="Q112" s="2008">
        <f>TODAY()-j112</f>
      </c>
      <c r="R112" s="2009">
        <f>VLOOKUP(A112,'Last Week'!A4:I395,7,FALSE)</f>
      </c>
    </row>
    <row r="113" ht="23.85" customHeight="true">
      <c r="A113" s="2010" t="s">
        <v>319</v>
      </c>
      <c r="B113" s="2011" t="s">
        <v>320</v>
      </c>
      <c r="C113" s="2012"/>
      <c r="D113" s="2013" t="s">
        <v>62</v>
      </c>
      <c r="E113" s="2014" t="s">
        <v>73</v>
      </c>
      <c r="F113" s="2015"/>
      <c r="G113" s="2016" t="s">
        <v>15</v>
      </c>
      <c r="H113" s="2017" t="n">
        <v>42953.7507352778</v>
      </c>
      <c r="I113" s="2018" t="n">
        <v>42953.7507352778</v>
      </c>
      <c r="J113" s="2019" t="n">
        <v>42951.4042214699</v>
      </c>
      <c r="K113" s="2020" t="n">
        <v>42951.4042214699</v>
      </c>
      <c r="L113" s="2021" t="s">
        <v>16</v>
      </c>
      <c r="M113" s="2022"/>
      <c r="N113" s="2023"/>
      <c r="O113" s="2024"/>
      <c r="P113" s="2025" t="s">
        <v>30</v>
      </c>
      <c r="Q113" s="2026">
        <f>TODAY()-j113</f>
      </c>
      <c r="R113" s="2027">
        <f>VLOOKUP(A113,'Last Week'!A4:I395,7,FALSE)</f>
      </c>
    </row>
    <row r="114" ht="35.05" customHeight="true">
      <c r="A114" s="2028" t="s">
        <v>321</v>
      </c>
      <c r="B114" s="2029" t="s">
        <v>322</v>
      </c>
      <c r="C114" s="2030"/>
      <c r="D114" s="2031" t="s">
        <v>62</v>
      </c>
      <c r="E114" s="2032" t="s">
        <v>73</v>
      </c>
      <c r="F114" s="2033"/>
      <c r="G114" s="2034" t="s">
        <v>15</v>
      </c>
      <c r="H114" s="2035" t="n">
        <v>42953.8340631482</v>
      </c>
      <c r="I114" s="2036" t="n">
        <v>42953.8340631482</v>
      </c>
      <c r="J114" s="2037" t="n">
        <v>42951.4113970949</v>
      </c>
      <c r="K114" s="2038" t="n">
        <v>42951.4113970949</v>
      </c>
      <c r="L114" s="2039" t="s">
        <v>16</v>
      </c>
      <c r="M114" s="2040"/>
      <c r="N114" s="2041"/>
      <c r="O114" s="2042"/>
      <c r="P114" s="2043" t="s">
        <v>30</v>
      </c>
      <c r="Q114" s="2044">
        <f>TODAY()-j114</f>
      </c>
      <c r="R114" s="2045">
        <f>VLOOKUP(A114,'Last Week'!A4:I395,7,FALSE)</f>
      </c>
    </row>
    <row r="115" ht="35.05" customHeight="true">
      <c r="A115" s="2046" t="s">
        <v>323</v>
      </c>
      <c r="B115" s="2047" t="s">
        <v>324</v>
      </c>
      <c r="C115" s="2048"/>
      <c r="D115" s="2049" t="s">
        <v>62</v>
      </c>
      <c r="E115" s="2050" t="s">
        <v>73</v>
      </c>
      <c r="F115" s="2051"/>
      <c r="G115" s="2052" t="s">
        <v>15</v>
      </c>
      <c r="H115" s="2053" t="n">
        <v>42956.083706875</v>
      </c>
      <c r="I115" s="2054" t="n">
        <v>42956.083706875</v>
      </c>
      <c r="J115" s="2055" t="n">
        <v>42951.7469994213</v>
      </c>
      <c r="K115" s="2056" t="n">
        <v>42951.7469994213</v>
      </c>
      <c r="L115" s="2057" t="s">
        <v>16</v>
      </c>
      <c r="M115" s="2058"/>
      <c r="N115" s="2059"/>
      <c r="O115" s="2060"/>
      <c r="P115" s="2061" t="s">
        <v>17</v>
      </c>
      <c r="Q115" s="2062">
        <f>TODAY()-j115</f>
      </c>
      <c r="R115" s="2063">
        <f>VLOOKUP(A115,'Last Week'!A4:I395,7,FALSE)</f>
      </c>
    </row>
    <row r="116" ht="23.85" customHeight="true">
      <c r="A116" s="2064" t="s">
        <v>325</v>
      </c>
      <c r="B116" s="2065" t="s">
        <v>326</v>
      </c>
      <c r="C116" s="2066"/>
      <c r="D116" s="2067" t="s">
        <v>126</v>
      </c>
      <c r="E116" s="2068" t="s">
        <v>127</v>
      </c>
      <c r="F116" s="2069"/>
      <c r="G116" s="2070" t="s">
        <v>15</v>
      </c>
      <c r="H116" s="2071" t="n">
        <v>42955.7042494908</v>
      </c>
      <c r="I116" s="2072" t="n">
        <v>42955.7042494908</v>
      </c>
      <c r="J116" s="2073" t="n">
        <v>42954.4691331597</v>
      </c>
      <c r="K116" s="2074" t="n">
        <v>42954.4691331597</v>
      </c>
      <c r="L116" s="2075" t="s">
        <v>16</v>
      </c>
      <c r="M116" s="2076"/>
      <c r="N116" s="2077"/>
      <c r="O116" s="2078"/>
      <c r="P116" s="2079" t="s">
        <v>47</v>
      </c>
      <c r="Q116" s="2080">
        <f>TODAY()-j116</f>
      </c>
      <c r="R116" s="2081">
        <f>VLOOKUP(A116,'Last Week'!A4:I395,7,FALSE)</f>
      </c>
    </row>
    <row r="117" ht="23.85" customHeight="true">
      <c r="A117" s="2082" t="s">
        <v>327</v>
      </c>
      <c r="B117" s="2083" t="s">
        <v>328</v>
      </c>
      <c r="C117" s="2084"/>
      <c r="D117" s="2085" t="s">
        <v>62</v>
      </c>
      <c r="E117" s="2086" t="s">
        <v>82</v>
      </c>
      <c r="F117" s="2087"/>
      <c r="G117" s="2088" t="s">
        <v>15</v>
      </c>
      <c r="H117" s="2089" t="n">
        <v>42955.6205489005</v>
      </c>
      <c r="I117" s="2090" t="n">
        <v>42955.6205489005</v>
      </c>
      <c r="J117" s="2091" t="n">
        <v>42955.4212508681</v>
      </c>
      <c r="K117" s="2092" t="n">
        <v>42955.4212508681</v>
      </c>
      <c r="L117" s="2093" t="s">
        <v>16</v>
      </c>
      <c r="M117" s="2094"/>
      <c r="N117" s="2095"/>
      <c r="O117" s="2096"/>
      <c r="P117" s="2097" t="s">
        <v>30</v>
      </c>
      <c r="Q117" s="2098">
        <f>TODAY()-j117</f>
      </c>
      <c r="R117" s="2099">
        <f>VLOOKUP(A117,'Last Week'!A4:I395,7,FALSE)</f>
      </c>
    </row>
    <row r="118" ht="23.85" customHeight="true">
      <c r="A118" s="2100" t="s">
        <v>329</v>
      </c>
      <c r="B118" s="2101" t="s">
        <v>330</v>
      </c>
      <c r="C118" s="2102"/>
      <c r="D118" s="2103" t="s">
        <v>62</v>
      </c>
      <c r="E118" s="2104" t="s">
        <v>82</v>
      </c>
      <c r="F118" s="2105"/>
      <c r="G118" s="2106" t="s">
        <v>15</v>
      </c>
      <c r="H118" s="2107" t="n">
        <v>42955.6851654977</v>
      </c>
      <c r="I118" s="2108" t="n">
        <v>42955.6851654977</v>
      </c>
      <c r="J118" s="2109" t="n">
        <v>42955.4288664583</v>
      </c>
      <c r="K118" s="2110" t="n">
        <v>42955.4288664583</v>
      </c>
      <c r="L118" s="2111" t="s">
        <v>16</v>
      </c>
      <c r="M118" s="2112"/>
      <c r="N118" s="2113"/>
      <c r="O118" s="2114"/>
      <c r="P118" s="2115" t="s">
        <v>30</v>
      </c>
      <c r="Q118" s="2116">
        <f>TODAY()-j118</f>
      </c>
      <c r="R118" s="2117">
        <f>VLOOKUP(A118,'Last Week'!A4:I395,7,FALSE)</f>
      </c>
    </row>
    <row r="119" ht="23.85" customHeight="true">
      <c r="A119" s="2118" t="s">
        <v>331</v>
      </c>
      <c r="B119" s="2119" t="s">
        <v>332</v>
      </c>
      <c r="C119" s="2120"/>
      <c r="D119" s="2121" t="s">
        <v>62</v>
      </c>
      <c r="E119" s="2122" t="s">
        <v>82</v>
      </c>
      <c r="F119" s="2123"/>
      <c r="G119" s="2124" t="s">
        <v>15</v>
      </c>
      <c r="H119" s="2125" t="n">
        <v>42958.5255933333</v>
      </c>
      <c r="I119" s="2126" t="n">
        <v>42958.5255933333</v>
      </c>
      <c r="J119" s="2127" t="n">
        <v>42955.5297250116</v>
      </c>
      <c r="K119" s="2128" t="n">
        <v>42955.5297250116</v>
      </c>
      <c r="L119" s="2129" t="s">
        <v>16</v>
      </c>
      <c r="M119" s="2130"/>
      <c r="N119" s="2131"/>
      <c r="O119" s="2132"/>
      <c r="P119" s="2133" t="s">
        <v>30</v>
      </c>
      <c r="Q119" s="2134">
        <f>TODAY()-j119</f>
      </c>
      <c r="R119" s="2135">
        <f>VLOOKUP(A119,'Last Week'!A4:I395,7,FALSE)</f>
      </c>
    </row>
    <row r="120" ht="23.85" customHeight="true">
      <c r="A120" s="2136" t="s">
        <v>333</v>
      </c>
      <c r="B120" s="2137" t="s">
        <v>301</v>
      </c>
      <c r="C120" s="2138"/>
      <c r="D120" s="2139" t="s">
        <v>126</v>
      </c>
      <c r="E120" s="2140" t="s">
        <v>127</v>
      </c>
      <c r="F120" s="2141"/>
      <c r="G120" s="2142" t="s">
        <v>15</v>
      </c>
      <c r="H120" s="2143" t="n">
        <v>42959.0840233681</v>
      </c>
      <c r="I120" s="2144" t="n">
        <v>42959.0840233681</v>
      </c>
      <c r="J120" s="2145" t="n">
        <v>42956.6007808912</v>
      </c>
      <c r="K120" s="2146" t="n">
        <v>42956.6007808912</v>
      </c>
      <c r="L120" s="2147" t="s">
        <v>16</v>
      </c>
      <c r="M120" s="2148"/>
      <c r="N120" s="2149"/>
      <c r="O120" s="2150"/>
      <c r="P120" s="2151" t="s">
        <v>17</v>
      </c>
      <c r="Q120" s="2152">
        <f>TODAY()-j120</f>
      </c>
      <c r="R120" s="2153">
        <f>VLOOKUP(A120,'Last Week'!A4:I395,7,FALSE)</f>
      </c>
    </row>
    <row r="121" ht="23.85" customHeight="true">
      <c r="A121" s="2154" t="s">
        <v>334</v>
      </c>
      <c r="B121" s="2155" t="s">
        <v>335</v>
      </c>
      <c r="C121" s="2156"/>
      <c r="D121" s="2157" t="s">
        <v>165</v>
      </c>
      <c r="E121" s="2158" t="s">
        <v>216</v>
      </c>
      <c r="F121" s="2159"/>
      <c r="G121" s="2160" t="s">
        <v>15</v>
      </c>
      <c r="H121" s="2161" t="n">
        <v>42959.0840556134</v>
      </c>
      <c r="I121" s="2162" t="n">
        <v>42959.0840556134</v>
      </c>
      <c r="J121" s="2163" t="n">
        <v>42956.6427156829</v>
      </c>
      <c r="K121" s="2164" t="n">
        <v>42956.6427156829</v>
      </c>
      <c r="L121" s="2165" t="s">
        <v>16</v>
      </c>
      <c r="M121" s="2166"/>
      <c r="N121" s="2167"/>
      <c r="O121" s="2168"/>
      <c r="P121" s="2169" t="s">
        <v>17</v>
      </c>
      <c r="Q121" s="2170">
        <f>TODAY()-j121</f>
      </c>
      <c r="R121" s="2171">
        <f>VLOOKUP(A121,'Last Week'!A4:I395,7,FALSE)</f>
      </c>
    </row>
    <row r="122" ht="35.05" customHeight="true">
      <c r="A122" s="2172" t="s">
        <v>336</v>
      </c>
      <c r="B122" s="2173" t="s">
        <v>337</v>
      </c>
      <c r="C122" s="2174"/>
      <c r="D122" s="2175" t="s">
        <v>62</v>
      </c>
      <c r="E122" s="2176" t="s">
        <v>176</v>
      </c>
      <c r="F122" s="2177"/>
      <c r="G122" s="2178" t="s">
        <v>15</v>
      </c>
      <c r="H122" s="2179" t="n">
        <v>42959.0841495486</v>
      </c>
      <c r="I122" s="2180" t="n">
        <v>42959.0841495486</v>
      </c>
      <c r="J122" s="2181" t="n">
        <v>42956.8485722107</v>
      </c>
      <c r="K122" s="2182" t="n">
        <v>42956.8485722107</v>
      </c>
      <c r="L122" s="2183" t="s">
        <v>16</v>
      </c>
      <c r="M122" s="2184"/>
      <c r="N122" s="2185"/>
      <c r="O122" s="2186"/>
      <c r="P122" s="2187" t="s">
        <v>17</v>
      </c>
      <c r="Q122" s="2188">
        <f>TODAY()-j122</f>
      </c>
      <c r="R122" s="2189">
        <f>VLOOKUP(A122,'Last Week'!A4:I395,7,FALSE)</f>
      </c>
    </row>
    <row r="123" ht="23.85" customHeight="true">
      <c r="A123" s="2190" t="s">
        <v>338</v>
      </c>
      <c r="B123" s="2191" t="s">
        <v>339</v>
      </c>
      <c r="C123" s="2192"/>
      <c r="D123" s="2193" t="s">
        <v>340</v>
      </c>
      <c r="E123" s="2194" t="s">
        <v>340</v>
      </c>
      <c r="F123" s="2195"/>
      <c r="G123" s="2196" t="s">
        <v>15</v>
      </c>
      <c r="H123" s="2197" t="n">
        <v>42961.4583555093</v>
      </c>
      <c r="I123" s="2198" t="n">
        <v>42961.4583555093</v>
      </c>
      <c r="J123" s="2199" t="n">
        <v>42957.5220700694</v>
      </c>
      <c r="K123" s="2200" t="n">
        <v>42957.5220700694</v>
      </c>
      <c r="L123" s="2201" t="s">
        <v>16</v>
      </c>
      <c r="M123" s="2202"/>
      <c r="N123" s="2203"/>
      <c r="O123" s="2204"/>
      <c r="P123" s="2205" t="s">
        <v>47</v>
      </c>
      <c r="Q123" s="2206">
        <f>TODAY()-j123</f>
      </c>
      <c r="R123" s="2207">
        <f>VLOOKUP(A123,'Last Week'!A4:I395,7,FALSE)</f>
      </c>
    </row>
    <row r="124" ht="35.05" customHeight="true">
      <c r="A124" s="2208" t="s">
        <v>341</v>
      </c>
      <c r="B124" s="2209" t="s">
        <v>337</v>
      </c>
      <c r="C124" s="2210"/>
      <c r="D124" s="2211" t="s">
        <v>62</v>
      </c>
      <c r="E124" s="2212" t="s">
        <v>73</v>
      </c>
      <c r="F124" s="2213"/>
      <c r="G124" s="2214" t="s">
        <v>15</v>
      </c>
      <c r="H124" s="2215" t="n">
        <v>42957.7519491204</v>
      </c>
      <c r="I124" s="2216" t="n">
        <v>42957.7519491204</v>
      </c>
      <c r="J124" s="2217" t="n">
        <v>42957.6731636111</v>
      </c>
      <c r="K124" s="2218" t="n">
        <v>42957.6731636111</v>
      </c>
      <c r="L124" s="2219" t="s">
        <v>16</v>
      </c>
      <c r="M124" s="2220"/>
      <c r="N124" s="2221"/>
      <c r="O124" s="2222"/>
      <c r="P124" s="2223" t="s">
        <v>47</v>
      </c>
      <c r="Q124" s="2224">
        <f>TODAY()-j124</f>
      </c>
      <c r="R124" s="2225">
        <f>VLOOKUP(A124,'Last Week'!A4:I395,7,FALSE)</f>
      </c>
    </row>
    <row r="125" ht="23.85" customHeight="true">
      <c r="A125" s="2226" t="s">
        <v>342</v>
      </c>
      <c r="B125" s="2227" t="s">
        <v>343</v>
      </c>
      <c r="C125" s="2228"/>
      <c r="D125" s="2229" t="s">
        <v>344</v>
      </c>
      <c r="E125" s="2230" t="s">
        <v>116</v>
      </c>
      <c r="F125" s="2231"/>
      <c r="G125" s="2232" t="s">
        <v>15</v>
      </c>
      <c r="H125" s="2233" t="n">
        <v>42960.783712662</v>
      </c>
      <c r="I125" s="2234" t="n">
        <v>42960.783712662</v>
      </c>
      <c r="J125" s="2235" t="n">
        <v>42957.7272142824</v>
      </c>
      <c r="K125" s="2236" t="n">
        <v>42957.7272142824</v>
      </c>
      <c r="L125" s="2237" t="s">
        <v>16</v>
      </c>
      <c r="M125" s="2238"/>
      <c r="N125" s="2239"/>
      <c r="O125" s="2240"/>
      <c r="P125" s="2241" t="s">
        <v>30</v>
      </c>
      <c r="Q125" s="2242">
        <f>TODAY()-j125</f>
      </c>
      <c r="R125" s="2243">
        <f>VLOOKUP(A125,'Last Week'!A4:I395,7,FALSE)</f>
      </c>
    </row>
    <row r="126" ht="46.25" customHeight="true">
      <c r="A126" s="2244" t="s">
        <v>345</v>
      </c>
      <c r="B126" s="2245" t="s">
        <v>346</v>
      </c>
      <c r="C126" s="2246"/>
      <c r="D126" s="2247" t="s">
        <v>281</v>
      </c>
      <c r="E126" s="2248" t="s">
        <v>176</v>
      </c>
      <c r="F126" s="2249"/>
      <c r="G126" s="2250" t="s">
        <v>15</v>
      </c>
      <c r="H126" s="2251" t="n">
        <v>42958.4824560417</v>
      </c>
      <c r="I126" s="2252" t="n">
        <v>42958.4824560417</v>
      </c>
      <c r="J126" s="2253" t="n">
        <v>42957.8923795833</v>
      </c>
      <c r="K126" s="2254" t="n">
        <v>42957.8923795833</v>
      </c>
      <c r="L126" s="2255" t="s">
        <v>16</v>
      </c>
      <c r="M126" s="2256"/>
      <c r="N126" s="2257"/>
      <c r="O126" s="2258"/>
      <c r="P126" s="2259" t="s">
        <v>47</v>
      </c>
      <c r="Q126" s="2260">
        <f>TODAY()-j126</f>
      </c>
      <c r="R126" s="2261">
        <f>VLOOKUP(A126,'Last Week'!A4:I395,7,FALSE)</f>
      </c>
    </row>
    <row r="127" ht="23.85" customHeight="true">
      <c r="A127" s="2262" t="s">
        <v>347</v>
      </c>
      <c r="B127" s="2263" t="s">
        <v>348</v>
      </c>
      <c r="C127" s="2264"/>
      <c r="D127" s="2265" t="s">
        <v>349</v>
      </c>
      <c r="E127" s="2266" t="s">
        <v>73</v>
      </c>
      <c r="F127" s="2267"/>
      <c r="G127" s="2268" t="s">
        <v>15</v>
      </c>
      <c r="H127" s="2269" t="n">
        <v>42961.425635625</v>
      </c>
      <c r="I127" s="2270" t="n">
        <v>42961.425635625</v>
      </c>
      <c r="J127" s="2271" t="n">
        <v>42958.3904016088</v>
      </c>
      <c r="K127" s="2272" t="n">
        <v>42958.3904016088</v>
      </c>
      <c r="L127" s="2273" t="s">
        <v>16</v>
      </c>
      <c r="M127" s="2274"/>
      <c r="N127" s="2275"/>
      <c r="O127" s="2276"/>
      <c r="P127" s="2277" t="s">
        <v>30</v>
      </c>
      <c r="Q127" s="2278">
        <f>TODAY()-j127</f>
      </c>
      <c r="R127" s="2279">
        <f>VLOOKUP(A127,'Last Week'!A4:I395,7,FALSE)</f>
      </c>
    </row>
    <row r="128" ht="23.85" customHeight="true">
      <c r="A128" s="2280" t="s">
        <v>350</v>
      </c>
      <c r="B128" s="2281" t="s">
        <v>301</v>
      </c>
      <c r="C128" s="2282"/>
      <c r="D128" s="2283" t="s">
        <v>126</v>
      </c>
      <c r="E128" s="2284" t="s">
        <v>127</v>
      </c>
      <c r="F128" s="2285"/>
      <c r="G128" s="2286" t="s">
        <v>15</v>
      </c>
      <c r="H128" s="2287" t="n">
        <v>42961.2454771759</v>
      </c>
      <c r="I128" s="2288" t="n">
        <v>42961.2454771759</v>
      </c>
      <c r="J128" s="2289" t="n">
        <v>42958.5649487847</v>
      </c>
      <c r="K128" s="2290" t="n">
        <v>42958.5649487847</v>
      </c>
      <c r="L128" s="2291" t="s">
        <v>16</v>
      </c>
      <c r="M128" s="2292"/>
      <c r="N128" s="2293"/>
      <c r="O128" s="2294"/>
      <c r="P128" s="2295" t="s">
        <v>30</v>
      </c>
      <c r="Q128" s="2296">
        <f>TODAY()-j128</f>
      </c>
      <c r="R128" s="2297">
        <f>VLOOKUP(A128,'Last Week'!A4:I395,7,FALSE)</f>
      </c>
    </row>
    <row r="129" ht="35.05" customHeight="true">
      <c r="A129" s="2298" t="s">
        <v>351</v>
      </c>
      <c r="B129" s="2299" t="s">
        <v>352</v>
      </c>
      <c r="C129" s="2300"/>
      <c r="D129" s="2301" t="s">
        <v>62</v>
      </c>
      <c r="E129" s="2302" t="s">
        <v>176</v>
      </c>
      <c r="F129" s="2303"/>
      <c r="G129" s="2304" t="s">
        <v>15</v>
      </c>
      <c r="H129" s="2305" t="n">
        <v>42963.0846862153</v>
      </c>
      <c r="I129" s="2306" t="n">
        <v>42963.0846862153</v>
      </c>
      <c r="J129" s="2307" t="n">
        <v>42958.954398206</v>
      </c>
      <c r="K129" s="2308" t="n">
        <v>42958.954398206</v>
      </c>
      <c r="L129" s="2309" t="s">
        <v>16</v>
      </c>
      <c r="M129" s="2310"/>
      <c r="N129" s="2311"/>
      <c r="O129" s="2312"/>
      <c r="P129" s="2313" t="s">
        <v>17</v>
      </c>
      <c r="Q129" s="2314">
        <f>TODAY()-j129</f>
      </c>
      <c r="R129" s="2315">
        <f>VLOOKUP(A129,'Last Week'!A4:I395,7,FALSE)</f>
      </c>
    </row>
    <row r="130" ht="23.85" customHeight="true">
      <c r="A130" s="2316" t="s">
        <v>353</v>
      </c>
      <c r="B130" s="2317" t="s">
        <v>354</v>
      </c>
      <c r="C130" s="2318"/>
      <c r="D130" s="2319" t="s">
        <v>233</v>
      </c>
      <c r="E130" s="2320" t="s">
        <v>209</v>
      </c>
      <c r="F130" s="2321"/>
      <c r="G130" s="2322" t="s">
        <v>15</v>
      </c>
      <c r="H130" s="2323" t="n">
        <v>42963.5162953009</v>
      </c>
      <c r="I130" s="2324" t="n">
        <v>42963.5162953009</v>
      </c>
      <c r="J130" s="2325" t="n">
        <v>42961.6748962153</v>
      </c>
      <c r="K130" s="2326" t="n">
        <v>42961.6748962153</v>
      </c>
      <c r="L130" s="2327" t="s">
        <v>16</v>
      </c>
      <c r="M130" s="2328"/>
      <c r="N130" s="2329"/>
      <c r="O130" s="2330"/>
      <c r="P130" s="2331" t="s">
        <v>47</v>
      </c>
      <c r="Q130" s="2332">
        <f>TODAY()-j130</f>
      </c>
      <c r="R130" s="2333">
        <f>VLOOKUP(A130,'Last Week'!A4:I395,7,FALSE)</f>
      </c>
    </row>
    <row r="131" ht="23.85" customHeight="true">
      <c r="A131" s="2334" t="s">
        <v>355</v>
      </c>
      <c r="B131" s="2335" t="s">
        <v>356</v>
      </c>
      <c r="C131" s="2336"/>
      <c r="D131" s="2337" t="s">
        <v>233</v>
      </c>
      <c r="E131" s="2338" t="s">
        <v>110</v>
      </c>
      <c r="F131" s="2339"/>
      <c r="G131" s="2340" t="s">
        <v>15</v>
      </c>
      <c r="H131" s="2341" t="n">
        <v>42963.5166378819</v>
      </c>
      <c r="I131" s="2342" t="n">
        <v>42963.5166378819</v>
      </c>
      <c r="J131" s="2343" t="n">
        <v>42961.7470175231</v>
      </c>
      <c r="K131" s="2344" t="n">
        <v>42961.7470175231</v>
      </c>
      <c r="L131" s="2345" t="s">
        <v>16</v>
      </c>
      <c r="M131" s="2346"/>
      <c r="N131" s="2347"/>
      <c r="O131" s="2348"/>
      <c r="P131" s="2349" t="s">
        <v>47</v>
      </c>
      <c r="Q131" s="2350">
        <f>TODAY()-j131</f>
      </c>
      <c r="R131" s="2351">
        <f>VLOOKUP(A131,'Last Week'!A4:I395,7,FALSE)</f>
      </c>
    </row>
    <row r="132" ht="23.85" customHeight="true">
      <c r="A132" s="2352" t="s">
        <v>357</v>
      </c>
      <c r="B132" s="2353" t="s">
        <v>358</v>
      </c>
      <c r="C132" s="2354"/>
      <c r="D132" s="2355" t="s">
        <v>359</v>
      </c>
      <c r="E132" s="2356" t="s">
        <v>51</v>
      </c>
      <c r="F132" s="2357"/>
      <c r="G132" s="2358" t="s">
        <v>15</v>
      </c>
      <c r="H132" s="2359" t="n">
        <v>42964.0848512732</v>
      </c>
      <c r="I132" s="2360" t="n">
        <v>42964.0848512732</v>
      </c>
      <c r="J132" s="2361" t="n">
        <v>42962.1003841204</v>
      </c>
      <c r="K132" s="2362" t="n">
        <v>42962.1003841204</v>
      </c>
      <c r="L132" s="2363" t="s">
        <v>16</v>
      </c>
      <c r="M132" s="2364"/>
      <c r="N132" s="2365"/>
      <c r="O132" s="2366"/>
      <c r="P132" s="2367" t="s">
        <v>59</v>
      </c>
      <c r="Q132" s="2368">
        <f>TODAY()-j132</f>
      </c>
      <c r="R132" s="2369">
        <f>VLOOKUP(A132,'Last Week'!A4:I395,7,FALSE)</f>
      </c>
    </row>
    <row r="133" ht="35.05" customHeight="true">
      <c r="A133" s="2370" t="s">
        <v>360</v>
      </c>
      <c r="B133" s="2371" t="s">
        <v>180</v>
      </c>
      <c r="C133" s="2372"/>
      <c r="D133" s="2373" t="s">
        <v>126</v>
      </c>
      <c r="E133" s="2374" t="s">
        <v>127</v>
      </c>
      <c r="F133" s="2375"/>
      <c r="G133" s="2376" t="s">
        <v>15</v>
      </c>
      <c r="H133" s="2377" t="n">
        <v>42962.6279781945</v>
      </c>
      <c r="I133" s="2378" t="n">
        <v>42962.6279781945</v>
      </c>
      <c r="J133" s="2379" t="n">
        <v>42962.5356196065</v>
      </c>
      <c r="K133" s="2380" t="n">
        <v>42962.5356196065</v>
      </c>
      <c r="L133" s="2381" t="s">
        <v>16</v>
      </c>
      <c r="M133" s="2382"/>
      <c r="N133" s="2383"/>
      <c r="O133" s="2384"/>
      <c r="P133" s="2385" t="s">
        <v>30</v>
      </c>
      <c r="Q133" s="2386">
        <f>TODAY()-j133</f>
      </c>
      <c r="R133" s="2387">
        <f>VLOOKUP(A133,'Last Week'!A4:I395,7,FALSE)</f>
      </c>
    </row>
    <row r="134" ht="35.05" customHeight="true">
      <c r="A134" s="2388" t="s">
        <v>361</v>
      </c>
      <c r="B134" s="2389" t="s">
        <v>362</v>
      </c>
      <c r="C134" s="2390"/>
      <c r="D134" s="2391" t="s">
        <v>62</v>
      </c>
      <c r="E134" s="2392" t="s">
        <v>51</v>
      </c>
      <c r="F134" s="2393"/>
      <c r="G134" s="2394" t="s">
        <v>15</v>
      </c>
      <c r="H134" s="2395" t="n">
        <v>42965.0849932755</v>
      </c>
      <c r="I134" s="2396" t="n">
        <v>42965.0849932755</v>
      </c>
      <c r="J134" s="2397" t="n">
        <v>42963.2011513657</v>
      </c>
      <c r="K134" s="2398" t="n">
        <v>42963.2011513657</v>
      </c>
      <c r="L134" s="2399" t="s">
        <v>16</v>
      </c>
      <c r="M134" s="2400"/>
      <c r="N134" s="2401"/>
      <c r="O134" s="2402"/>
      <c r="P134" s="2403" t="s">
        <v>59</v>
      </c>
      <c r="Q134" s="2404">
        <f>TODAY()-j134</f>
      </c>
      <c r="R134" s="2405">
        <f>VLOOKUP(A134,'Last Week'!A4:I395,7,FALSE)</f>
      </c>
    </row>
    <row r="135" ht="23.85" customHeight="true">
      <c r="A135" s="2406" t="s">
        <v>363</v>
      </c>
      <c r="B135" s="2407" t="s">
        <v>364</v>
      </c>
      <c r="C135" s="2408"/>
      <c r="D135" s="2409" t="s">
        <v>365</v>
      </c>
      <c r="E135" s="2410" t="s">
        <v>51</v>
      </c>
      <c r="F135" s="2411"/>
      <c r="G135" s="2412" t="s">
        <v>15</v>
      </c>
      <c r="H135" s="2413" t="n">
        <v>42965.0849948958</v>
      </c>
      <c r="I135" s="2414" t="n">
        <v>42965.0849948958</v>
      </c>
      <c r="J135" s="2415" t="n">
        <v>42963.2457168634</v>
      </c>
      <c r="K135" s="2416" t="n">
        <v>42963.2457168634</v>
      </c>
      <c r="L135" s="2417" t="s">
        <v>16</v>
      </c>
      <c r="M135" s="2418"/>
      <c r="N135" s="2419"/>
      <c r="O135" s="2420"/>
      <c r="P135" s="2421" t="s">
        <v>59</v>
      </c>
      <c r="Q135" s="2422">
        <f>TODAY()-j135</f>
      </c>
      <c r="R135" s="2423">
        <f>VLOOKUP(A135,'Last Week'!A4:I395,7,FALSE)</f>
      </c>
    </row>
    <row r="136" ht="23.85" customHeight="true">
      <c r="A136" s="2424" t="s">
        <v>366</v>
      </c>
      <c r="B136" s="2425" t="s">
        <v>367</v>
      </c>
      <c r="C136" s="2426"/>
      <c r="D136" s="2427" t="s">
        <v>368</v>
      </c>
      <c r="E136" s="2428" t="s">
        <v>73</v>
      </c>
      <c r="F136" s="2429"/>
      <c r="G136" s="2430" t="s">
        <v>15</v>
      </c>
      <c r="H136" s="2431" t="n">
        <v>42965.459111088</v>
      </c>
      <c r="I136" s="2432" t="n">
        <v>42965.459111088</v>
      </c>
      <c r="J136" s="2433" t="n">
        <v>42963.6503942245</v>
      </c>
      <c r="K136" s="2434" t="n">
        <v>42963.6503942245</v>
      </c>
      <c r="L136" s="2435" t="s">
        <v>16</v>
      </c>
      <c r="M136" s="2436"/>
      <c r="N136" s="2437"/>
      <c r="O136" s="2438"/>
      <c r="P136" s="2439" t="s">
        <v>47</v>
      </c>
      <c r="Q136" s="2440">
        <f>TODAY()-j136</f>
      </c>
      <c r="R136" s="2441">
        <f>VLOOKUP(A136,'Last Week'!A4:I395,7,FALSE)</f>
      </c>
    </row>
    <row r="137" ht="23.85" customHeight="true">
      <c r="A137" s="2442" t="s">
        <v>369</v>
      </c>
      <c r="B137" s="2443" t="s">
        <v>370</v>
      </c>
      <c r="C137" s="2444"/>
      <c r="D137" s="2445" t="s">
        <v>62</v>
      </c>
      <c r="E137" s="2446" t="s">
        <v>73</v>
      </c>
      <c r="F137" s="2447"/>
      <c r="G137" s="2448" t="s">
        <v>15</v>
      </c>
      <c r="H137" s="2449" t="n">
        <v>42966.3341065625</v>
      </c>
      <c r="I137" s="2450" t="n">
        <v>42966.3341065625</v>
      </c>
      <c r="J137" s="2451" t="n">
        <v>42964.5175823843</v>
      </c>
      <c r="K137" s="2452" t="n">
        <v>42964.5175823843</v>
      </c>
      <c r="L137" s="2453" t="s">
        <v>16</v>
      </c>
      <c r="M137" s="2454"/>
      <c r="N137" s="2455"/>
      <c r="O137" s="2456"/>
      <c r="P137" s="2457" t="s">
        <v>17</v>
      </c>
      <c r="Q137" s="2458">
        <f>TODAY()-j137</f>
      </c>
      <c r="R137" s="2459">
        <f>VLOOKUP(A137,'Last Week'!A4:I395,7,FALSE)</f>
      </c>
    </row>
    <row r="138" ht="35.05" customHeight="true">
      <c r="A138" s="2460" t="s">
        <v>371</v>
      </c>
      <c r="B138" s="2461" t="s">
        <v>372</v>
      </c>
      <c r="C138" s="2462"/>
      <c r="D138" s="2463" t="s">
        <v>62</v>
      </c>
      <c r="E138" s="2464" t="s">
        <v>176</v>
      </c>
      <c r="F138" s="2465"/>
      <c r="G138" s="2466" t="s">
        <v>15</v>
      </c>
      <c r="H138" s="2467" t="n">
        <v>42969.6710012616</v>
      </c>
      <c r="I138" s="2468" t="n">
        <v>42969.6710012616</v>
      </c>
      <c r="J138" s="2469" t="n">
        <v>42965.8850031019</v>
      </c>
      <c r="K138" s="2470" t="n">
        <v>42965.8850031019</v>
      </c>
      <c r="L138" s="2471" t="s">
        <v>16</v>
      </c>
      <c r="M138" s="2472"/>
      <c r="N138" s="2473"/>
      <c r="O138" s="2474"/>
      <c r="P138" s="2475" t="s">
        <v>17</v>
      </c>
      <c r="Q138" s="2476">
        <f>TODAY()-j138</f>
      </c>
      <c r="R138" s="2477">
        <f>VLOOKUP(A138,'Last Week'!A4:I395,7,FALSE)</f>
      </c>
    </row>
    <row r="139" ht="23.85" customHeight="true">
      <c r="A139" s="2478" t="s">
        <v>373</v>
      </c>
      <c r="B139" s="2479" t="s">
        <v>207</v>
      </c>
      <c r="C139" s="2480"/>
      <c r="D139" s="2481" t="s">
        <v>349</v>
      </c>
      <c r="E139" s="2482" t="s">
        <v>25</v>
      </c>
      <c r="F139" s="2483"/>
      <c r="G139" s="2484" t="s">
        <v>15</v>
      </c>
      <c r="H139" s="2485" t="n">
        <v>42971.08369875</v>
      </c>
      <c r="I139" s="2486" t="n">
        <v>42971.08369875</v>
      </c>
      <c r="J139" s="2487" t="n">
        <v>42968.5469860069</v>
      </c>
      <c r="K139" s="2488" t="n">
        <v>42968.5469860069</v>
      </c>
      <c r="L139" s="2489" t="s">
        <v>16</v>
      </c>
      <c r="M139" s="2490"/>
      <c r="N139" s="2491"/>
      <c r="O139" s="2492"/>
      <c r="P139" s="2493" t="s">
        <v>47</v>
      </c>
      <c r="Q139" s="2494">
        <f>TODAY()-j139</f>
      </c>
      <c r="R139" s="2495">
        <f>VLOOKUP(A139,'Last Week'!A4:I395,7,FALSE)</f>
      </c>
    </row>
    <row r="140" ht="79.85" customHeight="true">
      <c r="A140" s="2496" t="s">
        <v>374</v>
      </c>
      <c r="B140" s="2497" t="s">
        <v>375</v>
      </c>
      <c r="C140" s="2498"/>
      <c r="D140" s="2499" t="s">
        <v>376</v>
      </c>
      <c r="E140" s="2500" t="s">
        <v>25</v>
      </c>
      <c r="F140" s="2501"/>
      <c r="G140" s="2502" t="s">
        <v>15</v>
      </c>
      <c r="H140" s="2503" t="n">
        <v>42972.125058912</v>
      </c>
      <c r="I140" s="2504" t="n">
        <v>42972.125058912</v>
      </c>
      <c r="J140" s="2505" t="n">
        <v>42968.6559655903</v>
      </c>
      <c r="K140" s="2506" t="n">
        <v>42968.6559655903</v>
      </c>
      <c r="L140" s="2507" t="s">
        <v>16</v>
      </c>
      <c r="M140" s="2508"/>
      <c r="N140" s="2509"/>
      <c r="O140" s="2510"/>
      <c r="P140" s="2511" t="s">
        <v>30</v>
      </c>
      <c r="Q140" s="2512">
        <f>TODAY()-j140</f>
      </c>
      <c r="R140" s="2513">
        <f>VLOOKUP(A140,'Last Week'!A4:I395,7,FALSE)</f>
      </c>
    </row>
    <row r="141" ht="23.85" customHeight="true">
      <c r="A141" s="2514" t="s">
        <v>377</v>
      </c>
      <c r="B141" s="2515" t="s">
        <v>378</v>
      </c>
      <c r="C141" s="2516"/>
      <c r="D141" s="2517" t="s">
        <v>89</v>
      </c>
      <c r="E141" s="2518" t="s">
        <v>25</v>
      </c>
      <c r="F141" s="2519"/>
      <c r="G141" s="2520" t="s">
        <v>15</v>
      </c>
      <c r="H141" s="2521" t="n">
        <v>42985.084001088</v>
      </c>
      <c r="I141" s="2522" t="n">
        <v>42985.084001088</v>
      </c>
      <c r="J141" s="2523" t="n">
        <v>42969.5096421528</v>
      </c>
      <c r="K141" s="2524" t="n">
        <v>42969.5096421528</v>
      </c>
      <c r="L141" s="2525" t="s">
        <v>16</v>
      </c>
      <c r="M141" s="2526"/>
      <c r="N141" s="2527"/>
      <c r="O141" s="2528"/>
      <c r="P141" s="2529" t="s">
        <v>59</v>
      </c>
      <c r="Q141" s="2530">
        <f>TODAY()-j141</f>
      </c>
      <c r="R141" s="2531">
        <f>VLOOKUP(A141,'Last Week'!A4:I395,7,FALSE)</f>
      </c>
    </row>
    <row r="142" ht="23.85" customHeight="true">
      <c r="A142" s="2532" t="s">
        <v>379</v>
      </c>
      <c r="B142" s="2533" t="s">
        <v>380</v>
      </c>
      <c r="C142" s="2534"/>
      <c r="D142" s="2535" t="s">
        <v>381</v>
      </c>
      <c r="E142" s="2536" t="s">
        <v>73</v>
      </c>
      <c r="F142" s="2537"/>
      <c r="G142" s="2538" t="s">
        <v>15</v>
      </c>
      <c r="H142" s="2539" t="n">
        <v>42973.4565933565</v>
      </c>
      <c r="I142" s="2540" t="n">
        <v>42973.4565933565</v>
      </c>
      <c r="J142" s="2541" t="n">
        <v>42969.5326363079</v>
      </c>
      <c r="K142" s="2542" t="n">
        <v>42969.5326363079</v>
      </c>
      <c r="L142" s="2543" t="s">
        <v>16</v>
      </c>
      <c r="M142" s="2544"/>
      <c r="N142" s="2545"/>
      <c r="O142" s="2546"/>
      <c r="P142" s="2547" t="s">
        <v>47</v>
      </c>
      <c r="Q142" s="2548">
        <f>TODAY()-j142</f>
      </c>
      <c r="R142" s="2549">
        <f>VLOOKUP(A142,'Last Week'!A4:I395,7,FALSE)</f>
      </c>
    </row>
    <row r="143" ht="23.85" customHeight="true">
      <c r="A143" s="2550" t="s">
        <v>382</v>
      </c>
      <c r="B143" s="2551" t="s">
        <v>297</v>
      </c>
      <c r="C143" s="2552"/>
      <c r="D143" s="2553" t="s">
        <v>62</v>
      </c>
      <c r="E143" s="2554" t="s">
        <v>82</v>
      </c>
      <c r="F143" s="2555"/>
      <c r="G143" s="2556" t="s">
        <v>15</v>
      </c>
      <c r="H143" s="2557" t="n">
        <v>42970.588250162</v>
      </c>
      <c r="I143" s="2558" t="n">
        <v>42970.588250162</v>
      </c>
      <c r="J143" s="2559" t="n">
        <v>42969.7259912731</v>
      </c>
      <c r="K143" s="2560" t="n">
        <v>42969.7259912731</v>
      </c>
      <c r="L143" s="2561" t="s">
        <v>16</v>
      </c>
      <c r="M143" s="2562"/>
      <c r="N143" s="2563"/>
      <c r="O143" s="2564"/>
      <c r="P143" s="2565" t="s">
        <v>30</v>
      </c>
      <c r="Q143" s="2566">
        <f>TODAY()-j143</f>
      </c>
      <c r="R143" s="2567">
        <f>VLOOKUP(A143,'Last Week'!A4:I395,7,FALSE)</f>
      </c>
    </row>
    <row r="144" ht="23.85" customHeight="true">
      <c r="A144" s="2568" t="s">
        <v>383</v>
      </c>
      <c r="B144" s="2569" t="s">
        <v>297</v>
      </c>
      <c r="C144" s="2570"/>
      <c r="D144" s="2571" t="s">
        <v>62</v>
      </c>
      <c r="E144" s="2572" t="s">
        <v>82</v>
      </c>
      <c r="F144" s="2573"/>
      <c r="G144" s="2574" t="s">
        <v>15</v>
      </c>
      <c r="H144" s="2575" t="n">
        <v>42970.7040703819</v>
      </c>
      <c r="I144" s="2576" t="n">
        <v>42970.7040703819</v>
      </c>
      <c r="J144" s="2577" t="n">
        <v>42969.7454496528</v>
      </c>
      <c r="K144" s="2578" t="n">
        <v>42969.7454496528</v>
      </c>
      <c r="L144" s="2579" t="s">
        <v>16</v>
      </c>
      <c r="M144" s="2580"/>
      <c r="N144" s="2581"/>
      <c r="O144" s="2582"/>
      <c r="P144" s="2583" t="s">
        <v>47</v>
      </c>
      <c r="Q144" s="2584">
        <f>TODAY()-j144</f>
      </c>
      <c r="R144" s="2585">
        <f>VLOOKUP(A144,'Last Week'!A4:I395,7,FALSE)</f>
      </c>
    </row>
    <row r="145" ht="23.85" customHeight="true">
      <c r="A145" s="2586" t="s">
        <v>384</v>
      </c>
      <c r="B145" s="2587" t="s">
        <v>385</v>
      </c>
      <c r="C145" s="2588"/>
      <c r="D145" s="2589" t="s">
        <v>386</v>
      </c>
      <c r="E145" s="2590" t="s">
        <v>14</v>
      </c>
      <c r="F145" s="2591"/>
      <c r="G145" s="2592" t="s">
        <v>15</v>
      </c>
      <c r="H145" s="2593" t="n">
        <v>42974.4218749074</v>
      </c>
      <c r="I145" s="2594" t="n">
        <v>42974.4218749074</v>
      </c>
      <c r="J145" s="2595" t="n">
        <v>42971.389168044</v>
      </c>
      <c r="K145" s="2596" t="n">
        <v>42971.389168044</v>
      </c>
      <c r="L145" s="2597" t="s">
        <v>16</v>
      </c>
      <c r="M145" s="2598"/>
      <c r="N145" s="2599"/>
      <c r="O145" s="2600"/>
      <c r="P145" s="2601" t="s">
        <v>30</v>
      </c>
      <c r="Q145" s="2602">
        <f>TODAY()-j145</f>
      </c>
      <c r="R145" s="2603">
        <f>VLOOKUP(A145,'Last Week'!A4:I395,7,FALSE)</f>
      </c>
    </row>
    <row r="146" ht="46.25" customHeight="true">
      <c r="A146" s="2604" t="s">
        <v>387</v>
      </c>
      <c r="B146" s="2605" t="s">
        <v>388</v>
      </c>
      <c r="C146" s="2606"/>
      <c r="D146" s="2607" t="s">
        <v>368</v>
      </c>
      <c r="E146" s="2608" t="s">
        <v>73</v>
      </c>
      <c r="F146" s="2609"/>
      <c r="G146" s="2610" t="s">
        <v>15</v>
      </c>
      <c r="H146" s="2611" t="n">
        <v>42971.613711794</v>
      </c>
      <c r="I146" s="2612" t="n">
        <v>42971.613711794</v>
      </c>
      <c r="J146" s="2613" t="n">
        <v>42971.6090356134</v>
      </c>
      <c r="K146" s="2614" t="n">
        <v>42971.6090356134</v>
      </c>
      <c r="L146" s="2615" t="s">
        <v>16</v>
      </c>
      <c r="M146" s="2616"/>
      <c r="N146" s="2617"/>
      <c r="O146" s="2618"/>
      <c r="P146" s="2619" t="s">
        <v>47</v>
      </c>
      <c r="Q146" s="2620">
        <f>TODAY()-j146</f>
      </c>
      <c r="R146" s="2621">
        <f>VLOOKUP(A146,'Last Week'!A4:I395,7,FALSE)</f>
      </c>
    </row>
    <row r="147" ht="23.85" customHeight="true">
      <c r="A147" s="2622" t="s">
        <v>389</v>
      </c>
      <c r="B147" s="2623" t="s">
        <v>390</v>
      </c>
      <c r="C147" s="2624"/>
      <c r="D147" s="2625" t="s">
        <v>66</v>
      </c>
      <c r="E147" s="2626" t="s">
        <v>66</v>
      </c>
      <c r="F147" s="2627"/>
      <c r="G147" s="2628" t="s">
        <v>15</v>
      </c>
      <c r="H147" s="2629" t="n">
        <v>42986.6428432292</v>
      </c>
      <c r="I147" s="2630" t="n">
        <v>42986.6428432292</v>
      </c>
      <c r="J147" s="2631" t="n">
        <v>42971.6287934375</v>
      </c>
      <c r="K147" s="2632" t="n">
        <v>42971.6287934375</v>
      </c>
      <c r="L147" s="2633" t="s">
        <v>16</v>
      </c>
      <c r="M147" s="2634"/>
      <c r="N147" s="2635"/>
      <c r="O147" s="2636"/>
      <c r="P147" s="2637" t="s">
        <v>17</v>
      </c>
      <c r="Q147" s="2638">
        <f>TODAY()-j147</f>
      </c>
      <c r="R147" s="2639">
        <f>VLOOKUP(A147,'Last Week'!A4:I395,7,FALSE)</f>
      </c>
    </row>
    <row r="148" ht="23.85" customHeight="true">
      <c r="A148" s="2640" t="s">
        <v>391</v>
      </c>
      <c r="B148" s="2641" t="s">
        <v>392</v>
      </c>
      <c r="C148" s="2642"/>
      <c r="D148" s="2643" t="s">
        <v>393</v>
      </c>
      <c r="E148" s="2644" t="s">
        <v>29</v>
      </c>
      <c r="F148" s="2645"/>
      <c r="G148" s="2646" t="s">
        <v>15</v>
      </c>
      <c r="H148" s="2647" t="n">
        <v>42974.8337564468</v>
      </c>
      <c r="I148" s="2648" t="n">
        <v>42974.8337564468</v>
      </c>
      <c r="J148" s="2649" t="n">
        <v>42971.9034026968</v>
      </c>
      <c r="K148" s="2650" t="n">
        <v>42971.9034026968</v>
      </c>
      <c r="L148" s="2651" t="s">
        <v>16</v>
      </c>
      <c r="M148" s="2652"/>
      <c r="N148" s="2653"/>
      <c r="O148" s="2654"/>
      <c r="P148" s="2655" t="s">
        <v>17</v>
      </c>
      <c r="Q148" s="2656">
        <f>TODAY()-j148</f>
      </c>
      <c r="R148" s="2657">
        <f>VLOOKUP(A148,'Last Week'!A4:I395,7,FALSE)</f>
      </c>
    </row>
    <row r="149" ht="23.85" customHeight="true">
      <c r="A149" s="2658" t="s">
        <v>394</v>
      </c>
      <c r="B149" s="2659" t="s">
        <v>395</v>
      </c>
      <c r="C149" s="2660"/>
      <c r="D149" s="2661" t="s">
        <v>89</v>
      </c>
      <c r="E149" s="2662" t="s">
        <v>25</v>
      </c>
      <c r="F149" s="2663"/>
      <c r="G149" s="2664" t="s">
        <v>15</v>
      </c>
      <c r="H149" s="2665" t="n">
        <v>42972.6442762616</v>
      </c>
      <c r="I149" s="2666" t="n">
        <v>42972.6442762616</v>
      </c>
      <c r="J149" s="2667" t="n">
        <v>42972.6376312384</v>
      </c>
      <c r="K149" s="2668" t="n">
        <v>42972.6376312384</v>
      </c>
      <c r="L149" s="2669" t="s">
        <v>16</v>
      </c>
      <c r="M149" s="2670"/>
      <c r="N149" s="2671"/>
      <c r="O149" s="2672"/>
      <c r="P149" s="2673" t="s">
        <v>47</v>
      </c>
      <c r="Q149" s="2674">
        <f>TODAY()-j149</f>
      </c>
      <c r="R149" s="2675">
        <f>VLOOKUP(A149,'Last Week'!A4:I395,7,FALSE)</f>
      </c>
    </row>
    <row r="150" ht="35.05" customHeight="true">
      <c r="A150" s="2676" t="s">
        <v>396</v>
      </c>
      <c r="B150" s="2677" t="s">
        <v>397</v>
      </c>
      <c r="C150" s="2678"/>
      <c r="D150" s="2679" t="s">
        <v>398</v>
      </c>
      <c r="E150" s="2680" t="s">
        <v>25</v>
      </c>
      <c r="F150" s="2681"/>
      <c r="G150" s="2682" t="s">
        <v>15</v>
      </c>
      <c r="H150" s="2683" t="n">
        <v>42977.6889647338</v>
      </c>
      <c r="I150" s="2684" t="n">
        <v>42977.6889647338</v>
      </c>
      <c r="J150" s="2685" t="n">
        <v>42975.6972597801</v>
      </c>
      <c r="K150" s="2686" t="n">
        <v>42975.6972597801</v>
      </c>
      <c r="L150" s="2687" t="s">
        <v>16</v>
      </c>
      <c r="M150" s="2688"/>
      <c r="N150" s="2689"/>
      <c r="O150" s="2690"/>
      <c r="P150" s="2691" t="s">
        <v>30</v>
      </c>
      <c r="Q150" s="2692">
        <f>TODAY()-j150</f>
      </c>
      <c r="R150" s="2693">
        <f>VLOOKUP(A150,'Last Week'!A4:I395,7,FALSE)</f>
      </c>
    </row>
    <row r="151" ht="23.85" customHeight="true">
      <c r="A151" s="2694" t="s">
        <v>399</v>
      </c>
      <c r="B151" s="2695" t="s">
        <v>400</v>
      </c>
      <c r="C151" s="2696"/>
      <c r="D151" s="2697" t="s">
        <v>401</v>
      </c>
      <c r="E151" s="2698" t="s">
        <v>402</v>
      </c>
      <c r="F151" s="2699"/>
      <c r="G151" s="2700" t="s">
        <v>15</v>
      </c>
      <c r="H151" s="2701" t="n">
        <v>42977.4565162732</v>
      </c>
      <c r="I151" s="2702" t="n">
        <v>42977.4565162732</v>
      </c>
      <c r="J151" s="2703" t="n">
        <v>42976.469896088</v>
      </c>
      <c r="K151" s="2704" t="n">
        <v>42976.469896088</v>
      </c>
      <c r="L151" s="2705" t="s">
        <v>16</v>
      </c>
      <c r="M151" s="2706"/>
      <c r="N151" s="2707"/>
      <c r="O151" s="2708"/>
      <c r="P151" s="2709" t="s">
        <v>47</v>
      </c>
      <c r="Q151" s="2710">
        <f>TODAY()-j151</f>
      </c>
      <c r="R151" s="2711">
        <f>VLOOKUP(A151,'Last Week'!A4:I395,7,FALSE)</f>
      </c>
    </row>
    <row r="152" ht="23.85" customHeight="true">
      <c r="A152" s="2712" t="s">
        <v>403</v>
      </c>
      <c r="B152" s="2713" t="s">
        <v>404</v>
      </c>
      <c r="C152" s="2714"/>
      <c r="D152" s="2715" t="s">
        <v>386</v>
      </c>
      <c r="E152" s="2716" t="s">
        <v>14</v>
      </c>
      <c r="F152" s="2717"/>
      <c r="G152" s="2718" t="s">
        <v>15</v>
      </c>
      <c r="H152" s="2719" t="n">
        <v>42979.3776845255</v>
      </c>
      <c r="I152" s="2720" t="n">
        <v>42979.3776845255</v>
      </c>
      <c r="J152" s="2721" t="n">
        <v>42978.5873087963</v>
      </c>
      <c r="K152" s="2722" t="n">
        <v>42978.5873087963</v>
      </c>
      <c r="L152" s="2723" t="s">
        <v>16</v>
      </c>
      <c r="M152" s="2724"/>
      <c r="N152" s="2725"/>
      <c r="O152" s="2726"/>
      <c r="P152" s="2727" t="s">
        <v>30</v>
      </c>
      <c r="Q152" s="2728">
        <f>TODAY()-j152</f>
      </c>
      <c r="R152" s="2729">
        <f>VLOOKUP(A152,'Last Week'!A4:I395,7,FALSE)</f>
      </c>
    </row>
    <row r="153" ht="23.85" customHeight="true">
      <c r="A153" s="2730" t="s">
        <v>405</v>
      </c>
      <c r="B153" s="2731" t="s">
        <v>406</v>
      </c>
      <c r="C153" s="2732"/>
      <c r="D153" s="2733" t="s">
        <v>155</v>
      </c>
      <c r="E153" s="2734" t="s">
        <v>56</v>
      </c>
      <c r="F153" s="2735"/>
      <c r="G153" s="2736" t="s">
        <v>15</v>
      </c>
      <c r="H153" s="2737" t="n">
        <v>42982.4691129051</v>
      </c>
      <c r="I153" s="2738" t="n">
        <v>42982.4691129051</v>
      </c>
      <c r="J153" s="2739" t="n">
        <v>42978.7471365046</v>
      </c>
      <c r="K153" s="2740" t="n">
        <v>42978.7471365046</v>
      </c>
      <c r="L153" s="2741" t="s">
        <v>16</v>
      </c>
      <c r="M153" s="2742"/>
      <c r="N153" s="2743"/>
      <c r="O153" s="2744"/>
      <c r="P153" s="2745" t="s">
        <v>47</v>
      </c>
      <c r="Q153" s="2746">
        <f>TODAY()-j153</f>
      </c>
      <c r="R153" s="2747">
        <f>VLOOKUP(A153,'Last Week'!A4:I395,7,FALSE)</f>
      </c>
    </row>
    <row r="154" ht="46.25" customHeight="true">
      <c r="A154" s="2748" t="s">
        <v>407</v>
      </c>
      <c r="B154" s="2749" t="s">
        <v>408</v>
      </c>
      <c r="C154" s="2750"/>
      <c r="D154" s="2751" t="s">
        <v>409</v>
      </c>
      <c r="E154" s="2752" t="s">
        <v>29</v>
      </c>
      <c r="F154" s="2753"/>
      <c r="G154" s="2754" t="s">
        <v>15</v>
      </c>
      <c r="H154" s="2755" t="n">
        <v>42984.3338524537</v>
      </c>
      <c r="I154" s="2756" t="n">
        <v>42984.3338524537</v>
      </c>
      <c r="J154" s="2757" t="n">
        <v>42979.8320475</v>
      </c>
      <c r="K154" s="2758" t="n">
        <v>42979.8320475</v>
      </c>
      <c r="L154" s="2759" t="s">
        <v>16</v>
      </c>
      <c r="M154" s="2760"/>
      <c r="N154" s="2761"/>
      <c r="O154" s="2762"/>
      <c r="P154" s="2763" t="s">
        <v>59</v>
      </c>
      <c r="Q154" s="2764">
        <f>TODAY()-j154</f>
      </c>
      <c r="R154" s="2765">
        <f>VLOOKUP(A154,'Last Week'!A4:I395,7,FALSE)</f>
      </c>
    </row>
    <row r="155" ht="23.85" customHeight="true">
      <c r="A155" s="2766" t="s">
        <v>410</v>
      </c>
      <c r="B155" s="2767" t="s">
        <v>198</v>
      </c>
      <c r="C155" s="2768"/>
      <c r="D155" s="2769" t="s">
        <v>55</v>
      </c>
      <c r="E155" s="2770" t="s">
        <v>82</v>
      </c>
      <c r="F155" s="2771"/>
      <c r="G155" s="2772" t="s">
        <v>15</v>
      </c>
      <c r="H155" s="2773" t="n">
        <v>42984.3338583449</v>
      </c>
      <c r="I155" s="2774" t="n">
        <v>42984.3338583449</v>
      </c>
      <c r="J155" s="2775" t="n">
        <v>42982.4818130208</v>
      </c>
      <c r="K155" s="2776" t="n">
        <v>42982.4818130208</v>
      </c>
      <c r="L155" s="2777" t="s">
        <v>16</v>
      </c>
      <c r="M155" s="2778"/>
      <c r="N155" s="2779"/>
      <c r="O155" s="2780"/>
      <c r="P155" s="2781" t="s">
        <v>59</v>
      </c>
      <c r="Q155" s="2782">
        <f>TODAY()-j155</f>
      </c>
      <c r="R155" s="2783">
        <f>VLOOKUP(A155,'Last Week'!A4:I395,7,FALSE)</f>
      </c>
    </row>
    <row r="156" ht="23.85" customHeight="true">
      <c r="A156" s="2784" t="s">
        <v>411</v>
      </c>
      <c r="B156" s="2785" t="s">
        <v>412</v>
      </c>
      <c r="C156" s="2786"/>
      <c r="D156" s="2787" t="s">
        <v>55</v>
      </c>
      <c r="E156" s="2788" t="s">
        <v>82</v>
      </c>
      <c r="F156" s="2789"/>
      <c r="G156" s="2790" t="s">
        <v>15</v>
      </c>
      <c r="H156" s="2791" t="n">
        <v>42982.6818045139</v>
      </c>
      <c r="I156" s="2792" t="n">
        <v>42982.6818045139</v>
      </c>
      <c r="J156" s="2793" t="n">
        <v>42982.4960452083</v>
      </c>
      <c r="K156" s="2794" t="n">
        <v>42982.4960452083</v>
      </c>
      <c r="L156" s="2795" t="s">
        <v>16</v>
      </c>
      <c r="M156" s="2796"/>
      <c r="N156" s="2797"/>
      <c r="O156" s="2798"/>
      <c r="P156" s="2799" t="s">
        <v>59</v>
      </c>
      <c r="Q156" s="2800">
        <f>TODAY()-j156</f>
      </c>
      <c r="R156" s="2801">
        <f>VLOOKUP(A156,'Last Week'!A4:I395,7,FALSE)</f>
      </c>
    </row>
    <row r="157" ht="23.85" customHeight="true">
      <c r="A157" s="2802" t="s">
        <v>413</v>
      </c>
      <c r="B157" s="2803" t="s">
        <v>414</v>
      </c>
      <c r="C157" s="2804"/>
      <c r="D157" s="2805" t="s">
        <v>415</v>
      </c>
      <c r="E157" s="2806" t="s">
        <v>42</v>
      </c>
      <c r="F157" s="2807"/>
      <c r="G157" s="2808" t="s">
        <v>15</v>
      </c>
      <c r="H157" s="2809" t="n">
        <v>42988.5667509722</v>
      </c>
      <c r="I157" s="2810" t="n">
        <v>42988.5667509722</v>
      </c>
      <c r="J157" s="2811" t="n">
        <v>42983.7587687384</v>
      </c>
      <c r="K157" s="2812" t="n">
        <v>42983.7587687384</v>
      </c>
      <c r="L157" s="2813" t="s">
        <v>16</v>
      </c>
      <c r="M157" s="2814"/>
      <c r="N157" s="2815"/>
      <c r="O157" s="2816"/>
      <c r="P157" s="2817" t="s">
        <v>47</v>
      </c>
      <c r="Q157" s="2818">
        <f>TODAY()-j157</f>
      </c>
      <c r="R157" s="2819">
        <f>VLOOKUP(A157,'Last Week'!A4:I395,7,FALSE)</f>
      </c>
    </row>
    <row r="158" ht="23.85" customHeight="true">
      <c r="A158" s="2820" t="s">
        <v>416</v>
      </c>
      <c r="B158" s="2821" t="s">
        <v>49</v>
      </c>
      <c r="C158" s="2822"/>
      <c r="D158" s="2823" t="s">
        <v>417</v>
      </c>
      <c r="E158" s="2824" t="s">
        <v>73</v>
      </c>
      <c r="F158" s="2825"/>
      <c r="G158" s="2826" t="s">
        <v>15</v>
      </c>
      <c r="H158" s="2827" t="n">
        <v>42985.4294011227</v>
      </c>
      <c r="I158" s="2828" t="n">
        <v>42985.4294011227</v>
      </c>
      <c r="J158" s="2829" t="n">
        <v>42984.412501713</v>
      </c>
      <c r="K158" s="2830" t="n">
        <v>42984.412501713</v>
      </c>
      <c r="L158" s="2831" t="s">
        <v>16</v>
      </c>
      <c r="M158" s="2832"/>
      <c r="N158" s="2833"/>
      <c r="O158" s="2834"/>
      <c r="P158" s="2835" t="s">
        <v>30</v>
      </c>
      <c r="Q158" s="2836">
        <f>TODAY()-j158</f>
      </c>
      <c r="R158" s="2837">
        <f>VLOOKUP(A158,'Last Week'!A4:I395,7,FALSE)</f>
      </c>
    </row>
    <row r="159" ht="23.85" customHeight="true">
      <c r="A159" s="2838" t="s">
        <v>418</v>
      </c>
      <c r="B159" s="2839" t="s">
        <v>419</v>
      </c>
      <c r="C159" s="2840"/>
      <c r="D159" s="2841" t="s">
        <v>55</v>
      </c>
      <c r="E159" s="2842" t="s">
        <v>82</v>
      </c>
      <c r="F159" s="2843"/>
      <c r="G159" s="2844" t="s">
        <v>15</v>
      </c>
      <c r="H159" s="2845" t="n">
        <v>42996.6246243866</v>
      </c>
      <c r="I159" s="2846" t="n">
        <v>42996.6246243866</v>
      </c>
      <c r="J159" s="2847" t="n">
        <v>42984.442776713</v>
      </c>
      <c r="K159" s="2848" t="n">
        <v>42984.442776713</v>
      </c>
      <c r="L159" s="2849" t="s">
        <v>16</v>
      </c>
      <c r="M159" s="2850"/>
      <c r="N159" s="2851"/>
      <c r="O159" s="2852"/>
      <c r="P159" s="2853" t="s">
        <v>47</v>
      </c>
      <c r="Q159" s="2854">
        <f>TODAY()-j159</f>
      </c>
      <c r="R159" s="2855">
        <f>VLOOKUP(A159,'Last Week'!A4:I395,7,FALSE)</f>
      </c>
    </row>
    <row r="160" ht="23.85" customHeight="true">
      <c r="A160" s="2856" t="s">
        <v>420</v>
      </c>
      <c r="B160" s="2857" t="s">
        <v>421</v>
      </c>
      <c r="C160" s="2858"/>
      <c r="D160" s="2859" t="s">
        <v>422</v>
      </c>
      <c r="E160" s="2860" t="s">
        <v>21</v>
      </c>
      <c r="F160" s="2861"/>
      <c r="G160" s="2862" t="s">
        <v>15</v>
      </c>
      <c r="H160" s="2863" t="n">
        <v>42986.3934810069</v>
      </c>
      <c r="I160" s="2864" t="n">
        <v>42986.3934810069</v>
      </c>
      <c r="J160" s="2865" t="n">
        <v>42985.4884813773</v>
      </c>
      <c r="K160" s="2866" t="n">
        <v>42985.4884813773</v>
      </c>
      <c r="L160" s="2867" t="s">
        <v>16</v>
      </c>
      <c r="M160" s="2868"/>
      <c r="N160" s="2869"/>
      <c r="O160" s="2870"/>
      <c r="P160" s="2871" t="s">
        <v>47</v>
      </c>
      <c r="Q160" s="2872">
        <f>TODAY()-j160</f>
      </c>
      <c r="R160" s="2873">
        <f>VLOOKUP(A160,'Last Week'!A4:I395,7,FALSE)</f>
      </c>
    </row>
    <row r="161" ht="23.85" customHeight="true">
      <c r="A161" s="2874" t="s">
        <v>423</v>
      </c>
      <c r="B161" s="2875" t="s">
        <v>49</v>
      </c>
      <c r="C161" s="2876"/>
      <c r="D161" s="2877" t="s">
        <v>417</v>
      </c>
      <c r="E161" s="2878" t="s">
        <v>73</v>
      </c>
      <c r="F161" s="2879"/>
      <c r="G161" s="2880" t="s">
        <v>15</v>
      </c>
      <c r="H161" s="2881" t="n">
        <v>42987.1672722685</v>
      </c>
      <c r="I161" s="2882" t="n">
        <v>42987.1672722685</v>
      </c>
      <c r="J161" s="2883" t="n">
        <v>42985.6047099421</v>
      </c>
      <c r="K161" s="2884" t="n">
        <v>42985.6047099421</v>
      </c>
      <c r="L161" s="2885" t="s">
        <v>16</v>
      </c>
      <c r="M161" s="2886"/>
      <c r="N161" s="2887"/>
      <c r="O161" s="2888"/>
      <c r="P161" s="2889" t="s">
        <v>47</v>
      </c>
      <c r="Q161" s="2890">
        <f>TODAY()-j161</f>
      </c>
      <c r="R161" s="2891">
        <f>VLOOKUP(A161,'Last Week'!A4:I395,7,FALSE)</f>
      </c>
    </row>
    <row r="162" ht="23.85" customHeight="true">
      <c r="A162" s="2892" t="s">
        <v>424</v>
      </c>
      <c r="B162" s="2893" t="s">
        <v>425</v>
      </c>
      <c r="C162" s="2894"/>
      <c r="D162" s="2895" t="s">
        <v>426</v>
      </c>
      <c r="E162" s="2896" t="s">
        <v>73</v>
      </c>
      <c r="F162" s="2897"/>
      <c r="G162" s="2898" t="s">
        <v>15</v>
      </c>
      <c r="H162" s="2899" t="n">
        <v>42985.6958910185</v>
      </c>
      <c r="I162" s="2900" t="n">
        <v>42985.6958910185</v>
      </c>
      <c r="J162" s="2901" t="n">
        <v>42985.6066564815</v>
      </c>
      <c r="K162" s="2902" t="n">
        <v>42985.6066564815</v>
      </c>
      <c r="L162" s="2903" t="s">
        <v>16</v>
      </c>
      <c r="M162" s="2904"/>
      <c r="N162" s="2905"/>
      <c r="O162" s="2906"/>
      <c r="P162" s="2907" t="s">
        <v>47</v>
      </c>
      <c r="Q162" s="2908">
        <f>TODAY()-j162</f>
      </c>
      <c r="R162" s="2909">
        <f>VLOOKUP(A162,'Last Week'!A4:I395,7,FALSE)</f>
      </c>
    </row>
    <row r="163" ht="35.05" customHeight="true">
      <c r="A163" s="2910" t="s">
        <v>427</v>
      </c>
      <c r="B163" s="2911" t="s">
        <v>428</v>
      </c>
      <c r="C163" s="2912"/>
      <c r="D163" s="2913" t="s">
        <v>141</v>
      </c>
      <c r="E163" s="2914" t="s">
        <v>29</v>
      </c>
      <c r="F163" s="2915"/>
      <c r="G163" s="2916" t="s">
        <v>15</v>
      </c>
      <c r="H163" s="2917" t="n">
        <v>42988.8755214931</v>
      </c>
      <c r="I163" s="2918" t="n">
        <v>42988.8755214931</v>
      </c>
      <c r="J163" s="2919" t="n">
        <v>42985.85483625</v>
      </c>
      <c r="K163" s="2920" t="n">
        <v>42985.85483625</v>
      </c>
      <c r="L163" s="2921" t="s">
        <v>16</v>
      </c>
      <c r="M163" s="2922"/>
      <c r="N163" s="2923"/>
      <c r="O163" s="2924"/>
      <c r="P163" s="2925" t="s">
        <v>17</v>
      </c>
      <c r="Q163" s="2926">
        <f>TODAY()-j163</f>
      </c>
      <c r="R163" s="2927">
        <f>VLOOKUP(A163,'Last Week'!A4:I395,7,FALSE)</f>
      </c>
    </row>
    <row r="164" ht="23.85" customHeight="true">
      <c r="A164" s="2928" t="s">
        <v>429</v>
      </c>
      <c r="B164" s="2929" t="s">
        <v>430</v>
      </c>
      <c r="C164" s="2930"/>
      <c r="D164" s="2931" t="s">
        <v>431</v>
      </c>
      <c r="E164" s="2932" t="s">
        <v>176</v>
      </c>
      <c r="F164" s="2933"/>
      <c r="G164" s="2934" t="s">
        <v>15</v>
      </c>
      <c r="H164" s="2935" t="n">
        <v>42989.6084262732</v>
      </c>
      <c r="I164" s="2936" t="n">
        <v>42989.6084262732</v>
      </c>
      <c r="J164" s="2937" t="n">
        <v>42985.9255281366</v>
      </c>
      <c r="K164" s="2938" t="n">
        <v>42985.9255281366</v>
      </c>
      <c r="L164" s="2939" t="s">
        <v>16</v>
      </c>
      <c r="M164" s="2940"/>
      <c r="N164" s="2941"/>
      <c r="O164" s="2942"/>
      <c r="P164" s="2943" t="s">
        <v>47</v>
      </c>
      <c r="Q164" s="2944">
        <f>TODAY()-j164</f>
      </c>
      <c r="R164" s="2945">
        <f>VLOOKUP(A164,'Last Week'!A4:I395,7,FALSE)</f>
      </c>
    </row>
    <row r="165" ht="35.05" customHeight="true">
      <c r="A165" s="2946" t="s">
        <v>432</v>
      </c>
      <c r="B165" s="2947" t="s">
        <v>433</v>
      </c>
      <c r="C165" s="2948"/>
      <c r="D165" s="2949" t="s">
        <v>155</v>
      </c>
      <c r="E165" s="2950" t="s">
        <v>29</v>
      </c>
      <c r="F165" s="2951"/>
      <c r="G165" s="2952" t="s">
        <v>15</v>
      </c>
      <c r="H165" s="2953" t="n">
        <v>42993.1672192708</v>
      </c>
      <c r="I165" s="2954" t="n">
        <v>42993.1672192708</v>
      </c>
      <c r="J165" s="2955" t="n">
        <v>42986.8266185185</v>
      </c>
      <c r="K165" s="2956" t="n">
        <v>42986.8266185185</v>
      </c>
      <c r="L165" s="2957" t="s">
        <v>16</v>
      </c>
      <c r="M165" s="2958"/>
      <c r="N165" s="2959"/>
      <c r="O165" s="2960"/>
      <c r="P165" s="2961" t="s">
        <v>47</v>
      </c>
      <c r="Q165" s="2962">
        <f>TODAY()-j165</f>
      </c>
      <c r="R165" s="2963">
        <f>VLOOKUP(A165,'Last Week'!A4:I395,7,FALSE)</f>
      </c>
    </row>
    <row r="166" ht="23.85" customHeight="true">
      <c r="A166" s="2964" t="s">
        <v>434</v>
      </c>
      <c r="B166" s="2965" t="s">
        <v>435</v>
      </c>
      <c r="C166" s="2966"/>
      <c r="D166" s="2967" t="s">
        <v>436</v>
      </c>
      <c r="E166" s="2968" t="s">
        <v>216</v>
      </c>
      <c r="F166" s="2969"/>
      <c r="G166" s="2970" t="s">
        <v>15</v>
      </c>
      <c r="H166" s="2971" t="n">
        <v>42991.3714436806</v>
      </c>
      <c r="I166" s="2972" t="n">
        <v>42991.3714436806</v>
      </c>
      <c r="J166" s="2973" t="n">
        <v>42989.6397233102</v>
      </c>
      <c r="K166" s="2974" t="n">
        <v>42989.6397233102</v>
      </c>
      <c r="L166" s="2975" t="s">
        <v>16</v>
      </c>
      <c r="M166" s="2976"/>
      <c r="N166" s="2977"/>
      <c r="O166" s="2978"/>
      <c r="P166" s="2979" t="s">
        <v>17</v>
      </c>
      <c r="Q166" s="2980">
        <f>TODAY()-j166</f>
      </c>
      <c r="R166" s="2981">
        <f>VLOOKUP(A166,'Last Week'!A4:I395,7,FALSE)</f>
      </c>
    </row>
    <row r="167" ht="23.85" customHeight="true">
      <c r="A167" s="2982" t="s">
        <v>437</v>
      </c>
      <c r="B167" s="2983" t="s">
        <v>438</v>
      </c>
      <c r="C167" s="2984"/>
      <c r="D167" s="2985" t="s">
        <v>141</v>
      </c>
      <c r="E167" s="2986" t="s">
        <v>82</v>
      </c>
      <c r="F167" s="2987"/>
      <c r="G167" s="2988" t="s">
        <v>15</v>
      </c>
      <c r="H167" s="2989" t="n">
        <v>42991.5390404167</v>
      </c>
      <c r="I167" s="2990" t="n">
        <v>42991.5390404167</v>
      </c>
      <c r="J167" s="2991" t="n">
        <v>42990.506422662</v>
      </c>
      <c r="K167" s="2992" t="n">
        <v>42990.506422662</v>
      </c>
      <c r="L167" s="2993" t="s">
        <v>16</v>
      </c>
      <c r="M167" s="2994"/>
      <c r="N167" s="2995"/>
      <c r="O167" s="2996"/>
      <c r="P167" s="2997" t="s">
        <v>17</v>
      </c>
      <c r="Q167" s="2998">
        <f>TODAY()-j167</f>
      </c>
      <c r="R167" s="2999">
        <f>VLOOKUP(A167,'Last Week'!A4:I395,7,FALSE)</f>
      </c>
    </row>
    <row r="168" ht="23.85" customHeight="true">
      <c r="A168" s="3000" t="s">
        <v>439</v>
      </c>
      <c r="B168" s="3001" t="s">
        <v>440</v>
      </c>
      <c r="C168" s="3002"/>
      <c r="D168" s="3003" t="s">
        <v>241</v>
      </c>
      <c r="E168" s="3004" t="s">
        <v>241</v>
      </c>
      <c r="F168" s="3005"/>
      <c r="G168" s="3006" t="s">
        <v>15</v>
      </c>
      <c r="H168" s="3007" t="n">
        <v>42996.0839173495</v>
      </c>
      <c r="I168" s="3008" t="n">
        <v>42996.0839173495</v>
      </c>
      <c r="J168" s="3009" t="n">
        <v>42990.5431831019</v>
      </c>
      <c r="K168" s="3010" t="n">
        <v>42990.5431831019</v>
      </c>
      <c r="L168" s="3011" t="s">
        <v>16</v>
      </c>
      <c r="M168" s="3012"/>
      <c r="N168" s="3013"/>
      <c r="O168" s="3014"/>
      <c r="P168" s="3015" t="s">
        <v>47</v>
      </c>
      <c r="Q168" s="3016">
        <f>TODAY()-j168</f>
      </c>
      <c r="R168" s="3017">
        <f>VLOOKUP(A168,'Last Week'!A4:I395,7,FALSE)</f>
      </c>
    </row>
    <row r="169" ht="23.85" customHeight="true">
      <c r="A169" s="3018" t="s">
        <v>441</v>
      </c>
      <c r="B169" s="3019" t="s">
        <v>442</v>
      </c>
      <c r="C169" s="3020"/>
      <c r="D169" s="3021" t="s">
        <v>443</v>
      </c>
      <c r="E169" s="3022" t="s">
        <v>21</v>
      </c>
      <c r="F169" s="3023"/>
      <c r="G169" s="3024" t="s">
        <v>15</v>
      </c>
      <c r="H169" s="3025" t="n">
        <v>43058.4444007407</v>
      </c>
      <c r="I169" s="3026" t="n">
        <v>43058.4444007407</v>
      </c>
      <c r="J169" s="3027" t="n">
        <v>42991.4491967708</v>
      </c>
      <c r="K169" s="3028" t="n">
        <v>42991.4491967708</v>
      </c>
      <c r="L169" s="3029" t="s">
        <v>16</v>
      </c>
      <c r="M169" s="3030"/>
      <c r="N169" s="3031"/>
      <c r="O169" s="3032"/>
      <c r="P169" s="3033" t="s">
        <v>17</v>
      </c>
      <c r="Q169" s="3034">
        <f>TODAY()-j169</f>
      </c>
      <c r="R169" s="3035">
        <f>VLOOKUP(A169,'Last Week'!A4:I395,7,FALSE)</f>
      </c>
    </row>
    <row r="170" ht="23.85" customHeight="true">
      <c r="A170" s="3036" t="s">
        <v>444</v>
      </c>
      <c r="B170" s="3037" t="s">
        <v>445</v>
      </c>
      <c r="C170" s="3038"/>
      <c r="D170" s="3039" t="s">
        <v>446</v>
      </c>
      <c r="E170" s="3040" t="s">
        <v>73</v>
      </c>
      <c r="F170" s="3041"/>
      <c r="G170" s="3042" t="s">
        <v>15</v>
      </c>
      <c r="H170" s="3043" t="n">
        <v>42995.7197503125</v>
      </c>
      <c r="I170" s="3044" t="n">
        <v>42995.7197503125</v>
      </c>
      <c r="J170" s="3045" t="n">
        <v>42991.6036685301</v>
      </c>
      <c r="K170" s="3046" t="n">
        <v>42991.6036685301</v>
      </c>
      <c r="L170" s="3047" t="s">
        <v>16</v>
      </c>
      <c r="M170" s="3048"/>
      <c r="N170" s="3049"/>
      <c r="O170" s="3050"/>
      <c r="P170" s="3051" t="s">
        <v>17</v>
      </c>
      <c r="Q170" s="3052">
        <f>TODAY()-j170</f>
      </c>
      <c r="R170" s="3053">
        <f>VLOOKUP(A170,'Last Week'!A4:I395,7,FALSE)</f>
      </c>
    </row>
    <row r="171" ht="23.85" customHeight="true">
      <c r="A171" s="3054" t="s">
        <v>447</v>
      </c>
      <c r="B171" s="3055" t="s">
        <v>448</v>
      </c>
      <c r="C171" s="3056"/>
      <c r="D171" s="3057" t="s">
        <v>449</v>
      </c>
      <c r="E171" s="3058" t="s">
        <v>42</v>
      </c>
      <c r="F171" s="3059"/>
      <c r="G171" s="3060" t="s">
        <v>15</v>
      </c>
      <c r="H171" s="3061" t="n">
        <v>42996.6850865856</v>
      </c>
      <c r="I171" s="3062" t="n">
        <v>42996.6850865856</v>
      </c>
      <c r="J171" s="3063" t="n">
        <v>42992.8215478935</v>
      </c>
      <c r="K171" s="3064" t="n">
        <v>42992.8215478935</v>
      </c>
      <c r="L171" s="3065" t="s">
        <v>16</v>
      </c>
      <c r="M171" s="3066"/>
      <c r="N171" s="3067"/>
      <c r="O171" s="3068"/>
      <c r="P171" s="3069" t="s">
        <v>47</v>
      </c>
      <c r="Q171" s="3070">
        <f>TODAY()-j171</f>
      </c>
      <c r="R171" s="3071">
        <f>VLOOKUP(A171,'Last Week'!A4:I395,7,FALSE)</f>
      </c>
    </row>
    <row r="172" ht="23.85" customHeight="true">
      <c r="A172" s="3072" t="s">
        <v>450</v>
      </c>
      <c r="B172" s="3073" t="s">
        <v>451</v>
      </c>
      <c r="C172" s="3074"/>
      <c r="D172" s="3075" t="s">
        <v>155</v>
      </c>
      <c r="E172" s="3076" t="s">
        <v>29</v>
      </c>
      <c r="F172" s="3077"/>
      <c r="G172" s="3078" t="s">
        <v>15</v>
      </c>
      <c r="H172" s="3079" t="n">
        <v>43000.7595150116</v>
      </c>
      <c r="I172" s="3080" t="n">
        <v>43000.7595150116</v>
      </c>
      <c r="J172" s="3081" t="n">
        <v>42992.8239102315</v>
      </c>
      <c r="K172" s="3082" t="n">
        <v>42992.8239102315</v>
      </c>
      <c r="L172" s="3083" t="s">
        <v>16</v>
      </c>
      <c r="M172" s="3084"/>
      <c r="N172" s="3085"/>
      <c r="O172" s="3086"/>
      <c r="P172" s="3087" t="s">
        <v>47</v>
      </c>
      <c r="Q172" s="3088">
        <f>TODAY()-j172</f>
      </c>
      <c r="R172" s="3089">
        <f>VLOOKUP(A172,'Last Week'!A4:I395,7,FALSE)</f>
      </c>
    </row>
    <row r="173" ht="35.05" customHeight="true">
      <c r="A173" s="3090" t="s">
        <v>452</v>
      </c>
      <c r="B173" s="3091" t="s">
        <v>453</v>
      </c>
      <c r="C173" s="3092"/>
      <c r="D173" s="3093" t="s">
        <v>62</v>
      </c>
      <c r="E173" s="3094" t="s">
        <v>176</v>
      </c>
      <c r="F173" s="3095"/>
      <c r="G173" s="3096" t="s">
        <v>15</v>
      </c>
      <c r="H173" s="3097" t="n">
        <v>42995.9588665278</v>
      </c>
      <c r="I173" s="3098" t="n">
        <v>42995.9588665278</v>
      </c>
      <c r="J173" s="3099" t="n">
        <v>42992.828112338</v>
      </c>
      <c r="K173" s="3100" t="n">
        <v>42992.828112338</v>
      </c>
      <c r="L173" s="3101" t="s">
        <v>16</v>
      </c>
      <c r="M173" s="3102"/>
      <c r="N173" s="3103"/>
      <c r="O173" s="3104"/>
      <c r="P173" s="3105" t="s">
        <v>17</v>
      </c>
      <c r="Q173" s="3106">
        <f>TODAY()-j173</f>
      </c>
      <c r="R173" s="3107">
        <f>VLOOKUP(A173,'Last Week'!A4:I395,7,FALSE)</f>
      </c>
    </row>
    <row r="174" ht="23.85" customHeight="true">
      <c r="A174" s="3108" t="s">
        <v>454</v>
      </c>
      <c r="B174" s="3109" t="s">
        <v>455</v>
      </c>
      <c r="C174" s="3110"/>
      <c r="D174" s="3111" t="s">
        <v>456</v>
      </c>
      <c r="E174" s="3112" t="s">
        <v>29</v>
      </c>
      <c r="F174" s="3113"/>
      <c r="G174" s="3114" t="s">
        <v>15</v>
      </c>
      <c r="H174" s="3115" t="n">
        <v>42998.0847805324</v>
      </c>
      <c r="I174" s="3116" t="n">
        <v>42998.0847805324</v>
      </c>
      <c r="J174" s="3117" t="n">
        <v>42992.9584274074</v>
      </c>
      <c r="K174" s="3118" t="n">
        <v>42992.9584274074</v>
      </c>
      <c r="L174" s="3119" t="s">
        <v>16</v>
      </c>
      <c r="M174" s="3120"/>
      <c r="N174" s="3121"/>
      <c r="O174" s="3122"/>
      <c r="P174" s="3123" t="s">
        <v>17</v>
      </c>
      <c r="Q174" s="3124">
        <f>TODAY()-j174</f>
      </c>
      <c r="R174" s="3125">
        <f>VLOOKUP(A174,'Last Week'!A4:I395,7,FALSE)</f>
      </c>
    </row>
    <row r="175" ht="23.85" customHeight="true">
      <c r="A175" s="3126" t="s">
        <v>457</v>
      </c>
      <c r="B175" s="3127" t="s">
        <v>458</v>
      </c>
      <c r="C175" s="3128"/>
      <c r="D175" s="3129" t="s">
        <v>459</v>
      </c>
      <c r="E175" s="3130" t="s">
        <v>29</v>
      </c>
      <c r="F175" s="3131"/>
      <c r="G175" s="3132" t="s">
        <v>15</v>
      </c>
      <c r="H175" s="3133" t="n">
        <v>42996.4425686921</v>
      </c>
      <c r="I175" s="3134" t="n">
        <v>42996.4425686921</v>
      </c>
      <c r="J175" s="3135" t="n">
        <v>42993.710660162</v>
      </c>
      <c r="K175" s="3136" t="n">
        <v>42993.710660162</v>
      </c>
      <c r="L175" s="3137" t="s">
        <v>16</v>
      </c>
      <c r="M175" s="3138"/>
      <c r="N175" s="3139"/>
      <c r="O175" s="3140"/>
      <c r="P175" s="3141" t="s">
        <v>47</v>
      </c>
      <c r="Q175" s="3142">
        <f>TODAY()-j175</f>
      </c>
      <c r="R175" s="3143">
        <f>VLOOKUP(A175,'Last Week'!A4:I395,7,FALSE)</f>
      </c>
    </row>
    <row r="176" ht="23.85" customHeight="true">
      <c r="A176" s="3144" t="s">
        <v>460</v>
      </c>
      <c r="B176" s="3145" t="s">
        <v>461</v>
      </c>
      <c r="C176" s="3146"/>
      <c r="D176" s="3147" t="s">
        <v>462</v>
      </c>
      <c r="E176" s="3148" t="s">
        <v>209</v>
      </c>
      <c r="F176" s="3149"/>
      <c r="G176" s="3150" t="s">
        <v>15</v>
      </c>
      <c r="H176" s="3151" t="n">
        <v>42999.0844764005</v>
      </c>
      <c r="I176" s="3152" t="n">
        <v>42999.0844764005</v>
      </c>
      <c r="J176" s="3153" t="n">
        <v>42996.4945518981</v>
      </c>
      <c r="K176" s="3154" t="n">
        <v>42996.4945518981</v>
      </c>
      <c r="L176" s="3155" t="s">
        <v>16</v>
      </c>
      <c r="M176" s="3156"/>
      <c r="N176" s="3157"/>
      <c r="O176" s="3158"/>
      <c r="P176" s="3159" t="s">
        <v>59</v>
      </c>
      <c r="Q176" s="3160">
        <f>TODAY()-j176</f>
      </c>
      <c r="R176" s="3161">
        <f>VLOOKUP(A176,'Last Week'!A4:I395,7,FALSE)</f>
      </c>
    </row>
    <row r="177" ht="23.85" customHeight="true">
      <c r="A177" s="3162" t="s">
        <v>463</v>
      </c>
      <c r="B177" s="3163" t="s">
        <v>464</v>
      </c>
      <c r="C177" s="3164"/>
      <c r="D177" s="3165" t="s">
        <v>465</v>
      </c>
      <c r="E177" s="3166" t="s">
        <v>216</v>
      </c>
      <c r="F177" s="3167"/>
      <c r="G177" s="3168" t="s">
        <v>15</v>
      </c>
      <c r="H177" s="3169" t="n">
        <v>42997.5278165394</v>
      </c>
      <c r="I177" s="3170" t="n">
        <v>42997.5278165394</v>
      </c>
      <c r="J177" s="3171" t="n">
        <v>42997.4407713773</v>
      </c>
      <c r="K177" s="3172" t="n">
        <v>42997.4407713773</v>
      </c>
      <c r="L177" s="3173" t="s">
        <v>16</v>
      </c>
      <c r="M177" s="3174"/>
      <c r="N177" s="3175"/>
      <c r="O177" s="3176"/>
      <c r="P177" s="3177" t="s">
        <v>47</v>
      </c>
      <c r="Q177" s="3178">
        <f>TODAY()-j177</f>
      </c>
      <c r="R177" s="3179">
        <f>VLOOKUP(A177,'Last Week'!A4:I395,7,FALSE)</f>
      </c>
    </row>
    <row r="178" ht="23.85" customHeight="true">
      <c r="A178" s="3180" t="s">
        <v>466</v>
      </c>
      <c r="B178" s="3181" t="s">
        <v>467</v>
      </c>
      <c r="C178" s="3182"/>
      <c r="D178" s="3183" t="s">
        <v>468</v>
      </c>
      <c r="E178" s="3184" t="s">
        <v>134</v>
      </c>
      <c r="F178" s="3185"/>
      <c r="G178" s="3186" t="s">
        <v>15</v>
      </c>
      <c r="H178" s="3187" t="n">
        <v>43000.7609580903</v>
      </c>
      <c r="I178" s="3188" t="n">
        <v>43000.7609580903</v>
      </c>
      <c r="J178" s="3189" t="n">
        <v>42997.9732951505</v>
      </c>
      <c r="K178" s="3190" t="n">
        <v>42997.9732951505</v>
      </c>
      <c r="L178" s="3191" t="s">
        <v>16</v>
      </c>
      <c r="M178" s="3192"/>
      <c r="N178" s="3193"/>
      <c r="O178" s="3194"/>
      <c r="P178" s="3195" t="s">
        <v>47</v>
      </c>
      <c r="Q178" s="3196">
        <f>TODAY()-j178</f>
      </c>
      <c r="R178" s="3197">
        <f>VLOOKUP(A178,'Last Week'!A4:I395,7,FALSE)</f>
      </c>
    </row>
    <row r="179" ht="23.85" customHeight="true">
      <c r="A179" s="3198" t="s">
        <v>469</v>
      </c>
      <c r="B179" s="3199" t="s">
        <v>470</v>
      </c>
      <c r="C179" s="3200"/>
      <c r="D179" s="3201" t="s">
        <v>471</v>
      </c>
      <c r="E179" s="3202" t="s">
        <v>471</v>
      </c>
      <c r="F179" s="3203"/>
      <c r="G179" s="3204" t="s">
        <v>15</v>
      </c>
      <c r="H179" s="3205" t="n">
        <v>43002.7086683796</v>
      </c>
      <c r="I179" s="3206" t="n">
        <v>43002.7086683796</v>
      </c>
      <c r="J179" s="3207" t="n">
        <v>42998.6950111921</v>
      </c>
      <c r="K179" s="3208" t="n">
        <v>42998.6950111921</v>
      </c>
      <c r="L179" s="3209" t="s">
        <v>16</v>
      </c>
      <c r="M179" s="3210"/>
      <c r="N179" s="3211"/>
      <c r="O179" s="3212"/>
      <c r="P179" s="3213" t="s">
        <v>47</v>
      </c>
      <c r="Q179" s="3214">
        <f>TODAY()-j179</f>
      </c>
      <c r="R179" s="3215">
        <f>VLOOKUP(A179,'Last Week'!A4:I395,7,FALSE)</f>
      </c>
    </row>
    <row r="180" ht="35.05" customHeight="true">
      <c r="A180" s="3216" t="s">
        <v>472</v>
      </c>
      <c r="B180" s="3217" t="s">
        <v>473</v>
      </c>
      <c r="C180" s="3218"/>
      <c r="D180" s="3219" t="s">
        <v>474</v>
      </c>
      <c r="E180" s="3220" t="s">
        <v>21</v>
      </c>
      <c r="F180" s="3221"/>
      <c r="G180" s="3222" t="s">
        <v>15</v>
      </c>
      <c r="H180" s="3223" t="n">
        <v>43026.5320718056</v>
      </c>
      <c r="I180" s="3224" t="n">
        <v>43026.5320718056</v>
      </c>
      <c r="J180" s="3225" t="n">
        <v>42999.4288978009</v>
      </c>
      <c r="K180" s="3226" t="n">
        <v>42999.4288978009</v>
      </c>
      <c r="L180" s="3227" t="s">
        <v>16</v>
      </c>
      <c r="M180" s="3228"/>
      <c r="N180" s="3229"/>
      <c r="O180" s="3230"/>
      <c r="P180" s="3231" t="s">
        <v>47</v>
      </c>
      <c r="Q180" s="3232">
        <f>TODAY()-j180</f>
      </c>
      <c r="R180" s="3233">
        <f>VLOOKUP(A180,'Last Week'!A4:I395,7,FALSE)</f>
      </c>
    </row>
    <row r="181" ht="23.85" customHeight="true">
      <c r="A181" s="3234" t="s">
        <v>475</v>
      </c>
      <c r="B181" s="3235" t="s">
        <v>476</v>
      </c>
      <c r="C181" s="3236"/>
      <c r="D181" s="3237" t="s">
        <v>477</v>
      </c>
      <c r="E181" s="3238" t="s">
        <v>38</v>
      </c>
      <c r="F181" s="3239"/>
      <c r="G181" s="3240" t="s">
        <v>15</v>
      </c>
      <c r="H181" s="3241" t="n">
        <v>43002.7552525463</v>
      </c>
      <c r="I181" s="3242" t="n">
        <v>43002.7552525463</v>
      </c>
      <c r="J181" s="3243" t="n">
        <v>42999.4811560185</v>
      </c>
      <c r="K181" s="3244" t="n">
        <v>42999.4811560185</v>
      </c>
      <c r="L181" s="3245" t="s">
        <v>16</v>
      </c>
      <c r="M181" s="3246"/>
      <c r="N181" s="3247"/>
      <c r="O181" s="3248"/>
      <c r="P181" s="3249" t="s">
        <v>47</v>
      </c>
      <c r="Q181" s="3250">
        <f>TODAY()-j181</f>
      </c>
      <c r="R181" s="3251">
        <f>VLOOKUP(A181,'Last Week'!A4:I395,7,FALSE)</f>
      </c>
    </row>
    <row r="182" ht="35.05" customHeight="true">
      <c r="A182" s="3252" t="s">
        <v>478</v>
      </c>
      <c r="B182" s="3253" t="s">
        <v>479</v>
      </c>
      <c r="C182" s="3254"/>
      <c r="D182" s="3255" t="s">
        <v>480</v>
      </c>
      <c r="E182" s="3256" t="s">
        <v>34</v>
      </c>
      <c r="F182" s="3257"/>
      <c r="G182" s="3258" t="s">
        <v>15</v>
      </c>
      <c r="H182" s="3259" t="n">
        <v>43008.3553337384</v>
      </c>
      <c r="I182" s="3260" t="n">
        <v>43008.3553337384</v>
      </c>
      <c r="J182" s="3261" t="n">
        <v>43000.5853100694</v>
      </c>
      <c r="K182" s="3262" t="n">
        <v>43000.5853100694</v>
      </c>
      <c r="L182" s="3263" t="s">
        <v>16</v>
      </c>
      <c r="M182" s="3264"/>
      <c r="N182" s="3265"/>
      <c r="O182" s="3266"/>
      <c r="P182" s="3267" t="s">
        <v>47</v>
      </c>
      <c r="Q182" s="3268">
        <f>TODAY()-j182</f>
      </c>
      <c r="R182" s="3269">
        <f>VLOOKUP(A182,'Last Week'!A4:I395,7,FALSE)</f>
      </c>
    </row>
    <row r="183" ht="23.85" customHeight="true">
      <c r="A183" s="3270" t="s">
        <v>481</v>
      </c>
      <c r="B183" s="3271" t="s">
        <v>482</v>
      </c>
      <c r="C183" s="3272"/>
      <c r="D183" s="3273" t="s">
        <v>483</v>
      </c>
      <c r="E183" s="3274" t="s">
        <v>73</v>
      </c>
      <c r="F183" s="3275"/>
      <c r="G183" s="3276" t="s">
        <v>15</v>
      </c>
      <c r="H183" s="3277" t="n">
        <v>43005.0853544097</v>
      </c>
      <c r="I183" s="3278" t="n">
        <v>43005.0853544097</v>
      </c>
      <c r="J183" s="3279" t="n">
        <v>43003.4768446644</v>
      </c>
      <c r="K183" s="3280" t="n">
        <v>43003.4768446644</v>
      </c>
      <c r="L183" s="3281" t="s">
        <v>16</v>
      </c>
      <c r="M183" s="3282"/>
      <c r="N183" s="3283"/>
      <c r="O183" s="3284"/>
      <c r="P183" s="3285" t="s">
        <v>59</v>
      </c>
      <c r="Q183" s="3286">
        <f>TODAY()-j183</f>
      </c>
      <c r="R183" s="3287">
        <f>VLOOKUP(A183,'Last Week'!A4:I395,7,FALSE)</f>
      </c>
    </row>
    <row r="184" ht="23.85" customHeight="true">
      <c r="A184" s="3288" t="s">
        <v>484</v>
      </c>
      <c r="B184" s="3289" t="s">
        <v>485</v>
      </c>
      <c r="C184" s="3290"/>
      <c r="D184" s="3291" t="s">
        <v>477</v>
      </c>
      <c r="E184" s="3292" t="s">
        <v>216</v>
      </c>
      <c r="F184" s="3293"/>
      <c r="G184" s="3294" t="s">
        <v>15</v>
      </c>
      <c r="H184" s="3295" t="n">
        <v>43004.7347815741</v>
      </c>
      <c r="I184" s="3296" t="n">
        <v>43004.7347815741</v>
      </c>
      <c r="J184" s="3297" t="n">
        <v>43003.4982705093</v>
      </c>
      <c r="K184" s="3298" t="n">
        <v>43003.4982705093</v>
      </c>
      <c r="L184" s="3299" t="s">
        <v>16</v>
      </c>
      <c r="M184" s="3300"/>
      <c r="N184" s="3301"/>
      <c r="O184" s="3302"/>
      <c r="P184" s="3303" t="s">
        <v>47</v>
      </c>
      <c r="Q184" s="3304">
        <f>TODAY()-j184</f>
      </c>
      <c r="R184" s="3305">
        <f>VLOOKUP(A184,'Last Week'!A4:I395,7,FALSE)</f>
      </c>
    </row>
    <row r="185" ht="23.85" customHeight="true">
      <c r="A185" s="3306" t="s">
        <v>486</v>
      </c>
      <c r="B185" s="3307" t="s">
        <v>487</v>
      </c>
      <c r="C185" s="3308"/>
      <c r="D185" s="3309" t="s">
        <v>488</v>
      </c>
      <c r="E185" s="3310" t="s">
        <v>116</v>
      </c>
      <c r="F185" s="3311"/>
      <c r="G185" s="3312" t="s">
        <v>15</v>
      </c>
      <c r="H185" s="3313" t="n">
        <v>43005.4515341088</v>
      </c>
      <c r="I185" s="3314" t="n">
        <v>43005.4515341088</v>
      </c>
      <c r="J185" s="3315" t="n">
        <v>43004.4076530324</v>
      </c>
      <c r="K185" s="3316" t="n">
        <v>43004.4076530324</v>
      </c>
      <c r="L185" s="3317" t="s">
        <v>16</v>
      </c>
      <c r="M185" s="3318"/>
      <c r="N185" s="3319"/>
      <c r="O185" s="3320"/>
      <c r="P185" s="3321" t="s">
        <v>47</v>
      </c>
      <c r="Q185" s="3322">
        <f>TODAY()-j185</f>
      </c>
      <c r="R185" s="3323">
        <f>VLOOKUP(A185,'Last Week'!A4:I395,7,FALSE)</f>
      </c>
    </row>
    <row r="186" ht="35.05" customHeight="true">
      <c r="A186" s="3324" t="s">
        <v>489</v>
      </c>
      <c r="B186" s="3325" t="s">
        <v>490</v>
      </c>
      <c r="C186" s="3326"/>
      <c r="D186" s="3327" t="s">
        <v>62</v>
      </c>
      <c r="E186" s="3328" t="s">
        <v>29</v>
      </c>
      <c r="F186" s="3329"/>
      <c r="G186" s="3330" t="s">
        <v>15</v>
      </c>
      <c r="H186" s="3331" t="n">
        <v>43007.1253609607</v>
      </c>
      <c r="I186" s="3332" t="n">
        <v>43007.1253609607</v>
      </c>
      <c r="J186" s="3333" t="n">
        <v>43004.9838006019</v>
      </c>
      <c r="K186" s="3334" t="n">
        <v>43004.9838006019</v>
      </c>
      <c r="L186" s="3335" t="s">
        <v>16</v>
      </c>
      <c r="M186" s="3336"/>
      <c r="N186" s="3337"/>
      <c r="O186" s="3338"/>
      <c r="P186" s="3339" t="s">
        <v>17</v>
      </c>
      <c r="Q186" s="3340">
        <f>TODAY()-j186</f>
      </c>
      <c r="R186" s="3341">
        <f>VLOOKUP(A186,'Last Week'!A4:I395,7,FALSE)</f>
      </c>
    </row>
    <row r="187" ht="23.85" customHeight="true">
      <c r="A187" s="3342" t="s">
        <v>491</v>
      </c>
      <c r="B187" s="3343" t="s">
        <v>492</v>
      </c>
      <c r="C187" s="3344"/>
      <c r="D187" s="3345" t="s">
        <v>493</v>
      </c>
      <c r="E187" s="3346" t="s">
        <v>73</v>
      </c>
      <c r="F187" s="3347"/>
      <c r="G187" s="3348" t="s">
        <v>15</v>
      </c>
      <c r="H187" s="3349" t="n">
        <v>43010.3900666088</v>
      </c>
      <c r="I187" s="3350" t="n">
        <v>43010.3900666088</v>
      </c>
      <c r="J187" s="3351" t="n">
        <v>43005.7084501042</v>
      </c>
      <c r="K187" s="3352" t="n">
        <v>43005.7084501042</v>
      </c>
      <c r="L187" s="3353" t="s">
        <v>16</v>
      </c>
      <c r="M187" s="3354"/>
      <c r="N187" s="3355"/>
      <c r="O187" s="3356"/>
      <c r="P187" s="3357" t="s">
        <v>47</v>
      </c>
      <c r="Q187" s="3358">
        <f>TODAY()-j187</f>
      </c>
      <c r="R187" s="3359">
        <f>VLOOKUP(A187,'Last Week'!A4:I395,7,FALSE)</f>
      </c>
    </row>
    <row r="188" ht="23.85" customHeight="true">
      <c r="A188" s="3360" t="s">
        <v>494</v>
      </c>
      <c r="B188" s="3361" t="s">
        <v>297</v>
      </c>
      <c r="C188" s="3362"/>
      <c r="D188" s="3363" t="s">
        <v>495</v>
      </c>
      <c r="E188" s="3364" t="s">
        <v>82</v>
      </c>
      <c r="F188" s="3365"/>
      <c r="G188" s="3366" t="s">
        <v>15</v>
      </c>
      <c r="H188" s="3367" t="n">
        <v>43008.0850162153</v>
      </c>
      <c r="I188" s="3368" t="n">
        <v>43008.0850162153</v>
      </c>
      <c r="J188" s="3369" t="n">
        <v>43005.7259953125</v>
      </c>
      <c r="K188" s="3370" t="n">
        <v>43005.7259953125</v>
      </c>
      <c r="L188" s="3371" t="s">
        <v>16</v>
      </c>
      <c r="M188" s="3372"/>
      <c r="N188" s="3373"/>
      <c r="O188" s="3374"/>
      <c r="P188" s="3375" t="s">
        <v>59</v>
      </c>
      <c r="Q188" s="3376">
        <f>TODAY()-j188</f>
      </c>
      <c r="R188" s="3377">
        <f>VLOOKUP(A188,'Last Week'!A4:I395,7,FALSE)</f>
      </c>
    </row>
    <row r="189" ht="23.85" customHeight="true">
      <c r="A189" s="3378" t="s">
        <v>496</v>
      </c>
      <c r="B189" s="3379" t="s">
        <v>311</v>
      </c>
      <c r="C189" s="3380"/>
      <c r="D189" s="3381" t="s">
        <v>55</v>
      </c>
      <c r="E189" s="3382" t="s">
        <v>29</v>
      </c>
      <c r="F189" s="3383"/>
      <c r="G189" s="3384" t="s">
        <v>15</v>
      </c>
      <c r="H189" s="3385" t="n">
        <v>43013.0850098843</v>
      </c>
      <c r="I189" s="3386" t="n">
        <v>43013.0850098843</v>
      </c>
      <c r="J189" s="3387" t="n">
        <v>43010.870635081</v>
      </c>
      <c r="K189" s="3388" t="n">
        <v>43010.870635081</v>
      </c>
      <c r="L189" s="3389" t="s">
        <v>16</v>
      </c>
      <c r="M189" s="3390"/>
      <c r="N189" s="3391"/>
      <c r="O189" s="3392"/>
      <c r="P189" s="3393" t="s">
        <v>17</v>
      </c>
      <c r="Q189" s="3394">
        <f>TODAY()-j189</f>
      </c>
      <c r="R189" s="3395">
        <f>VLOOKUP(A189,'Last Week'!A4:I395,7,FALSE)</f>
      </c>
    </row>
    <row r="190" ht="23.85" customHeight="true">
      <c r="A190" s="3396" t="s">
        <v>497</v>
      </c>
      <c r="B190" s="3397" t="s">
        <v>498</v>
      </c>
      <c r="C190" s="3398"/>
      <c r="D190" s="3399" t="s">
        <v>55</v>
      </c>
      <c r="E190" s="3400" t="s">
        <v>82</v>
      </c>
      <c r="F190" s="3401"/>
      <c r="G190" s="3402" t="s">
        <v>15</v>
      </c>
      <c r="H190" s="3403" t="n">
        <v>43015.7503870486</v>
      </c>
      <c r="I190" s="3404" t="n">
        <v>43015.7503870486</v>
      </c>
      <c r="J190" s="3405" t="n">
        <v>43011.404281956</v>
      </c>
      <c r="K190" s="3406" t="n">
        <v>43011.404281956</v>
      </c>
      <c r="L190" s="3407" t="s">
        <v>16</v>
      </c>
      <c r="M190" s="3408"/>
      <c r="N190" s="3409"/>
      <c r="O190" s="3410"/>
      <c r="P190" s="3411" t="s">
        <v>59</v>
      </c>
      <c r="Q190" s="3412">
        <f>TODAY()-j190</f>
      </c>
      <c r="R190" s="3413">
        <f>VLOOKUP(A190,'Last Week'!A4:I395,7,FALSE)</f>
      </c>
    </row>
    <row r="191" ht="23.85" customHeight="true">
      <c r="A191" s="3414" t="s">
        <v>499</v>
      </c>
      <c r="B191" s="3415" t="s">
        <v>500</v>
      </c>
      <c r="C191" s="3416"/>
      <c r="D191" s="3417" t="s">
        <v>501</v>
      </c>
      <c r="E191" s="3418" t="s">
        <v>34</v>
      </c>
      <c r="F191" s="3419"/>
      <c r="G191" s="3420" t="s">
        <v>15</v>
      </c>
      <c r="H191" s="3421" t="n">
        <v>43011.736687257</v>
      </c>
      <c r="I191" s="3422" t="n">
        <v>43011.736687257</v>
      </c>
      <c r="J191" s="3423" t="n">
        <v>43011.4171617593</v>
      </c>
      <c r="K191" s="3424" t="n">
        <v>43011.4171617593</v>
      </c>
      <c r="L191" s="3425" t="s">
        <v>16</v>
      </c>
      <c r="M191" s="3426"/>
      <c r="N191" s="3427"/>
      <c r="O191" s="3428"/>
      <c r="P191" s="3429" t="s">
        <v>59</v>
      </c>
      <c r="Q191" s="3430">
        <f>TODAY()-j191</f>
      </c>
      <c r="R191" s="3431">
        <f>VLOOKUP(A191,'Last Week'!A4:I395,7,FALSE)</f>
      </c>
    </row>
    <row r="192" ht="23.85" customHeight="true">
      <c r="A192" s="3432" t="s">
        <v>502</v>
      </c>
      <c r="B192" s="3433" t="s">
        <v>301</v>
      </c>
      <c r="C192" s="3434"/>
      <c r="D192" s="3435" t="s">
        <v>126</v>
      </c>
      <c r="E192" s="3436" t="s">
        <v>127</v>
      </c>
      <c r="F192" s="3437"/>
      <c r="G192" s="3438" t="s">
        <v>15</v>
      </c>
      <c r="H192" s="3439" t="n">
        <v>43013.3337767824</v>
      </c>
      <c r="I192" s="3440" t="n">
        <v>43013.3337767824</v>
      </c>
      <c r="J192" s="3441" t="n">
        <v>43011.6593521296</v>
      </c>
      <c r="K192" s="3442" t="n">
        <v>43011.6593521296</v>
      </c>
      <c r="L192" s="3443" t="s">
        <v>16</v>
      </c>
      <c r="M192" s="3444"/>
      <c r="N192" s="3445"/>
      <c r="O192" s="3446"/>
      <c r="P192" s="3447" t="s">
        <v>17</v>
      </c>
      <c r="Q192" s="3448">
        <f>TODAY()-j192</f>
      </c>
      <c r="R192" s="3449">
        <f>VLOOKUP(A192,'Last Week'!A4:I395,7,FALSE)</f>
      </c>
    </row>
    <row r="193" ht="35.05" customHeight="true">
      <c r="A193" s="3450" t="s">
        <v>503</v>
      </c>
      <c r="B193" s="3451" t="s">
        <v>428</v>
      </c>
      <c r="C193" s="3452"/>
      <c r="D193" s="3453" t="s">
        <v>141</v>
      </c>
      <c r="E193" s="3454" t="s">
        <v>29</v>
      </c>
      <c r="F193" s="3455"/>
      <c r="G193" s="3456" t="s">
        <v>15</v>
      </c>
      <c r="H193" s="3457" t="n">
        <v>43015.0852073727</v>
      </c>
      <c r="I193" s="3458" t="n">
        <v>43015.0852073727</v>
      </c>
      <c r="J193" s="3459" t="n">
        <v>43012.8498615509</v>
      </c>
      <c r="K193" s="3460" t="n">
        <v>43012.8498615509</v>
      </c>
      <c r="L193" s="3461" t="s">
        <v>16</v>
      </c>
      <c r="M193" s="3462"/>
      <c r="N193" s="3463"/>
      <c r="O193" s="3464"/>
      <c r="P193" s="3465" t="s">
        <v>17</v>
      </c>
      <c r="Q193" s="3466">
        <f>TODAY()-j193</f>
      </c>
      <c r="R193" s="3467">
        <f>VLOOKUP(A193,'Last Week'!A4:I395,7,FALSE)</f>
      </c>
    </row>
    <row r="194" ht="57.45" customHeight="true">
      <c r="A194" s="3468" t="s">
        <v>504</v>
      </c>
      <c r="B194" s="3469" t="s">
        <v>505</v>
      </c>
      <c r="C194" s="3470"/>
      <c r="D194" s="3471" t="s">
        <v>506</v>
      </c>
      <c r="E194" s="3472" t="s">
        <v>29</v>
      </c>
      <c r="F194" s="3473"/>
      <c r="G194" s="3474" t="s">
        <v>15</v>
      </c>
      <c r="H194" s="3475" t="n">
        <v>43016.753568669</v>
      </c>
      <c r="I194" s="3476" t="n">
        <v>43016.753568669</v>
      </c>
      <c r="J194" s="3477" t="n">
        <v>43012.9352886574</v>
      </c>
      <c r="K194" s="3478" t="n">
        <v>43012.9352886574</v>
      </c>
      <c r="L194" s="3479" t="s">
        <v>16</v>
      </c>
      <c r="M194" s="3480"/>
      <c r="N194" s="3481"/>
      <c r="O194" s="3482"/>
      <c r="P194" s="3483" t="s">
        <v>17</v>
      </c>
      <c r="Q194" s="3484">
        <f>TODAY()-j194</f>
      </c>
      <c r="R194" s="3485">
        <f>VLOOKUP(A194,'Last Week'!A4:I395,7,FALSE)</f>
      </c>
    </row>
    <row r="195" ht="35.05" customHeight="true">
      <c r="A195" s="3486" t="s">
        <v>507</v>
      </c>
      <c r="B195" s="3487" t="s">
        <v>479</v>
      </c>
      <c r="C195" s="3488"/>
      <c r="D195" s="3489" t="s">
        <v>480</v>
      </c>
      <c r="E195" s="3490" t="s">
        <v>242</v>
      </c>
      <c r="F195" s="3491"/>
      <c r="G195" s="3492" t="s">
        <v>15</v>
      </c>
      <c r="H195" s="3493" t="n">
        <v>43045.3889818519</v>
      </c>
      <c r="I195" s="3494" t="n">
        <v>43045.3889818519</v>
      </c>
      <c r="J195" s="3495" t="n">
        <v>43014.4006586343</v>
      </c>
      <c r="K195" s="3496" t="n">
        <v>43014.4006586343</v>
      </c>
      <c r="L195" s="3497" t="s">
        <v>16</v>
      </c>
      <c r="M195" s="3498"/>
      <c r="N195" s="3499"/>
      <c r="O195" s="3500"/>
      <c r="P195" s="3501" t="s">
        <v>47</v>
      </c>
      <c r="Q195" s="3502">
        <f>TODAY()-j195</f>
      </c>
      <c r="R195" s="3503">
        <f>VLOOKUP(A195,'Last Week'!A4:I395,7,FALSE)</f>
      </c>
    </row>
    <row r="196" ht="35.05" customHeight="true">
      <c r="A196" s="3504" t="s">
        <v>508</v>
      </c>
      <c r="B196" s="3505" t="s">
        <v>509</v>
      </c>
      <c r="C196" s="3506"/>
      <c r="D196" s="3507" t="s">
        <v>155</v>
      </c>
      <c r="E196" s="3508" t="s">
        <v>56</v>
      </c>
      <c r="F196" s="3509"/>
      <c r="G196" s="3510" t="s">
        <v>15</v>
      </c>
      <c r="H196" s="3511" t="n">
        <v>43019.085445706</v>
      </c>
      <c r="I196" s="3512" t="n">
        <v>43019.085445706</v>
      </c>
      <c r="J196" s="3513" t="n">
        <v>43014.4646585185</v>
      </c>
      <c r="K196" s="3514" t="n">
        <v>43014.4646585185</v>
      </c>
      <c r="L196" s="3515" t="s">
        <v>16</v>
      </c>
      <c r="M196" s="3516"/>
      <c r="N196" s="3517"/>
      <c r="O196" s="3518"/>
      <c r="P196" s="3519" t="s">
        <v>47</v>
      </c>
      <c r="Q196" s="3520">
        <f>TODAY()-j196</f>
      </c>
      <c r="R196" s="3521">
        <f>VLOOKUP(A196,'Last Week'!A4:I395,7,FALSE)</f>
      </c>
    </row>
    <row r="197" ht="57.45" customHeight="true">
      <c r="A197" s="3522" t="s">
        <v>510</v>
      </c>
      <c r="B197" s="3523" t="s">
        <v>511</v>
      </c>
      <c r="C197" s="3524"/>
      <c r="D197" s="3525" t="s">
        <v>512</v>
      </c>
      <c r="E197" s="3526" t="s">
        <v>73</v>
      </c>
      <c r="F197" s="3527"/>
      <c r="G197" s="3528" t="s">
        <v>15</v>
      </c>
      <c r="H197" s="3529" t="n">
        <v>43017.6978605671</v>
      </c>
      <c r="I197" s="3530" t="n">
        <v>43017.6978605671</v>
      </c>
      <c r="J197" s="3531" t="n">
        <v>43017.4056353009</v>
      </c>
      <c r="K197" s="3532" t="n">
        <v>43017.4056353009</v>
      </c>
      <c r="L197" s="3533" t="s">
        <v>16</v>
      </c>
      <c r="M197" s="3534"/>
      <c r="N197" s="3535"/>
      <c r="O197" s="3536"/>
      <c r="P197" s="3537" t="s">
        <v>47</v>
      </c>
      <c r="Q197" s="3538">
        <f>TODAY()-j197</f>
      </c>
      <c r="R197" s="3539">
        <f>VLOOKUP(A197,'Last Week'!A4:I395,7,FALSE)</f>
      </c>
    </row>
    <row r="198" ht="23.85" customHeight="true">
      <c r="A198" s="3540" t="s">
        <v>513</v>
      </c>
      <c r="B198" s="3541" t="s">
        <v>514</v>
      </c>
      <c r="C198" s="3542"/>
      <c r="D198" s="3543" t="s">
        <v>515</v>
      </c>
      <c r="E198" s="3544" t="s">
        <v>138</v>
      </c>
      <c r="F198" s="3545"/>
      <c r="G198" s="3546" t="s">
        <v>15</v>
      </c>
      <c r="H198" s="3547" t="n">
        <v>43021.0847239236</v>
      </c>
      <c r="I198" s="3548" t="n">
        <v>43021.0847239236</v>
      </c>
      <c r="J198" s="3549" t="n">
        <v>43017.5513624884</v>
      </c>
      <c r="K198" s="3550" t="n">
        <v>43017.5513624884</v>
      </c>
      <c r="L198" s="3551" t="s">
        <v>16</v>
      </c>
      <c r="M198" s="3552"/>
      <c r="N198" s="3553"/>
      <c r="O198" s="3554"/>
      <c r="P198" s="3555" t="s">
        <v>47</v>
      </c>
      <c r="Q198" s="3556">
        <f>TODAY()-j198</f>
      </c>
      <c r="R198" s="3557">
        <f>VLOOKUP(A198,'Last Week'!A4:I395,7,FALSE)</f>
      </c>
    </row>
    <row r="199" ht="23.85" customHeight="true">
      <c r="A199" s="3558" t="s">
        <v>516</v>
      </c>
      <c r="B199" s="3559" t="s">
        <v>517</v>
      </c>
      <c r="C199" s="3560"/>
      <c r="D199" s="3561" t="s">
        <v>518</v>
      </c>
      <c r="E199" s="3562" t="s">
        <v>34</v>
      </c>
      <c r="F199" s="3563"/>
      <c r="G199" s="3564" t="s">
        <v>15</v>
      </c>
      <c r="H199" s="3565" t="n">
        <v>43020.7816481829</v>
      </c>
      <c r="I199" s="3566" t="n">
        <v>43020.7816481829</v>
      </c>
      <c r="J199" s="3567" t="n">
        <v>43017.5810883102</v>
      </c>
      <c r="K199" s="3568" t="n">
        <v>43017.5810883102</v>
      </c>
      <c r="L199" s="3569" t="s">
        <v>16</v>
      </c>
      <c r="M199" s="3570"/>
      <c r="N199" s="3571"/>
      <c r="O199" s="3572"/>
      <c r="P199" s="3573" t="s">
        <v>47</v>
      </c>
      <c r="Q199" s="3574">
        <f>TODAY()-j199</f>
      </c>
      <c r="R199" s="3575">
        <f>VLOOKUP(A199,'Last Week'!A4:I395,7,FALSE)</f>
      </c>
    </row>
    <row r="200" ht="23.85" customHeight="true">
      <c r="A200" s="3576" t="s">
        <v>519</v>
      </c>
      <c r="B200" s="3577" t="s">
        <v>520</v>
      </c>
      <c r="C200" s="3578"/>
      <c r="D200" s="3579" t="s">
        <v>521</v>
      </c>
      <c r="E200" s="3580" t="s">
        <v>242</v>
      </c>
      <c r="F200" s="3581"/>
      <c r="G200" s="3582" t="s">
        <v>15</v>
      </c>
      <c r="H200" s="3583" t="n">
        <v>43018.5198739583</v>
      </c>
      <c r="I200" s="3584" t="n">
        <v>43018.5198739583</v>
      </c>
      <c r="J200" s="3585" t="n">
        <v>43017.6672033681</v>
      </c>
      <c r="K200" s="3586" t="n">
        <v>43017.6672033681</v>
      </c>
      <c r="L200" s="3587" t="s">
        <v>16</v>
      </c>
      <c r="M200" s="3588"/>
      <c r="N200" s="3589"/>
      <c r="O200" s="3590"/>
      <c r="P200" s="3591" t="s">
        <v>47</v>
      </c>
      <c r="Q200" s="3592">
        <f>TODAY()-j200</f>
      </c>
      <c r="R200" s="3593">
        <f>VLOOKUP(A200,'Last Week'!A4:I395,7,FALSE)</f>
      </c>
    </row>
    <row r="201" ht="35.05" customHeight="true">
      <c r="A201" s="3594" t="s">
        <v>522</v>
      </c>
      <c r="B201" s="3595" t="s">
        <v>523</v>
      </c>
      <c r="C201" s="3596"/>
      <c r="D201" s="3597" t="s">
        <v>241</v>
      </c>
      <c r="E201" s="3598" t="s">
        <v>241</v>
      </c>
      <c r="F201" s="3599"/>
      <c r="G201" s="3600" t="s">
        <v>15</v>
      </c>
      <c r="H201" s="3601" t="n">
        <v>43018.5259722338</v>
      </c>
      <c r="I201" s="3602" t="n">
        <v>43018.5259722338</v>
      </c>
      <c r="J201" s="3603" t="n">
        <v>43017.7440045486</v>
      </c>
      <c r="K201" s="3604" t="n">
        <v>43017.7440045486</v>
      </c>
      <c r="L201" s="3605" t="s">
        <v>16</v>
      </c>
      <c r="M201" s="3606"/>
      <c r="N201" s="3607"/>
      <c r="O201" s="3608"/>
      <c r="P201" s="3609" t="s">
        <v>59</v>
      </c>
      <c r="Q201" s="3610">
        <f>TODAY()-j201</f>
      </c>
      <c r="R201" s="3611">
        <f>VLOOKUP(A201,'Last Week'!A4:I395,7,FALSE)</f>
      </c>
    </row>
    <row r="202" ht="23.85" customHeight="true">
      <c r="A202" s="3612" t="s">
        <v>524</v>
      </c>
      <c r="B202" s="3613" t="s">
        <v>297</v>
      </c>
      <c r="C202" s="3614"/>
      <c r="D202" s="3615" t="s">
        <v>525</v>
      </c>
      <c r="E202" s="3616" t="s">
        <v>82</v>
      </c>
      <c r="F202" s="3617"/>
      <c r="G202" s="3618" t="s">
        <v>86</v>
      </c>
      <c r="H202" s="3619" t="n">
        <v>43020.5097277199</v>
      </c>
      <c r="I202" s="3620" t="n">
        <v>43020.5097277199</v>
      </c>
      <c r="J202" s="3621" t="n">
        <v>43018.6365006713</v>
      </c>
      <c r="K202" s="3622" t="n">
        <v>43018.6365006713</v>
      </c>
      <c r="L202" s="3623" t="s">
        <v>16</v>
      </c>
      <c r="M202" s="3624"/>
      <c r="N202" s="3625"/>
      <c r="O202" s="3626"/>
      <c r="P202" s="3627" t="s">
        <v>47</v>
      </c>
      <c r="Q202" s="3628">
        <f>TODAY()-j202</f>
      </c>
      <c r="R202" s="3629">
        <f>VLOOKUP(A202,'Last Week'!A4:I395,7,FALSE)</f>
      </c>
    </row>
    <row r="203" ht="23.85" customHeight="true">
      <c r="A203" s="3630" t="s">
        <v>526</v>
      </c>
      <c r="B203" s="3631" t="s">
        <v>297</v>
      </c>
      <c r="C203" s="3632"/>
      <c r="D203" s="3633" t="s">
        <v>525</v>
      </c>
      <c r="E203" s="3634" t="s">
        <v>82</v>
      </c>
      <c r="F203" s="3635"/>
      <c r="G203" s="3636" t="s">
        <v>15</v>
      </c>
      <c r="H203" s="3637" t="n">
        <v>43020.6028311111</v>
      </c>
      <c r="I203" s="3638" t="n">
        <v>43020.6028311111</v>
      </c>
      <c r="J203" s="3639" t="n">
        <v>43018.6421514236</v>
      </c>
      <c r="K203" s="3640" t="n">
        <v>43018.6421514236</v>
      </c>
      <c r="L203" s="3641" t="s">
        <v>16</v>
      </c>
      <c r="M203" s="3642"/>
      <c r="N203" s="3643"/>
      <c r="O203" s="3644"/>
      <c r="P203" s="3645" t="s">
        <v>17</v>
      </c>
      <c r="Q203" s="3646">
        <f>TODAY()-j203</f>
      </c>
      <c r="R203" s="3647">
        <f>VLOOKUP(A203,'Last Week'!A4:I395,7,FALSE)</f>
      </c>
    </row>
    <row r="204" ht="23.85" customHeight="true">
      <c r="A204" s="3648" t="s">
        <v>527</v>
      </c>
      <c r="B204" s="3649" t="s">
        <v>528</v>
      </c>
      <c r="C204" s="3650"/>
      <c r="D204" s="3651" t="s">
        <v>529</v>
      </c>
      <c r="E204" s="3652" t="s">
        <v>82</v>
      </c>
      <c r="F204" s="3653"/>
      <c r="G204" s="3654" t="s">
        <v>15</v>
      </c>
      <c r="H204" s="3655" t="n">
        <v>43021.3896685069</v>
      </c>
      <c r="I204" s="3656" t="n">
        <v>43021.3896685069</v>
      </c>
      <c r="J204" s="3657" t="n">
        <v>43019.6868238773</v>
      </c>
      <c r="K204" s="3658" t="n">
        <v>43019.6868238773</v>
      </c>
      <c r="L204" s="3659" t="s">
        <v>16</v>
      </c>
      <c r="M204" s="3660"/>
      <c r="N204" s="3661"/>
      <c r="O204" s="3662"/>
      <c r="P204" s="3663" t="s">
        <v>47</v>
      </c>
      <c r="Q204" s="3664">
        <f>TODAY()-j204</f>
      </c>
      <c r="R204" s="3665">
        <f>VLOOKUP(A204,'Last Week'!A4:I395,7,FALSE)</f>
      </c>
    </row>
    <row r="205" ht="23.85" customHeight="true">
      <c r="A205" s="3666" t="s">
        <v>530</v>
      </c>
      <c r="B205" s="3667" t="s">
        <v>531</v>
      </c>
      <c r="C205" s="3668"/>
      <c r="D205" s="3669" t="s">
        <v>393</v>
      </c>
      <c r="E205" s="3670" t="s">
        <v>56</v>
      </c>
      <c r="F205" s="3671"/>
      <c r="G205" s="3672" t="s">
        <v>15</v>
      </c>
      <c r="H205" s="3673" t="n">
        <v>43028.395286794</v>
      </c>
      <c r="I205" s="3674" t="n">
        <v>43028.395286794</v>
      </c>
      <c r="J205" s="3675" t="n">
        <v>43020.5494577083</v>
      </c>
      <c r="K205" s="3676" t="n">
        <v>43020.5494577083</v>
      </c>
      <c r="L205" s="3677" t="s">
        <v>16</v>
      </c>
      <c r="M205" s="3678"/>
      <c r="N205" s="3679"/>
      <c r="O205" s="3680"/>
      <c r="P205" s="3681" t="s">
        <v>17</v>
      </c>
      <c r="Q205" s="3682">
        <f>TODAY()-j205</f>
      </c>
      <c r="R205" s="3683">
        <f>VLOOKUP(A205,'Last Week'!A4:I395,7,FALSE)</f>
      </c>
    </row>
    <row r="206" ht="23.85" customHeight="true">
      <c r="A206" s="3684" t="s">
        <v>532</v>
      </c>
      <c r="B206" s="3685" t="s">
        <v>533</v>
      </c>
      <c r="C206" s="3686"/>
      <c r="D206" s="3687" t="s">
        <v>462</v>
      </c>
      <c r="E206" s="3688" t="s">
        <v>29</v>
      </c>
      <c r="F206" s="3689"/>
      <c r="G206" s="3690" t="s">
        <v>15</v>
      </c>
      <c r="H206" s="3691" t="n">
        <v>43024.7076723148</v>
      </c>
      <c r="I206" s="3692" t="n">
        <v>43024.7076723148</v>
      </c>
      <c r="J206" s="3693" t="n">
        <v>43020.8716307755</v>
      </c>
      <c r="K206" s="3694" t="n">
        <v>43020.8716307755</v>
      </c>
      <c r="L206" s="3695" t="s">
        <v>16</v>
      </c>
      <c r="M206" s="3696"/>
      <c r="N206" s="3697"/>
      <c r="O206" s="3698"/>
      <c r="P206" s="3699" t="s">
        <v>17</v>
      </c>
      <c r="Q206" s="3700">
        <f>TODAY()-j206</f>
      </c>
      <c r="R206" s="3701">
        <f>VLOOKUP(A206,'Last Week'!A4:I395,7,FALSE)</f>
      </c>
    </row>
    <row r="207" ht="35.05" customHeight="true">
      <c r="A207" s="3702" t="s">
        <v>534</v>
      </c>
      <c r="B207" s="3703" t="s">
        <v>535</v>
      </c>
      <c r="C207" s="3704"/>
      <c r="D207" s="3705" t="s">
        <v>62</v>
      </c>
      <c r="E207" s="3706" t="s">
        <v>29</v>
      </c>
      <c r="F207" s="3707"/>
      <c r="G207" s="3708" t="s">
        <v>15</v>
      </c>
      <c r="H207" s="3709" t="n">
        <v>43023.7504415046</v>
      </c>
      <c r="I207" s="3710" t="n">
        <v>43023.7504415046</v>
      </c>
      <c r="J207" s="3711" t="n">
        <v>43020.9045921181</v>
      </c>
      <c r="K207" s="3712" t="n">
        <v>43020.9045921181</v>
      </c>
      <c r="L207" s="3713" t="s">
        <v>16</v>
      </c>
      <c r="M207" s="3714"/>
      <c r="N207" s="3715"/>
      <c r="O207" s="3716"/>
      <c r="P207" s="3717" t="s">
        <v>17</v>
      </c>
      <c r="Q207" s="3718">
        <f>TODAY()-j207</f>
      </c>
      <c r="R207" s="3719">
        <f>VLOOKUP(A207,'Last Week'!A4:I395,7,FALSE)</f>
      </c>
    </row>
    <row r="208" ht="23.85" customHeight="true">
      <c r="A208" s="3720" t="s">
        <v>536</v>
      </c>
      <c r="B208" s="3721" t="s">
        <v>537</v>
      </c>
      <c r="C208" s="3722"/>
      <c r="D208" s="3723" t="s">
        <v>538</v>
      </c>
      <c r="E208" s="3724" t="s">
        <v>42</v>
      </c>
      <c r="F208" s="3725"/>
      <c r="G208" s="3726" t="s">
        <v>15</v>
      </c>
      <c r="H208" s="3727" t="n">
        <v>43026.6192325231</v>
      </c>
      <c r="I208" s="3728" t="n">
        <v>43026.6192325231</v>
      </c>
      <c r="J208" s="3729" t="n">
        <v>43024.7030344792</v>
      </c>
      <c r="K208" s="3730" t="n">
        <v>43024.7030344792</v>
      </c>
      <c r="L208" s="3731" t="s">
        <v>16</v>
      </c>
      <c r="M208" s="3732"/>
      <c r="N208" s="3733"/>
      <c r="O208" s="3734"/>
      <c r="P208" s="3735" t="s">
        <v>47</v>
      </c>
      <c r="Q208" s="3736">
        <f>TODAY()-j208</f>
      </c>
      <c r="R208" s="3737">
        <f>VLOOKUP(A208,'Last Week'!A4:I395,7,FALSE)</f>
      </c>
    </row>
    <row r="209" ht="23.85" customHeight="true">
      <c r="A209" s="3738" t="s">
        <v>539</v>
      </c>
      <c r="B209" s="3739" t="s">
        <v>540</v>
      </c>
      <c r="C209" s="3740"/>
      <c r="D209" s="3741" t="s">
        <v>541</v>
      </c>
      <c r="E209" s="3742" t="s">
        <v>73</v>
      </c>
      <c r="F209" s="3743"/>
      <c r="G209" s="3744" t="s">
        <v>15</v>
      </c>
      <c r="H209" s="3745" t="n">
        <v>43030.8754518056</v>
      </c>
      <c r="I209" s="3746" t="n">
        <v>43030.8754518056</v>
      </c>
      <c r="J209" s="3747" t="n">
        <v>43025.4584483796</v>
      </c>
      <c r="K209" s="3748" t="n">
        <v>43025.4584483796</v>
      </c>
      <c r="L209" s="3749" t="s">
        <v>16</v>
      </c>
      <c r="M209" s="3750"/>
      <c r="N209" s="3751"/>
      <c r="O209" s="3752"/>
      <c r="P209" s="3753" t="s">
        <v>47</v>
      </c>
      <c r="Q209" s="3754">
        <f>TODAY()-j209</f>
      </c>
      <c r="R209" s="3755">
        <f>VLOOKUP(A209,'Last Week'!A4:I395,7,FALSE)</f>
      </c>
    </row>
    <row r="210" ht="23.85" customHeight="true">
      <c r="A210" s="3756" t="s">
        <v>542</v>
      </c>
      <c r="B210" s="3757" t="s">
        <v>543</v>
      </c>
      <c r="C210" s="3758"/>
      <c r="D210" s="3759" t="s">
        <v>155</v>
      </c>
      <c r="E210" s="3760" t="s">
        <v>82</v>
      </c>
      <c r="F210" s="3761"/>
      <c r="G210" s="3762" t="s">
        <v>15</v>
      </c>
      <c r="H210" s="3763" t="n">
        <v>43029.0848455093</v>
      </c>
      <c r="I210" s="3764" t="n">
        <v>43029.0848455093</v>
      </c>
      <c r="J210" s="3765" t="n">
        <v>43025.6830516435</v>
      </c>
      <c r="K210" s="3766" t="n">
        <v>43025.6830516435</v>
      </c>
      <c r="L210" s="3767" t="s">
        <v>16</v>
      </c>
      <c r="M210" s="3768"/>
      <c r="N210" s="3769"/>
      <c r="O210" s="3770"/>
      <c r="P210" s="3771" t="s">
        <v>47</v>
      </c>
      <c r="Q210" s="3772">
        <f>TODAY()-j210</f>
      </c>
      <c r="R210" s="3773">
        <f>VLOOKUP(A210,'Last Week'!A4:I395,7,FALSE)</f>
      </c>
    </row>
    <row r="211" ht="23.85" customHeight="true">
      <c r="A211" s="3774" t="s">
        <v>544</v>
      </c>
      <c r="B211" s="3775" t="s">
        <v>545</v>
      </c>
      <c r="C211" s="3776"/>
      <c r="D211" s="3777" t="s">
        <v>62</v>
      </c>
      <c r="E211" s="3778" t="s">
        <v>82</v>
      </c>
      <c r="F211" s="3779"/>
      <c r="G211" s="3780" t="s">
        <v>15</v>
      </c>
      <c r="H211" s="3781" t="n">
        <v>43026.6809809491</v>
      </c>
      <c r="I211" s="3782" t="n">
        <v>43026.6809809491</v>
      </c>
      <c r="J211" s="3783" t="n">
        <v>43026.5396189468</v>
      </c>
      <c r="K211" s="3784" t="n">
        <v>43026.5396189468</v>
      </c>
      <c r="L211" s="3785" t="s">
        <v>16</v>
      </c>
      <c r="M211" s="3786"/>
      <c r="N211" s="3787"/>
      <c r="O211" s="3788"/>
      <c r="P211" s="3789" t="s">
        <v>47</v>
      </c>
      <c r="Q211" s="3790">
        <f>TODAY()-j211</f>
      </c>
      <c r="R211" s="3791">
        <f>VLOOKUP(A211,'Last Week'!A4:I395,7,FALSE)</f>
      </c>
    </row>
    <row r="212" ht="35.05" customHeight="true">
      <c r="A212" s="3792" t="s">
        <v>546</v>
      </c>
      <c r="B212" s="3793" t="s">
        <v>547</v>
      </c>
      <c r="C212" s="3794"/>
      <c r="D212" s="3795" t="s">
        <v>62</v>
      </c>
      <c r="E212" s="3796" t="s">
        <v>51</v>
      </c>
      <c r="F212" s="3797"/>
      <c r="G212" s="3798" t="s">
        <v>15</v>
      </c>
      <c r="H212" s="3799" t="n">
        <v>43028.4503167593</v>
      </c>
      <c r="I212" s="3800" t="n">
        <v>43028.4503167593</v>
      </c>
      <c r="J212" s="3801" t="n">
        <v>43027.2996457986</v>
      </c>
      <c r="K212" s="3802" t="n">
        <v>43027.2996457986</v>
      </c>
      <c r="L212" s="3803" t="s">
        <v>16</v>
      </c>
      <c r="M212" s="3804"/>
      <c r="N212" s="3805"/>
      <c r="O212" s="3806"/>
      <c r="P212" s="3807" t="s">
        <v>47</v>
      </c>
      <c r="Q212" s="3808">
        <f>TODAY()-j212</f>
      </c>
      <c r="R212" s="3809">
        <f>VLOOKUP(A212,'Last Week'!A4:I395,7,FALSE)</f>
      </c>
    </row>
    <row r="213" ht="23.85" customHeight="true">
      <c r="A213" s="3810" t="s">
        <v>548</v>
      </c>
      <c r="B213" s="3811" t="s">
        <v>549</v>
      </c>
      <c r="C213" s="3812"/>
      <c r="D213" s="3813" t="s">
        <v>62</v>
      </c>
      <c r="E213" s="3814" t="s">
        <v>51</v>
      </c>
      <c r="F213" s="3815"/>
      <c r="G213" s="3816" t="s">
        <v>15</v>
      </c>
      <c r="H213" s="3817" t="n">
        <v>43028.445496412</v>
      </c>
      <c r="I213" s="3818" t="n">
        <v>43028.445496412</v>
      </c>
      <c r="J213" s="3819" t="n">
        <v>43027.3017589815</v>
      </c>
      <c r="K213" s="3820" t="n">
        <v>43027.3017589815</v>
      </c>
      <c r="L213" s="3821" t="s">
        <v>16</v>
      </c>
      <c r="M213" s="3822"/>
      <c r="N213" s="3823"/>
      <c r="O213" s="3824"/>
      <c r="P213" s="3825" t="s">
        <v>47</v>
      </c>
      <c r="Q213" s="3826">
        <f>TODAY()-j213</f>
      </c>
      <c r="R213" s="3827">
        <f>VLOOKUP(A213,'Last Week'!A4:I395,7,FALSE)</f>
      </c>
    </row>
    <row r="214" ht="35.05" customHeight="true">
      <c r="A214" s="3828" t="s">
        <v>550</v>
      </c>
      <c r="B214" s="3829" t="s">
        <v>551</v>
      </c>
      <c r="C214" s="3830"/>
      <c r="D214" s="3831" t="s">
        <v>155</v>
      </c>
      <c r="E214" s="3832" t="s">
        <v>56</v>
      </c>
      <c r="F214" s="3833"/>
      <c r="G214" s="3834" t="s">
        <v>15</v>
      </c>
      <c r="H214" s="3835" t="n">
        <v>43030.8338030556</v>
      </c>
      <c r="I214" s="3836" t="n">
        <v>43030.8338030556</v>
      </c>
      <c r="J214" s="3837" t="n">
        <v>43027.5581561574</v>
      </c>
      <c r="K214" s="3838" t="n">
        <v>43027.5581561574</v>
      </c>
      <c r="L214" s="3839" t="s">
        <v>16</v>
      </c>
      <c r="M214" s="3840"/>
      <c r="N214" s="3841"/>
      <c r="O214" s="3842"/>
      <c r="P214" s="3843" t="s">
        <v>47</v>
      </c>
      <c r="Q214" s="3844">
        <f>TODAY()-j214</f>
      </c>
      <c r="R214" s="3845">
        <f>VLOOKUP(A214,'Last Week'!A4:I395,7,FALSE)</f>
      </c>
    </row>
    <row r="215" ht="23.85" customHeight="true">
      <c r="A215" s="3846" t="s">
        <v>552</v>
      </c>
      <c r="B215" s="3847" t="s">
        <v>553</v>
      </c>
      <c r="C215" s="3848"/>
      <c r="D215" s="3849" t="s">
        <v>554</v>
      </c>
      <c r="E215" s="3850" t="s">
        <v>42</v>
      </c>
      <c r="F215" s="3851"/>
      <c r="G215" s="3852" t="s">
        <v>15</v>
      </c>
      <c r="H215" s="3853" t="n">
        <v>43034.2504728357</v>
      </c>
      <c r="I215" s="3854" t="n">
        <v>43034.2504728357</v>
      </c>
      <c r="J215" s="3855" t="n">
        <v>43027.7595575694</v>
      </c>
      <c r="K215" s="3856" t="n">
        <v>43027.7595575694</v>
      </c>
      <c r="L215" s="3857" t="s">
        <v>16</v>
      </c>
      <c r="M215" s="3858"/>
      <c r="N215" s="3859"/>
      <c r="O215" s="3860"/>
      <c r="P215" s="3861" t="s">
        <v>47</v>
      </c>
      <c r="Q215" s="3862">
        <f>TODAY()-j215</f>
      </c>
      <c r="R215" s="3863">
        <f>VLOOKUP(A215,'Last Week'!A4:I395,7,FALSE)</f>
      </c>
    </row>
    <row r="216" ht="23.85" customHeight="true">
      <c r="A216" s="3864" t="s">
        <v>555</v>
      </c>
      <c r="B216" s="3865" t="s">
        <v>556</v>
      </c>
      <c r="C216" s="3866"/>
      <c r="D216" s="3867" t="s">
        <v>557</v>
      </c>
      <c r="E216" s="3868" t="s">
        <v>38</v>
      </c>
      <c r="F216" s="3869"/>
      <c r="G216" s="3870" t="s">
        <v>15</v>
      </c>
      <c r="H216" s="3871" t="n">
        <v>43034.6684016782</v>
      </c>
      <c r="I216" s="3872" t="n">
        <v>43034.6684016782</v>
      </c>
      <c r="J216" s="3873" t="n">
        <v>43031.4904257176</v>
      </c>
      <c r="K216" s="3874" t="n">
        <v>43031.4904257176</v>
      </c>
      <c r="L216" s="3875" t="s">
        <v>16</v>
      </c>
      <c r="M216" s="3876"/>
      <c r="N216" s="3877"/>
      <c r="O216" s="3878"/>
      <c r="P216" s="3879" t="s">
        <v>17</v>
      </c>
      <c r="Q216" s="3880">
        <f>TODAY()-j216</f>
      </c>
      <c r="R216" s="3881">
        <f>VLOOKUP(A216,'Last Week'!A4:I395,7,FALSE)</f>
      </c>
    </row>
    <row r="217" ht="23.85" customHeight="true">
      <c r="A217" s="3882" t="s">
        <v>558</v>
      </c>
      <c r="B217" s="3883" t="s">
        <v>297</v>
      </c>
      <c r="C217" s="3884"/>
      <c r="D217" s="3885" t="s">
        <v>62</v>
      </c>
      <c r="E217" s="3886" t="s">
        <v>82</v>
      </c>
      <c r="F217" s="3887"/>
      <c r="G217" s="3888" t="s">
        <v>15</v>
      </c>
      <c r="H217" s="3889" t="n">
        <v>43033.3815409954</v>
      </c>
      <c r="I217" s="3890" t="n">
        <v>43033.3815409954</v>
      </c>
      <c r="J217" s="3891" t="n">
        <v>43032.5014328009</v>
      </c>
      <c r="K217" s="3892" t="n">
        <v>43032.5014328009</v>
      </c>
      <c r="L217" s="3893" t="s">
        <v>16</v>
      </c>
      <c r="M217" s="3894"/>
      <c r="N217" s="3895"/>
      <c r="O217" s="3896"/>
      <c r="P217" s="3897" t="s">
        <v>47</v>
      </c>
      <c r="Q217" s="3898">
        <f>TODAY()-j217</f>
      </c>
      <c r="R217" s="3899">
        <f>VLOOKUP(A217,'Last Week'!A4:I395,7,FALSE)</f>
      </c>
    </row>
    <row r="218" ht="23.85" customHeight="true">
      <c r="A218" s="3900" t="s">
        <v>559</v>
      </c>
      <c r="B218" s="3901" t="s">
        <v>404</v>
      </c>
      <c r="C218" s="3902"/>
      <c r="D218" s="3903" t="s">
        <v>560</v>
      </c>
      <c r="E218" s="3904" t="s">
        <v>176</v>
      </c>
      <c r="F218" s="3905"/>
      <c r="G218" s="3906" t="s">
        <v>15</v>
      </c>
      <c r="H218" s="3907" t="n">
        <v>43041.0841654051</v>
      </c>
      <c r="I218" s="3908" t="n">
        <v>43041.0841654051</v>
      </c>
      <c r="J218" s="3909" t="n">
        <v>43032.7095283102</v>
      </c>
      <c r="K218" s="3910" t="n">
        <v>43032.7095283102</v>
      </c>
      <c r="L218" s="3911" t="s">
        <v>16</v>
      </c>
      <c r="M218" s="3912"/>
      <c r="N218" s="3913"/>
      <c r="O218" s="3914"/>
      <c r="P218" s="3915" t="s">
        <v>17</v>
      </c>
      <c r="Q218" s="3916">
        <f>TODAY()-j218</f>
      </c>
      <c r="R218" s="3917">
        <f>VLOOKUP(A218,'Last Week'!A4:I395,7,FALSE)</f>
      </c>
    </row>
    <row r="219" ht="23.85" customHeight="true">
      <c r="A219" s="3918" t="s">
        <v>561</v>
      </c>
      <c r="B219" s="3919" t="s">
        <v>562</v>
      </c>
      <c r="C219" s="3920"/>
      <c r="D219" s="3921" t="s">
        <v>563</v>
      </c>
      <c r="E219" s="3922" t="s">
        <v>42</v>
      </c>
      <c r="F219" s="3923"/>
      <c r="G219" s="3924" t="s">
        <v>15</v>
      </c>
      <c r="H219" s="3925" t="n">
        <v>43038.2505013194</v>
      </c>
      <c r="I219" s="3926" t="n">
        <v>43038.2505013194</v>
      </c>
      <c r="J219" s="3927" t="n">
        <v>43034.8892994907</v>
      </c>
      <c r="K219" s="3928" t="n">
        <v>43034.8892994907</v>
      </c>
      <c r="L219" s="3929" t="s">
        <v>16</v>
      </c>
      <c r="M219" s="3930"/>
      <c r="N219" s="3931"/>
      <c r="O219" s="3932"/>
      <c r="P219" s="3933" t="s">
        <v>47</v>
      </c>
      <c r="Q219" s="3934">
        <f>TODAY()-j219</f>
      </c>
      <c r="R219" s="3935">
        <f>VLOOKUP(A219,'Last Week'!A4:I395,7,FALSE)</f>
      </c>
    </row>
    <row r="220" ht="35.05" customHeight="true">
      <c r="A220" s="3936" t="s">
        <v>564</v>
      </c>
      <c r="B220" s="3937" t="s">
        <v>565</v>
      </c>
      <c r="C220" s="3938"/>
      <c r="D220" s="3939" t="s">
        <v>62</v>
      </c>
      <c r="E220" s="3940" t="s">
        <v>29</v>
      </c>
      <c r="F220" s="3941"/>
      <c r="G220" s="3942" t="s">
        <v>15</v>
      </c>
      <c r="H220" s="3943" t="n">
        <v>43040.459734838</v>
      </c>
      <c r="I220" s="3944" t="n">
        <v>43040.459734838</v>
      </c>
      <c r="J220" s="3945" t="n">
        <v>43039.8289149769</v>
      </c>
      <c r="K220" s="3946" t="n">
        <v>43039.8289149769</v>
      </c>
      <c r="L220" s="3947" t="s">
        <v>16</v>
      </c>
      <c r="M220" s="3948"/>
      <c r="N220" s="3949"/>
      <c r="O220" s="3950"/>
      <c r="P220" s="3951" t="s">
        <v>47</v>
      </c>
      <c r="Q220" s="3952">
        <f>TODAY()-j220</f>
      </c>
      <c r="R220" s="3953">
        <f>VLOOKUP(A220,'Last Week'!A4:I395,7,FALSE)</f>
      </c>
    </row>
    <row r="221" ht="23.85" customHeight="true">
      <c r="A221" s="3954" t="s">
        <v>566</v>
      </c>
      <c r="B221" s="3955" t="s">
        <v>301</v>
      </c>
      <c r="C221" s="3956"/>
      <c r="D221" s="3957" t="s">
        <v>126</v>
      </c>
      <c r="E221" s="3958" t="s">
        <v>127</v>
      </c>
      <c r="F221" s="3959"/>
      <c r="G221" s="3960" t="s">
        <v>15</v>
      </c>
      <c r="H221" s="3961" t="n">
        <v>43043.0846012963</v>
      </c>
      <c r="I221" s="3962" t="n">
        <v>43043.0846012963</v>
      </c>
      <c r="J221" s="3963" t="n">
        <v>43040.5168396412</v>
      </c>
      <c r="K221" s="3964" t="n">
        <v>43040.5168396412</v>
      </c>
      <c r="L221" s="3965" t="s">
        <v>16</v>
      </c>
      <c r="M221" s="3966"/>
      <c r="N221" s="3967"/>
      <c r="O221" s="3968"/>
      <c r="P221" s="3969" t="s">
        <v>17</v>
      </c>
      <c r="Q221" s="3970">
        <f>TODAY()-j221</f>
      </c>
      <c r="R221" s="3971">
        <f>VLOOKUP(A221,'Last Week'!A4:I395,7,FALSE)</f>
      </c>
    </row>
    <row r="222" ht="23.85" customHeight="true">
      <c r="A222" s="3972" t="s">
        <v>567</v>
      </c>
      <c r="B222" s="3973" t="s">
        <v>272</v>
      </c>
      <c r="C222" s="3974"/>
      <c r="D222" s="3975" t="s">
        <v>141</v>
      </c>
      <c r="E222" s="3976" t="s">
        <v>29</v>
      </c>
      <c r="F222" s="3977"/>
      <c r="G222" s="3978" t="s">
        <v>15</v>
      </c>
      <c r="H222" s="3979" t="n">
        <v>43047.1262430787</v>
      </c>
      <c r="I222" s="3980" t="n">
        <v>43047.1262430787</v>
      </c>
      <c r="J222" s="3981" t="n">
        <v>43040.8352253935</v>
      </c>
      <c r="K222" s="3982" t="n">
        <v>43040.8352253935</v>
      </c>
      <c r="L222" s="3983" t="s">
        <v>16</v>
      </c>
      <c r="M222" s="3984"/>
      <c r="N222" s="3985"/>
      <c r="O222" s="3986"/>
      <c r="P222" s="3987" t="s">
        <v>17</v>
      </c>
      <c r="Q222" s="3988">
        <f>TODAY()-j222</f>
      </c>
      <c r="R222" s="3989">
        <f>VLOOKUP(A222,'Last Week'!A4:I395,7,FALSE)</f>
      </c>
    </row>
    <row r="223" ht="23.85" customHeight="true">
      <c r="A223" s="3990" t="s">
        <v>568</v>
      </c>
      <c r="B223" s="3991" t="s">
        <v>569</v>
      </c>
      <c r="C223" s="3992"/>
      <c r="D223" s="3993" t="s">
        <v>570</v>
      </c>
      <c r="E223" s="3994" t="s">
        <v>34</v>
      </c>
      <c r="F223" s="3995"/>
      <c r="G223" s="3996" t="s">
        <v>15</v>
      </c>
      <c r="H223" s="3997" t="n">
        <v>43044.7088872685</v>
      </c>
      <c r="I223" s="3998" t="n">
        <v>43044.7088872685</v>
      </c>
      <c r="J223" s="3999" t="n">
        <v>43041.5396740741</v>
      </c>
      <c r="K223" s="4000" t="n">
        <v>43041.5396740741</v>
      </c>
      <c r="L223" s="4001" t="s">
        <v>16</v>
      </c>
      <c r="M223" s="4002"/>
      <c r="N223" s="4003"/>
      <c r="O223" s="4004"/>
      <c r="P223" s="4005" t="s">
        <v>47</v>
      </c>
      <c r="Q223" s="4006">
        <f>TODAY()-j223</f>
      </c>
      <c r="R223" s="4007">
        <f>VLOOKUP(A223,'Last Week'!A4:I395,7,FALSE)</f>
      </c>
    </row>
    <row r="224" ht="23.85" customHeight="true">
      <c r="A224" s="4008" t="s">
        <v>571</v>
      </c>
      <c r="B224" s="4009" t="s">
        <v>572</v>
      </c>
      <c r="C224" s="4010"/>
      <c r="D224" s="4011" t="s">
        <v>573</v>
      </c>
      <c r="E224" s="4012" t="s">
        <v>29</v>
      </c>
      <c r="F224" s="4013"/>
      <c r="G224" s="4014" t="s">
        <v>15</v>
      </c>
      <c r="H224" s="4015" t="n">
        <v>43045.5422112037</v>
      </c>
      <c r="I224" s="4016" t="n">
        <v>43045.5422112037</v>
      </c>
      <c r="J224" s="4017" t="n">
        <v>43041.7207605903</v>
      </c>
      <c r="K224" s="4018" t="n">
        <v>43041.7207605903</v>
      </c>
      <c r="L224" s="4019" t="s">
        <v>16</v>
      </c>
      <c r="M224" s="4020"/>
      <c r="N224" s="4021"/>
      <c r="O224" s="4022"/>
      <c r="P224" s="4023" t="s">
        <v>47</v>
      </c>
      <c r="Q224" s="4024">
        <f>TODAY()-j224</f>
      </c>
      <c r="R224" s="4025">
        <f>VLOOKUP(A224,'Last Week'!A4:I395,7,FALSE)</f>
      </c>
    </row>
    <row r="225" ht="23.85" customHeight="true">
      <c r="A225" s="4026" t="s">
        <v>574</v>
      </c>
      <c r="B225" s="4027" t="s">
        <v>311</v>
      </c>
      <c r="C225" s="4028"/>
      <c r="D225" s="4029" t="s">
        <v>55</v>
      </c>
      <c r="E225" s="4030" t="s">
        <v>29</v>
      </c>
      <c r="F225" s="4031"/>
      <c r="G225" s="4032" t="s">
        <v>15</v>
      </c>
      <c r="H225" s="4033" t="n">
        <v>43047.1264072917</v>
      </c>
      <c r="I225" s="4034" t="n">
        <v>43047.1264072917</v>
      </c>
      <c r="J225" s="4035" t="n">
        <v>43041.7937567477</v>
      </c>
      <c r="K225" s="4036" t="n">
        <v>43041.7937567477</v>
      </c>
      <c r="L225" s="4037" t="s">
        <v>16</v>
      </c>
      <c r="M225" s="4038"/>
      <c r="N225" s="4039"/>
      <c r="O225" s="4040"/>
      <c r="P225" s="4041" t="s">
        <v>17</v>
      </c>
      <c r="Q225" s="4042">
        <f>TODAY()-j225</f>
      </c>
      <c r="R225" s="4043">
        <f>VLOOKUP(A225,'Last Week'!A4:I395,7,FALSE)</f>
      </c>
    </row>
    <row r="226" ht="35.05" customHeight="true">
      <c r="A226" s="4044" t="s">
        <v>575</v>
      </c>
      <c r="B226" s="4045" t="s">
        <v>576</v>
      </c>
      <c r="C226" s="4046"/>
      <c r="D226" s="4047" t="s">
        <v>62</v>
      </c>
      <c r="E226" s="4048" t="s">
        <v>29</v>
      </c>
      <c r="F226" s="4049"/>
      <c r="G226" s="4050" t="s">
        <v>15</v>
      </c>
      <c r="H226" s="4051" t="n">
        <v>43045.5422149306</v>
      </c>
      <c r="I226" s="4052" t="n">
        <v>43045.5422149306</v>
      </c>
      <c r="J226" s="4053" t="n">
        <v>43041.8592275116</v>
      </c>
      <c r="K226" s="4054" t="n">
        <v>43041.8592275116</v>
      </c>
      <c r="L226" s="4055" t="s">
        <v>16</v>
      </c>
      <c r="M226" s="4056"/>
      <c r="N226" s="4057"/>
      <c r="O226" s="4058"/>
      <c r="P226" s="4059" t="s">
        <v>47</v>
      </c>
      <c r="Q226" s="4060">
        <f>TODAY()-j226</f>
      </c>
      <c r="R226" s="4061">
        <f>VLOOKUP(A226,'Last Week'!A4:I395,7,FALSE)</f>
      </c>
    </row>
    <row r="227" ht="23.85" customHeight="true">
      <c r="A227" s="4062" t="s">
        <v>577</v>
      </c>
      <c r="B227" s="4063" t="s">
        <v>578</v>
      </c>
      <c r="C227" s="4064"/>
      <c r="D227" s="4065" t="s">
        <v>59</v>
      </c>
      <c r="E227" s="4066" t="s">
        <v>82</v>
      </c>
      <c r="F227" s="4067"/>
      <c r="G227" s="4068" t="s">
        <v>15</v>
      </c>
      <c r="H227" s="4069" t="n">
        <v>43047.2089384028</v>
      </c>
      <c r="I227" s="4070" t="n">
        <v>43047.2089384028</v>
      </c>
      <c r="J227" s="4071" t="n">
        <v>43045.6399471065</v>
      </c>
      <c r="K227" s="4072" t="n">
        <v>43045.6399471065</v>
      </c>
      <c r="L227" s="4073" t="s">
        <v>16</v>
      </c>
      <c r="M227" s="4074"/>
      <c r="N227" s="4075"/>
      <c r="O227" s="4076"/>
      <c r="P227" s="4077" t="s">
        <v>59</v>
      </c>
      <c r="Q227" s="4078">
        <f>TODAY()-j227</f>
      </c>
      <c r="R227" s="4079">
        <f>VLOOKUP(A227,'Last Week'!A4:I395,7,FALSE)</f>
      </c>
    </row>
    <row r="228" ht="23.85" customHeight="true">
      <c r="A228" s="4080" t="s">
        <v>579</v>
      </c>
      <c r="B228" s="4081" t="s">
        <v>580</v>
      </c>
      <c r="C228" s="4082"/>
      <c r="D228" s="4083" t="s">
        <v>581</v>
      </c>
      <c r="E228" s="4084" t="s">
        <v>29</v>
      </c>
      <c r="F228" s="4085"/>
      <c r="G228" s="4086" t="s">
        <v>15</v>
      </c>
      <c r="H228" s="4087" t="n">
        <v>43048.1266607755</v>
      </c>
      <c r="I228" s="4088" t="n">
        <v>43048.1266607755</v>
      </c>
      <c r="J228" s="4089" t="n">
        <v>43045.7353090509</v>
      </c>
      <c r="K228" s="4090" t="n">
        <v>43045.7353090509</v>
      </c>
      <c r="L228" s="4091" t="s">
        <v>16</v>
      </c>
      <c r="M228" s="4092"/>
      <c r="N228" s="4093"/>
      <c r="O228" s="4094"/>
      <c r="P228" s="4095" t="s">
        <v>17</v>
      </c>
      <c r="Q228" s="4096">
        <f>TODAY()-j228</f>
      </c>
      <c r="R228" s="4097">
        <f>VLOOKUP(A228,'Last Week'!A4:I395,7,FALSE)</f>
      </c>
    </row>
    <row r="229" ht="23.85" customHeight="true">
      <c r="A229" s="4098" t="s">
        <v>582</v>
      </c>
      <c r="B229" s="4099" t="s">
        <v>583</v>
      </c>
      <c r="C229" s="4100"/>
      <c r="D229" s="4101" t="s">
        <v>62</v>
      </c>
      <c r="E229" s="4102" t="s">
        <v>73</v>
      </c>
      <c r="F229" s="4103"/>
      <c r="G229" s="4104" t="s">
        <v>15</v>
      </c>
      <c r="H229" s="4105" t="n">
        <v>43049.1266979282</v>
      </c>
      <c r="I229" s="4106" t="n">
        <v>43049.1266979282</v>
      </c>
      <c r="J229" s="4107" t="n">
        <v>43046.6503018287</v>
      </c>
      <c r="K229" s="4108" t="n">
        <v>43046.6503018287</v>
      </c>
      <c r="L229" s="4109" t="s">
        <v>16</v>
      </c>
      <c r="M229" s="4110"/>
      <c r="N229" s="4111"/>
      <c r="O229" s="4112"/>
      <c r="P229" s="4113" t="s">
        <v>17</v>
      </c>
      <c r="Q229" s="4114">
        <f>TODAY()-j229</f>
      </c>
      <c r="R229" s="4115">
        <f>VLOOKUP(A229,'Last Week'!A4:I395,7,FALSE)</f>
      </c>
    </row>
    <row r="230" ht="23.85" customHeight="true">
      <c r="A230" s="4116" t="s">
        <v>584</v>
      </c>
      <c r="B230" s="4117" t="s">
        <v>301</v>
      </c>
      <c r="C230" s="4118"/>
      <c r="D230" s="4119" t="s">
        <v>126</v>
      </c>
      <c r="E230" s="4120" t="s">
        <v>127</v>
      </c>
      <c r="F230" s="4121"/>
      <c r="G230" s="4122" t="s">
        <v>15</v>
      </c>
      <c r="H230" s="4123" t="n">
        <v>43051.7089090509</v>
      </c>
      <c r="I230" s="4124" t="n">
        <v>43051.7089090509</v>
      </c>
      <c r="J230" s="4125" t="n">
        <v>43047.4163806713</v>
      </c>
      <c r="K230" s="4126" t="n">
        <v>43047.4163806713</v>
      </c>
      <c r="L230" s="4127" t="s">
        <v>16</v>
      </c>
      <c r="M230" s="4128"/>
      <c r="N230" s="4129"/>
      <c r="O230" s="4130"/>
      <c r="P230" s="4131" t="s">
        <v>17</v>
      </c>
      <c r="Q230" s="4132">
        <f>TODAY()-j230</f>
      </c>
      <c r="R230" s="4133">
        <f>VLOOKUP(A230,'Last Week'!A4:I395,7,FALSE)</f>
      </c>
    </row>
    <row r="231" ht="23.85" customHeight="true">
      <c r="A231" s="4134" t="s">
        <v>585</v>
      </c>
      <c r="B231" s="4135" t="s">
        <v>586</v>
      </c>
      <c r="C231" s="4136"/>
      <c r="D231" s="4137" t="s">
        <v>587</v>
      </c>
      <c r="E231" s="4138" t="s">
        <v>73</v>
      </c>
      <c r="F231" s="4139"/>
      <c r="G231" s="4140" t="s">
        <v>86</v>
      </c>
      <c r="H231" s="4141" t="n">
        <v>43054.3823734144</v>
      </c>
      <c r="I231" s="4142" t="n">
        <v>43054.3823734144</v>
      </c>
      <c r="J231" s="4143" t="n">
        <v>43047.6582496991</v>
      </c>
      <c r="K231" s="4144" t="n">
        <v>43047.6582496991</v>
      </c>
      <c r="L231" s="4145" t="s">
        <v>16</v>
      </c>
      <c r="M231" s="4146"/>
      <c r="N231" s="4147"/>
      <c r="O231" s="4148"/>
      <c r="P231" s="4149" t="s">
        <v>17</v>
      </c>
      <c r="Q231" s="4150">
        <f>TODAY()-j231</f>
      </c>
      <c r="R231" s="4151">
        <f>VLOOKUP(A231,'Last Week'!A4:I395,7,FALSE)</f>
      </c>
    </row>
    <row r="232" ht="35.05" customHeight="true">
      <c r="A232" s="4152" t="s">
        <v>588</v>
      </c>
      <c r="B232" s="4153" t="s">
        <v>589</v>
      </c>
      <c r="C232" s="4154"/>
      <c r="D232" s="4155" t="s">
        <v>141</v>
      </c>
      <c r="E232" s="4156" t="s">
        <v>29</v>
      </c>
      <c r="F232" s="4157"/>
      <c r="G232" s="4158" t="s">
        <v>15</v>
      </c>
      <c r="H232" s="4159" t="n">
        <v>43051.7505694213</v>
      </c>
      <c r="I232" s="4160" t="n">
        <v>43051.7505694213</v>
      </c>
      <c r="J232" s="4161" t="n">
        <v>43047.828174375</v>
      </c>
      <c r="K232" s="4162" t="n">
        <v>43047.828174375</v>
      </c>
      <c r="L232" s="4163" t="s">
        <v>16</v>
      </c>
      <c r="M232" s="4164"/>
      <c r="N232" s="4165"/>
      <c r="O232" s="4166"/>
      <c r="P232" s="4167" t="s">
        <v>17</v>
      </c>
      <c r="Q232" s="4168">
        <f>TODAY()-j232</f>
      </c>
      <c r="R232" s="4169">
        <f>VLOOKUP(A232,'Last Week'!A4:I395,7,FALSE)</f>
      </c>
    </row>
    <row r="233" ht="23.85" customHeight="true">
      <c r="A233" s="4170" t="s">
        <v>590</v>
      </c>
      <c r="B233" s="4171" t="s">
        <v>301</v>
      </c>
      <c r="C233" s="4172"/>
      <c r="D233" s="4173" t="s">
        <v>126</v>
      </c>
      <c r="E233" s="4174" t="s">
        <v>127</v>
      </c>
      <c r="F233" s="4175"/>
      <c r="G233" s="4176" t="s">
        <v>15</v>
      </c>
      <c r="H233" s="4177" t="n">
        <v>43056.1265618866</v>
      </c>
      <c r="I233" s="4178" t="n">
        <v>43056.1265618866</v>
      </c>
      <c r="J233" s="4179" t="n">
        <v>43053.3980919329</v>
      </c>
      <c r="K233" s="4180" t="n">
        <v>43053.3980919329</v>
      </c>
      <c r="L233" s="4181" t="s">
        <v>16</v>
      </c>
      <c r="M233" s="4182"/>
      <c r="N233" s="4183"/>
      <c r="O233" s="4184"/>
      <c r="P233" s="4185" t="s">
        <v>17</v>
      </c>
      <c r="Q233" s="4186">
        <f>TODAY()-j233</f>
      </c>
      <c r="R233" s="4187">
        <f>VLOOKUP(A233,'Last Week'!A4:I395,7,FALSE)</f>
      </c>
    </row>
    <row r="234" ht="23.85" customHeight="true">
      <c r="A234" s="4188" t="s">
        <v>591</v>
      </c>
      <c r="B234" s="4189" t="s">
        <v>592</v>
      </c>
      <c r="C234" s="4190"/>
      <c r="D234" s="4191" t="s">
        <v>593</v>
      </c>
      <c r="E234" s="4192" t="s">
        <v>127</v>
      </c>
      <c r="F234" s="4193"/>
      <c r="G234" s="4194" t="s">
        <v>15</v>
      </c>
      <c r="H234" s="4195" t="n">
        <v>43056.1265742014</v>
      </c>
      <c r="I234" s="4196" t="n">
        <v>43056.1265742014</v>
      </c>
      <c r="J234" s="4197" t="n">
        <v>43053.5192157523</v>
      </c>
      <c r="K234" s="4198" t="n">
        <v>43053.5192157523</v>
      </c>
      <c r="L234" s="4199" t="s">
        <v>16</v>
      </c>
      <c r="M234" s="4200"/>
      <c r="N234" s="4201"/>
      <c r="O234" s="4202"/>
      <c r="P234" s="4203" t="s">
        <v>17</v>
      </c>
      <c r="Q234" s="4204">
        <f>TODAY()-j234</f>
      </c>
      <c r="R234" s="4205">
        <f>VLOOKUP(A234,'Last Week'!A4:I395,7,FALSE)</f>
      </c>
    </row>
    <row r="235" ht="23.85" customHeight="true">
      <c r="A235" s="4206" t="s">
        <v>594</v>
      </c>
      <c r="B235" s="4207" t="s">
        <v>378</v>
      </c>
      <c r="C235" s="4208"/>
      <c r="D235" s="4209" t="s">
        <v>595</v>
      </c>
      <c r="E235" s="4210" t="s">
        <v>242</v>
      </c>
      <c r="F235" s="4211"/>
      <c r="G235" s="4212" t="s">
        <v>15</v>
      </c>
      <c r="H235" s="4213" t="n">
        <v>43062.1257914699</v>
      </c>
      <c r="I235" s="4214" t="n">
        <v>43062.1257914699</v>
      </c>
      <c r="J235" s="4215" t="n">
        <v>43053.6984472106</v>
      </c>
      <c r="K235" s="4216" t="n">
        <v>43053.6984472106</v>
      </c>
      <c r="L235" s="4217" t="s">
        <v>16</v>
      </c>
      <c r="M235" s="4218"/>
      <c r="N235" s="4219"/>
      <c r="O235" s="4220"/>
      <c r="P235" s="4221" t="s">
        <v>17</v>
      </c>
      <c r="Q235" s="4222">
        <f>TODAY()-j235</f>
      </c>
      <c r="R235" s="4223">
        <f>VLOOKUP(A235,'Last Week'!A4:I395,7,FALSE)</f>
      </c>
    </row>
    <row r="236" ht="35.05" customHeight="true">
      <c r="A236" s="4224" t="s">
        <v>596</v>
      </c>
      <c r="B236" s="4225" t="s">
        <v>597</v>
      </c>
      <c r="C236" s="4226"/>
      <c r="D236" s="4227" t="s">
        <v>62</v>
      </c>
      <c r="E236" s="4228" t="s">
        <v>51</v>
      </c>
      <c r="F236" s="4229"/>
      <c r="G236" s="4230" t="s">
        <v>15</v>
      </c>
      <c r="H236" s="4231" t="n">
        <v>43062.1258099769</v>
      </c>
      <c r="I236" s="4232" t="n">
        <v>43062.1258099769</v>
      </c>
      <c r="J236" s="4233" t="n">
        <v>43055.2699872338</v>
      </c>
      <c r="K236" s="4234" t="n">
        <v>43055.2699872338</v>
      </c>
      <c r="L236" s="4235" t="s">
        <v>16</v>
      </c>
      <c r="M236" s="4236"/>
      <c r="N236" s="4237"/>
      <c r="O236" s="4238"/>
      <c r="P236" s="4239" t="s">
        <v>17</v>
      </c>
      <c r="Q236" s="4240">
        <f>TODAY()-j236</f>
      </c>
      <c r="R236" s="4241">
        <f>VLOOKUP(A236,'Last Week'!A4:I395,7,FALSE)</f>
      </c>
    </row>
    <row r="237" ht="35.05" customHeight="true">
      <c r="A237" s="4242" t="s">
        <v>598</v>
      </c>
      <c r="B237" s="4243" t="s">
        <v>599</v>
      </c>
      <c r="C237" s="4244"/>
      <c r="D237" s="4245" t="s">
        <v>600</v>
      </c>
      <c r="E237" s="4246" t="s">
        <v>25</v>
      </c>
      <c r="F237" s="4247"/>
      <c r="G237" s="4248" t="s">
        <v>15</v>
      </c>
      <c r="H237" s="4249" t="n">
        <v>43062.1258165857</v>
      </c>
      <c r="I237" s="4250" t="n">
        <v>43062.1258165857</v>
      </c>
      <c r="J237" s="4251" t="n">
        <v>43055.4858016088</v>
      </c>
      <c r="K237" s="4252" t="n">
        <v>43055.4858016088</v>
      </c>
      <c r="L237" s="4253" t="s">
        <v>16</v>
      </c>
      <c r="M237" s="4254"/>
      <c r="N237" s="4255"/>
      <c r="O237" s="4256"/>
      <c r="P237" s="4257" t="s">
        <v>17</v>
      </c>
      <c r="Q237" s="4258">
        <f>TODAY()-j237</f>
      </c>
      <c r="R237" s="4259">
        <f>VLOOKUP(A237,'Last Week'!A4:I395,7,FALSE)</f>
      </c>
    </row>
    <row r="238" ht="35.05" customHeight="true">
      <c r="A238" s="4260" t="s">
        <v>601</v>
      </c>
      <c r="B238" s="4261" t="s">
        <v>602</v>
      </c>
      <c r="C238" s="4262"/>
      <c r="D238" s="4263" t="s">
        <v>141</v>
      </c>
      <c r="E238" s="4264" t="s">
        <v>29</v>
      </c>
      <c r="F238" s="4265"/>
      <c r="G238" s="4266" t="s">
        <v>15</v>
      </c>
      <c r="H238" s="4267" t="n">
        <v>43062.125830544</v>
      </c>
      <c r="I238" s="4268" t="n">
        <v>43062.125830544</v>
      </c>
      <c r="J238" s="4269" t="n">
        <v>43055.9787445023</v>
      </c>
      <c r="K238" s="4270" t="n">
        <v>43055.9787445023</v>
      </c>
      <c r="L238" s="4271" t="s">
        <v>16</v>
      </c>
      <c r="M238" s="4272"/>
      <c r="N238" s="4273"/>
      <c r="O238" s="4274"/>
      <c r="P238" s="4275" t="s">
        <v>17</v>
      </c>
      <c r="Q238" s="4276">
        <f>TODAY()-j238</f>
      </c>
      <c r="R238" s="4277">
        <f>VLOOKUP(A238,'Last Week'!A4:I395,7,FALSE)</f>
      </c>
    </row>
    <row r="239" ht="35.05" customHeight="true">
      <c r="A239" s="4278" t="s">
        <v>603</v>
      </c>
      <c r="B239" s="4279" t="s">
        <v>604</v>
      </c>
      <c r="C239" s="4280"/>
      <c r="D239" s="4281" t="s">
        <v>141</v>
      </c>
      <c r="E239" s="4282" t="s">
        <v>29</v>
      </c>
      <c r="F239" s="4283"/>
      <c r="G239" s="4284" t="s">
        <v>15</v>
      </c>
      <c r="H239" s="4285" t="n">
        <v>43062.1258320023</v>
      </c>
      <c r="I239" s="4286" t="n">
        <v>43062.1258320023</v>
      </c>
      <c r="J239" s="4287" t="n">
        <v>43055.9801971296</v>
      </c>
      <c r="K239" s="4288" t="n">
        <v>43055.9801971296</v>
      </c>
      <c r="L239" s="4289" t="s">
        <v>16</v>
      </c>
      <c r="M239" s="4290"/>
      <c r="N239" s="4291"/>
      <c r="O239" s="4292"/>
      <c r="P239" s="4293" t="s">
        <v>17</v>
      </c>
      <c r="Q239" s="4294">
        <f>TODAY()-j239</f>
      </c>
      <c r="R239" s="4295">
        <f>VLOOKUP(A239,'Last Week'!A4:I395,7,FALSE)</f>
      </c>
    </row>
    <row r="240" ht="23.85" customHeight="true">
      <c r="A240" s="4296" t="s">
        <v>605</v>
      </c>
      <c r="B240" s="4297" t="s">
        <v>562</v>
      </c>
      <c r="C240" s="4298"/>
      <c r="D240" s="4299" t="s">
        <v>606</v>
      </c>
      <c r="E240" s="4300" t="s">
        <v>109</v>
      </c>
      <c r="F240" s="4301"/>
      <c r="G240" s="4302" t="s">
        <v>15</v>
      </c>
      <c r="H240" s="4303" t="n">
        <v>43063.6805823495</v>
      </c>
      <c r="I240" s="4304" t="n">
        <v>43063.6805823495</v>
      </c>
      <c r="J240" s="4305" t="n">
        <v>43056.3661859607</v>
      </c>
      <c r="K240" s="4306" t="n">
        <v>43056.3661859607</v>
      </c>
      <c r="L240" s="4307" t="s">
        <v>16</v>
      </c>
      <c r="M240" s="4308"/>
      <c r="N240" s="4309"/>
      <c r="O240" s="4310"/>
      <c r="P240" s="4311" t="s">
        <v>17</v>
      </c>
      <c r="Q240" s="4312">
        <f>TODAY()-j240</f>
      </c>
      <c r="R240" s="4313">
        <f>VLOOKUP(A240,'Last Week'!A4:I395,7,FALSE)</f>
      </c>
    </row>
    <row r="241" ht="23.85" customHeight="true">
      <c r="A241" s="4314" t="s">
        <v>607</v>
      </c>
      <c r="B241" s="4315" t="s">
        <v>608</v>
      </c>
      <c r="C241" s="4316"/>
      <c r="D241" s="4317" t="s">
        <v>609</v>
      </c>
      <c r="E241" s="4318" t="s">
        <v>25</v>
      </c>
      <c r="F241" s="4319"/>
      <c r="G241" s="4320" t="s">
        <v>15</v>
      </c>
      <c r="H241" s="4321" t="n">
        <v>43065.4930931945</v>
      </c>
      <c r="I241" s="4322" t="n">
        <v>43065.4930931945</v>
      </c>
      <c r="J241" s="4323" t="n">
        <v>43059.4815082523</v>
      </c>
      <c r="K241" s="4324" t="n">
        <v>43059.4815082523</v>
      </c>
      <c r="L241" s="4325" t="s">
        <v>16</v>
      </c>
      <c r="M241" s="4326"/>
      <c r="N241" s="4327"/>
      <c r="O241" s="4328"/>
      <c r="P241" s="4329" t="s">
        <v>17</v>
      </c>
      <c r="Q241" s="4330">
        <f>TODAY()-j241</f>
      </c>
      <c r="R241" s="4331">
        <f>VLOOKUP(A241,'Last Week'!A4:I395,7,FALSE)</f>
      </c>
    </row>
    <row r="242" ht="23.85" customHeight="true">
      <c r="A242" s="4332" t="s">
        <v>610</v>
      </c>
      <c r="B242" s="4333" t="s">
        <v>611</v>
      </c>
      <c r="C242" s="4334"/>
      <c r="D242" s="4335" t="s">
        <v>612</v>
      </c>
      <c r="E242" s="4336" t="s">
        <v>34</v>
      </c>
      <c r="F242" s="4337"/>
      <c r="G242" s="4338" t="s">
        <v>15</v>
      </c>
      <c r="H242" s="4339" t="n">
        <v>43071.125871713</v>
      </c>
      <c r="I242" s="4340" t="n">
        <v>43071.125871713</v>
      </c>
      <c r="J242" s="4341" t="n">
        <v>43059.7112390162</v>
      </c>
      <c r="K242" s="4342" t="n">
        <v>43059.7112390162</v>
      </c>
      <c r="L242" s="4343" t="s">
        <v>16</v>
      </c>
      <c r="M242" s="4344"/>
      <c r="N242" s="4345"/>
      <c r="O242" s="4346"/>
      <c r="P242" s="4347" t="s">
        <v>17</v>
      </c>
      <c r="Q242" s="4348">
        <f>TODAY()-j242</f>
      </c>
      <c r="R242" s="4349">
        <f>VLOOKUP(A242,'Last Week'!A4:I395,7,FALSE)</f>
      </c>
    </row>
    <row r="243" ht="23.85" customHeight="true">
      <c r="A243" s="4350" t="s">
        <v>613</v>
      </c>
      <c r="B243" s="4351" t="s">
        <v>614</v>
      </c>
      <c r="C243" s="4352"/>
      <c r="D243" s="4353" t="s">
        <v>615</v>
      </c>
      <c r="E243" s="4354" t="s">
        <v>616</v>
      </c>
      <c r="F243" s="4355"/>
      <c r="G243" s="4356" t="s">
        <v>15</v>
      </c>
      <c r="H243" s="4357" t="n">
        <v>43064.6111421296</v>
      </c>
      <c r="I243" s="4358" t="n">
        <v>43064.6111421296</v>
      </c>
      <c r="J243" s="4359" t="n">
        <v>43059.7485373727</v>
      </c>
      <c r="K243" s="4360" t="n">
        <v>43059.7485373727</v>
      </c>
      <c r="L243" s="4361" t="s">
        <v>16</v>
      </c>
      <c r="M243" s="4362"/>
      <c r="N243" s="4363"/>
      <c r="O243" s="4364"/>
      <c r="P243" s="4365" t="s">
        <v>17</v>
      </c>
      <c r="Q243" s="4366">
        <f>TODAY()-j243</f>
      </c>
      <c r="R243" s="4367">
        <f>VLOOKUP(A243,'Last Week'!A4:I395,7,FALSE)</f>
      </c>
    </row>
    <row r="244" ht="46.25" customHeight="true">
      <c r="A244" s="4368" t="s">
        <v>617</v>
      </c>
      <c r="B244" s="4369" t="s">
        <v>618</v>
      </c>
      <c r="C244" s="4370"/>
      <c r="D244" s="4371" t="s">
        <v>393</v>
      </c>
      <c r="E244" s="4372" t="s">
        <v>51</v>
      </c>
      <c r="F244" s="4373"/>
      <c r="G244" s="4374" t="s">
        <v>15</v>
      </c>
      <c r="H244" s="4375" t="n">
        <v>43064.1258491319</v>
      </c>
      <c r="I244" s="4376" t="n">
        <v>43064.1258491319</v>
      </c>
      <c r="J244" s="4377" t="n">
        <v>43061.2895396528</v>
      </c>
      <c r="K244" s="4378" t="n">
        <v>43061.2895396528</v>
      </c>
      <c r="L244" s="4379" t="s">
        <v>16</v>
      </c>
      <c r="M244" s="4380"/>
      <c r="N244" s="4381"/>
      <c r="O244" s="4382"/>
      <c r="P244" s="4383" t="s">
        <v>17</v>
      </c>
      <c r="Q244" s="4384">
        <f>TODAY()-j244</f>
      </c>
      <c r="R244" s="4385">
        <f>VLOOKUP(A244,'Last Week'!A4:I395,7,FALSE)</f>
      </c>
    </row>
    <row r="245" ht="23.85" customHeight="true">
      <c r="A245" s="4386" t="s">
        <v>619</v>
      </c>
      <c r="B245" s="4387" t="s">
        <v>620</v>
      </c>
      <c r="C245" s="4388"/>
      <c r="D245" s="4389" t="s">
        <v>621</v>
      </c>
      <c r="E245" s="4390" t="s">
        <v>230</v>
      </c>
      <c r="F245" s="4391"/>
      <c r="G245" s="4392" t="s">
        <v>15</v>
      </c>
      <c r="H245" s="4393" t="n">
        <v>43068.2919915278</v>
      </c>
      <c r="I245" s="4394" t="n">
        <v>43068.2919915278</v>
      </c>
      <c r="J245" s="4395" t="n">
        <v>43062.8772528588</v>
      </c>
      <c r="K245" s="4396" t="n">
        <v>43062.8772528588</v>
      </c>
      <c r="L245" s="4397" t="s">
        <v>16</v>
      </c>
      <c r="M245" s="4398"/>
      <c r="N245" s="4399"/>
      <c r="O245" s="4400"/>
      <c r="P245" s="4401" t="s">
        <v>17</v>
      </c>
      <c r="Q245" s="4402">
        <f>TODAY()-j245</f>
      </c>
      <c r="R245" s="4403">
        <f>VLOOKUP(A245,'Last Week'!A4:I395,7,FALSE)</f>
      </c>
    </row>
    <row r="246" ht="23.85" customHeight="true">
      <c r="A246" s="4404" t="s">
        <v>622</v>
      </c>
      <c r="B246" s="4405" t="s">
        <v>623</v>
      </c>
      <c r="C246" s="4406"/>
      <c r="D246" s="4407" t="s">
        <v>141</v>
      </c>
      <c r="E246" s="4408" t="s">
        <v>176</v>
      </c>
      <c r="F246" s="4409"/>
      <c r="G246" s="4410" t="s">
        <v>15</v>
      </c>
      <c r="H246" s="4411" t="n">
        <v>43071.1258778704</v>
      </c>
      <c r="I246" s="4412" t="n">
        <v>43071.1258778704</v>
      </c>
      <c r="J246" s="4413" t="n">
        <v>43063.8399084144</v>
      </c>
      <c r="K246" s="4414" t="n">
        <v>43063.8399084144</v>
      </c>
      <c r="L246" s="4415" t="s">
        <v>16</v>
      </c>
      <c r="M246" s="4416"/>
      <c r="N246" s="4417"/>
      <c r="O246" s="4418"/>
      <c r="P246" s="4419" t="s">
        <v>17</v>
      </c>
      <c r="Q246" s="4420">
        <f>TODAY()-j246</f>
      </c>
      <c r="R246" s="4421">
        <f>VLOOKUP(A246,'Last Week'!A4:I395,7,FALSE)</f>
      </c>
    </row>
    <row r="247" ht="23.85" customHeight="true">
      <c r="A247" s="4422" t="s">
        <v>624</v>
      </c>
      <c r="B247" s="4423" t="s">
        <v>625</v>
      </c>
      <c r="C247" s="4424"/>
      <c r="D247" s="4425" t="s">
        <v>626</v>
      </c>
      <c r="E247" s="4426" t="s">
        <v>29</v>
      </c>
      <c r="F247" s="4427"/>
      <c r="G247" s="4428" t="s">
        <v>15</v>
      </c>
      <c r="H247" s="4429" t="n">
        <v>43071.3336226968</v>
      </c>
      <c r="I247" s="4430" t="n">
        <v>43071.3336226968</v>
      </c>
      <c r="J247" s="4431" t="n">
        <v>43067.763853125</v>
      </c>
      <c r="K247" s="4432" t="n">
        <v>43067.763853125</v>
      </c>
      <c r="L247" s="4433" t="s">
        <v>16</v>
      </c>
      <c r="M247" s="4434"/>
      <c r="N247" s="4435"/>
      <c r="O247" s="4436"/>
      <c r="P247" s="4437" t="s">
        <v>17</v>
      </c>
      <c r="Q247" s="4438">
        <f>TODAY()-j247</f>
      </c>
      <c r="R247" s="4439">
        <f>VLOOKUP(A247,'Last Week'!A4:I395,7,FALSE)</f>
      </c>
    </row>
    <row r="248" ht="23.85" customHeight="true">
      <c r="A248" s="4440" t="s">
        <v>627</v>
      </c>
      <c r="B248" s="4441" t="s">
        <v>628</v>
      </c>
      <c r="C248" s="4442"/>
      <c r="D248" s="4443" t="s">
        <v>629</v>
      </c>
      <c r="E248" s="4444" t="s">
        <v>216</v>
      </c>
      <c r="F248" s="4445"/>
      <c r="G248" s="4446" t="s">
        <v>15</v>
      </c>
      <c r="H248" s="4447" t="n">
        <v>43072.7224245255</v>
      </c>
      <c r="I248" s="4448" t="n">
        <v>43072.7224245255</v>
      </c>
      <c r="J248" s="4449" t="n">
        <v>43068.6090155093</v>
      </c>
      <c r="K248" s="4450" t="n">
        <v>43068.6090155093</v>
      </c>
      <c r="L248" s="4451" t="s">
        <v>16</v>
      </c>
      <c r="M248" s="4452"/>
      <c r="N248" s="4453"/>
      <c r="O248" s="4454"/>
      <c r="P248" s="4455" t="s">
        <v>17</v>
      </c>
      <c r="Q248" s="4456">
        <f>TODAY()-j248</f>
      </c>
      <c r="R248" s="4457">
        <f>VLOOKUP(A248,'Last Week'!A4:I395,7,FALSE)</f>
      </c>
    </row>
    <row r="249" ht="46.25" customHeight="true">
      <c r="A249" s="4458" t="s">
        <v>630</v>
      </c>
      <c r="B249" s="4459" t="s">
        <v>631</v>
      </c>
      <c r="C249" s="4460"/>
      <c r="D249" s="4461" t="s">
        <v>480</v>
      </c>
      <c r="E249" s="4462" t="s">
        <v>216</v>
      </c>
      <c r="F249" s="4463"/>
      <c r="G249" s="4464" t="s">
        <v>15</v>
      </c>
      <c r="H249" s="4465" t="n">
        <v>43077.3544960995</v>
      </c>
      <c r="I249" s="4466" t="n">
        <v>43077.3544960995</v>
      </c>
      <c r="J249" s="4467" t="n">
        <v>43069.6145112963</v>
      </c>
      <c r="K249" s="4468" t="n">
        <v>43069.6145112963</v>
      </c>
      <c r="L249" s="4469" t="s">
        <v>16</v>
      </c>
      <c r="M249" s="4470"/>
      <c r="N249" s="4471"/>
      <c r="O249" s="4472"/>
      <c r="P249" s="4473" t="s">
        <v>59</v>
      </c>
      <c r="Q249" s="4474">
        <f>TODAY()-j249</f>
      </c>
      <c r="R249" s="4475">
        <f>VLOOKUP(A249,'Last Week'!A4:I395,7,FALSE)</f>
      </c>
    </row>
    <row r="250" ht="23.85" customHeight="true">
      <c r="A250" s="4476" t="s">
        <v>632</v>
      </c>
      <c r="B250" s="4477" t="s">
        <v>633</v>
      </c>
      <c r="C250" s="4478"/>
      <c r="D250" s="4479" t="s">
        <v>634</v>
      </c>
      <c r="E250" s="4480" t="s">
        <v>25</v>
      </c>
      <c r="F250" s="4481"/>
      <c r="G250" s="4482" t="s">
        <v>15</v>
      </c>
      <c r="H250" s="4483" t="n">
        <v>43077.722553206</v>
      </c>
      <c r="I250" s="4484" t="n">
        <v>43077.722553206</v>
      </c>
      <c r="J250" s="4485" t="n">
        <v>43073.5005332407</v>
      </c>
      <c r="K250" s="4486" t="n">
        <v>43073.5005332407</v>
      </c>
      <c r="L250" s="4487" t="s">
        <v>16</v>
      </c>
      <c r="M250" s="4488"/>
      <c r="N250" s="4489"/>
      <c r="O250" s="4490"/>
      <c r="P250" s="4491" t="s">
        <v>17</v>
      </c>
      <c r="Q250" s="4492">
        <f>TODAY()-j250</f>
      </c>
      <c r="R250" s="4493">
        <f>VLOOKUP(A250,'Last Week'!A4:I395,7,FALSE)</f>
      </c>
    </row>
    <row r="251" ht="23.85" customHeight="true">
      <c r="A251" s="4494" t="s">
        <v>635</v>
      </c>
      <c r="B251" s="4495" t="s">
        <v>578</v>
      </c>
      <c r="C251" s="4496"/>
      <c r="D251" s="4497" t="s">
        <v>55</v>
      </c>
      <c r="E251" s="4498" t="s">
        <v>73</v>
      </c>
      <c r="F251" s="4499"/>
      <c r="G251" s="4500" t="s">
        <v>15</v>
      </c>
      <c r="H251" s="4501" t="n">
        <v>43076.125618287</v>
      </c>
      <c r="I251" s="4502" t="n">
        <v>43076.125618287</v>
      </c>
      <c r="J251" s="4503" t="n">
        <v>43073.5161557292</v>
      </c>
      <c r="K251" s="4504" t="n">
        <v>43073.5161557292</v>
      </c>
      <c r="L251" s="4505" t="s">
        <v>16</v>
      </c>
      <c r="M251" s="4506"/>
      <c r="N251" s="4507"/>
      <c r="O251" s="4508"/>
      <c r="P251" s="4509" t="s">
        <v>59</v>
      </c>
      <c r="Q251" s="4510">
        <f>TODAY()-j251</f>
      </c>
      <c r="R251" s="4511">
        <f>VLOOKUP(A251,'Last Week'!A4:I395,7,FALSE)</f>
      </c>
    </row>
    <row r="252" ht="23.85" customHeight="true">
      <c r="A252" s="4512" t="s">
        <v>636</v>
      </c>
      <c r="B252" s="4513" t="s">
        <v>54</v>
      </c>
      <c r="C252" s="4514"/>
      <c r="D252" s="4515" t="s">
        <v>55</v>
      </c>
      <c r="E252" s="4516" t="s">
        <v>73</v>
      </c>
      <c r="F252" s="4517"/>
      <c r="G252" s="4518" t="s">
        <v>15</v>
      </c>
      <c r="H252" s="4519" t="n">
        <v>43075.3814581944</v>
      </c>
      <c r="I252" s="4520" t="n">
        <v>43075.3814581944</v>
      </c>
      <c r="J252" s="4521" t="n">
        <v>43073.5179933681</v>
      </c>
      <c r="K252" s="4522" t="n">
        <v>43073.5179933681</v>
      </c>
      <c r="L252" s="4523" t="s">
        <v>16</v>
      </c>
      <c r="M252" s="4524"/>
      <c r="N252" s="4525"/>
      <c r="O252" s="4526"/>
      <c r="P252" s="4527" t="s">
        <v>47</v>
      </c>
      <c r="Q252" s="4528">
        <f>TODAY()-j252</f>
      </c>
      <c r="R252" s="4529">
        <f>VLOOKUP(A252,'Last Week'!A4:I395,7,FALSE)</f>
      </c>
    </row>
    <row r="253" ht="23.85" customHeight="true">
      <c r="A253" s="4530" t="s">
        <v>637</v>
      </c>
      <c r="B253" s="4531" t="s">
        <v>638</v>
      </c>
      <c r="C253" s="4532"/>
      <c r="D253" s="4533" t="s">
        <v>55</v>
      </c>
      <c r="E253" s="4534" t="s">
        <v>56</v>
      </c>
      <c r="F253" s="4535"/>
      <c r="G253" s="4536" t="s">
        <v>15</v>
      </c>
      <c r="H253" s="4537" t="n">
        <v>43076.1257157407</v>
      </c>
      <c r="I253" s="4538" t="n">
        <v>43076.1257157407</v>
      </c>
      <c r="J253" s="4539" t="n">
        <v>43073.7235153588</v>
      </c>
      <c r="K253" s="4540" t="n">
        <v>43073.7235153588</v>
      </c>
      <c r="L253" s="4541" t="s">
        <v>16</v>
      </c>
      <c r="M253" s="4542"/>
      <c r="N253" s="4543"/>
      <c r="O253" s="4544"/>
      <c r="P253" s="4545" t="s">
        <v>59</v>
      </c>
      <c r="Q253" s="4546">
        <f>TODAY()-j253</f>
      </c>
      <c r="R253" s="4547">
        <f>VLOOKUP(A253,'Last Week'!A4:I395,7,FALSE)</f>
      </c>
    </row>
    <row r="254" ht="57.45" customHeight="true">
      <c r="A254" s="4548" t="s">
        <v>639</v>
      </c>
      <c r="B254" s="4549" t="s">
        <v>505</v>
      </c>
      <c r="C254" s="4550"/>
      <c r="D254" s="4551" t="s">
        <v>640</v>
      </c>
      <c r="E254" s="4552" t="s">
        <v>29</v>
      </c>
      <c r="F254" s="4553"/>
      <c r="G254" s="4554" t="s">
        <v>15</v>
      </c>
      <c r="H254" s="4555" t="n">
        <v>43076.3336539815</v>
      </c>
      <c r="I254" s="4556" t="n">
        <v>43076.3336539815</v>
      </c>
      <c r="J254" s="4557" t="n">
        <v>43073.9537369792</v>
      </c>
      <c r="K254" s="4558" t="n">
        <v>43073.9537369792</v>
      </c>
      <c r="L254" s="4559" t="s">
        <v>16</v>
      </c>
      <c r="M254" s="4560"/>
      <c r="N254" s="4561"/>
      <c r="O254" s="4562"/>
      <c r="P254" s="4563" t="s">
        <v>17</v>
      </c>
      <c r="Q254" s="4564">
        <f>TODAY()-j254</f>
      </c>
      <c r="R254" s="4565">
        <f>VLOOKUP(A254,'Last Week'!A4:I395,7,FALSE)</f>
      </c>
    </row>
    <row r="255" ht="23.85" customHeight="true">
      <c r="A255" s="4566" t="s">
        <v>641</v>
      </c>
      <c r="B255" s="4567" t="s">
        <v>272</v>
      </c>
      <c r="C255" s="4568"/>
      <c r="D255" s="4569" t="s">
        <v>141</v>
      </c>
      <c r="E255" s="4570" t="s">
        <v>73</v>
      </c>
      <c r="F255" s="4571"/>
      <c r="G255" s="4572" t="s">
        <v>15</v>
      </c>
      <c r="H255" s="4573" t="n">
        <v>43076.3336571412</v>
      </c>
      <c r="I255" s="4574" t="n">
        <v>43076.3336571412</v>
      </c>
      <c r="J255" s="4575" t="n">
        <v>43074.5203514931</v>
      </c>
      <c r="K255" s="4576" t="n">
        <v>43074.5203514931</v>
      </c>
      <c r="L255" s="4577" t="s">
        <v>16</v>
      </c>
      <c r="M255" s="4578"/>
      <c r="N255" s="4579"/>
      <c r="O255" s="4580"/>
      <c r="P255" s="4581" t="s">
        <v>17</v>
      </c>
      <c r="Q255" s="4582">
        <f>TODAY()-j255</f>
      </c>
      <c r="R255" s="4583">
        <f>VLOOKUP(A255,'Last Week'!A4:I395,7,FALSE)</f>
      </c>
    </row>
    <row r="256" ht="23.85" customHeight="true">
      <c r="A256" s="4584" t="s">
        <v>642</v>
      </c>
      <c r="B256" s="4585" t="s">
        <v>643</v>
      </c>
      <c r="C256" s="4586"/>
      <c r="D256" s="4587" t="s">
        <v>644</v>
      </c>
      <c r="E256" s="4588" t="s">
        <v>644</v>
      </c>
      <c r="F256" s="4589"/>
      <c r="G256" s="4590" t="s">
        <v>15</v>
      </c>
      <c r="H256" s="4591" t="n">
        <v>43076.3336597685</v>
      </c>
      <c r="I256" s="4592" t="n">
        <v>43076.3336597685</v>
      </c>
      <c r="J256" s="4593" t="n">
        <v>43074.5221665278</v>
      </c>
      <c r="K256" s="4594" t="n">
        <v>43074.5221665278</v>
      </c>
      <c r="L256" s="4595" t="s">
        <v>16</v>
      </c>
      <c r="M256" s="4596"/>
      <c r="N256" s="4597"/>
      <c r="O256" s="4598"/>
      <c r="P256" s="4599" t="s">
        <v>17</v>
      </c>
      <c r="Q256" s="4600">
        <f>TODAY()-j256</f>
      </c>
      <c r="R256" s="4601">
        <f>VLOOKUP(A256,'Last Week'!A4:I395,7,FALSE)</f>
      </c>
    </row>
    <row r="257" ht="35.05" customHeight="true">
      <c r="A257" s="4602" t="s">
        <v>645</v>
      </c>
      <c r="B257" s="4603" t="s">
        <v>646</v>
      </c>
      <c r="C257" s="4604"/>
      <c r="D257" s="4605" t="s">
        <v>62</v>
      </c>
      <c r="E257" s="4606" t="s">
        <v>73</v>
      </c>
      <c r="F257" s="4607"/>
      <c r="G257" s="4608" t="s">
        <v>15</v>
      </c>
      <c r="H257" s="4609" t="n">
        <v>43083.1254895486</v>
      </c>
      <c r="I257" s="4610" t="n">
        <v>43083.1254895486</v>
      </c>
      <c r="J257" s="4611" t="n">
        <v>43074.6382029282</v>
      </c>
      <c r="K257" s="4612" t="n">
        <v>43074.6382029282</v>
      </c>
      <c r="L257" s="4613" t="s">
        <v>16</v>
      </c>
      <c r="M257" s="4614"/>
      <c r="N257" s="4615"/>
      <c r="O257" s="4616"/>
      <c r="P257" s="4617" t="s">
        <v>17</v>
      </c>
      <c r="Q257" s="4618">
        <f>TODAY()-j257</f>
      </c>
      <c r="R257" s="4619">
        <f>VLOOKUP(A257,'Last Week'!A4:I395,7,FALSE)</f>
      </c>
    </row>
    <row r="258" ht="35.05" customHeight="true">
      <c r="A258" s="4620" t="s">
        <v>647</v>
      </c>
      <c r="B258" s="4621" t="s">
        <v>648</v>
      </c>
      <c r="C258" s="4622"/>
      <c r="D258" s="4623" t="s">
        <v>141</v>
      </c>
      <c r="E258" s="4624" t="s">
        <v>73</v>
      </c>
      <c r="F258" s="4625"/>
      <c r="G258" s="4626" t="s">
        <v>15</v>
      </c>
      <c r="H258" s="4627" t="n">
        <v>43079.40313375</v>
      </c>
      <c r="I258" s="4628" t="n">
        <v>43079.40313375</v>
      </c>
      <c r="J258" s="4629" t="n">
        <v>43075.4365063773</v>
      </c>
      <c r="K258" s="4630" t="n">
        <v>43075.4365063773</v>
      </c>
      <c r="L258" s="4631" t="s">
        <v>16</v>
      </c>
      <c r="M258" s="4632"/>
      <c r="N258" s="4633"/>
      <c r="O258" s="4634"/>
      <c r="P258" s="4635" t="s">
        <v>17</v>
      </c>
      <c r="Q258" s="4636">
        <f>TODAY()-j258</f>
      </c>
      <c r="R258" s="4637">
        <f>VLOOKUP(A258,'Last Week'!A4:I395,7,FALSE)</f>
      </c>
    </row>
    <row r="259" ht="23.85" customHeight="true">
      <c r="A259" s="4638" t="s">
        <v>649</v>
      </c>
      <c r="B259" s="4639" t="s">
        <v>650</v>
      </c>
      <c r="C259" s="4640"/>
      <c r="D259" s="4641" t="s">
        <v>651</v>
      </c>
      <c r="E259" s="4642" t="s">
        <v>73</v>
      </c>
      <c r="F259" s="4643"/>
      <c r="G259" s="4644" t="s">
        <v>15</v>
      </c>
      <c r="H259" s="4645" t="n">
        <v>43079.597583912</v>
      </c>
      <c r="I259" s="4646" t="n">
        <v>43079.597583912</v>
      </c>
      <c r="J259" s="4647" t="n">
        <v>43075.4789425232</v>
      </c>
      <c r="K259" s="4648" t="n">
        <v>43075.4789425232</v>
      </c>
      <c r="L259" s="4649" t="s">
        <v>16</v>
      </c>
      <c r="M259" s="4650"/>
      <c r="N259" s="4651"/>
      <c r="O259" s="4652"/>
      <c r="P259" s="4653" t="s">
        <v>17</v>
      </c>
      <c r="Q259" s="4654">
        <f>TODAY()-j259</f>
      </c>
      <c r="R259" s="4655">
        <f>VLOOKUP(A259,'Last Week'!A4:I395,7,FALSE)</f>
      </c>
    </row>
    <row r="260" ht="35.05" customHeight="true">
      <c r="A260" s="4656" t="s">
        <v>652</v>
      </c>
      <c r="B260" s="4657" t="s">
        <v>653</v>
      </c>
      <c r="C260" s="4658"/>
      <c r="D260" s="4659" t="s">
        <v>62</v>
      </c>
      <c r="E260" s="4660" t="s">
        <v>73</v>
      </c>
      <c r="F260" s="4661"/>
      <c r="G260" s="4662" t="s">
        <v>15</v>
      </c>
      <c r="H260" s="4663" t="n">
        <v>43078.1265904167</v>
      </c>
      <c r="I260" s="4664" t="n">
        <v>43078.1265904167</v>
      </c>
      <c r="J260" s="4665" t="n">
        <v>43075.5323043403</v>
      </c>
      <c r="K260" s="4666" t="n">
        <v>43075.5323043403</v>
      </c>
      <c r="L260" s="4667" t="s">
        <v>16</v>
      </c>
      <c r="M260" s="4668"/>
      <c r="N260" s="4669"/>
      <c r="O260" s="4670"/>
      <c r="P260" s="4671" t="s">
        <v>17</v>
      </c>
      <c r="Q260" s="4672">
        <f>TODAY()-j260</f>
      </c>
      <c r="R260" s="4673">
        <f>VLOOKUP(A260,'Last Week'!A4:I395,7,FALSE)</f>
      </c>
    </row>
    <row r="261" ht="23.85" customHeight="true">
      <c r="A261" s="4674" t="s">
        <v>654</v>
      </c>
      <c r="B261" s="4675" t="s">
        <v>157</v>
      </c>
      <c r="C261" s="4676"/>
      <c r="D261" s="4677" t="s">
        <v>141</v>
      </c>
      <c r="E261" s="4678" t="s">
        <v>73</v>
      </c>
      <c r="F261" s="4679"/>
      <c r="G261" s="4680" t="s">
        <v>15</v>
      </c>
      <c r="H261" s="4681" t="n">
        <v>43078.1265942245</v>
      </c>
      <c r="I261" s="4682" t="n">
        <v>43078.1265942245</v>
      </c>
      <c r="J261" s="4683" t="n">
        <v>43075.6058402083</v>
      </c>
      <c r="K261" s="4684" t="n">
        <v>43075.6058402083</v>
      </c>
      <c r="L261" s="4685" t="s">
        <v>16</v>
      </c>
      <c r="M261" s="4686"/>
      <c r="N261" s="4687"/>
      <c r="O261" s="4688"/>
      <c r="P261" s="4689" t="s">
        <v>17</v>
      </c>
      <c r="Q261" s="4690">
        <f>TODAY()-j261</f>
      </c>
      <c r="R261" s="4691">
        <f>VLOOKUP(A261,'Last Week'!A4:I395,7,FALSE)</f>
      </c>
    </row>
    <row r="262" ht="23.85" customHeight="true">
      <c r="A262" s="4692" t="s">
        <v>655</v>
      </c>
      <c r="B262" s="4693" t="s">
        <v>656</v>
      </c>
      <c r="C262" s="4694"/>
      <c r="D262" s="4695" t="s">
        <v>62</v>
      </c>
      <c r="E262" s="4696" t="s">
        <v>73</v>
      </c>
      <c r="F262" s="4697"/>
      <c r="G262" s="4698" t="s">
        <v>15</v>
      </c>
      <c r="H262" s="4699" t="n">
        <v>43084.1259764005</v>
      </c>
      <c r="I262" s="4700" t="n">
        <v>43084.1259764005</v>
      </c>
      <c r="J262" s="4701" t="n">
        <v>43080.5174248495</v>
      </c>
      <c r="K262" s="4702" t="n">
        <v>43080.5174248495</v>
      </c>
      <c r="L262" s="4703" t="s">
        <v>16</v>
      </c>
      <c r="M262" s="4704"/>
      <c r="N262" s="4705"/>
      <c r="O262" s="4706"/>
      <c r="P262" s="4707" t="s">
        <v>17</v>
      </c>
      <c r="Q262" s="4708">
        <f>TODAY()-j262</f>
      </c>
      <c r="R262" s="4709">
        <f>VLOOKUP(A262,'Last Week'!A4:I395,7,FALSE)</f>
      </c>
    </row>
    <row r="263" ht="23.85" customHeight="true">
      <c r="A263" s="4710" t="s">
        <v>657</v>
      </c>
      <c r="B263" s="4711" t="s">
        <v>272</v>
      </c>
      <c r="C263" s="4712"/>
      <c r="D263" s="4713" t="s">
        <v>141</v>
      </c>
      <c r="E263" s="4714" t="s">
        <v>73</v>
      </c>
      <c r="F263" s="4715"/>
      <c r="G263" s="4716" t="s">
        <v>15</v>
      </c>
      <c r="H263" s="4717" t="n">
        <v>43083.1256501852</v>
      </c>
      <c r="I263" s="4718" t="n">
        <v>43083.1256501852</v>
      </c>
      <c r="J263" s="4719" t="n">
        <v>43080.5378115857</v>
      </c>
      <c r="K263" s="4720" t="n">
        <v>43080.5378115857</v>
      </c>
      <c r="L263" s="4721" t="s">
        <v>16</v>
      </c>
      <c r="M263" s="4722"/>
      <c r="N263" s="4723"/>
      <c r="O263" s="4724"/>
      <c r="P263" s="4725" t="s">
        <v>17</v>
      </c>
      <c r="Q263" s="4726">
        <f>TODAY()-j263</f>
      </c>
      <c r="R263" s="4727">
        <f>VLOOKUP(A263,'Last Week'!A4:I395,7,FALSE)</f>
      </c>
    </row>
    <row r="264" ht="23.85" customHeight="true">
      <c r="A264" s="4728" t="s">
        <v>658</v>
      </c>
      <c r="B264" s="4729" t="s">
        <v>659</v>
      </c>
      <c r="C264" s="4730"/>
      <c r="D264" s="4731" t="s">
        <v>201</v>
      </c>
      <c r="E264" s="4732" t="s">
        <v>73</v>
      </c>
      <c r="F264" s="4733"/>
      <c r="G264" s="4734" t="s">
        <v>15</v>
      </c>
      <c r="H264" s="4735" t="n">
        <v>43084.1257648843</v>
      </c>
      <c r="I264" s="4736" t="n">
        <v>43084.1257648843</v>
      </c>
      <c r="J264" s="4737" t="n">
        <v>43081.4352826505</v>
      </c>
      <c r="K264" s="4738" t="n">
        <v>43081.4352826505</v>
      </c>
      <c r="L264" s="4739" t="s">
        <v>16</v>
      </c>
      <c r="M264" s="4740"/>
      <c r="N264" s="4741"/>
      <c r="O264" s="4742"/>
      <c r="P264" s="4743" t="s">
        <v>17</v>
      </c>
      <c r="Q264" s="4744">
        <f>TODAY()-j264</f>
      </c>
      <c r="R264" s="4745">
        <f>VLOOKUP(A264,'Last Week'!A4:I395,7,FALSE)</f>
      </c>
    </row>
    <row r="265" ht="35.05" customHeight="true">
      <c r="A265" s="4746" t="s">
        <v>660</v>
      </c>
      <c r="B265" s="4747" t="s">
        <v>661</v>
      </c>
      <c r="C265" s="4748"/>
      <c r="D265" s="4749" t="s">
        <v>62</v>
      </c>
      <c r="E265" s="4750" t="s">
        <v>73</v>
      </c>
      <c r="F265" s="4751"/>
      <c r="G265" s="4752" t="s">
        <v>15</v>
      </c>
      <c r="H265" s="4753" t="n">
        <v>43083.1258732523</v>
      </c>
      <c r="I265" s="4754" t="n">
        <v>43083.1258732523</v>
      </c>
      <c r="J265" s="4755" t="n">
        <v>43081.5522756829</v>
      </c>
      <c r="K265" s="4756" t="n">
        <v>43081.5522756829</v>
      </c>
      <c r="L265" s="4757" t="s">
        <v>16</v>
      </c>
      <c r="M265" s="4758"/>
      <c r="N265" s="4759"/>
      <c r="O265" s="4760"/>
      <c r="P265" s="4761" t="s">
        <v>17</v>
      </c>
      <c r="Q265" s="4762">
        <f>TODAY()-j265</f>
      </c>
      <c r="R265" s="4763">
        <f>VLOOKUP(A265,'Last Week'!A4:I395,7,FALSE)</f>
      </c>
    </row>
    <row r="266" ht="35.05" customHeight="true">
      <c r="A266" s="4764" t="s">
        <v>662</v>
      </c>
      <c r="B266" s="4765" t="s">
        <v>663</v>
      </c>
      <c r="C266" s="4766"/>
      <c r="D266" s="4767" t="s">
        <v>62</v>
      </c>
      <c r="E266" s="4768" t="s">
        <v>51</v>
      </c>
      <c r="F266" s="4769"/>
      <c r="G266" s="4770" t="s">
        <v>15</v>
      </c>
      <c r="H266" s="4771" t="n">
        <v>43084.1258287847</v>
      </c>
      <c r="I266" s="4772" t="n">
        <v>43084.1258287847</v>
      </c>
      <c r="J266" s="4773" t="n">
        <v>43082.3107828704</v>
      </c>
      <c r="K266" s="4774" t="n">
        <v>43082.3107828704</v>
      </c>
      <c r="L266" s="4775" t="s">
        <v>16</v>
      </c>
      <c r="M266" s="4776"/>
      <c r="N266" s="4777"/>
      <c r="O266" s="4778"/>
      <c r="P266" s="4779" t="s">
        <v>17</v>
      </c>
      <c r="Q266" s="4780">
        <f>TODAY()-j266</f>
      </c>
      <c r="R266" s="4781">
        <f>VLOOKUP(A266,'Last Week'!A4:I395,7,FALSE)</f>
      </c>
    </row>
    <row r="267" ht="35.05" customHeight="true">
      <c r="A267" s="4782" t="s">
        <v>664</v>
      </c>
      <c r="B267" s="4783" t="s">
        <v>665</v>
      </c>
      <c r="C267" s="4784"/>
      <c r="D267" s="4785" t="s">
        <v>62</v>
      </c>
      <c r="E267" s="4786" t="s">
        <v>73</v>
      </c>
      <c r="F267" s="4787"/>
      <c r="G267" s="4788" t="s">
        <v>15</v>
      </c>
      <c r="H267" s="4789" t="n">
        <v>43090.125590162</v>
      </c>
      <c r="I267" s="4790" t="n">
        <v>43090.125590162</v>
      </c>
      <c r="J267" s="4791" t="n">
        <v>43082.5181529167</v>
      </c>
      <c r="K267" s="4792" t="n">
        <v>43082.5181529167</v>
      </c>
      <c r="L267" s="4793" t="s">
        <v>16</v>
      </c>
      <c r="M267" s="4794"/>
      <c r="N267" s="4795"/>
      <c r="O267" s="4796"/>
      <c r="P267" s="4797" t="s">
        <v>17</v>
      </c>
      <c r="Q267" s="4798">
        <f>TODAY()-j267</f>
      </c>
      <c r="R267" s="4799">
        <f>VLOOKUP(A267,'Last Week'!A4:I395,7,FALSE)</f>
      </c>
    </row>
    <row r="268" ht="23.85" customHeight="true">
      <c r="A268" s="4800" t="s">
        <v>666</v>
      </c>
      <c r="B268" s="4801" t="s">
        <v>667</v>
      </c>
      <c r="C268" s="4802"/>
      <c r="D268" s="4803" t="s">
        <v>668</v>
      </c>
      <c r="E268" s="4804" t="s">
        <v>668</v>
      </c>
      <c r="F268" s="4805"/>
      <c r="G268" s="4806" t="s">
        <v>15</v>
      </c>
      <c r="H268" s="4807" t="n">
        <v>43090.1256380556</v>
      </c>
      <c r="I268" s="4808" t="n">
        <v>43090.1256380556</v>
      </c>
      <c r="J268" s="4809" t="n">
        <v>43082.6857708912</v>
      </c>
      <c r="K268" s="4810" t="n">
        <v>43082.6857708912</v>
      </c>
      <c r="L268" s="4811" t="s">
        <v>16</v>
      </c>
      <c r="M268" s="4812"/>
      <c r="N268" s="4813"/>
      <c r="O268" s="4814"/>
      <c r="P268" s="4815" t="s">
        <v>17</v>
      </c>
      <c r="Q268" s="4816">
        <f>TODAY()-j268</f>
      </c>
      <c r="R268" s="4817">
        <f>VLOOKUP(A268,'Last Week'!A4:I395,7,FALSE)</f>
      </c>
    </row>
    <row r="269" ht="23.85" customHeight="true">
      <c r="A269" s="4818" t="s">
        <v>669</v>
      </c>
      <c r="B269" s="4819" t="s">
        <v>659</v>
      </c>
      <c r="C269" s="4820"/>
      <c r="D269" s="4821" t="s">
        <v>670</v>
      </c>
      <c r="E269" s="4822" t="s">
        <v>51</v>
      </c>
      <c r="F269" s="4823"/>
      <c r="G269" s="4824" t="s">
        <v>15</v>
      </c>
      <c r="H269" s="4825" t="n">
        <v>43085.1268268171</v>
      </c>
      <c r="I269" s="4826" t="n">
        <v>43085.1268268171</v>
      </c>
      <c r="J269" s="4827" t="n">
        <v>43083.0990693287</v>
      </c>
      <c r="K269" s="4828" t="n">
        <v>43083.0990693287</v>
      </c>
      <c r="L269" s="4829" t="s">
        <v>16</v>
      </c>
      <c r="M269" s="4830"/>
      <c r="N269" s="4831"/>
      <c r="O269" s="4832"/>
      <c r="P269" s="4833" t="s">
        <v>17</v>
      </c>
      <c r="Q269" s="4834">
        <f>TODAY()-j269</f>
      </c>
      <c r="R269" s="4835">
        <f>VLOOKUP(A269,'Last Week'!A4:I395,7,FALSE)</f>
      </c>
    </row>
    <row r="270" ht="23.85" customHeight="true">
      <c r="A270" s="4836" t="s">
        <v>671</v>
      </c>
      <c r="B270" s="4837" t="s">
        <v>672</v>
      </c>
      <c r="C270" s="4838"/>
      <c r="D270" s="4839" t="s">
        <v>673</v>
      </c>
      <c r="E270" s="4840" t="s">
        <v>73</v>
      </c>
      <c r="F270" s="4841"/>
      <c r="G270" s="4842" t="s">
        <v>15</v>
      </c>
      <c r="H270" s="4843" t="n">
        <v>43085.2503637963</v>
      </c>
      <c r="I270" s="4844" t="n">
        <v>43085.2503637963</v>
      </c>
      <c r="J270" s="4845" t="n">
        <v>43083.4629646181</v>
      </c>
      <c r="K270" s="4846" t="n">
        <v>43083.4629646181</v>
      </c>
      <c r="L270" s="4847" t="s">
        <v>16</v>
      </c>
      <c r="M270" s="4848"/>
      <c r="N270" s="4849"/>
      <c r="O270" s="4850"/>
      <c r="P270" s="4851" t="s">
        <v>17</v>
      </c>
      <c r="Q270" s="4852">
        <f>TODAY()-j270</f>
      </c>
      <c r="R270" s="4853">
        <f>VLOOKUP(A270,'Last Week'!A4:I395,7,FALSE)</f>
      </c>
    </row>
    <row r="271" ht="23.85" customHeight="true">
      <c r="A271" s="4854" t="s">
        <v>674</v>
      </c>
      <c r="B271" s="4855" t="s">
        <v>272</v>
      </c>
      <c r="C271" s="4856"/>
      <c r="D271" s="4857" t="s">
        <v>141</v>
      </c>
      <c r="E271" s="4858" t="s">
        <v>73</v>
      </c>
      <c r="F271" s="4859"/>
      <c r="G271" s="4860" t="s">
        <v>15</v>
      </c>
      <c r="H271" s="4861" t="n">
        <v>43085.3753626505</v>
      </c>
      <c r="I271" s="4862" t="n">
        <v>43085.3753626505</v>
      </c>
      <c r="J271" s="4863" t="n">
        <v>43083.5182784954</v>
      </c>
      <c r="K271" s="4864" t="n">
        <v>43083.5182784954</v>
      </c>
      <c r="L271" s="4865" t="s">
        <v>16</v>
      </c>
      <c r="M271" s="4866"/>
      <c r="N271" s="4867"/>
      <c r="O271" s="4868"/>
      <c r="P271" s="4869" t="s">
        <v>17</v>
      </c>
      <c r="Q271" s="4870">
        <f>TODAY()-j271</f>
      </c>
      <c r="R271" s="4871">
        <f>VLOOKUP(A271,'Last Week'!A4:I395,7,FALSE)</f>
      </c>
    </row>
    <row r="272" ht="23.85" customHeight="true">
      <c r="A272" s="4872" t="s">
        <v>675</v>
      </c>
      <c r="B272" s="4873" t="s">
        <v>676</v>
      </c>
      <c r="C272" s="4874"/>
      <c r="D272" s="4875" t="s">
        <v>677</v>
      </c>
      <c r="E272" s="4876" t="s">
        <v>176</v>
      </c>
      <c r="F272" s="4877"/>
      <c r="G272" s="4878" t="s">
        <v>15</v>
      </c>
      <c r="H272" s="4879" t="n">
        <v>43098.3786922569</v>
      </c>
      <c r="I272" s="4880" t="n">
        <v>43098.3786922569</v>
      </c>
      <c r="J272" s="4881" t="n">
        <v>43083.7196425694</v>
      </c>
      <c r="K272" s="4882" t="n">
        <v>43083.7196425694</v>
      </c>
      <c r="L272" s="4883" t="s">
        <v>16</v>
      </c>
      <c r="M272" s="4884"/>
      <c r="N272" s="4885"/>
      <c r="O272" s="4886"/>
      <c r="P272" s="4887" t="s">
        <v>17</v>
      </c>
      <c r="Q272" s="4888">
        <f>TODAY()-j272</f>
      </c>
      <c r="R272" s="4889">
        <f>VLOOKUP(A272,'Last Week'!A4:I395,7,FALSE)</f>
      </c>
    </row>
    <row r="273" ht="23.85" customHeight="true">
      <c r="A273" s="4890" t="s">
        <v>678</v>
      </c>
      <c r="B273" s="4891" t="s">
        <v>215</v>
      </c>
      <c r="C273" s="4892"/>
      <c r="D273" s="4893" t="s">
        <v>165</v>
      </c>
      <c r="E273" s="4894" t="s">
        <v>216</v>
      </c>
      <c r="F273" s="4895"/>
      <c r="G273" s="4896" t="s">
        <v>15</v>
      </c>
      <c r="H273" s="4897" t="n">
        <v>43091.1257388773</v>
      </c>
      <c r="I273" s="4898" t="n">
        <v>43091.1257388773</v>
      </c>
      <c r="J273" s="4899" t="n">
        <v>43088.5473314931</v>
      </c>
      <c r="K273" s="4900" t="n">
        <v>43088.5473314931</v>
      </c>
      <c r="L273" s="4901" t="s">
        <v>16</v>
      </c>
      <c r="M273" s="4902"/>
      <c r="N273" s="4903"/>
      <c r="O273" s="4904"/>
      <c r="P273" s="4905" t="s">
        <v>17</v>
      </c>
      <c r="Q273" s="4906">
        <f>TODAY()-j273</f>
      </c>
      <c r="R273" s="4907">
        <f>VLOOKUP(A273,'Last Week'!A4:I395,7,FALSE)</f>
      </c>
    </row>
    <row r="274" ht="23.85" customHeight="true">
      <c r="A274" s="4908" t="s">
        <v>679</v>
      </c>
      <c r="B274" s="4909" t="s">
        <v>680</v>
      </c>
      <c r="C274" s="4910"/>
      <c r="D274" s="4911" t="s">
        <v>681</v>
      </c>
      <c r="E274" s="4912" t="s">
        <v>127</v>
      </c>
      <c r="F274" s="4913"/>
      <c r="G274" s="4914" t="s">
        <v>15</v>
      </c>
      <c r="H274" s="4915" t="n">
        <v>43098.3786975231</v>
      </c>
      <c r="I274" s="4916" t="n">
        <v>43098.3786975231</v>
      </c>
      <c r="J274" s="4917" t="n">
        <v>43089.5033876852</v>
      </c>
      <c r="K274" s="4918" t="n">
        <v>43089.5033876852</v>
      </c>
      <c r="L274" s="4919" t="s">
        <v>16</v>
      </c>
      <c r="M274" s="4920"/>
      <c r="N274" s="4921"/>
      <c r="O274" s="4922"/>
      <c r="P274" s="4923" t="s">
        <v>17</v>
      </c>
      <c r="Q274" s="4924">
        <f>TODAY()-j274</f>
      </c>
      <c r="R274" s="4925">
        <f>VLOOKUP(A274,'Last Week'!A4:I395,7,FALSE)</f>
      </c>
    </row>
    <row r="275" ht="23.85" customHeight="true">
      <c r="A275" s="4926" t="s">
        <v>682</v>
      </c>
      <c r="B275" s="4927" t="s">
        <v>301</v>
      </c>
      <c r="C275" s="4928"/>
      <c r="D275" s="4929" t="s">
        <v>126</v>
      </c>
      <c r="E275" s="4930" t="s">
        <v>127</v>
      </c>
      <c r="F275" s="4931"/>
      <c r="G275" s="4932" t="s">
        <v>15</v>
      </c>
      <c r="H275" s="4933" t="n">
        <v>43098.3856718287</v>
      </c>
      <c r="I275" s="4934" t="n">
        <v>43098.3856718287</v>
      </c>
      <c r="J275" s="4935" t="n">
        <v>43089.5203120833</v>
      </c>
      <c r="K275" s="4936" t="n">
        <v>43089.5203120833</v>
      </c>
      <c r="L275" s="4937" t="s">
        <v>16</v>
      </c>
      <c r="M275" s="4938"/>
      <c r="N275" s="4939"/>
      <c r="O275" s="4940"/>
      <c r="P275" s="4941" t="s">
        <v>17</v>
      </c>
      <c r="Q275" s="4942">
        <f>TODAY()-j275</f>
      </c>
      <c r="R275" s="4943">
        <f>VLOOKUP(A275,'Last Week'!A4:I395,7,FALSE)</f>
      </c>
    </row>
    <row r="276" ht="46.25" customHeight="true">
      <c r="A276" s="4944" t="s">
        <v>683</v>
      </c>
      <c r="B276" s="4945" t="s">
        <v>684</v>
      </c>
      <c r="C276" s="4946"/>
      <c r="D276" s="4947" t="s">
        <v>376</v>
      </c>
      <c r="E276" s="4948" t="s">
        <v>46</v>
      </c>
      <c r="F276" s="4949"/>
      <c r="G276" s="4950" t="s">
        <v>15</v>
      </c>
      <c r="H276" s="4951" t="n">
        <v>43105.7105337384</v>
      </c>
      <c r="I276" s="4952" t="n">
        <v>43105.7105337384</v>
      </c>
      <c r="J276" s="4953" t="n">
        <v>43089.5922535995</v>
      </c>
      <c r="K276" s="4954" t="n">
        <v>43089.5922535995</v>
      </c>
      <c r="L276" s="4955" t="s">
        <v>16</v>
      </c>
      <c r="M276" s="4956"/>
      <c r="N276" s="4957"/>
      <c r="O276" s="4958"/>
      <c r="P276" s="4959" t="s">
        <v>17</v>
      </c>
      <c r="Q276" s="4960">
        <f>TODAY()-j276</f>
      </c>
      <c r="R276" s="4961">
        <f>VLOOKUP(A276,'Last Week'!A4:I395,7,FALSE)</f>
      </c>
    </row>
    <row r="277" ht="23.85" customHeight="true">
      <c r="A277" s="4962" t="s">
        <v>685</v>
      </c>
      <c r="B277" s="4963" t="s">
        <v>686</v>
      </c>
      <c r="C277" s="4964"/>
      <c r="D277" s="4965" t="s">
        <v>393</v>
      </c>
      <c r="E277" s="4966" t="s">
        <v>616</v>
      </c>
      <c r="F277" s="4967"/>
      <c r="G277" s="4968" t="s">
        <v>15</v>
      </c>
      <c r="H277" s="4969" t="n">
        <v>43100.642903125</v>
      </c>
      <c r="I277" s="4970" t="n">
        <v>43100.642903125</v>
      </c>
      <c r="J277" s="4971" t="n">
        <v>43095.9701985764</v>
      </c>
      <c r="K277" s="4972" t="n">
        <v>43095.9701985764</v>
      </c>
      <c r="L277" s="4973" t="s">
        <v>16</v>
      </c>
      <c r="M277" s="4974"/>
      <c r="N277" s="4975"/>
      <c r="O277" s="4976"/>
      <c r="P277" s="4977" t="s">
        <v>17</v>
      </c>
      <c r="Q277" s="4978">
        <f>TODAY()-j277</f>
      </c>
      <c r="R277" s="4979">
        <f>VLOOKUP(A277,'Last Week'!A4:I395,7,FALSE)</f>
      </c>
    </row>
    <row r="278" ht="23.85" customHeight="true">
      <c r="A278" s="4980" t="s">
        <v>687</v>
      </c>
      <c r="B278" s="4981" t="s">
        <v>688</v>
      </c>
      <c r="C278" s="4982"/>
      <c r="D278" s="4983" t="s">
        <v>689</v>
      </c>
      <c r="E278" s="4984" t="s">
        <v>29</v>
      </c>
      <c r="F278" s="4985"/>
      <c r="G278" s="4986" t="s">
        <v>15</v>
      </c>
      <c r="H278" s="4987" t="n">
        <v>43099.6358151852</v>
      </c>
      <c r="I278" s="4988" t="n">
        <v>43099.6358151852</v>
      </c>
      <c r="J278" s="4989" t="n">
        <v>43095.97416875</v>
      </c>
      <c r="K278" s="4990" t="n">
        <v>43095.97416875</v>
      </c>
      <c r="L278" s="4991" t="s">
        <v>16</v>
      </c>
      <c r="M278" s="4992"/>
      <c r="N278" s="4993"/>
      <c r="O278" s="4994"/>
      <c r="P278" s="4995" t="s">
        <v>17</v>
      </c>
      <c r="Q278" s="4996">
        <f>TODAY()-j278</f>
      </c>
      <c r="R278" s="4997">
        <f>VLOOKUP(A278,'Last Week'!A4:I395,7,FALSE)</f>
      </c>
    </row>
    <row r="279" ht="23.85" customHeight="true">
      <c r="A279" s="4998" t="s">
        <v>690</v>
      </c>
      <c r="B279" s="4999" t="s">
        <v>207</v>
      </c>
      <c r="C279" s="5000"/>
      <c r="D279" s="5001" t="s">
        <v>691</v>
      </c>
      <c r="E279" s="5002" t="s">
        <v>209</v>
      </c>
      <c r="F279" s="5003"/>
      <c r="G279" s="5004" t="s">
        <v>15</v>
      </c>
      <c r="H279" s="5005" t="n">
        <v>43099.1258071644</v>
      </c>
      <c r="I279" s="5006" t="n">
        <v>43099.1258071644</v>
      </c>
      <c r="J279" s="5007" t="n">
        <v>43096.5095893171</v>
      </c>
      <c r="K279" s="5008" t="n">
        <v>43096.5095893171</v>
      </c>
      <c r="L279" s="5009" t="s">
        <v>16</v>
      </c>
      <c r="M279" s="5010"/>
      <c r="N279" s="5011"/>
      <c r="O279" s="5012"/>
      <c r="P279" s="5013" t="s">
        <v>17</v>
      </c>
      <c r="Q279" s="5014">
        <f>TODAY()-j279</f>
      </c>
      <c r="R279" s="5015">
        <f>VLOOKUP(A279,'Last Week'!A4:I395,7,FALSE)</f>
      </c>
    </row>
    <row r="280" ht="35.05" customHeight="true">
      <c r="A280" s="5016" t="s">
        <v>692</v>
      </c>
      <c r="B280" s="5017" t="s">
        <v>693</v>
      </c>
      <c r="C280" s="5018"/>
      <c r="D280" s="5019" t="s">
        <v>694</v>
      </c>
      <c r="E280" s="5020" t="s">
        <v>694</v>
      </c>
      <c r="F280" s="5021"/>
      <c r="G280" s="5022" t="s">
        <v>15</v>
      </c>
      <c r="H280" s="5023" t="n">
        <v>43121.6250440972</v>
      </c>
      <c r="I280" s="5024" t="n">
        <v>43121.6250440972</v>
      </c>
      <c r="J280" s="5025" t="n">
        <v>43096.517633206</v>
      </c>
      <c r="K280" s="5026" t="n">
        <v>43096.517633206</v>
      </c>
      <c r="L280" s="5027" t="s">
        <v>16</v>
      </c>
      <c r="M280" s="5028"/>
      <c r="N280" s="5029"/>
      <c r="O280" s="5030"/>
      <c r="P280" s="5031" t="s">
        <v>17</v>
      </c>
      <c r="Q280" s="5032">
        <f>TODAY()-j280</f>
      </c>
      <c r="R280" s="5033">
        <f>VLOOKUP(A280,'Last Week'!A4:I395,7,FALSE)</f>
      </c>
    </row>
    <row r="281" ht="23.85" customHeight="true">
      <c r="A281" s="5034" t="s">
        <v>695</v>
      </c>
      <c r="B281" s="5035" t="s">
        <v>696</v>
      </c>
      <c r="C281" s="5036"/>
      <c r="D281" s="5037" t="s">
        <v>697</v>
      </c>
      <c r="E281" s="5038" t="s">
        <v>616</v>
      </c>
      <c r="F281" s="5039"/>
      <c r="G281" s="5040" t="s">
        <v>15</v>
      </c>
      <c r="H281" s="5041" t="n">
        <v>43101.476357662</v>
      </c>
      <c r="I281" s="5042" t="n">
        <v>43101.476357662</v>
      </c>
      <c r="J281" s="5043" t="n">
        <v>43096.7241504745</v>
      </c>
      <c r="K281" s="5044" t="n">
        <v>43096.7241504745</v>
      </c>
      <c r="L281" s="5045" t="s">
        <v>16</v>
      </c>
      <c r="M281" s="5046"/>
      <c r="N281" s="5047"/>
      <c r="O281" s="5048"/>
      <c r="P281" s="5049" t="s">
        <v>17</v>
      </c>
      <c r="Q281" s="5050">
        <f>TODAY()-j281</f>
      </c>
      <c r="R281" s="5051">
        <f>VLOOKUP(A281,'Last Week'!A4:I395,7,FALSE)</f>
      </c>
    </row>
    <row r="282" ht="23.85" customHeight="true">
      <c r="A282" s="5052" t="s">
        <v>698</v>
      </c>
      <c r="B282" s="5053" t="s">
        <v>699</v>
      </c>
      <c r="C282" s="5054"/>
      <c r="D282" s="5055" t="s">
        <v>480</v>
      </c>
      <c r="E282" s="5056" t="s">
        <v>21</v>
      </c>
      <c r="F282" s="5057"/>
      <c r="G282" s="5058" t="s">
        <v>15</v>
      </c>
      <c r="H282" s="5059" t="n">
        <v>43104.1256940857</v>
      </c>
      <c r="I282" s="5060" t="n">
        <v>43104.1256940857</v>
      </c>
      <c r="J282" s="5061" t="n">
        <v>43097.5416846296</v>
      </c>
      <c r="K282" s="5062" t="n">
        <v>43097.5416846296</v>
      </c>
      <c r="L282" s="5063" t="s">
        <v>16</v>
      </c>
      <c r="M282" s="5064"/>
      <c r="N282" s="5065"/>
      <c r="O282" s="5066"/>
      <c r="P282" s="5067" t="s">
        <v>59</v>
      </c>
      <c r="Q282" s="5068">
        <f>TODAY()-j282</f>
      </c>
      <c r="R282" s="5069">
        <f>VLOOKUP(A282,'Last Week'!A4:I395,7,FALSE)</f>
      </c>
    </row>
    <row r="283" ht="23.85" customHeight="true">
      <c r="A283" s="5070" t="s">
        <v>700</v>
      </c>
      <c r="B283" s="5071" t="s">
        <v>701</v>
      </c>
      <c r="C283" s="5072"/>
      <c r="D283" s="5073" t="s">
        <v>155</v>
      </c>
      <c r="E283" s="5074" t="s">
        <v>73</v>
      </c>
      <c r="F283" s="5075"/>
      <c r="G283" s="5076" t="s">
        <v>15</v>
      </c>
      <c r="H283" s="5077" t="n">
        <v>43124.2083886111</v>
      </c>
      <c r="I283" s="5078" t="n">
        <v>43124.2083886111</v>
      </c>
      <c r="J283" s="5079" t="n">
        <v>43102.4996884144</v>
      </c>
      <c r="K283" s="5080" t="n">
        <v>43102.4996884144</v>
      </c>
      <c r="L283" s="5081" t="s">
        <v>16</v>
      </c>
      <c r="M283" s="5082"/>
      <c r="N283" s="5083"/>
      <c r="O283" s="5084"/>
      <c r="P283" s="5085" t="s">
        <v>17</v>
      </c>
      <c r="Q283" s="5086">
        <f>TODAY()-j283</f>
      </c>
      <c r="R283" s="5087">
        <f>VLOOKUP(A283,'Last Week'!A4:I395,7,FALSE)</f>
      </c>
    </row>
    <row r="284" ht="23.85" customHeight="true">
      <c r="A284" s="5088" t="s">
        <v>702</v>
      </c>
      <c r="B284" s="5089" t="s">
        <v>207</v>
      </c>
      <c r="C284" s="5090"/>
      <c r="D284" s="5091" t="s">
        <v>703</v>
      </c>
      <c r="E284" s="5092" t="s">
        <v>209</v>
      </c>
      <c r="F284" s="5093"/>
      <c r="G284" s="5094" t="s">
        <v>15</v>
      </c>
      <c r="H284" s="5095" t="n">
        <v>43105.7105848843</v>
      </c>
      <c r="I284" s="5096" t="n">
        <v>43105.7105848843</v>
      </c>
      <c r="J284" s="5097" t="n">
        <v>43102.5252902315</v>
      </c>
      <c r="K284" s="5098" t="n">
        <v>43102.5252902315</v>
      </c>
      <c r="L284" s="5099" t="s">
        <v>16</v>
      </c>
      <c r="M284" s="5100"/>
      <c r="N284" s="5101"/>
      <c r="O284" s="5102"/>
      <c r="P284" s="5103" t="s">
        <v>17</v>
      </c>
      <c r="Q284" s="5104">
        <f>TODAY()-j284</f>
      </c>
      <c r="R284" s="5105">
        <f>VLOOKUP(A284,'Last Week'!A4:I395,7,FALSE)</f>
      </c>
    </row>
    <row r="285" ht="23.85" customHeight="true">
      <c r="A285" s="5106" t="s">
        <v>704</v>
      </c>
      <c r="B285" s="5107" t="s">
        <v>313</v>
      </c>
      <c r="C285" s="5108"/>
      <c r="D285" s="5109" t="s">
        <v>55</v>
      </c>
      <c r="E285" s="5110" t="s">
        <v>73</v>
      </c>
      <c r="F285" s="5111"/>
      <c r="G285" s="5112" t="s">
        <v>15</v>
      </c>
      <c r="H285" s="5113" t="n">
        <v>43104.6670991088</v>
      </c>
      <c r="I285" s="5114" t="n">
        <v>43104.6670991088</v>
      </c>
      <c r="J285" s="5115" t="n">
        <v>43102.5268348495</v>
      </c>
      <c r="K285" s="5116" t="n">
        <v>43102.5268348495</v>
      </c>
      <c r="L285" s="5117" t="s">
        <v>16</v>
      </c>
      <c r="M285" s="5118"/>
      <c r="N285" s="5119"/>
      <c r="O285" s="5120"/>
      <c r="P285" s="5121" t="s">
        <v>59</v>
      </c>
      <c r="Q285" s="5122">
        <f>TODAY()-j285</f>
      </c>
      <c r="R285" s="5123">
        <f>VLOOKUP(A285,'Last Week'!A4:I395,7,FALSE)</f>
      </c>
    </row>
    <row r="286" ht="23.85" customHeight="true">
      <c r="A286" s="5124" t="s">
        <v>705</v>
      </c>
      <c r="B286" s="5125" t="s">
        <v>706</v>
      </c>
      <c r="C286" s="5126"/>
      <c r="D286" s="5127" t="s">
        <v>55</v>
      </c>
      <c r="E286" s="5128" t="s">
        <v>73</v>
      </c>
      <c r="F286" s="5129"/>
      <c r="G286" s="5130" t="s">
        <v>15</v>
      </c>
      <c r="H286" s="5131" t="n">
        <v>43105.1257374653</v>
      </c>
      <c r="I286" s="5132" t="n">
        <v>43105.1257374653</v>
      </c>
      <c r="J286" s="5133" t="n">
        <v>43102.6033349421</v>
      </c>
      <c r="K286" s="5134" t="n">
        <v>43102.6033349421</v>
      </c>
      <c r="L286" s="5135" t="s">
        <v>16</v>
      </c>
      <c r="M286" s="5136"/>
      <c r="N286" s="5137"/>
      <c r="O286" s="5138"/>
      <c r="P286" s="5139" t="s">
        <v>17</v>
      </c>
      <c r="Q286" s="5140">
        <f>TODAY()-j286</f>
      </c>
      <c r="R286" s="5141">
        <f>VLOOKUP(A286,'Last Week'!A4:I395,7,FALSE)</f>
      </c>
    </row>
    <row r="287" ht="23.85" customHeight="true">
      <c r="A287" s="5142" t="s">
        <v>707</v>
      </c>
      <c r="B287" s="5143" t="s">
        <v>708</v>
      </c>
      <c r="C287" s="5144"/>
      <c r="D287" s="5145" t="s">
        <v>709</v>
      </c>
      <c r="E287" s="5146" t="s">
        <v>116</v>
      </c>
      <c r="F287" s="5147"/>
      <c r="G287" s="5148" t="s">
        <v>15</v>
      </c>
      <c r="H287" s="5149" t="n">
        <v>43104.7087765857</v>
      </c>
      <c r="I287" s="5150" t="n">
        <v>43104.7087765857</v>
      </c>
      <c r="J287" s="5151" t="n">
        <v>43102.7370180903</v>
      </c>
      <c r="K287" s="5152" t="n">
        <v>43102.7370180903</v>
      </c>
      <c r="L287" s="5153" t="s">
        <v>16</v>
      </c>
      <c r="M287" s="5154"/>
      <c r="N287" s="5155"/>
      <c r="O287" s="5156"/>
      <c r="P287" s="5157" t="s">
        <v>59</v>
      </c>
      <c r="Q287" s="5158">
        <f>TODAY()-j287</f>
      </c>
      <c r="R287" s="5159">
        <f>VLOOKUP(A287,'Last Week'!A4:I395,7,FALSE)</f>
      </c>
    </row>
    <row r="288" ht="23.85" customHeight="true">
      <c r="A288" s="5160" t="s">
        <v>710</v>
      </c>
      <c r="B288" s="5161" t="s">
        <v>711</v>
      </c>
      <c r="C288" s="5162"/>
      <c r="D288" s="5163" t="s">
        <v>155</v>
      </c>
      <c r="E288" s="5164" t="s">
        <v>56</v>
      </c>
      <c r="F288" s="5165"/>
      <c r="G288" s="5166" t="s">
        <v>15</v>
      </c>
      <c r="H288" s="5167" t="n">
        <v>43124.2083911806</v>
      </c>
      <c r="I288" s="5168" t="n">
        <v>43124.2083911806</v>
      </c>
      <c r="J288" s="5169" t="n">
        <v>43102.7447668287</v>
      </c>
      <c r="K288" s="5170" t="n">
        <v>43102.7447668287</v>
      </c>
      <c r="L288" s="5171" t="s">
        <v>16</v>
      </c>
      <c r="M288" s="5172"/>
      <c r="N288" s="5173"/>
      <c r="O288" s="5174"/>
      <c r="P288" s="5175" t="s">
        <v>17</v>
      </c>
      <c r="Q288" s="5176">
        <f>TODAY()-j288</f>
      </c>
      <c r="R288" s="5177">
        <f>VLOOKUP(A288,'Last Week'!A4:I395,7,FALSE)</f>
      </c>
    </row>
    <row r="289" ht="23.85" customHeight="true">
      <c r="A289" s="5178" t="s">
        <v>712</v>
      </c>
      <c r="B289" s="5179" t="s">
        <v>713</v>
      </c>
      <c r="C289" s="5180"/>
      <c r="D289" s="5181" t="s">
        <v>714</v>
      </c>
      <c r="E289" s="5182" t="s">
        <v>216</v>
      </c>
      <c r="F289" s="5183"/>
      <c r="G289" s="5184" t="s">
        <v>15</v>
      </c>
      <c r="H289" s="5185" t="n">
        <v>43105.7108248611</v>
      </c>
      <c r="I289" s="5186" t="n">
        <v>43105.7108248611</v>
      </c>
      <c r="J289" s="5187" t="n">
        <v>43103.6554996181</v>
      </c>
      <c r="K289" s="5188" t="n">
        <v>43103.6554996181</v>
      </c>
      <c r="L289" s="5189" t="s">
        <v>16</v>
      </c>
      <c r="M289" s="5190"/>
      <c r="N289" s="5191"/>
      <c r="O289" s="5192"/>
      <c r="P289" s="5193" t="s">
        <v>17</v>
      </c>
      <c r="Q289" s="5194">
        <f>TODAY()-j289</f>
      </c>
      <c r="R289" s="5195">
        <f>VLOOKUP(A289,'Last Week'!A4:I395,7,FALSE)</f>
      </c>
    </row>
    <row r="290" ht="23.85" customHeight="true">
      <c r="A290" s="5196" t="s">
        <v>715</v>
      </c>
      <c r="B290" s="5197" t="s">
        <v>716</v>
      </c>
      <c r="C290" s="5198"/>
      <c r="D290" s="5199" t="s">
        <v>717</v>
      </c>
      <c r="E290" s="5200" t="s">
        <v>82</v>
      </c>
      <c r="F290" s="5201"/>
      <c r="G290" s="5202" t="s">
        <v>15</v>
      </c>
      <c r="H290" s="5203" t="n">
        <v>43110.1258966782</v>
      </c>
      <c r="I290" s="5204" t="n">
        <v>43110.1258966782</v>
      </c>
      <c r="J290" s="5205" t="n">
        <v>43105.5356910532</v>
      </c>
      <c r="K290" s="5206" t="n">
        <v>43105.5356910532</v>
      </c>
      <c r="L290" s="5207" t="s">
        <v>16</v>
      </c>
      <c r="M290" s="5208"/>
      <c r="N290" s="5209"/>
      <c r="O290" s="5210"/>
      <c r="P290" s="5211" t="s">
        <v>59</v>
      </c>
      <c r="Q290" s="5212">
        <f>TODAY()-j290</f>
      </c>
      <c r="R290" s="5213">
        <f>VLOOKUP(A290,'Last Week'!A4:I395,7,FALSE)</f>
      </c>
    </row>
    <row r="291" ht="23.85" customHeight="true">
      <c r="A291" s="5214" t="s">
        <v>718</v>
      </c>
      <c r="B291" s="5215" t="s">
        <v>207</v>
      </c>
      <c r="C291" s="5216"/>
      <c r="D291" s="5217" t="s">
        <v>719</v>
      </c>
      <c r="E291" s="5218" t="s">
        <v>209</v>
      </c>
      <c r="F291" s="5219"/>
      <c r="G291" s="5220" t="s">
        <v>15</v>
      </c>
      <c r="H291" s="5221" t="n">
        <v>43112.167450081</v>
      </c>
      <c r="I291" s="5222" t="n">
        <v>43112.167450081</v>
      </c>
      <c r="J291" s="5223" t="n">
        <v>43108.365258125</v>
      </c>
      <c r="K291" s="5224" t="n">
        <v>43108.365258125</v>
      </c>
      <c r="L291" s="5225" t="s">
        <v>16</v>
      </c>
      <c r="M291" s="5226"/>
      <c r="N291" s="5227"/>
      <c r="O291" s="5228"/>
      <c r="P291" s="5229" t="s">
        <v>17</v>
      </c>
      <c r="Q291" s="5230">
        <f>TODAY()-j291</f>
      </c>
      <c r="R291" s="5231">
        <f>VLOOKUP(A291,'Last Week'!A4:I395,7,FALSE)</f>
      </c>
    </row>
    <row r="292" ht="23.85" customHeight="true">
      <c r="A292" s="5232" t="s">
        <v>720</v>
      </c>
      <c r="B292" s="5233" t="s">
        <v>721</v>
      </c>
      <c r="C292" s="5234"/>
      <c r="D292" s="5235" t="s">
        <v>471</v>
      </c>
      <c r="E292" s="5236" t="s">
        <v>471</v>
      </c>
      <c r="F292" s="5237"/>
      <c r="G292" s="5238" t="s">
        <v>15</v>
      </c>
      <c r="H292" s="5239" t="n">
        <v>43114.3917928935</v>
      </c>
      <c r="I292" s="5240" t="n">
        <v>43114.3917928935</v>
      </c>
      <c r="J292" s="5241" t="n">
        <v>43109.5940910417</v>
      </c>
      <c r="K292" s="5242" t="n">
        <v>43109.5940910417</v>
      </c>
      <c r="L292" s="5243" t="s">
        <v>16</v>
      </c>
      <c r="M292" s="5244"/>
      <c r="N292" s="5245"/>
      <c r="O292" s="5246"/>
      <c r="P292" s="5247" t="s">
        <v>17</v>
      </c>
      <c r="Q292" s="5248">
        <f>TODAY()-j292</f>
      </c>
      <c r="R292" s="5249">
        <f>VLOOKUP(A292,'Last Week'!A4:I395,7,FALSE)</f>
      </c>
    </row>
    <row r="293" ht="23.85" customHeight="true">
      <c r="A293" s="5250" t="s">
        <v>722</v>
      </c>
      <c r="B293" s="5251" t="s">
        <v>562</v>
      </c>
      <c r="C293" s="5252"/>
      <c r="D293" s="5253" t="s">
        <v>723</v>
      </c>
      <c r="E293" s="5254" t="s">
        <v>282</v>
      </c>
      <c r="F293" s="5255"/>
      <c r="G293" s="5256" t="s">
        <v>15</v>
      </c>
      <c r="H293" s="5257" t="n">
        <v>43111.4174210764</v>
      </c>
      <c r="I293" s="5258" t="n">
        <v>43111.4174210764</v>
      </c>
      <c r="J293" s="5259" t="n">
        <v>43109.6073847685</v>
      </c>
      <c r="K293" s="5260" t="n">
        <v>43109.6073847685</v>
      </c>
      <c r="L293" s="5261" t="s">
        <v>16</v>
      </c>
      <c r="M293" s="5262"/>
      <c r="N293" s="5263"/>
      <c r="O293" s="5264"/>
      <c r="P293" s="5265" t="s">
        <v>17</v>
      </c>
      <c r="Q293" s="5266">
        <f>TODAY()-j293</f>
      </c>
      <c r="R293" s="5267">
        <f>VLOOKUP(A293,'Last Week'!A4:I395,7,FALSE)</f>
      </c>
    </row>
    <row r="294" ht="23.85" customHeight="true">
      <c r="A294" s="5268" t="s">
        <v>724</v>
      </c>
      <c r="B294" s="5269" t="s">
        <v>725</v>
      </c>
      <c r="C294" s="5270"/>
      <c r="D294" s="5271" t="s">
        <v>726</v>
      </c>
      <c r="E294" s="5272" t="s">
        <v>116</v>
      </c>
      <c r="F294" s="5273"/>
      <c r="G294" s="5274" t="s">
        <v>15</v>
      </c>
      <c r="H294" s="5275" t="n">
        <v>43113.1259340857</v>
      </c>
      <c r="I294" s="5276" t="n">
        <v>43113.1259340857</v>
      </c>
      <c r="J294" s="5277" t="n">
        <v>43110.4037573032</v>
      </c>
      <c r="K294" s="5278" t="n">
        <v>43110.4037573032</v>
      </c>
      <c r="L294" s="5279" t="s">
        <v>16</v>
      </c>
      <c r="M294" s="5280"/>
      <c r="N294" s="5281"/>
      <c r="O294" s="5282"/>
      <c r="P294" s="5283" t="s">
        <v>17</v>
      </c>
      <c r="Q294" s="5284">
        <f>TODAY()-j294</f>
      </c>
      <c r="R294" s="5285">
        <f>VLOOKUP(A294,'Last Week'!A4:I395,7,FALSE)</f>
      </c>
    </row>
    <row r="295" ht="35.05" customHeight="true">
      <c r="A295" s="5286" t="s">
        <v>727</v>
      </c>
      <c r="B295" s="5287" t="s">
        <v>728</v>
      </c>
      <c r="C295" s="5288"/>
      <c r="D295" s="5289" t="s">
        <v>729</v>
      </c>
      <c r="E295" s="5290" t="s">
        <v>14</v>
      </c>
      <c r="F295" s="5291"/>
      <c r="G295" s="5292" t="s">
        <v>15</v>
      </c>
      <c r="H295" s="5293" t="n">
        <v>43112.1260002315</v>
      </c>
      <c r="I295" s="5294" t="n">
        <v>43112.1260002315</v>
      </c>
      <c r="J295" s="5295" t="n">
        <v>43110.4357826852</v>
      </c>
      <c r="K295" s="5296" t="n">
        <v>43110.4357826852</v>
      </c>
      <c r="L295" s="5297" t="s">
        <v>16</v>
      </c>
      <c r="M295" s="5298"/>
      <c r="N295" s="5299"/>
      <c r="O295" s="5300"/>
      <c r="P295" s="5301" t="s">
        <v>17</v>
      </c>
      <c r="Q295" s="5302">
        <f>TODAY()-j295</f>
      </c>
      <c r="R295" s="5303">
        <f>VLOOKUP(A295,'Last Week'!A4:I395,7,FALSE)</f>
      </c>
    </row>
    <row r="296" ht="35.05" customHeight="true">
      <c r="A296" s="5304" t="s">
        <v>730</v>
      </c>
      <c r="B296" s="5305" t="s">
        <v>731</v>
      </c>
      <c r="C296" s="5306"/>
      <c r="D296" s="5307" t="s">
        <v>62</v>
      </c>
      <c r="E296" s="5308" t="s">
        <v>73</v>
      </c>
      <c r="F296" s="5309"/>
      <c r="G296" s="5310" t="s">
        <v>15</v>
      </c>
      <c r="H296" s="5311" t="n">
        <v>43114.516807662</v>
      </c>
      <c r="I296" s="5312" t="n">
        <v>43114.516807662</v>
      </c>
      <c r="J296" s="5313" t="n">
        <v>43110.6014603472</v>
      </c>
      <c r="K296" s="5314" t="n">
        <v>43110.6014603472</v>
      </c>
      <c r="L296" s="5315" t="s">
        <v>16</v>
      </c>
      <c r="M296" s="5316"/>
      <c r="N296" s="5317"/>
      <c r="O296" s="5318"/>
      <c r="P296" s="5319" t="s">
        <v>17</v>
      </c>
      <c r="Q296" s="5320">
        <f>TODAY()-j296</f>
      </c>
      <c r="R296" s="5321">
        <f>VLOOKUP(A296,'Last Week'!A4:I395,7,FALSE)</f>
      </c>
    </row>
    <row r="297" ht="23.85" customHeight="true">
      <c r="A297" s="5322" t="s">
        <v>732</v>
      </c>
      <c r="B297" s="5323" t="s">
        <v>733</v>
      </c>
      <c r="C297" s="5324"/>
      <c r="D297" s="5325" t="s">
        <v>446</v>
      </c>
      <c r="E297" s="5326" t="s">
        <v>73</v>
      </c>
      <c r="F297" s="5327"/>
      <c r="G297" s="5328" t="s">
        <v>15</v>
      </c>
      <c r="H297" s="5329" t="n">
        <v>43113.1260295023</v>
      </c>
      <c r="I297" s="5330" t="n">
        <v>43113.1260295023</v>
      </c>
      <c r="J297" s="5331" t="n">
        <v>43111.4004601736</v>
      </c>
      <c r="K297" s="5332" t="n">
        <v>43111.4004601736</v>
      </c>
      <c r="L297" s="5333" t="s">
        <v>16</v>
      </c>
      <c r="M297" s="5334"/>
      <c r="N297" s="5335"/>
      <c r="O297" s="5336"/>
      <c r="P297" s="5337" t="s">
        <v>17</v>
      </c>
      <c r="Q297" s="5338">
        <f>TODAY()-j297</f>
      </c>
      <c r="R297" s="5339">
        <f>VLOOKUP(A297,'Last Week'!A4:I395,7,FALSE)</f>
      </c>
    </row>
    <row r="298" ht="23.85" customHeight="true">
      <c r="A298" s="5340" t="s">
        <v>734</v>
      </c>
      <c r="B298" s="5341" t="s">
        <v>735</v>
      </c>
      <c r="C298" s="5342"/>
      <c r="D298" s="5343" t="s">
        <v>587</v>
      </c>
      <c r="E298" s="5344" t="s">
        <v>29</v>
      </c>
      <c r="F298" s="5345"/>
      <c r="G298" s="5346" t="s">
        <v>15</v>
      </c>
      <c r="H298" s="5347" t="n">
        <v>43119.6479190972</v>
      </c>
      <c r="I298" s="5348" t="n">
        <v>43119.6479190972</v>
      </c>
      <c r="J298" s="5349" t="n">
        <v>43112.9237752315</v>
      </c>
      <c r="K298" s="5350" t="n">
        <v>43112.9237752315</v>
      </c>
      <c r="L298" s="5351" t="s">
        <v>16</v>
      </c>
      <c r="M298" s="5352"/>
      <c r="N298" s="5353"/>
      <c r="O298" s="5354"/>
      <c r="P298" s="5355" t="s">
        <v>17</v>
      </c>
      <c r="Q298" s="5356">
        <f>TODAY()-j298</f>
      </c>
      <c r="R298" s="5357">
        <f>VLOOKUP(A298,'Last Week'!A4:I395,7,FALSE)</f>
      </c>
    </row>
    <row r="299" ht="23.85" customHeight="true">
      <c r="A299" s="5358" t="s">
        <v>736</v>
      </c>
      <c r="B299" s="5359" t="s">
        <v>737</v>
      </c>
      <c r="C299" s="5360"/>
      <c r="D299" s="5361" t="s">
        <v>155</v>
      </c>
      <c r="E299" s="5362" t="s">
        <v>51</v>
      </c>
      <c r="F299" s="5363"/>
      <c r="G299" s="5364" t="s">
        <v>15</v>
      </c>
      <c r="H299" s="5365" t="n">
        <v>43154.2501271065</v>
      </c>
      <c r="I299" s="5366" t="n">
        <v>43154.2501271065</v>
      </c>
      <c r="J299" s="5367" t="n">
        <v>43113.1293707523</v>
      </c>
      <c r="K299" s="5368" t="n">
        <v>43113.1293707523</v>
      </c>
      <c r="L299" s="5369" t="s">
        <v>16</v>
      </c>
      <c r="M299" s="5370"/>
      <c r="N299" s="5371"/>
      <c r="O299" s="5372"/>
      <c r="P299" s="5373" t="s">
        <v>17</v>
      </c>
      <c r="Q299" s="5374">
        <f>TODAY()-j299</f>
      </c>
      <c r="R299" s="5375">
        <f>VLOOKUP(A299,'Last Week'!A4:I395,7,FALSE)</f>
      </c>
    </row>
    <row r="300" ht="23.85" customHeight="true">
      <c r="A300" s="5376" t="s">
        <v>738</v>
      </c>
      <c r="B300" s="5377" t="s">
        <v>739</v>
      </c>
      <c r="C300" s="5378"/>
      <c r="D300" s="5379" t="s">
        <v>740</v>
      </c>
      <c r="E300" s="5380" t="s">
        <v>127</v>
      </c>
      <c r="F300" s="5381"/>
      <c r="G300" s="5382" t="s">
        <v>15</v>
      </c>
      <c r="H300" s="5383" t="n">
        <v>43117.6673624537</v>
      </c>
      <c r="I300" s="5384" t="n">
        <v>43117.6673624537</v>
      </c>
      <c r="J300" s="5385" t="n">
        <v>43115.4801462037</v>
      </c>
      <c r="K300" s="5386" t="n">
        <v>43115.4801462037</v>
      </c>
      <c r="L300" s="5387" t="s">
        <v>16</v>
      </c>
      <c r="M300" s="5388"/>
      <c r="N300" s="5389"/>
      <c r="O300" s="5390"/>
      <c r="P300" s="5391" t="s">
        <v>59</v>
      </c>
      <c r="Q300" s="5392">
        <f>TODAY()-j300</f>
      </c>
      <c r="R300" s="5393">
        <f>VLOOKUP(A300,'Last Week'!A4:I395,7,FALSE)</f>
      </c>
    </row>
    <row r="301" ht="23.85" customHeight="true">
      <c r="A301" s="5394" t="s">
        <v>741</v>
      </c>
      <c r="B301" s="5395" t="s">
        <v>742</v>
      </c>
      <c r="C301" s="5396"/>
      <c r="D301" s="5397" t="s">
        <v>488</v>
      </c>
      <c r="E301" s="5398" t="s">
        <v>209</v>
      </c>
      <c r="F301" s="5399"/>
      <c r="G301" s="5400" t="s">
        <v>15</v>
      </c>
      <c r="H301" s="5401" t="n">
        <v>43124.1259859607</v>
      </c>
      <c r="I301" s="5402" t="n">
        <v>43124.1259859607</v>
      </c>
      <c r="J301" s="5403" t="n">
        <v>43115.6348342477</v>
      </c>
      <c r="K301" s="5404" t="n">
        <v>43115.6348342477</v>
      </c>
      <c r="L301" s="5405" t="s">
        <v>16</v>
      </c>
      <c r="M301" s="5406"/>
      <c r="N301" s="5407"/>
      <c r="O301" s="5408"/>
      <c r="P301" s="5409" t="s">
        <v>17</v>
      </c>
      <c r="Q301" s="5410">
        <f>TODAY()-j301</f>
      </c>
      <c r="R301" s="5411">
        <f>VLOOKUP(A301,'Last Week'!A4:I395,7,FALSE)</f>
      </c>
    </row>
    <row r="302" ht="23.85" customHeight="true">
      <c r="A302" s="5412" t="s">
        <v>743</v>
      </c>
      <c r="B302" s="5413" t="s">
        <v>348</v>
      </c>
      <c r="C302" s="5414"/>
      <c r="D302" s="5415" t="s">
        <v>340</v>
      </c>
      <c r="E302" s="5416" t="s">
        <v>340</v>
      </c>
      <c r="F302" s="5417"/>
      <c r="G302" s="5418" t="s">
        <v>15</v>
      </c>
      <c r="H302" s="5419" t="n">
        <v>43119.125841088</v>
      </c>
      <c r="I302" s="5420" t="n">
        <v>43119.125841088</v>
      </c>
      <c r="J302" s="5421" t="n">
        <v>43115.6609987847</v>
      </c>
      <c r="K302" s="5422" t="n">
        <v>43115.6609987847</v>
      </c>
      <c r="L302" s="5423" t="s">
        <v>16</v>
      </c>
      <c r="M302" s="5424"/>
      <c r="N302" s="5425"/>
      <c r="O302" s="5426"/>
      <c r="P302" s="5427" t="s">
        <v>17</v>
      </c>
      <c r="Q302" s="5428">
        <f>TODAY()-j302</f>
      </c>
      <c r="R302" s="5429">
        <f>VLOOKUP(A302,'Last Week'!A4:I395,7,FALSE)</f>
      </c>
    </row>
    <row r="303" ht="23.85" customHeight="true">
      <c r="A303" s="5430" t="s">
        <v>744</v>
      </c>
      <c r="B303" s="5431" t="s">
        <v>745</v>
      </c>
      <c r="C303" s="5432"/>
      <c r="D303" s="5433" t="s">
        <v>141</v>
      </c>
      <c r="E303" s="5434" t="s">
        <v>73</v>
      </c>
      <c r="F303" s="5435"/>
      <c r="G303" s="5436" t="s">
        <v>15</v>
      </c>
      <c r="H303" s="5437" t="n">
        <v>43122.3632832523</v>
      </c>
      <c r="I303" s="5438" t="n">
        <v>43122.3632832523</v>
      </c>
      <c r="J303" s="5439" t="n">
        <v>43115.7100600463</v>
      </c>
      <c r="K303" s="5440" t="n">
        <v>43115.7100600463</v>
      </c>
      <c r="L303" s="5441" t="s">
        <v>16</v>
      </c>
      <c r="M303" s="5442"/>
      <c r="N303" s="5443"/>
      <c r="O303" s="5444"/>
      <c r="P303" s="5445" t="s">
        <v>17</v>
      </c>
      <c r="Q303" s="5446">
        <f>TODAY()-j303</f>
      </c>
      <c r="R303" s="5447">
        <f>VLOOKUP(A303,'Last Week'!A4:I395,7,FALSE)</f>
      </c>
    </row>
    <row r="304" ht="35.05" customHeight="true">
      <c r="A304" s="5448" t="s">
        <v>746</v>
      </c>
      <c r="B304" s="5449" t="s">
        <v>747</v>
      </c>
      <c r="C304" s="5450"/>
      <c r="D304" s="5451" t="s">
        <v>729</v>
      </c>
      <c r="E304" s="5452" t="s">
        <v>209</v>
      </c>
      <c r="F304" s="5453"/>
      <c r="G304" s="5454" t="s">
        <v>15</v>
      </c>
      <c r="H304" s="5455" t="n">
        <v>43126.3333931019</v>
      </c>
      <c r="I304" s="5456" t="n">
        <v>43126.3333931019</v>
      </c>
      <c r="J304" s="5457" t="n">
        <v>43116.4134404398</v>
      </c>
      <c r="K304" s="5458" t="n">
        <v>43116.4134404398</v>
      </c>
      <c r="L304" s="5459" t="s">
        <v>16</v>
      </c>
      <c r="M304" s="5460"/>
      <c r="N304" s="5461"/>
      <c r="O304" s="5462"/>
      <c r="P304" s="5463" t="s">
        <v>17</v>
      </c>
      <c r="Q304" s="5464">
        <f>TODAY()-j304</f>
      </c>
      <c r="R304" s="5465">
        <f>VLOOKUP(A304,'Last Week'!A4:I395,7,FALSE)</f>
      </c>
    </row>
    <row r="305" ht="23.85" customHeight="true">
      <c r="A305" s="5466" t="s">
        <v>748</v>
      </c>
      <c r="B305" s="5467" t="s">
        <v>749</v>
      </c>
      <c r="C305" s="5468"/>
      <c r="D305" s="5469" t="s">
        <v>750</v>
      </c>
      <c r="E305" s="5470" t="s">
        <v>73</v>
      </c>
      <c r="F305" s="5471"/>
      <c r="G305" s="5472" t="s">
        <v>15</v>
      </c>
      <c r="H305" s="5473" t="n">
        <v>43118.1556248958</v>
      </c>
      <c r="I305" s="5474" t="n">
        <v>43118.1556248958</v>
      </c>
      <c r="J305" s="5475" t="n">
        <v>43116.4271895718</v>
      </c>
      <c r="K305" s="5476" t="n">
        <v>43116.4271895718</v>
      </c>
      <c r="L305" s="5477" t="s">
        <v>16</v>
      </c>
      <c r="M305" s="5478"/>
      <c r="N305" s="5479"/>
      <c r="O305" s="5480"/>
      <c r="P305" s="5481" t="s">
        <v>17</v>
      </c>
      <c r="Q305" s="5482">
        <f>TODAY()-j305</f>
      </c>
      <c r="R305" s="5483">
        <f>VLOOKUP(A305,'Last Week'!A4:I395,7,FALSE)</f>
      </c>
    </row>
    <row r="306" ht="23.85" customHeight="true">
      <c r="A306" s="5484" t="s">
        <v>751</v>
      </c>
      <c r="B306" s="5485" t="s">
        <v>752</v>
      </c>
      <c r="C306" s="5486"/>
      <c r="D306" s="5487" t="s">
        <v>753</v>
      </c>
      <c r="E306" s="5488" t="s">
        <v>209</v>
      </c>
      <c r="F306" s="5489"/>
      <c r="G306" s="5490" t="s">
        <v>15</v>
      </c>
      <c r="H306" s="5491" t="n">
        <v>43119.1254987616</v>
      </c>
      <c r="I306" s="5492" t="n">
        <v>43119.1254987616</v>
      </c>
      <c r="J306" s="5493" t="n">
        <v>43116.6927862616</v>
      </c>
      <c r="K306" s="5494" t="n">
        <v>43116.6927862616</v>
      </c>
      <c r="L306" s="5495" t="s">
        <v>16</v>
      </c>
      <c r="M306" s="5496"/>
      <c r="N306" s="5497"/>
      <c r="O306" s="5498"/>
      <c r="P306" s="5499" t="s">
        <v>17</v>
      </c>
      <c r="Q306" s="5500">
        <f>TODAY()-j306</f>
      </c>
      <c r="R306" s="5501">
        <f>VLOOKUP(A306,'Last Week'!A4:I395,7,FALSE)</f>
      </c>
    </row>
    <row r="307" ht="23.85" customHeight="true">
      <c r="A307" s="5502" t="s">
        <v>754</v>
      </c>
      <c r="B307" s="5503" t="s">
        <v>755</v>
      </c>
      <c r="C307" s="5504"/>
      <c r="D307" s="5505" t="s">
        <v>756</v>
      </c>
      <c r="E307" s="5506" t="s">
        <v>756</v>
      </c>
      <c r="F307" s="5507"/>
      <c r="G307" s="5508" t="s">
        <v>15</v>
      </c>
      <c r="H307" s="5509" t="n">
        <v>43124.1259893634</v>
      </c>
      <c r="I307" s="5510" t="n">
        <v>43124.1259893634</v>
      </c>
      <c r="J307" s="5511" t="n">
        <v>43116.7045196065</v>
      </c>
      <c r="K307" s="5512" t="n">
        <v>43116.7045196065</v>
      </c>
      <c r="L307" s="5513" t="s">
        <v>16</v>
      </c>
      <c r="M307" s="5514"/>
      <c r="N307" s="5515"/>
      <c r="O307" s="5516"/>
      <c r="P307" s="5517" t="s">
        <v>17</v>
      </c>
      <c r="Q307" s="5518">
        <f>TODAY()-j307</f>
      </c>
      <c r="R307" s="5519">
        <f>VLOOKUP(A307,'Last Week'!A4:I395,7,FALSE)</f>
      </c>
    </row>
    <row r="308" ht="23.85" customHeight="true">
      <c r="A308" s="5520" t="s">
        <v>757</v>
      </c>
      <c r="B308" s="5521" t="s">
        <v>758</v>
      </c>
      <c r="C308" s="5522"/>
      <c r="D308" s="5523" t="s">
        <v>759</v>
      </c>
      <c r="E308" s="5524" t="s">
        <v>216</v>
      </c>
      <c r="F308" s="5525"/>
      <c r="G308" s="5526" t="s">
        <v>15</v>
      </c>
      <c r="H308" s="5527" t="n">
        <v>43124.1251359722</v>
      </c>
      <c r="I308" s="5528" t="n">
        <v>43124.1251359722</v>
      </c>
      <c r="J308" s="5529" t="n">
        <v>43117.3519524421</v>
      </c>
      <c r="K308" s="5530" t="n">
        <v>43117.3519524421</v>
      </c>
      <c r="L308" s="5531" t="s">
        <v>16</v>
      </c>
      <c r="M308" s="5532"/>
      <c r="N308" s="5533"/>
      <c r="O308" s="5534"/>
      <c r="P308" s="5535" t="s">
        <v>17</v>
      </c>
      <c r="Q308" s="5536">
        <f>TODAY()-j308</f>
      </c>
      <c r="R308" s="5537">
        <f>VLOOKUP(A308,'Last Week'!A4:I395,7,FALSE)</f>
      </c>
    </row>
    <row r="309" ht="23.85" customHeight="true">
      <c r="A309" s="5538" t="s">
        <v>760</v>
      </c>
      <c r="B309" s="5539" t="s">
        <v>761</v>
      </c>
      <c r="C309" s="5540"/>
      <c r="D309" s="5541" t="s">
        <v>759</v>
      </c>
      <c r="E309" s="5542" t="s">
        <v>216</v>
      </c>
      <c r="F309" s="5543"/>
      <c r="G309" s="5544" t="s">
        <v>15</v>
      </c>
      <c r="H309" s="5545" t="n">
        <v>43119.1256536574</v>
      </c>
      <c r="I309" s="5546" t="n">
        <v>43119.1256536574</v>
      </c>
      <c r="J309" s="5547" t="n">
        <v>43117.3586306019</v>
      </c>
      <c r="K309" s="5548" t="n">
        <v>43117.3586306019</v>
      </c>
      <c r="L309" s="5549" t="s">
        <v>16</v>
      </c>
      <c r="M309" s="5550"/>
      <c r="N309" s="5551"/>
      <c r="O309" s="5552"/>
      <c r="P309" s="5553" t="s">
        <v>59</v>
      </c>
      <c r="Q309" s="5554">
        <f>TODAY()-j309</f>
      </c>
      <c r="R309" s="5555">
        <f>VLOOKUP(A309,'Last Week'!A4:I395,7,FALSE)</f>
      </c>
    </row>
    <row r="310" ht="23.85" customHeight="true">
      <c r="A310" s="5556" t="s">
        <v>762</v>
      </c>
      <c r="B310" s="5557" t="s">
        <v>763</v>
      </c>
      <c r="C310" s="5558"/>
      <c r="D310" s="5559" t="s">
        <v>764</v>
      </c>
      <c r="E310" s="5560" t="s">
        <v>21</v>
      </c>
      <c r="F310" s="5561"/>
      <c r="G310" s="5562" t="s">
        <v>15</v>
      </c>
      <c r="H310" s="5563" t="n">
        <v>43119.1257572801</v>
      </c>
      <c r="I310" s="5564" t="n">
        <v>43119.1257572801</v>
      </c>
      <c r="J310" s="5565" t="n">
        <v>43117.4941271528</v>
      </c>
      <c r="K310" s="5566" t="n">
        <v>43117.4941271528</v>
      </c>
      <c r="L310" s="5567" t="s">
        <v>16</v>
      </c>
      <c r="M310" s="5568"/>
      <c r="N310" s="5569"/>
      <c r="O310" s="5570"/>
      <c r="P310" s="5571" t="s">
        <v>59</v>
      </c>
      <c r="Q310" s="5572">
        <f>TODAY()-j310</f>
      </c>
      <c r="R310" s="5573">
        <f>VLOOKUP(A310,'Last Week'!A4:I395,7,FALSE)</f>
      </c>
    </row>
    <row r="311" ht="23.85" customHeight="true">
      <c r="A311" s="5574" t="s">
        <v>765</v>
      </c>
      <c r="B311" s="5575" t="s">
        <v>766</v>
      </c>
      <c r="C311" s="5576"/>
      <c r="D311" s="5577" t="s">
        <v>85</v>
      </c>
      <c r="E311" s="5578" t="s">
        <v>184</v>
      </c>
      <c r="F311" s="5579"/>
      <c r="G311" s="5580" t="s">
        <v>15</v>
      </c>
      <c r="H311" s="5581" t="n">
        <v>43201.2089130208</v>
      </c>
      <c r="I311" s="5582" t="n">
        <v>43201.2089130208</v>
      </c>
      <c r="J311" s="5583" t="n">
        <v>43117.5447469907</v>
      </c>
      <c r="K311" s="5584" t="n">
        <v>43117.5447469907</v>
      </c>
      <c r="L311" s="5585" t="s">
        <v>16</v>
      </c>
      <c r="M311" s="5586"/>
      <c r="N311" s="5587"/>
      <c r="O311" s="5588"/>
      <c r="P311" s="5589" t="s">
        <v>17</v>
      </c>
      <c r="Q311" s="5590">
        <f>TODAY()-j311</f>
      </c>
      <c r="R311" s="5591">
        <f>VLOOKUP(A311,'Last Week'!A4:I395,7,FALSE)</f>
      </c>
    </row>
    <row r="312" ht="23.85" customHeight="true">
      <c r="A312" s="5592" t="s">
        <v>767</v>
      </c>
      <c r="B312" s="5593" t="s">
        <v>768</v>
      </c>
      <c r="C312" s="5594"/>
      <c r="D312" s="5595" t="s">
        <v>769</v>
      </c>
      <c r="E312" s="5596" t="s">
        <v>73</v>
      </c>
      <c r="F312" s="5597"/>
      <c r="G312" s="5598" t="s">
        <v>15</v>
      </c>
      <c r="H312" s="5599" t="n">
        <v>43126.1262473843</v>
      </c>
      <c r="I312" s="5600" t="n">
        <v>43126.1262473843</v>
      </c>
      <c r="J312" s="5601" t="n">
        <v>43118.5579097338</v>
      </c>
      <c r="K312" s="5602" t="n">
        <v>43118.5579097338</v>
      </c>
      <c r="L312" s="5603" t="s">
        <v>16</v>
      </c>
      <c r="M312" s="5604"/>
      <c r="N312" s="5605"/>
      <c r="O312" s="5606"/>
      <c r="P312" s="5607" t="s">
        <v>17</v>
      </c>
      <c r="Q312" s="5608">
        <f>TODAY()-j312</f>
      </c>
      <c r="R312" s="5609">
        <f>VLOOKUP(A312,'Last Week'!A4:I395,7,FALSE)</f>
      </c>
    </row>
    <row r="313" ht="23.85" customHeight="true">
      <c r="A313" s="5610" t="s">
        <v>770</v>
      </c>
      <c r="B313" s="5611" t="s">
        <v>562</v>
      </c>
      <c r="C313" s="5612"/>
      <c r="D313" s="5613" t="s">
        <v>557</v>
      </c>
      <c r="E313" s="5614" t="s">
        <v>25</v>
      </c>
      <c r="F313" s="5615"/>
      <c r="G313" s="5616" t="s">
        <v>15</v>
      </c>
      <c r="H313" s="5617" t="n">
        <v>43122.3333876968</v>
      </c>
      <c r="I313" s="5618" t="n">
        <v>43122.3333876968</v>
      </c>
      <c r="J313" s="5619" t="n">
        <v>43118.6174659954</v>
      </c>
      <c r="K313" s="5620" t="n">
        <v>43118.6174659954</v>
      </c>
      <c r="L313" s="5621" t="s">
        <v>16</v>
      </c>
      <c r="M313" s="5622"/>
      <c r="N313" s="5623"/>
      <c r="O313" s="5624"/>
      <c r="P313" s="5625" t="s">
        <v>17</v>
      </c>
      <c r="Q313" s="5626">
        <f>TODAY()-j313</f>
      </c>
      <c r="R313" s="5627">
        <f>VLOOKUP(A313,'Last Week'!A4:I395,7,FALSE)</f>
      </c>
    </row>
    <row r="314" ht="23.85" customHeight="true">
      <c r="A314" s="5628" t="s">
        <v>771</v>
      </c>
      <c r="B314" s="5629" t="s">
        <v>772</v>
      </c>
      <c r="C314" s="5630"/>
      <c r="D314" s="5631" t="s">
        <v>729</v>
      </c>
      <c r="E314" s="5632" t="s">
        <v>184</v>
      </c>
      <c r="F314" s="5633"/>
      <c r="G314" s="5634" t="s">
        <v>15</v>
      </c>
      <c r="H314" s="5635" t="n">
        <v>43126.3334014352</v>
      </c>
      <c r="I314" s="5636" t="n">
        <v>43126.3334014352</v>
      </c>
      <c r="J314" s="5637" t="n">
        <v>43118.6589894907</v>
      </c>
      <c r="K314" s="5638" t="n">
        <v>43118.6589894907</v>
      </c>
      <c r="L314" s="5639" t="s">
        <v>16</v>
      </c>
      <c r="M314" s="5640"/>
      <c r="N314" s="5641"/>
      <c r="O314" s="5642"/>
      <c r="P314" s="5643" t="s">
        <v>17</v>
      </c>
      <c r="Q314" s="5644">
        <f>TODAY()-j314</f>
      </c>
      <c r="R314" s="5645">
        <f>VLOOKUP(A314,'Last Week'!A4:I395,7,FALSE)</f>
      </c>
    </row>
    <row r="315" ht="35.05" customHeight="true">
      <c r="A315" s="5646" t="s">
        <v>773</v>
      </c>
      <c r="B315" s="5647" t="s">
        <v>774</v>
      </c>
      <c r="C315" s="5648"/>
      <c r="D315" s="5649" t="s">
        <v>62</v>
      </c>
      <c r="E315" s="5650" t="s">
        <v>73</v>
      </c>
      <c r="F315" s="5651"/>
      <c r="G315" s="5652" t="s">
        <v>15</v>
      </c>
      <c r="H315" s="5653" t="n">
        <v>43124.1254543287</v>
      </c>
      <c r="I315" s="5654" t="n">
        <v>43124.1254543287</v>
      </c>
      <c r="J315" s="5655" t="n">
        <v>43119.5141446875</v>
      </c>
      <c r="K315" s="5656" t="n">
        <v>43119.5141446875</v>
      </c>
      <c r="L315" s="5657" t="s">
        <v>16</v>
      </c>
      <c r="M315" s="5658"/>
      <c r="N315" s="5659"/>
      <c r="O315" s="5660"/>
      <c r="P315" s="5661" t="s">
        <v>59</v>
      </c>
      <c r="Q315" s="5662">
        <f>TODAY()-j315</f>
      </c>
      <c r="R315" s="5663">
        <f>VLOOKUP(A315,'Last Week'!A4:I395,7,FALSE)</f>
      </c>
    </row>
    <row r="316" ht="23.85" customHeight="true">
      <c r="A316" s="5664" t="s">
        <v>775</v>
      </c>
      <c r="B316" s="5665" t="s">
        <v>586</v>
      </c>
      <c r="C316" s="5666"/>
      <c r="D316" s="5667" t="s">
        <v>587</v>
      </c>
      <c r="E316" s="5668" t="s">
        <v>116</v>
      </c>
      <c r="F316" s="5669"/>
      <c r="G316" s="5670" t="s">
        <v>15</v>
      </c>
      <c r="H316" s="5671" t="n">
        <v>43130.5133060648</v>
      </c>
      <c r="I316" s="5672" t="n">
        <v>43130.5133060648</v>
      </c>
      <c r="J316" s="5673" t="n">
        <v>43119.6725254514</v>
      </c>
      <c r="K316" s="5674" t="n">
        <v>43119.6725254514</v>
      </c>
      <c r="L316" s="5675" t="s">
        <v>16</v>
      </c>
      <c r="M316" s="5676"/>
      <c r="N316" s="5677"/>
      <c r="O316" s="5678"/>
      <c r="P316" s="5679" t="s">
        <v>17</v>
      </c>
      <c r="Q316" s="5680">
        <f>TODAY()-j316</f>
      </c>
      <c r="R316" s="5681">
        <f>VLOOKUP(A316,'Last Week'!A4:I395,7,FALSE)</f>
      </c>
    </row>
    <row r="317" ht="35.05" customHeight="true">
      <c r="A317" s="5682" t="s">
        <v>776</v>
      </c>
      <c r="B317" s="5683" t="s">
        <v>777</v>
      </c>
      <c r="C317" s="5684"/>
      <c r="D317" s="5685" t="s">
        <v>62</v>
      </c>
      <c r="E317" s="5686" t="s">
        <v>51</v>
      </c>
      <c r="F317" s="5687"/>
      <c r="G317" s="5688" t="s">
        <v>15</v>
      </c>
      <c r="H317" s="5689" t="n">
        <v>43124.1256743171</v>
      </c>
      <c r="I317" s="5690" t="n">
        <v>43124.1256743171</v>
      </c>
      <c r="J317" s="5691" t="n">
        <v>43120.097347581</v>
      </c>
      <c r="K317" s="5692" t="n">
        <v>43120.097347581</v>
      </c>
      <c r="L317" s="5693" t="s">
        <v>16</v>
      </c>
      <c r="M317" s="5694"/>
      <c r="N317" s="5695"/>
      <c r="O317" s="5696"/>
      <c r="P317" s="5697" t="s">
        <v>59</v>
      </c>
      <c r="Q317" s="5698">
        <f>TODAY()-j317</f>
      </c>
      <c r="R317" s="5699">
        <f>VLOOKUP(A317,'Last Week'!A4:I395,7,FALSE)</f>
      </c>
    </row>
    <row r="318" ht="23.85" customHeight="true">
      <c r="A318" s="5700" t="s">
        <v>778</v>
      </c>
      <c r="B318" s="5701" t="s">
        <v>779</v>
      </c>
      <c r="C318" s="5702"/>
      <c r="D318" s="5703" t="s">
        <v>593</v>
      </c>
      <c r="E318" s="5704" t="s">
        <v>402</v>
      </c>
      <c r="F318" s="5705"/>
      <c r="G318" s="5706" t="s">
        <v>15</v>
      </c>
      <c r="H318" s="5707" t="n">
        <v>43124.125798206</v>
      </c>
      <c r="I318" s="5708" t="n">
        <v>43124.125798206</v>
      </c>
      <c r="J318" s="5709" t="n">
        <v>43122.4213963426</v>
      </c>
      <c r="K318" s="5710" t="n">
        <v>43122.4213963426</v>
      </c>
      <c r="L318" s="5711" t="s">
        <v>16</v>
      </c>
      <c r="M318" s="5712"/>
      <c r="N318" s="5713"/>
      <c r="O318" s="5714"/>
      <c r="P318" s="5715" t="s">
        <v>17</v>
      </c>
      <c r="Q318" s="5716">
        <f>TODAY()-j318</f>
      </c>
      <c r="R318" s="5717">
        <f>VLOOKUP(A318,'Last Week'!A4:I395,7,FALSE)</f>
      </c>
    </row>
    <row r="319" ht="23.85" customHeight="true">
      <c r="A319" s="5718" t="s">
        <v>780</v>
      </c>
      <c r="B319" s="5719" t="s">
        <v>562</v>
      </c>
      <c r="C319" s="5720"/>
      <c r="D319" s="5721" t="s">
        <v>781</v>
      </c>
      <c r="E319" s="5722" t="s">
        <v>82</v>
      </c>
      <c r="F319" s="5723"/>
      <c r="G319" s="5724" t="s">
        <v>15</v>
      </c>
      <c r="H319" s="5725" t="n">
        <v>43124.1258412269</v>
      </c>
      <c r="I319" s="5726" t="n">
        <v>43124.1258412269</v>
      </c>
      <c r="J319" s="5727" t="n">
        <v>43122.4544512963</v>
      </c>
      <c r="K319" s="5728" t="n">
        <v>43122.4544512963</v>
      </c>
      <c r="L319" s="5729" t="s">
        <v>16</v>
      </c>
      <c r="M319" s="5730"/>
      <c r="N319" s="5731"/>
      <c r="O319" s="5732"/>
      <c r="P319" s="5733" t="s">
        <v>17</v>
      </c>
      <c r="Q319" s="5734">
        <f>TODAY()-j319</f>
      </c>
      <c r="R319" s="5735">
        <f>VLOOKUP(A319,'Last Week'!A4:I395,7,FALSE)</f>
      </c>
    </row>
    <row r="320" ht="35.05" customHeight="true">
      <c r="A320" s="5736" t="s">
        <v>782</v>
      </c>
      <c r="B320" s="5737" t="s">
        <v>783</v>
      </c>
      <c r="C320" s="5738"/>
      <c r="D320" s="5739" t="s">
        <v>62</v>
      </c>
      <c r="E320" s="5740" t="s">
        <v>73</v>
      </c>
      <c r="F320" s="5741"/>
      <c r="G320" s="5742" t="s">
        <v>15</v>
      </c>
      <c r="H320" s="5743" t="n">
        <v>43126.1262443171</v>
      </c>
      <c r="I320" s="5744" t="n">
        <v>43126.1262443171</v>
      </c>
      <c r="J320" s="5745" t="n">
        <v>43122.6159802894</v>
      </c>
      <c r="K320" s="5746" t="n">
        <v>43122.6159802894</v>
      </c>
      <c r="L320" s="5747" t="s">
        <v>16</v>
      </c>
      <c r="M320" s="5748"/>
      <c r="N320" s="5749"/>
      <c r="O320" s="5750"/>
      <c r="P320" s="5751" t="s">
        <v>17</v>
      </c>
      <c r="Q320" s="5752">
        <f>TODAY()-j320</f>
      </c>
      <c r="R320" s="5753">
        <f>VLOOKUP(A320,'Last Week'!A4:I395,7,FALSE)</f>
      </c>
    </row>
    <row r="321" ht="23.85" customHeight="true">
      <c r="A321" s="5754" t="s">
        <v>784</v>
      </c>
      <c r="B321" s="5755" t="s">
        <v>785</v>
      </c>
      <c r="C321" s="5756"/>
      <c r="D321" s="5757" t="s">
        <v>786</v>
      </c>
      <c r="E321" s="5758" t="s">
        <v>786</v>
      </c>
      <c r="F321" s="5759"/>
      <c r="G321" s="5760" t="s">
        <v>15</v>
      </c>
      <c r="H321" s="5761" t="n">
        <v>43260.0836806713</v>
      </c>
      <c r="I321" s="5762" t="n">
        <v>43260.0836806713</v>
      </c>
      <c r="J321" s="5763" t="n">
        <v>43122.6315949421</v>
      </c>
      <c r="K321" s="5764" t="n">
        <v>43122.6315949421</v>
      </c>
      <c r="L321" s="5765" t="s">
        <v>16</v>
      </c>
      <c r="M321" s="5766"/>
      <c r="N321" s="5767"/>
      <c r="O321" s="5768"/>
      <c r="P321" s="5769" t="s">
        <v>17</v>
      </c>
      <c r="Q321" s="5770">
        <f>TODAY()-j321</f>
      </c>
      <c r="R321" s="5771">
        <f>VLOOKUP(A321,'Last Week'!A4:I395,7,FALSE)</f>
      </c>
    </row>
    <row r="322" ht="35.05" customHeight="true">
      <c r="A322" s="5772" t="s">
        <v>787</v>
      </c>
      <c r="B322" s="5773" t="s">
        <v>788</v>
      </c>
      <c r="C322" s="5774"/>
      <c r="D322" s="5775" t="s">
        <v>62</v>
      </c>
      <c r="E322" s="5776" t="s">
        <v>51</v>
      </c>
      <c r="F322" s="5777"/>
      <c r="G322" s="5778" t="s">
        <v>15</v>
      </c>
      <c r="H322" s="5779" t="n">
        <v>43125.1257610185</v>
      </c>
      <c r="I322" s="5780" t="n">
        <v>43125.1257610185</v>
      </c>
      <c r="J322" s="5781" t="n">
        <v>43123.079369213</v>
      </c>
      <c r="K322" s="5782" t="n">
        <v>43123.079369213</v>
      </c>
      <c r="L322" s="5783" t="s">
        <v>16</v>
      </c>
      <c r="M322" s="5784"/>
      <c r="N322" s="5785"/>
      <c r="O322" s="5786"/>
      <c r="P322" s="5787" t="s">
        <v>59</v>
      </c>
      <c r="Q322" s="5788">
        <f>TODAY()-j322</f>
      </c>
      <c r="R322" s="5789">
        <f>VLOOKUP(A322,'Last Week'!A4:I395,7,FALSE)</f>
      </c>
    </row>
    <row r="323" ht="23.85" customHeight="true">
      <c r="A323" s="5790" t="s">
        <v>789</v>
      </c>
      <c r="B323" s="5791" t="s">
        <v>157</v>
      </c>
      <c r="C323" s="5792"/>
      <c r="D323" s="5793" t="s">
        <v>141</v>
      </c>
      <c r="E323" s="5794" t="s">
        <v>73</v>
      </c>
      <c r="F323" s="5795"/>
      <c r="G323" s="5796" t="s">
        <v>15</v>
      </c>
      <c r="H323" s="5797" t="n">
        <v>43125.2084265394</v>
      </c>
      <c r="I323" s="5798" t="n">
        <v>43125.2084265394</v>
      </c>
      <c r="J323" s="5799" t="n">
        <v>43123.6227750232</v>
      </c>
      <c r="K323" s="5800" t="n">
        <v>43123.6227750232</v>
      </c>
      <c r="L323" s="5801" t="s">
        <v>16</v>
      </c>
      <c r="M323" s="5802"/>
      <c r="N323" s="5803"/>
      <c r="O323" s="5804"/>
      <c r="P323" s="5805" t="s">
        <v>59</v>
      </c>
      <c r="Q323" s="5806">
        <f>TODAY()-j323</f>
      </c>
      <c r="R323" s="5807">
        <f>VLOOKUP(A323,'Last Week'!A4:I395,7,FALSE)</f>
      </c>
    </row>
    <row r="324" ht="35.05" customHeight="true">
      <c r="A324" s="5808" t="s">
        <v>790</v>
      </c>
      <c r="B324" s="5809" t="s">
        <v>791</v>
      </c>
      <c r="C324" s="5810"/>
      <c r="D324" s="5811" t="s">
        <v>62</v>
      </c>
      <c r="E324" s="5812" t="s">
        <v>51</v>
      </c>
      <c r="F324" s="5813"/>
      <c r="G324" s="5814" t="s">
        <v>15</v>
      </c>
      <c r="H324" s="5815" t="n">
        <v>43126.1257605556</v>
      </c>
      <c r="I324" s="5816" t="n">
        <v>43126.1257605556</v>
      </c>
      <c r="J324" s="5817" t="n">
        <v>43124.2729052662</v>
      </c>
      <c r="K324" s="5818" t="n">
        <v>43124.2729052662</v>
      </c>
      <c r="L324" s="5819" t="s">
        <v>16</v>
      </c>
      <c r="M324" s="5820"/>
      <c r="N324" s="5821"/>
      <c r="O324" s="5822"/>
      <c r="P324" s="5823" t="s">
        <v>59</v>
      </c>
      <c r="Q324" s="5824">
        <f>TODAY()-j324</f>
      </c>
      <c r="R324" s="5825">
        <f>VLOOKUP(A324,'Last Week'!A4:I395,7,FALSE)</f>
      </c>
    </row>
    <row r="325" ht="23.85" customHeight="true">
      <c r="A325" s="5826" t="s">
        <v>792</v>
      </c>
      <c r="B325" s="5827" t="s">
        <v>793</v>
      </c>
      <c r="C325" s="5828"/>
      <c r="D325" s="5829" t="s">
        <v>62</v>
      </c>
      <c r="E325" s="5830" t="s">
        <v>73</v>
      </c>
      <c r="F325" s="5831"/>
      <c r="G325" s="5832" t="s">
        <v>15</v>
      </c>
      <c r="H325" s="5833" t="n">
        <v>43129.000066331</v>
      </c>
      <c r="I325" s="5834" t="n">
        <v>43129.000066331</v>
      </c>
      <c r="J325" s="5835" t="n">
        <v>43126.4709054745</v>
      </c>
      <c r="K325" s="5836" t="n">
        <v>43126.4709054745</v>
      </c>
      <c r="L325" s="5837" t="s">
        <v>16</v>
      </c>
      <c r="M325" s="5838"/>
      <c r="N325" s="5839"/>
      <c r="O325" s="5840"/>
      <c r="P325" s="5841" t="s">
        <v>59</v>
      </c>
      <c r="Q325" s="5842">
        <f>TODAY()-j325</f>
      </c>
      <c r="R325" s="5843">
        <f>VLOOKUP(A325,'Last Week'!A4:I395,7,FALSE)</f>
      </c>
    </row>
    <row r="326" ht="23.85" customHeight="true">
      <c r="A326" s="5844" t="s">
        <v>794</v>
      </c>
      <c r="B326" s="5845" t="s">
        <v>795</v>
      </c>
      <c r="C326" s="5846"/>
      <c r="D326" s="5847" t="s">
        <v>62</v>
      </c>
      <c r="E326" s="5848" t="s">
        <v>209</v>
      </c>
      <c r="F326" s="5849"/>
      <c r="G326" s="5850" t="s">
        <v>15</v>
      </c>
      <c r="H326" s="5851" t="n">
        <v>43132.3811430903</v>
      </c>
      <c r="I326" s="5852" t="n">
        <v>43132.3811430903</v>
      </c>
      <c r="J326" s="5853" t="n">
        <v>43126.6059779977</v>
      </c>
      <c r="K326" s="5854" t="n">
        <v>43126.6059779977</v>
      </c>
      <c r="L326" s="5855" t="s">
        <v>16</v>
      </c>
      <c r="M326" s="5856"/>
      <c r="N326" s="5857"/>
      <c r="O326" s="5858"/>
      <c r="P326" s="5859" t="s">
        <v>59</v>
      </c>
      <c r="Q326" s="5860">
        <f>TODAY()-j326</f>
      </c>
      <c r="R326" s="5861">
        <f>VLOOKUP(A326,'Last Week'!A4:I395,7,FALSE)</f>
      </c>
    </row>
    <row r="327" ht="35.05" customHeight="true">
      <c r="A327" s="5862" t="s">
        <v>796</v>
      </c>
      <c r="B327" s="5863" t="s">
        <v>797</v>
      </c>
      <c r="C327" s="5864"/>
      <c r="D327" s="5865" t="s">
        <v>62</v>
      </c>
      <c r="E327" s="5866" t="s">
        <v>73</v>
      </c>
      <c r="F327" s="5867"/>
      <c r="G327" s="5868" t="s">
        <v>15</v>
      </c>
      <c r="H327" s="5869" t="n">
        <v>43131.1257674074</v>
      </c>
      <c r="I327" s="5870" t="n">
        <v>43131.1257674074</v>
      </c>
      <c r="J327" s="5871" t="n">
        <v>43126.7109895486</v>
      </c>
      <c r="K327" s="5872" t="n">
        <v>43126.7109895486</v>
      </c>
      <c r="L327" s="5873" t="s">
        <v>16</v>
      </c>
      <c r="M327" s="5874"/>
      <c r="N327" s="5875"/>
      <c r="O327" s="5876"/>
      <c r="P327" s="5877" t="s">
        <v>59</v>
      </c>
      <c r="Q327" s="5878">
        <f>TODAY()-j327</f>
      </c>
      <c r="R327" s="5879">
        <f>VLOOKUP(A327,'Last Week'!A4:I395,7,FALSE)</f>
      </c>
    </row>
    <row r="328" ht="23.85" customHeight="true">
      <c r="A328" s="5880" t="s">
        <v>798</v>
      </c>
      <c r="B328" s="5881" t="s">
        <v>799</v>
      </c>
      <c r="C328" s="5882"/>
      <c r="D328" s="5883" t="s">
        <v>800</v>
      </c>
      <c r="E328" s="5884" t="s">
        <v>800</v>
      </c>
      <c r="F328" s="5885"/>
      <c r="G328" s="5886" t="s">
        <v>15</v>
      </c>
      <c r="H328" s="5887" t="n">
        <v>43132.1257320023</v>
      </c>
      <c r="I328" s="5888" t="n">
        <v>43132.1257320023</v>
      </c>
      <c r="J328" s="5889" t="n">
        <v>43129.6981862847</v>
      </c>
      <c r="K328" s="5890" t="n">
        <v>43129.6981862847</v>
      </c>
      <c r="L328" s="5891" t="s">
        <v>16</v>
      </c>
      <c r="M328" s="5892"/>
      <c r="N328" s="5893"/>
      <c r="O328" s="5894"/>
      <c r="P328" s="5895" t="s">
        <v>59</v>
      </c>
      <c r="Q328" s="5896">
        <f>TODAY()-j328</f>
      </c>
      <c r="R328" s="5897">
        <f>VLOOKUP(A328,'Last Week'!A4:I395,7,FALSE)</f>
      </c>
    </row>
    <row r="329" ht="35.05" customHeight="true">
      <c r="A329" s="5898" t="s">
        <v>801</v>
      </c>
      <c r="B329" s="5899" t="s">
        <v>802</v>
      </c>
      <c r="C329" s="5900"/>
      <c r="D329" s="5901" t="s">
        <v>62</v>
      </c>
      <c r="E329" s="5902" t="s">
        <v>73</v>
      </c>
      <c r="F329" s="5903"/>
      <c r="G329" s="5904" t="s">
        <v>15</v>
      </c>
      <c r="H329" s="5905" t="n">
        <v>43132.4167573611</v>
      </c>
      <c r="I329" s="5906" t="n">
        <v>43132.4167573611</v>
      </c>
      <c r="J329" s="5907" t="n">
        <v>43130.620776956</v>
      </c>
      <c r="K329" s="5908" t="n">
        <v>43130.620776956</v>
      </c>
      <c r="L329" s="5909" t="s">
        <v>16</v>
      </c>
      <c r="M329" s="5910"/>
      <c r="N329" s="5911"/>
      <c r="O329" s="5912"/>
      <c r="P329" s="5913" t="s">
        <v>17</v>
      </c>
      <c r="Q329" s="5914">
        <f>TODAY()-j329</f>
      </c>
      <c r="R329" s="5915">
        <f>VLOOKUP(A329,'Last Week'!A4:I395,7,FALSE)</f>
      </c>
    </row>
    <row r="330" ht="23.85" customHeight="true">
      <c r="A330" s="5916" t="s">
        <v>803</v>
      </c>
      <c r="B330" s="5917" t="s">
        <v>804</v>
      </c>
      <c r="C330" s="5918"/>
      <c r="D330" s="5919" t="s">
        <v>805</v>
      </c>
      <c r="E330" s="5920" t="s">
        <v>34</v>
      </c>
      <c r="F330" s="5921"/>
      <c r="G330" s="5922" t="s">
        <v>15</v>
      </c>
      <c r="H330" s="5923" t="n">
        <v>43132.4167639583</v>
      </c>
      <c r="I330" s="5924" t="n">
        <v>43132.4167639583</v>
      </c>
      <c r="J330" s="5925" t="n">
        <v>43130.6943691204</v>
      </c>
      <c r="K330" s="5926" t="n">
        <v>43130.6943691204</v>
      </c>
      <c r="L330" s="5927" t="s">
        <v>16</v>
      </c>
      <c r="M330" s="5928"/>
      <c r="N330" s="5929"/>
      <c r="O330" s="5930"/>
      <c r="P330" s="5931" t="s">
        <v>17</v>
      </c>
      <c r="Q330" s="5932">
        <f>TODAY()-j330</f>
      </c>
      <c r="R330" s="5933">
        <f>VLOOKUP(A330,'Last Week'!A4:I395,7,FALSE)</f>
      </c>
    </row>
    <row r="331" ht="35.05" customHeight="true">
      <c r="A331" s="5934" t="s">
        <v>806</v>
      </c>
      <c r="B331" s="5935" t="s">
        <v>807</v>
      </c>
      <c r="C331" s="5936"/>
      <c r="D331" s="5937" t="s">
        <v>808</v>
      </c>
      <c r="E331" s="5938" t="s">
        <v>46</v>
      </c>
      <c r="F331" s="5939"/>
      <c r="G331" s="5940" t="s">
        <v>15</v>
      </c>
      <c r="H331" s="5941" t="n">
        <v>43138.1252570255</v>
      </c>
      <c r="I331" s="5942" t="n">
        <v>43138.1252570255</v>
      </c>
      <c r="J331" s="5943" t="n">
        <v>43130.7443149769</v>
      </c>
      <c r="K331" s="5944" t="n">
        <v>43130.7443149769</v>
      </c>
      <c r="L331" s="5945" t="s">
        <v>16</v>
      </c>
      <c r="M331" s="5946"/>
      <c r="N331" s="5947"/>
      <c r="O331" s="5948"/>
      <c r="P331" s="5949" t="s">
        <v>17</v>
      </c>
      <c r="Q331" s="5950">
        <f>TODAY()-j331</f>
      </c>
      <c r="R331" s="5951">
        <f>VLOOKUP(A331,'Last Week'!A4:I395,7,FALSE)</f>
      </c>
    </row>
    <row r="332" ht="23.85" customHeight="true">
      <c r="A332" s="5952" t="s">
        <v>809</v>
      </c>
      <c r="B332" s="5953" t="s">
        <v>810</v>
      </c>
      <c r="C332" s="5954"/>
      <c r="D332" s="5955" t="s">
        <v>811</v>
      </c>
      <c r="E332" s="5956" t="s">
        <v>812</v>
      </c>
      <c r="F332" s="5957"/>
      <c r="G332" s="5958" t="s">
        <v>15</v>
      </c>
      <c r="H332" s="5959" t="n">
        <v>43138.1254040509</v>
      </c>
      <c r="I332" s="5960" t="n">
        <v>43138.1254040509</v>
      </c>
      <c r="J332" s="5961" t="n">
        <v>43132.5530676389</v>
      </c>
      <c r="K332" s="5962" t="n">
        <v>43132.5530676389</v>
      </c>
      <c r="L332" s="5963" t="s">
        <v>16</v>
      </c>
      <c r="M332" s="5964"/>
      <c r="N332" s="5965"/>
      <c r="O332" s="5966"/>
      <c r="P332" s="5967" t="s">
        <v>17</v>
      </c>
      <c r="Q332" s="5968">
        <f>TODAY()-j332</f>
      </c>
      <c r="R332" s="5969">
        <f>VLOOKUP(A332,'Last Week'!A4:I395,7,FALSE)</f>
      </c>
    </row>
    <row r="333" ht="35.05" customHeight="true">
      <c r="A333" s="5970" t="s">
        <v>813</v>
      </c>
      <c r="B333" s="5971" t="s">
        <v>814</v>
      </c>
      <c r="C333" s="5972"/>
      <c r="D333" s="5973" t="s">
        <v>62</v>
      </c>
      <c r="E333" s="5974" t="s">
        <v>73</v>
      </c>
      <c r="F333" s="5975"/>
      <c r="G333" s="5976" t="s">
        <v>15</v>
      </c>
      <c r="H333" s="5977" t="n">
        <v>43138.1254563542</v>
      </c>
      <c r="I333" s="5978" t="n">
        <v>43138.1254563542</v>
      </c>
      <c r="J333" s="5979" t="n">
        <v>43133.6233867824</v>
      </c>
      <c r="K333" s="5980" t="n">
        <v>43133.6233867824</v>
      </c>
      <c r="L333" s="5981" t="s">
        <v>16</v>
      </c>
      <c r="M333" s="5982"/>
      <c r="N333" s="5983"/>
      <c r="O333" s="5984"/>
      <c r="P333" s="5985" t="s">
        <v>17</v>
      </c>
      <c r="Q333" s="5986">
        <f>TODAY()-j333</f>
      </c>
      <c r="R333" s="5987">
        <f>VLOOKUP(A333,'Last Week'!A4:I395,7,FALSE)</f>
      </c>
    </row>
    <row r="334" ht="23.85" customHeight="true">
      <c r="A334" s="5988" t="s">
        <v>815</v>
      </c>
      <c r="B334" s="5989" t="s">
        <v>313</v>
      </c>
      <c r="C334" s="5990"/>
      <c r="D334" s="5991" t="s">
        <v>55</v>
      </c>
      <c r="E334" s="5992" t="s">
        <v>29</v>
      </c>
      <c r="F334" s="5993"/>
      <c r="G334" s="5994" t="s">
        <v>15</v>
      </c>
      <c r="H334" s="5995" t="n">
        <v>43136.7917663079</v>
      </c>
      <c r="I334" s="5996" t="n">
        <v>43136.7917663079</v>
      </c>
      <c r="J334" s="5997" t="n">
        <v>43133.9341687037</v>
      </c>
      <c r="K334" s="5998" t="n">
        <v>43133.9341687037</v>
      </c>
      <c r="L334" s="5999" t="s">
        <v>16</v>
      </c>
      <c r="M334" s="6000"/>
      <c r="N334" s="6001"/>
      <c r="O334" s="6002"/>
      <c r="P334" s="6003" t="s">
        <v>59</v>
      </c>
      <c r="Q334" s="6004">
        <f>TODAY()-j334</f>
      </c>
      <c r="R334" s="6005">
        <f>VLOOKUP(A334,'Last Week'!A4:I395,7,FALSE)</f>
      </c>
    </row>
    <row r="335" ht="23.85" customHeight="true">
      <c r="A335" s="6006" t="s">
        <v>816</v>
      </c>
      <c r="B335" s="6007" t="s">
        <v>311</v>
      </c>
      <c r="C335" s="6008"/>
      <c r="D335" s="6009" t="s">
        <v>55</v>
      </c>
      <c r="E335" s="6010" t="s">
        <v>29</v>
      </c>
      <c r="F335" s="6011"/>
      <c r="G335" s="6012" t="s">
        <v>15</v>
      </c>
      <c r="H335" s="6013" t="n">
        <v>43140.1253261574</v>
      </c>
      <c r="I335" s="6014" t="n">
        <v>43140.1253261574</v>
      </c>
      <c r="J335" s="6015" t="n">
        <v>43133.9356242477</v>
      </c>
      <c r="K335" s="6016" t="n">
        <v>43133.9356242477</v>
      </c>
      <c r="L335" s="6017" t="s">
        <v>16</v>
      </c>
      <c r="M335" s="6018"/>
      <c r="N335" s="6019"/>
      <c r="O335" s="6020"/>
      <c r="P335" s="6021" t="s">
        <v>17</v>
      </c>
      <c r="Q335" s="6022">
        <f>TODAY()-j335</f>
      </c>
      <c r="R335" s="6023">
        <f>VLOOKUP(A335,'Last Week'!A4:I395,7,FALSE)</f>
      </c>
    </row>
    <row r="336" ht="23.85" customHeight="true">
      <c r="A336" s="6024" t="s">
        <v>817</v>
      </c>
      <c r="B336" s="6025" t="s">
        <v>818</v>
      </c>
      <c r="C336" s="6026"/>
      <c r="D336" s="6027" t="s">
        <v>819</v>
      </c>
      <c r="E336" s="6028" t="s">
        <v>38</v>
      </c>
      <c r="F336" s="6029"/>
      <c r="G336" s="6030" t="s">
        <v>15</v>
      </c>
      <c r="H336" s="6031" t="n">
        <v>43140.1312988426</v>
      </c>
      <c r="I336" s="6032" t="n">
        <v>43140.1312988426</v>
      </c>
      <c r="J336" s="6033" t="n">
        <v>43136.6012780556</v>
      </c>
      <c r="K336" s="6034" t="n">
        <v>43136.6012780556</v>
      </c>
      <c r="L336" s="6035" t="s">
        <v>16</v>
      </c>
      <c r="M336" s="6036"/>
      <c r="N336" s="6037"/>
      <c r="O336" s="6038"/>
      <c r="P336" s="6039" t="s">
        <v>17</v>
      </c>
      <c r="Q336" s="6040">
        <f>TODAY()-j336</f>
      </c>
      <c r="R336" s="6041">
        <f>VLOOKUP(A336,'Last Week'!A4:I395,7,FALSE)</f>
      </c>
    </row>
    <row r="337" ht="35.05" customHeight="true">
      <c r="A337" s="6042" t="s">
        <v>820</v>
      </c>
      <c r="B337" s="6043" t="s">
        <v>821</v>
      </c>
      <c r="C337" s="6044"/>
      <c r="D337" s="6045" t="s">
        <v>488</v>
      </c>
      <c r="E337" s="6046" t="s">
        <v>82</v>
      </c>
      <c r="F337" s="6047"/>
      <c r="G337" s="6048" t="s">
        <v>15</v>
      </c>
      <c r="H337" s="6049" t="n">
        <v>43140.1313026968</v>
      </c>
      <c r="I337" s="6050" t="n">
        <v>43140.1313026968</v>
      </c>
      <c r="J337" s="6051" t="n">
        <v>43136.6537459491</v>
      </c>
      <c r="K337" s="6052" t="n">
        <v>43136.6537459491</v>
      </c>
      <c r="L337" s="6053" t="s">
        <v>16</v>
      </c>
      <c r="M337" s="6054"/>
      <c r="N337" s="6055"/>
      <c r="O337" s="6056"/>
      <c r="P337" s="6057" t="s">
        <v>17</v>
      </c>
      <c r="Q337" s="6058">
        <f>TODAY()-j337</f>
      </c>
      <c r="R337" s="6059">
        <f>VLOOKUP(A337,'Last Week'!A4:I395,7,FALSE)</f>
      </c>
    </row>
    <row r="338" ht="23.85" customHeight="true">
      <c r="A338" s="6060" t="s">
        <v>822</v>
      </c>
      <c r="B338" s="6061" t="s">
        <v>164</v>
      </c>
      <c r="C338" s="6062"/>
      <c r="D338" s="6063" t="s">
        <v>165</v>
      </c>
      <c r="E338" s="6064" t="s">
        <v>216</v>
      </c>
      <c r="F338" s="6065"/>
      <c r="G338" s="6066" t="s">
        <v>15</v>
      </c>
      <c r="H338" s="6067" t="n">
        <v>43140.1255058681</v>
      </c>
      <c r="I338" s="6068" t="n">
        <v>43140.1255058681</v>
      </c>
      <c r="J338" s="6069" t="n">
        <v>43137.3799535995</v>
      </c>
      <c r="K338" s="6070" t="n">
        <v>43137.3799535995</v>
      </c>
      <c r="L338" s="6071" t="s">
        <v>16</v>
      </c>
      <c r="M338" s="6072"/>
      <c r="N338" s="6073"/>
      <c r="O338" s="6074"/>
      <c r="P338" s="6075" t="s">
        <v>17</v>
      </c>
      <c r="Q338" s="6076">
        <f>TODAY()-j338</f>
      </c>
      <c r="R338" s="6077">
        <f>VLOOKUP(A338,'Last Week'!A4:I395,7,FALSE)</f>
      </c>
    </row>
    <row r="339" ht="23.85" customHeight="true">
      <c r="A339" s="6078" t="s">
        <v>823</v>
      </c>
      <c r="B339" s="6079" t="s">
        <v>824</v>
      </c>
      <c r="C339" s="6080"/>
      <c r="D339" s="6081" t="s">
        <v>825</v>
      </c>
      <c r="E339" s="6082" t="s">
        <v>825</v>
      </c>
      <c r="F339" s="6083"/>
      <c r="G339" s="6084" t="s">
        <v>15</v>
      </c>
      <c r="H339" s="6085" t="n">
        <v>43147.1667748843</v>
      </c>
      <c r="I339" s="6086" t="n">
        <v>43147.1667748843</v>
      </c>
      <c r="J339" s="6087" t="n">
        <v>43139.7425323033</v>
      </c>
      <c r="K339" s="6088" t="n">
        <v>43139.7425323033</v>
      </c>
      <c r="L339" s="6089" t="s">
        <v>16</v>
      </c>
      <c r="M339" s="6090"/>
      <c r="N339" s="6091"/>
      <c r="O339" s="6092"/>
      <c r="P339" s="6093" t="s">
        <v>17</v>
      </c>
      <c r="Q339" s="6094">
        <f>TODAY()-j339</f>
      </c>
      <c r="R339" s="6095">
        <f>VLOOKUP(A339,'Last Week'!A4:I395,7,FALSE)</f>
      </c>
    </row>
    <row r="340" ht="35.05" customHeight="true">
      <c r="A340" s="6096" t="s">
        <v>826</v>
      </c>
      <c r="B340" s="6097" t="s">
        <v>827</v>
      </c>
      <c r="C340" s="6098"/>
      <c r="D340" s="6099" t="s">
        <v>155</v>
      </c>
      <c r="E340" s="6100" t="s">
        <v>73</v>
      </c>
      <c r="F340" s="6101"/>
      <c r="G340" s="6102" t="s">
        <v>15</v>
      </c>
      <c r="H340" s="6103" t="n">
        <v>43167.1254843519</v>
      </c>
      <c r="I340" s="6104" t="n">
        <v>43167.1254843519</v>
      </c>
      <c r="J340" s="6105" t="n">
        <v>43145.6019885995</v>
      </c>
      <c r="K340" s="6106" t="n">
        <v>43145.6019885995</v>
      </c>
      <c r="L340" s="6107" t="s">
        <v>16</v>
      </c>
      <c r="M340" s="6108"/>
      <c r="N340" s="6109"/>
      <c r="O340" s="6110"/>
      <c r="P340" s="6111" t="s">
        <v>17</v>
      </c>
      <c r="Q340" s="6112">
        <f>TODAY()-j340</f>
      </c>
      <c r="R340" s="6113">
        <f>VLOOKUP(A340,'Last Week'!A4:I395,7,FALSE)</f>
      </c>
    </row>
    <row r="341" ht="23.85" customHeight="true">
      <c r="A341" s="6114" t="s">
        <v>828</v>
      </c>
      <c r="B341" s="6115" t="s">
        <v>829</v>
      </c>
      <c r="C341" s="6116"/>
      <c r="D341" s="6117" t="s">
        <v>830</v>
      </c>
      <c r="E341" s="6118" t="s">
        <v>242</v>
      </c>
      <c r="F341" s="6119"/>
      <c r="G341" s="6120" t="s">
        <v>15</v>
      </c>
      <c r="H341" s="6121" t="n">
        <v>43152.1317060764</v>
      </c>
      <c r="I341" s="6122" t="n">
        <v>43152.1317060764</v>
      </c>
      <c r="J341" s="6123" t="n">
        <v>43147.7039835764</v>
      </c>
      <c r="K341" s="6124" t="n">
        <v>43147.7039835764</v>
      </c>
      <c r="L341" s="6125" t="s">
        <v>16</v>
      </c>
      <c r="M341" s="6126"/>
      <c r="N341" s="6127"/>
      <c r="O341" s="6128"/>
      <c r="P341" s="6129" t="s">
        <v>17</v>
      </c>
      <c r="Q341" s="6130">
        <f>TODAY()-j341</f>
      </c>
      <c r="R341" s="6131">
        <f>VLOOKUP(A341,'Last Week'!A4:I395,7,FALSE)</f>
      </c>
    </row>
    <row r="342" ht="23.85" customHeight="true">
      <c r="A342" s="6132" t="s">
        <v>831</v>
      </c>
      <c r="B342" s="6133" t="s">
        <v>832</v>
      </c>
      <c r="C342" s="6134"/>
      <c r="D342" s="6135" t="s">
        <v>833</v>
      </c>
      <c r="E342" s="6136" t="s">
        <v>116</v>
      </c>
      <c r="F342" s="6137"/>
      <c r="G342" s="6138" t="s">
        <v>15</v>
      </c>
      <c r="H342" s="6139" t="n">
        <v>43154.1664007755</v>
      </c>
      <c r="I342" s="6140" t="n">
        <v>43154.1664007755</v>
      </c>
      <c r="J342" s="6141" t="n">
        <v>43151.5464339005</v>
      </c>
      <c r="K342" s="6142" t="n">
        <v>43151.5464339005</v>
      </c>
      <c r="L342" s="6143" t="s">
        <v>16</v>
      </c>
      <c r="M342" s="6144"/>
      <c r="N342" s="6145"/>
      <c r="O342" s="6146"/>
      <c r="P342" s="6147" t="s">
        <v>17</v>
      </c>
      <c r="Q342" s="6148">
        <f>TODAY()-j342</f>
      </c>
      <c r="R342" s="6149">
        <f>VLOOKUP(A342,'Last Week'!A4:I395,7,FALSE)</f>
      </c>
    </row>
    <row r="343" ht="35.05" customHeight="true">
      <c r="A343" s="6150" t="s">
        <v>834</v>
      </c>
      <c r="B343" s="6151" t="s">
        <v>835</v>
      </c>
      <c r="C343" s="6152"/>
      <c r="D343" s="6153" t="s">
        <v>155</v>
      </c>
      <c r="E343" s="6154" t="s">
        <v>73</v>
      </c>
      <c r="F343" s="6155"/>
      <c r="G343" s="6156" t="s">
        <v>15</v>
      </c>
      <c r="H343" s="6157" t="n">
        <v>43167.1255563773</v>
      </c>
      <c r="I343" s="6158" t="n">
        <v>43167.1255563773</v>
      </c>
      <c r="J343" s="6159" t="n">
        <v>43152.5401641667</v>
      </c>
      <c r="K343" s="6160" t="n">
        <v>43152.5401641667</v>
      </c>
      <c r="L343" s="6161" t="s">
        <v>16</v>
      </c>
      <c r="M343" s="6162"/>
      <c r="N343" s="6163"/>
      <c r="O343" s="6164"/>
      <c r="P343" s="6165" t="s">
        <v>17</v>
      </c>
      <c r="Q343" s="6166">
        <f>TODAY()-j343</f>
      </c>
      <c r="R343" s="6167">
        <f>VLOOKUP(A343,'Last Week'!A4:I395,7,FALSE)</f>
      </c>
    </row>
    <row r="344" ht="35.05" customHeight="true">
      <c r="A344" s="6168" t="s">
        <v>836</v>
      </c>
      <c r="B344" s="6169" t="s">
        <v>837</v>
      </c>
      <c r="C344" s="6170"/>
      <c r="D344" s="6171" t="s">
        <v>165</v>
      </c>
      <c r="E344" s="6172" t="s">
        <v>216</v>
      </c>
      <c r="F344" s="6173"/>
      <c r="G344" s="6174" t="s">
        <v>15</v>
      </c>
      <c r="H344" s="6175" t="n">
        <v>43161.1668740278</v>
      </c>
      <c r="I344" s="6176" t="n">
        <v>43161.1668740278</v>
      </c>
      <c r="J344" s="6177" t="n">
        <v>43154.3654158102</v>
      </c>
      <c r="K344" s="6178" t="n">
        <v>43154.3654158102</v>
      </c>
      <c r="L344" s="6179" t="s">
        <v>16</v>
      </c>
      <c r="M344" s="6180"/>
      <c r="N344" s="6181"/>
      <c r="O344" s="6182"/>
      <c r="P344" s="6183" t="s">
        <v>17</v>
      </c>
      <c r="Q344" s="6184">
        <f>TODAY()-j344</f>
      </c>
      <c r="R344" s="6185">
        <f>VLOOKUP(A344,'Last Week'!A4:I395,7,FALSE)</f>
      </c>
    </row>
    <row r="345" ht="46.25" customHeight="true">
      <c r="A345" s="6186" t="s">
        <v>838</v>
      </c>
      <c r="B345" s="6187" t="s">
        <v>839</v>
      </c>
      <c r="C345" s="6188"/>
      <c r="D345" s="6189" t="s">
        <v>480</v>
      </c>
      <c r="E345" s="6190" t="s">
        <v>480</v>
      </c>
      <c r="F345" s="6191"/>
      <c r="G345" s="6192" t="s">
        <v>15</v>
      </c>
      <c r="H345" s="6193" t="n">
        <v>43162.1255053935</v>
      </c>
      <c r="I345" s="6194" t="n">
        <v>43162.1255053935</v>
      </c>
      <c r="J345" s="6195" t="n">
        <v>43157.4737552662</v>
      </c>
      <c r="K345" s="6196" t="n">
        <v>43157.4737552662</v>
      </c>
      <c r="L345" s="6197" t="s">
        <v>16</v>
      </c>
      <c r="M345" s="6198"/>
      <c r="N345" s="6199"/>
      <c r="O345" s="6200"/>
      <c r="P345" s="6201" t="s">
        <v>17</v>
      </c>
      <c r="Q345" s="6202">
        <f>TODAY()-j345</f>
      </c>
      <c r="R345" s="6203">
        <f>VLOOKUP(A345,'Last Week'!A4:I395,7,FALSE)</f>
      </c>
    </row>
    <row r="346" ht="35.05" customHeight="true">
      <c r="A346" s="6204" t="s">
        <v>840</v>
      </c>
      <c r="B346" s="6205" t="s">
        <v>841</v>
      </c>
      <c r="C346" s="6206"/>
      <c r="D346" s="6207" t="s">
        <v>842</v>
      </c>
      <c r="E346" s="6208" t="s">
        <v>842</v>
      </c>
      <c r="F346" s="6209"/>
      <c r="G346" s="6210" t="s">
        <v>15</v>
      </c>
      <c r="H346" s="6211" t="n">
        <v>43161.1668780787</v>
      </c>
      <c r="I346" s="6212" t="n">
        <v>43161.1668780787</v>
      </c>
      <c r="J346" s="6213" t="n">
        <v>43158.4208684028</v>
      </c>
      <c r="K346" s="6214" t="n">
        <v>43158.4208684028</v>
      </c>
      <c r="L346" s="6215" t="s">
        <v>16</v>
      </c>
      <c r="M346" s="6216"/>
      <c r="N346" s="6217"/>
      <c r="O346" s="6218"/>
      <c r="P346" s="6219" t="s">
        <v>17</v>
      </c>
      <c r="Q346" s="6220">
        <f>TODAY()-j346</f>
      </c>
      <c r="R346" s="6221">
        <f>VLOOKUP(A346,'Last Week'!A4:I395,7,FALSE)</f>
      </c>
    </row>
    <row r="347" ht="35.05" customHeight="true">
      <c r="A347" s="6222" t="s">
        <v>843</v>
      </c>
      <c r="B347" s="6223" t="s">
        <v>844</v>
      </c>
      <c r="C347" s="6224"/>
      <c r="D347" s="6225" t="s">
        <v>55</v>
      </c>
      <c r="E347" s="6226" t="s">
        <v>73</v>
      </c>
      <c r="F347" s="6227"/>
      <c r="G347" s="6228" t="s">
        <v>15</v>
      </c>
      <c r="H347" s="6229" t="n">
        <v>43167.1670918634</v>
      </c>
      <c r="I347" s="6230" t="n">
        <v>43167.1670918634</v>
      </c>
      <c r="J347" s="6231" t="n">
        <v>43164.4703506597</v>
      </c>
      <c r="K347" s="6232" t="n">
        <v>43164.4703506597</v>
      </c>
      <c r="L347" s="6233" t="s">
        <v>16</v>
      </c>
      <c r="M347" s="6234"/>
      <c r="N347" s="6235"/>
      <c r="O347" s="6236"/>
      <c r="P347" s="6237" t="s">
        <v>17</v>
      </c>
      <c r="Q347" s="6238">
        <f>TODAY()-j347</f>
      </c>
      <c r="R347" s="6239">
        <f>VLOOKUP(A347,'Last Week'!A4:I395,7,FALSE)</f>
      </c>
    </row>
    <row r="348" ht="35.05" customHeight="true">
      <c r="A348" s="6240" t="s">
        <v>845</v>
      </c>
      <c r="B348" s="6241" t="s">
        <v>846</v>
      </c>
      <c r="C348" s="6242"/>
      <c r="D348" s="6243" t="s">
        <v>55</v>
      </c>
      <c r="E348" s="6244" t="s">
        <v>73</v>
      </c>
      <c r="F348" s="6245"/>
      <c r="G348" s="6246" t="s">
        <v>15</v>
      </c>
      <c r="H348" s="6247" t="n">
        <v>43167.125759838</v>
      </c>
      <c r="I348" s="6248" t="n">
        <v>43167.125759838</v>
      </c>
      <c r="J348" s="6249" t="n">
        <v>43164.47171375</v>
      </c>
      <c r="K348" s="6250" t="n">
        <v>43164.47171375</v>
      </c>
      <c r="L348" s="6251" t="s">
        <v>16</v>
      </c>
      <c r="M348" s="6252"/>
      <c r="N348" s="6253"/>
      <c r="O348" s="6254"/>
      <c r="P348" s="6255" t="s">
        <v>59</v>
      </c>
      <c r="Q348" s="6256">
        <f>TODAY()-j348</f>
      </c>
      <c r="R348" s="6257">
        <f>VLOOKUP(A348,'Last Week'!A4:I395,7,FALSE)</f>
      </c>
    </row>
    <row r="349" ht="35.05" customHeight="true">
      <c r="A349" s="6258" t="s">
        <v>847</v>
      </c>
      <c r="B349" s="6259" t="s">
        <v>848</v>
      </c>
      <c r="C349" s="6260"/>
      <c r="D349" s="6261" t="s">
        <v>165</v>
      </c>
      <c r="E349" s="6262" t="s">
        <v>127</v>
      </c>
      <c r="F349" s="6263"/>
      <c r="G349" s="6264" t="s">
        <v>849</v>
      </c>
      <c r="H349" s="6265" t="n">
        <v>43165.4883581134</v>
      </c>
      <c r="I349" s="6266" t="n">
        <v>43165.4883581134</v>
      </c>
      <c r="J349" s="6267" t="n">
        <v>43165.4871140972</v>
      </c>
      <c r="K349" s="6268" t="n">
        <v>43165.4871140972</v>
      </c>
      <c r="L349" s="6269" t="s">
        <v>16</v>
      </c>
      <c r="M349" s="6270"/>
      <c r="N349" s="6271"/>
      <c r="O349" s="6272"/>
      <c r="P349" s="6273"/>
      <c r="Q349" s="6274">
        <f>TODAY()-j349</f>
      </c>
      <c r="R349" s="6275">
        <f>VLOOKUP(A349,'Last Week'!A4:I395,7,FALSE)</f>
      </c>
    </row>
    <row r="350" ht="23.85" customHeight="true">
      <c r="A350" s="6276" t="s">
        <v>850</v>
      </c>
      <c r="B350" s="6277" t="s">
        <v>348</v>
      </c>
      <c r="C350" s="6278"/>
      <c r="D350" s="6279" t="s">
        <v>800</v>
      </c>
      <c r="E350" s="6280" t="s">
        <v>800</v>
      </c>
      <c r="F350" s="6281"/>
      <c r="G350" s="6282" t="s">
        <v>15</v>
      </c>
      <c r="H350" s="6283" t="n">
        <v>43204.0840100579</v>
      </c>
      <c r="I350" s="6284" t="n">
        <v>43204.0840100579</v>
      </c>
      <c r="J350" s="6285" t="n">
        <v>43167.5905604051</v>
      </c>
      <c r="K350" s="6286" t="n">
        <v>43167.5905604051</v>
      </c>
      <c r="L350" s="6287" t="s">
        <v>16</v>
      </c>
      <c r="M350" s="6288"/>
      <c r="N350" s="6289"/>
      <c r="O350" s="6290"/>
      <c r="P350" s="6291" t="s">
        <v>17</v>
      </c>
      <c r="Q350" s="6292">
        <f>TODAY()-j350</f>
      </c>
      <c r="R350" s="6293">
        <f>VLOOKUP(A350,'Last Week'!A4:I395,7,FALSE)</f>
      </c>
    </row>
    <row r="351" ht="23.85" customHeight="true">
      <c r="A351" s="6294" t="s">
        <v>851</v>
      </c>
      <c r="B351" s="6295" t="s">
        <v>852</v>
      </c>
      <c r="C351" s="6296"/>
      <c r="D351" s="6297" t="s">
        <v>155</v>
      </c>
      <c r="E351" s="6298" t="s">
        <v>56</v>
      </c>
      <c r="F351" s="6299"/>
      <c r="G351" s="6300" t="s">
        <v>15</v>
      </c>
      <c r="H351" s="6301" t="n">
        <v>43229.1251662847</v>
      </c>
      <c r="I351" s="6302" t="n">
        <v>43229.1251662847</v>
      </c>
      <c r="J351" s="6303" t="n">
        <v>43167.7147624537</v>
      </c>
      <c r="K351" s="6304" t="n">
        <v>43167.7147624537</v>
      </c>
      <c r="L351" s="6305" t="s">
        <v>16</v>
      </c>
      <c r="M351" s="6306"/>
      <c r="N351" s="6307"/>
      <c r="O351" s="6308"/>
      <c r="P351" s="6309" t="s">
        <v>17</v>
      </c>
      <c r="Q351" s="6310">
        <f>TODAY()-j351</f>
      </c>
      <c r="R351" s="6311">
        <f>VLOOKUP(A351,'Last Week'!A4:I395,7,FALSE)</f>
      </c>
    </row>
    <row r="352" ht="35.05" customHeight="true">
      <c r="A352" s="6312" t="s">
        <v>853</v>
      </c>
      <c r="B352" s="6313" t="s">
        <v>854</v>
      </c>
      <c r="C352" s="6314"/>
      <c r="D352" s="6315" t="s">
        <v>855</v>
      </c>
      <c r="E352" s="6316" t="s">
        <v>29</v>
      </c>
      <c r="F352" s="6317"/>
      <c r="G352" s="6318" t="s">
        <v>15</v>
      </c>
      <c r="H352" s="6319" t="n">
        <v>43175.0847371991</v>
      </c>
      <c r="I352" s="6320" t="n">
        <v>43175.0847371991</v>
      </c>
      <c r="J352" s="6321" t="n">
        <v>43167.8722730324</v>
      </c>
      <c r="K352" s="6322" t="n">
        <v>43167.8722730324</v>
      </c>
      <c r="L352" s="6323" t="s">
        <v>16</v>
      </c>
      <c r="M352" s="6324"/>
      <c r="N352" s="6325"/>
      <c r="O352" s="6326"/>
      <c r="P352" s="6327" t="s">
        <v>59</v>
      </c>
      <c r="Q352" s="6328">
        <f>TODAY()-j352</f>
      </c>
      <c r="R352" s="6329">
        <f>VLOOKUP(A352,'Last Week'!A4:I395,7,FALSE)</f>
      </c>
    </row>
    <row r="353" ht="23.85" customHeight="true">
      <c r="A353" s="6330" t="s">
        <v>856</v>
      </c>
      <c r="B353" s="6331" t="s">
        <v>857</v>
      </c>
      <c r="C353" s="6332"/>
      <c r="D353" s="6333" t="s">
        <v>858</v>
      </c>
      <c r="E353" s="6334" t="s">
        <v>29</v>
      </c>
      <c r="F353" s="6335"/>
      <c r="G353" s="6336" t="s">
        <v>15</v>
      </c>
      <c r="H353" s="6337" t="n">
        <v>43204.0852761343</v>
      </c>
      <c r="I353" s="6338" t="n">
        <v>43204.0852761343</v>
      </c>
      <c r="J353" s="6339" t="n">
        <v>43171.857279456</v>
      </c>
      <c r="K353" s="6340" t="n">
        <v>43171.857279456</v>
      </c>
      <c r="L353" s="6341" t="s">
        <v>16</v>
      </c>
      <c r="M353" s="6342"/>
      <c r="N353" s="6343"/>
      <c r="O353" s="6344"/>
      <c r="P353" s="6345" t="s">
        <v>17</v>
      </c>
      <c r="Q353" s="6346">
        <f>TODAY()-j353</f>
      </c>
      <c r="R353" s="6347">
        <f>VLOOKUP(A353,'Last Week'!A4:I395,7,FALSE)</f>
      </c>
    </row>
    <row r="354" ht="57.45" customHeight="true">
      <c r="A354" s="6348" t="s">
        <v>859</v>
      </c>
      <c r="B354" s="6349" t="s">
        <v>860</v>
      </c>
      <c r="C354" s="6350"/>
      <c r="D354" s="6351" t="s">
        <v>480</v>
      </c>
      <c r="E354" s="6352" t="s">
        <v>14</v>
      </c>
      <c r="F354" s="6353"/>
      <c r="G354" s="6354" t="s">
        <v>15</v>
      </c>
      <c r="H354" s="6355" t="n">
        <v>43203.7481255556</v>
      </c>
      <c r="I354" s="6356" t="n">
        <v>43203.7481255556</v>
      </c>
      <c r="J354" s="6357" t="n">
        <v>43174.4796704514</v>
      </c>
      <c r="K354" s="6358" t="n">
        <v>43174.4796704514</v>
      </c>
      <c r="L354" s="6359" t="s">
        <v>16</v>
      </c>
      <c r="M354" s="6360"/>
      <c r="N354" s="6361"/>
      <c r="O354" s="6362"/>
      <c r="P354" s="6363" t="s">
        <v>59</v>
      </c>
      <c r="Q354" s="6364">
        <f>TODAY()-j354</f>
      </c>
      <c r="R354" s="6365">
        <f>VLOOKUP(A354,'Last Week'!A4:I395,7,FALSE)</f>
      </c>
    </row>
    <row r="355" ht="23.85" customHeight="true">
      <c r="A355" s="6366" t="s">
        <v>861</v>
      </c>
      <c r="B355" s="6367" t="s">
        <v>862</v>
      </c>
      <c r="C355" s="6368"/>
      <c r="D355" s="6369" t="s">
        <v>863</v>
      </c>
      <c r="E355" s="6370" t="s">
        <v>278</v>
      </c>
      <c r="F355" s="6371"/>
      <c r="G355" s="6372" t="s">
        <v>15</v>
      </c>
      <c r="H355" s="6373" t="n">
        <v>43184.9171156944</v>
      </c>
      <c r="I355" s="6374" t="n">
        <v>43184.9171156944</v>
      </c>
      <c r="J355" s="6375" t="n">
        <v>43178.4012788426</v>
      </c>
      <c r="K355" s="6376" t="n">
        <v>43178.4012788426</v>
      </c>
      <c r="L355" s="6377" t="s">
        <v>16</v>
      </c>
      <c r="M355" s="6378"/>
      <c r="N355" s="6379"/>
      <c r="O355" s="6380"/>
      <c r="P355" s="6381" t="s">
        <v>17</v>
      </c>
      <c r="Q355" s="6382">
        <f>TODAY()-j355</f>
      </c>
      <c r="R355" s="6383">
        <f>VLOOKUP(A355,'Last Week'!A4:I395,7,FALSE)</f>
      </c>
    </row>
    <row r="356" ht="23.85" customHeight="true">
      <c r="A356" s="6384" t="s">
        <v>864</v>
      </c>
      <c r="B356" s="6385" t="s">
        <v>865</v>
      </c>
      <c r="C356" s="6386"/>
      <c r="D356" s="6387" t="s">
        <v>155</v>
      </c>
      <c r="E356" s="6388" t="s">
        <v>56</v>
      </c>
      <c r="F356" s="6389"/>
      <c r="G356" s="6390" t="s">
        <v>15</v>
      </c>
      <c r="H356" s="6391" t="n">
        <v>43204.0852786343</v>
      </c>
      <c r="I356" s="6392" t="n">
        <v>43204.0852786343</v>
      </c>
      <c r="J356" s="6393" t="n">
        <v>43178.549112662</v>
      </c>
      <c r="K356" s="6394" t="n">
        <v>43178.549112662</v>
      </c>
      <c r="L356" s="6395" t="s">
        <v>16</v>
      </c>
      <c r="M356" s="6396"/>
      <c r="N356" s="6397"/>
      <c r="O356" s="6398"/>
      <c r="P356" s="6399" t="s">
        <v>17</v>
      </c>
      <c r="Q356" s="6400">
        <f>TODAY()-j356</f>
      </c>
      <c r="R356" s="6401">
        <f>VLOOKUP(A356,'Last Week'!A4:I395,7,FALSE)</f>
      </c>
    </row>
    <row r="357" ht="23.85" customHeight="true">
      <c r="A357" s="6402" t="s">
        <v>866</v>
      </c>
      <c r="B357" s="6403" t="s">
        <v>867</v>
      </c>
      <c r="C357" s="6404"/>
      <c r="D357" s="6405" t="s">
        <v>557</v>
      </c>
      <c r="E357" s="6406" t="s">
        <v>184</v>
      </c>
      <c r="F357" s="6407"/>
      <c r="G357" s="6408" t="s">
        <v>15</v>
      </c>
      <c r="H357" s="6409" t="n">
        <v>43209.0855940046</v>
      </c>
      <c r="I357" s="6410" t="n">
        <v>43209.0855940046</v>
      </c>
      <c r="J357" s="6411" t="n">
        <v>43179.3983123032</v>
      </c>
      <c r="K357" s="6412" t="n">
        <v>43179.3983123032</v>
      </c>
      <c r="L357" s="6413" t="s">
        <v>16</v>
      </c>
      <c r="M357" s="6414"/>
      <c r="N357" s="6415"/>
      <c r="O357" s="6416"/>
      <c r="P357" s="6417" t="s">
        <v>59</v>
      </c>
      <c r="Q357" s="6418">
        <f>TODAY()-j357</f>
      </c>
      <c r="R357" s="6419">
        <f>VLOOKUP(A357,'Last Week'!A4:I395,7,FALSE)</f>
      </c>
    </row>
    <row r="358" ht="35.05" customHeight="true">
      <c r="A358" s="6420" t="s">
        <v>868</v>
      </c>
      <c r="B358" s="6421" t="s">
        <v>869</v>
      </c>
      <c r="C358" s="6422"/>
      <c r="D358" s="6423" t="s">
        <v>870</v>
      </c>
      <c r="E358" s="6424" t="s">
        <v>29</v>
      </c>
      <c r="F358" s="6425"/>
      <c r="G358" s="6426" t="s">
        <v>15</v>
      </c>
      <c r="H358" s="6427" t="n">
        <v>43196.0839101968</v>
      </c>
      <c r="I358" s="6428" t="n">
        <v>43196.0839101968</v>
      </c>
      <c r="J358" s="6429" t="n">
        <v>43180.8518047222</v>
      </c>
      <c r="K358" s="6430" t="n">
        <v>43180.8518047222</v>
      </c>
      <c r="L358" s="6431" t="s">
        <v>16</v>
      </c>
      <c r="M358" s="6432"/>
      <c r="N358" s="6433"/>
      <c r="O358" s="6434"/>
      <c r="P358" s="6435" t="s">
        <v>59</v>
      </c>
      <c r="Q358" s="6436">
        <f>TODAY()-j358</f>
      </c>
      <c r="R358" s="6437">
        <f>VLOOKUP(A358,'Last Week'!A4:I395,7,FALSE)</f>
      </c>
    </row>
    <row r="359" ht="23.85" customHeight="true">
      <c r="A359" s="6438" t="s">
        <v>871</v>
      </c>
      <c r="B359" s="6439" t="s">
        <v>872</v>
      </c>
      <c r="C359" s="6440"/>
      <c r="D359" s="6441" t="s">
        <v>155</v>
      </c>
      <c r="E359" s="6442" t="s">
        <v>73</v>
      </c>
      <c r="F359" s="6443"/>
      <c r="G359" s="6444" t="s">
        <v>15</v>
      </c>
      <c r="H359" s="6445" t="n">
        <v>43204.085279919</v>
      </c>
      <c r="I359" s="6446" t="n">
        <v>43204.085279919</v>
      </c>
      <c r="J359" s="6447" t="n">
        <v>43182.4084233449</v>
      </c>
      <c r="K359" s="6448" t="n">
        <v>43182.4084233449</v>
      </c>
      <c r="L359" s="6449" t="s">
        <v>16</v>
      </c>
      <c r="M359" s="6450"/>
      <c r="N359" s="6451"/>
      <c r="O359" s="6452"/>
      <c r="P359" s="6453" t="s">
        <v>17</v>
      </c>
      <c r="Q359" s="6454">
        <f>TODAY()-j359</f>
      </c>
      <c r="R359" s="6455">
        <f>VLOOKUP(A359,'Last Week'!A4:I395,7,FALSE)</f>
      </c>
    </row>
    <row r="360" ht="23.85" customHeight="true">
      <c r="A360" s="6456" t="s">
        <v>873</v>
      </c>
      <c r="B360" s="6457" t="s">
        <v>874</v>
      </c>
      <c r="C360" s="6458"/>
      <c r="D360" s="6459" t="s">
        <v>557</v>
      </c>
      <c r="E360" s="6460" t="s">
        <v>56</v>
      </c>
      <c r="F360" s="6461"/>
      <c r="G360" s="6462" t="s">
        <v>15</v>
      </c>
      <c r="H360" s="6463" t="n">
        <v>43187.0848114931</v>
      </c>
      <c r="I360" s="6464" t="n">
        <v>43187.0848114931</v>
      </c>
      <c r="J360" s="6465" t="n">
        <v>43182.692208206</v>
      </c>
      <c r="K360" s="6466" t="n">
        <v>43182.692208206</v>
      </c>
      <c r="L360" s="6467" t="s">
        <v>16</v>
      </c>
      <c r="M360" s="6468"/>
      <c r="N360" s="6469"/>
      <c r="O360" s="6470"/>
      <c r="P360" s="6471" t="s">
        <v>17</v>
      </c>
      <c r="Q360" s="6472">
        <f>TODAY()-j360</f>
      </c>
      <c r="R360" s="6473">
        <f>VLOOKUP(A360,'Last Week'!A4:I395,7,FALSE)</f>
      </c>
    </row>
    <row r="361" ht="23.85" customHeight="true">
      <c r="A361" s="6474" t="s">
        <v>875</v>
      </c>
      <c r="B361" s="6475" t="s">
        <v>874</v>
      </c>
      <c r="C361" s="6476"/>
      <c r="D361" s="6477" t="s">
        <v>557</v>
      </c>
      <c r="E361" s="6478" t="s">
        <v>56</v>
      </c>
      <c r="F361" s="6479"/>
      <c r="G361" s="6480" t="s">
        <v>15</v>
      </c>
      <c r="H361" s="6481" t="n">
        <v>43187.0848131018</v>
      </c>
      <c r="I361" s="6482" t="n">
        <v>43187.0848131018</v>
      </c>
      <c r="J361" s="6483" t="n">
        <v>43182.6939126505</v>
      </c>
      <c r="K361" s="6484" t="n">
        <v>43182.6939126505</v>
      </c>
      <c r="L361" s="6485" t="s">
        <v>16</v>
      </c>
      <c r="M361" s="6486"/>
      <c r="N361" s="6487"/>
      <c r="O361" s="6488"/>
      <c r="P361" s="6489" t="s">
        <v>17</v>
      </c>
      <c r="Q361" s="6490">
        <f>TODAY()-j361</f>
      </c>
      <c r="R361" s="6491">
        <f>VLOOKUP(A361,'Last Week'!A4:I395,7,FALSE)</f>
      </c>
    </row>
    <row r="362" ht="23.85" customHeight="true">
      <c r="A362" s="6492" t="s">
        <v>876</v>
      </c>
      <c r="B362" s="6493" t="s">
        <v>874</v>
      </c>
      <c r="C362" s="6494"/>
      <c r="D362" s="6495" t="s">
        <v>557</v>
      </c>
      <c r="E362" s="6496" t="s">
        <v>56</v>
      </c>
      <c r="F362" s="6497"/>
      <c r="G362" s="6498" t="s">
        <v>15</v>
      </c>
      <c r="H362" s="6499" t="n">
        <v>43187.0848147454</v>
      </c>
      <c r="I362" s="6500" t="n">
        <v>43187.0848147454</v>
      </c>
      <c r="J362" s="6501" t="n">
        <v>43182.6948825116</v>
      </c>
      <c r="K362" s="6502" t="n">
        <v>43182.6948825116</v>
      </c>
      <c r="L362" s="6503" t="s">
        <v>16</v>
      </c>
      <c r="M362" s="6504"/>
      <c r="N362" s="6505"/>
      <c r="O362" s="6506"/>
      <c r="P362" s="6507" t="s">
        <v>17</v>
      </c>
      <c r="Q362" s="6508">
        <f>TODAY()-j362</f>
      </c>
      <c r="R362" s="6509">
        <f>VLOOKUP(A362,'Last Week'!A4:I395,7,FALSE)</f>
      </c>
    </row>
    <row r="363" ht="23.85" customHeight="true">
      <c r="A363" s="6510" t="s">
        <v>877</v>
      </c>
      <c r="B363" s="6511" t="s">
        <v>313</v>
      </c>
      <c r="C363" s="6512"/>
      <c r="D363" s="6513" t="s">
        <v>55</v>
      </c>
      <c r="E363" s="6514" t="s">
        <v>73</v>
      </c>
      <c r="F363" s="6515"/>
      <c r="G363" s="6516" t="s">
        <v>15</v>
      </c>
      <c r="H363" s="6517" t="n">
        <v>43209.6257223032</v>
      </c>
      <c r="I363" s="6518" t="n">
        <v>43209.6257223032</v>
      </c>
      <c r="J363" s="6519" t="n">
        <v>43193.4634357986</v>
      </c>
      <c r="K363" s="6520" t="n">
        <v>43193.4634357986</v>
      </c>
      <c r="L363" s="6521" t="s">
        <v>16</v>
      </c>
      <c r="M363" s="6522"/>
      <c r="N363" s="6523"/>
      <c r="O363" s="6524"/>
      <c r="P363" s="6525" t="s">
        <v>59</v>
      </c>
      <c r="Q363" s="6526">
        <f>TODAY()-j363</f>
      </c>
      <c r="R363" s="6527">
        <f>VLOOKUP(A363,'Last Week'!A4:I395,7,FALSE)</f>
      </c>
    </row>
    <row r="364" ht="23.85" customHeight="true">
      <c r="A364" s="6528" t="s">
        <v>878</v>
      </c>
      <c r="B364" s="6529" t="s">
        <v>879</v>
      </c>
      <c r="C364" s="6530"/>
      <c r="D364" s="6531" t="s">
        <v>729</v>
      </c>
      <c r="E364" s="6532" t="s">
        <v>729</v>
      </c>
      <c r="F364" s="6533"/>
      <c r="G364" s="6534" t="s">
        <v>15</v>
      </c>
      <c r="H364" s="6535" t="n">
        <v>43195.6853512847</v>
      </c>
      <c r="I364" s="6536" t="n">
        <v>43195.6853512847</v>
      </c>
      <c r="J364" s="6537" t="n">
        <v>43193.5007320486</v>
      </c>
      <c r="K364" s="6538" t="n">
        <v>43193.5007320486</v>
      </c>
      <c r="L364" s="6539" t="s">
        <v>16</v>
      </c>
      <c r="M364" s="6540"/>
      <c r="N364" s="6541"/>
      <c r="O364" s="6542"/>
      <c r="P364" s="6543" t="s">
        <v>59</v>
      </c>
      <c r="Q364" s="6544">
        <f>TODAY()-j364</f>
      </c>
      <c r="R364" s="6545">
        <f>VLOOKUP(A364,'Last Week'!A4:I395,7,FALSE)</f>
      </c>
    </row>
    <row r="365" ht="46.25" customHeight="true">
      <c r="A365" s="6546" t="s">
        <v>880</v>
      </c>
      <c r="B365" s="6547" t="s">
        <v>881</v>
      </c>
      <c r="C365" s="6548"/>
      <c r="D365" s="6549" t="s">
        <v>184</v>
      </c>
      <c r="E365" s="6550" t="s">
        <v>184</v>
      </c>
      <c r="F365" s="6551"/>
      <c r="G365" s="6552" t="s">
        <v>15</v>
      </c>
      <c r="H365" s="6553" t="n">
        <v>43196.0841189583</v>
      </c>
      <c r="I365" s="6554" t="n">
        <v>43196.0841189583</v>
      </c>
      <c r="J365" s="6555" t="n">
        <v>43193.547248125</v>
      </c>
      <c r="K365" s="6556" t="n">
        <v>43193.547248125</v>
      </c>
      <c r="L365" s="6557" t="s">
        <v>16</v>
      </c>
      <c r="M365" s="6558"/>
      <c r="N365" s="6559"/>
      <c r="O365" s="6560"/>
      <c r="P365" s="6561" t="s">
        <v>59</v>
      </c>
      <c r="Q365" s="6562">
        <f>TODAY()-j365</f>
      </c>
      <c r="R365" s="6563">
        <f>VLOOKUP(A365,'Last Week'!A4:I395,7,FALSE)</f>
      </c>
    </row>
    <row r="366" ht="23.85" customHeight="true">
      <c r="A366" s="6564" t="s">
        <v>882</v>
      </c>
      <c r="B366" s="6565" t="s">
        <v>883</v>
      </c>
      <c r="C366" s="6566"/>
      <c r="D366" s="6567" t="s">
        <v>855</v>
      </c>
      <c r="E366" s="6568" t="s">
        <v>29</v>
      </c>
      <c r="F366" s="6569"/>
      <c r="G366" s="6570" t="s">
        <v>15</v>
      </c>
      <c r="H366" s="6571" t="n">
        <v>43196.084207037</v>
      </c>
      <c r="I366" s="6572" t="n">
        <v>43196.084207037</v>
      </c>
      <c r="J366" s="6573" t="n">
        <v>43193.9428476389</v>
      </c>
      <c r="K366" s="6574" t="n">
        <v>43193.9428476389</v>
      </c>
      <c r="L366" s="6575" t="s">
        <v>16</v>
      </c>
      <c r="M366" s="6576"/>
      <c r="N366" s="6577"/>
      <c r="O366" s="6578"/>
      <c r="P366" s="6579" t="s">
        <v>59</v>
      </c>
      <c r="Q366" s="6580">
        <f>TODAY()-j366</f>
      </c>
      <c r="R366" s="6581">
        <f>VLOOKUP(A366,'Last Week'!A4:I395,7,FALSE)</f>
      </c>
    </row>
    <row r="367" ht="35.05" customHeight="true">
      <c r="A367" s="6582" t="s">
        <v>884</v>
      </c>
      <c r="B367" s="6583" t="s">
        <v>885</v>
      </c>
      <c r="C367" s="6584"/>
      <c r="D367" s="6585" t="s">
        <v>495</v>
      </c>
      <c r="E367" s="6586" t="s">
        <v>495</v>
      </c>
      <c r="F367" s="6587"/>
      <c r="G367" s="6588" t="s">
        <v>15</v>
      </c>
      <c r="H367" s="6589" t="n">
        <v>43202.0855064583</v>
      </c>
      <c r="I367" s="6590" t="n">
        <v>43202.0855064583</v>
      </c>
      <c r="J367" s="6591" t="n">
        <v>43196.7927089236</v>
      </c>
      <c r="K367" s="6592" t="n">
        <v>43196.7927089236</v>
      </c>
      <c r="L367" s="6593" t="s">
        <v>16</v>
      </c>
      <c r="M367" s="6594"/>
      <c r="N367" s="6595"/>
      <c r="O367" s="6596"/>
      <c r="P367" s="6597" t="s">
        <v>59</v>
      </c>
      <c r="Q367" s="6598">
        <f>TODAY()-j367</f>
      </c>
      <c r="R367" s="6599">
        <f>VLOOKUP(A367,'Last Week'!A4:I395,7,FALSE)</f>
      </c>
    </row>
    <row r="368" ht="23.85" customHeight="true">
      <c r="A368" s="6600" t="s">
        <v>886</v>
      </c>
      <c r="B368" s="6601" t="s">
        <v>887</v>
      </c>
      <c r="C368" s="6602"/>
      <c r="D368" s="6603" t="s">
        <v>141</v>
      </c>
      <c r="E368" s="6604" t="s">
        <v>56</v>
      </c>
      <c r="F368" s="6605"/>
      <c r="G368" s="6606" t="s">
        <v>15</v>
      </c>
      <c r="H368" s="6607" t="n">
        <v>43209.0848317824</v>
      </c>
      <c r="I368" s="6608" t="n">
        <v>43209.0848317824</v>
      </c>
      <c r="J368" s="6609" t="n">
        <v>43201.5538836574</v>
      </c>
      <c r="K368" s="6610" t="n">
        <v>43201.5538836574</v>
      </c>
      <c r="L368" s="6611" t="s">
        <v>16</v>
      </c>
      <c r="M368" s="6612"/>
      <c r="N368" s="6613"/>
      <c r="O368" s="6614"/>
      <c r="P368" s="6615" t="s">
        <v>59</v>
      </c>
      <c r="Q368" s="6616">
        <f>TODAY()-j368</f>
      </c>
      <c r="R368" s="6617">
        <f>VLOOKUP(A368,'Last Week'!A4:I395,7,FALSE)</f>
      </c>
    </row>
    <row r="369" ht="23.85" customHeight="true">
      <c r="A369" s="6618" t="s">
        <v>888</v>
      </c>
      <c r="B369" s="6619" t="s">
        <v>889</v>
      </c>
      <c r="C369" s="6620"/>
      <c r="D369" s="6621" t="s">
        <v>376</v>
      </c>
      <c r="E369" s="6622" t="s">
        <v>209</v>
      </c>
      <c r="F369" s="6623"/>
      <c r="G369" s="6624" t="s">
        <v>15</v>
      </c>
      <c r="H369" s="6625" t="n">
        <v>43253.0834893287</v>
      </c>
      <c r="I369" s="6626" t="n">
        <v>43253.0834893287</v>
      </c>
      <c r="J369" s="6627" t="n">
        <v>43203.4985190856</v>
      </c>
      <c r="K369" s="6628" t="n">
        <v>43203.4985190856</v>
      </c>
      <c r="L369" s="6629" t="s">
        <v>16</v>
      </c>
      <c r="M369" s="6630"/>
      <c r="N369" s="6631"/>
      <c r="O369" s="6632"/>
      <c r="P369" s="6633" t="s">
        <v>17</v>
      </c>
      <c r="Q369" s="6634">
        <f>TODAY()-j369</f>
      </c>
      <c r="R369" s="6635">
        <f>VLOOKUP(A369,'Last Week'!A4:I395,7,FALSE)</f>
      </c>
    </row>
    <row r="370" ht="23.85" customHeight="true">
      <c r="A370" s="6636" t="s">
        <v>890</v>
      </c>
      <c r="B370" s="6637" t="s">
        <v>891</v>
      </c>
      <c r="C370" s="6638"/>
      <c r="D370" s="6639" t="s">
        <v>892</v>
      </c>
      <c r="E370" s="6640" t="s">
        <v>73</v>
      </c>
      <c r="F370" s="6641"/>
      <c r="G370" s="6642" t="s">
        <v>15</v>
      </c>
      <c r="H370" s="6643" t="n">
        <v>43255.0834878704</v>
      </c>
      <c r="I370" s="6644" t="n">
        <v>43255.0834878704</v>
      </c>
      <c r="J370" s="6645" t="n">
        <v>43207.7337729282</v>
      </c>
      <c r="K370" s="6646" t="n">
        <v>43207.7337729282</v>
      </c>
      <c r="L370" s="6647" t="s">
        <v>16</v>
      </c>
      <c r="M370" s="6648"/>
      <c r="N370" s="6649"/>
      <c r="O370" s="6650"/>
      <c r="P370" s="6651" t="s">
        <v>17</v>
      </c>
      <c r="Q370" s="6652">
        <f>TODAY()-j370</f>
      </c>
      <c r="R370" s="6653">
        <f>VLOOKUP(A370,'Last Week'!A4:I395,7,FALSE)</f>
      </c>
    </row>
    <row r="371" ht="23.85" customHeight="true">
      <c r="A371" s="6654" t="s">
        <v>893</v>
      </c>
      <c r="B371" s="6655" t="s">
        <v>894</v>
      </c>
      <c r="C371" s="6656"/>
      <c r="D371" s="6657" t="s">
        <v>895</v>
      </c>
      <c r="E371" s="6658" t="s">
        <v>116</v>
      </c>
      <c r="F371" s="6659"/>
      <c r="G371" s="6660" t="s">
        <v>15</v>
      </c>
      <c r="H371" s="6661" t="n">
        <v>43233.1252470023</v>
      </c>
      <c r="I371" s="6662" t="n">
        <v>43233.1252470023</v>
      </c>
      <c r="J371" s="6663" t="n">
        <v>43208.613928125</v>
      </c>
      <c r="K371" s="6664" t="n">
        <v>43208.613928125</v>
      </c>
      <c r="L371" s="6665" t="s">
        <v>16</v>
      </c>
      <c r="M371" s="6666"/>
      <c r="N371" s="6667"/>
      <c r="O371" s="6668"/>
      <c r="P371" s="6669" t="s">
        <v>17</v>
      </c>
      <c r="Q371" s="6670">
        <f>TODAY()-j371</f>
      </c>
      <c r="R371" s="6671">
        <f>VLOOKUP(A371,'Last Week'!A4:I395,7,FALSE)</f>
      </c>
    </row>
    <row r="372" ht="46.25" customHeight="true">
      <c r="A372" s="6672" t="s">
        <v>896</v>
      </c>
      <c r="B372" s="6673" t="s">
        <v>897</v>
      </c>
      <c r="C372" s="6674"/>
      <c r="D372" s="6675" t="s">
        <v>155</v>
      </c>
      <c r="E372" s="6676" t="s">
        <v>73</v>
      </c>
      <c r="F372" s="6677"/>
      <c r="G372" s="6678" t="s">
        <v>15</v>
      </c>
      <c r="H372" s="6679" t="n">
        <v>43216.084111713</v>
      </c>
      <c r="I372" s="6680" t="n">
        <v>43216.084111713</v>
      </c>
      <c r="J372" s="6681" t="n">
        <v>43208.6656679861</v>
      </c>
      <c r="K372" s="6682" t="n">
        <v>43208.6656679861</v>
      </c>
      <c r="L372" s="6683" t="s">
        <v>16</v>
      </c>
      <c r="M372" s="6684"/>
      <c r="N372" s="6685"/>
      <c r="O372" s="6686"/>
      <c r="P372" s="6687" t="s">
        <v>47</v>
      </c>
      <c r="Q372" s="6688">
        <f>TODAY()-j372</f>
      </c>
      <c r="R372" s="6689">
        <f>VLOOKUP(A372,'Last Week'!A4:I395,7,FALSE)</f>
      </c>
    </row>
    <row r="373" ht="35.05" customHeight="true">
      <c r="A373" s="6690" t="s">
        <v>898</v>
      </c>
      <c r="B373" s="6691" t="s">
        <v>899</v>
      </c>
      <c r="C373" s="6692"/>
      <c r="D373" s="6693" t="s">
        <v>241</v>
      </c>
      <c r="E373" s="6694" t="s">
        <v>29</v>
      </c>
      <c r="F373" s="6695"/>
      <c r="G373" s="6696" t="s">
        <v>15</v>
      </c>
      <c r="H373" s="6697" t="n">
        <v>43217.0838972569</v>
      </c>
      <c r="I373" s="6698" t="n">
        <v>43217.0838972569</v>
      </c>
      <c r="J373" s="6699" t="n">
        <v>43208.7689821065</v>
      </c>
      <c r="K373" s="6700" t="n">
        <v>43208.7689821065</v>
      </c>
      <c r="L373" s="6701" t="s">
        <v>16</v>
      </c>
      <c r="M373" s="6702"/>
      <c r="N373" s="6703"/>
      <c r="O373" s="6704"/>
      <c r="P373" s="6705" t="s">
        <v>59</v>
      </c>
      <c r="Q373" s="6706">
        <f>TODAY()-j373</f>
      </c>
      <c r="R373" s="6707">
        <f>VLOOKUP(A373,'Last Week'!A4:I395,7,FALSE)</f>
      </c>
    </row>
    <row r="374" ht="23.85" customHeight="true">
      <c r="A374" s="6708" t="s">
        <v>900</v>
      </c>
      <c r="B374" s="6709" t="s">
        <v>901</v>
      </c>
      <c r="C374" s="6710"/>
      <c r="D374" s="6711" t="s">
        <v>557</v>
      </c>
      <c r="E374" s="6712" t="s">
        <v>29</v>
      </c>
      <c r="F374" s="6713"/>
      <c r="G374" s="6714" t="s">
        <v>15</v>
      </c>
      <c r="H374" s="6715" t="n">
        <v>43216.0847094097</v>
      </c>
      <c r="I374" s="6716" t="n">
        <v>43216.0847094097</v>
      </c>
      <c r="J374" s="6717" t="n">
        <v>43213.7007715162</v>
      </c>
      <c r="K374" s="6718" t="n">
        <v>43213.7007715162</v>
      </c>
      <c r="L374" s="6719" t="s">
        <v>16</v>
      </c>
      <c r="M374" s="6720"/>
      <c r="N374" s="6721"/>
      <c r="O374" s="6722"/>
      <c r="P374" s="6723" t="s">
        <v>59</v>
      </c>
      <c r="Q374" s="6724">
        <f>TODAY()-j374</f>
      </c>
      <c r="R374" s="6725">
        <f>VLOOKUP(A374,'Last Week'!A4:I395,7,FALSE)</f>
      </c>
    </row>
    <row r="375" ht="23.85" customHeight="true">
      <c r="A375" s="6726" t="s">
        <v>902</v>
      </c>
      <c r="B375" s="6727" t="s">
        <v>903</v>
      </c>
      <c r="C375" s="6728"/>
      <c r="D375" s="6729" t="s">
        <v>557</v>
      </c>
      <c r="E375" s="6730" t="s">
        <v>29</v>
      </c>
      <c r="F375" s="6731"/>
      <c r="G375" s="6732" t="s">
        <v>15</v>
      </c>
      <c r="H375" s="6733" t="n">
        <v>43216.0847238426</v>
      </c>
      <c r="I375" s="6734" t="n">
        <v>43216.0847238426</v>
      </c>
      <c r="J375" s="6735" t="n">
        <v>43213.702758912</v>
      </c>
      <c r="K375" s="6736" t="n">
        <v>43213.702758912</v>
      </c>
      <c r="L375" s="6737" t="s">
        <v>16</v>
      </c>
      <c r="M375" s="6738"/>
      <c r="N375" s="6739"/>
      <c r="O375" s="6740"/>
      <c r="P375" s="6741" t="s">
        <v>59</v>
      </c>
      <c r="Q375" s="6742">
        <f>TODAY()-j375</f>
      </c>
      <c r="R375" s="6743">
        <f>VLOOKUP(A375,'Last Week'!A4:I395,7,FALSE)</f>
      </c>
    </row>
    <row r="376" ht="23.85" customHeight="true">
      <c r="A376" s="6744" t="s">
        <v>904</v>
      </c>
      <c r="B376" s="6745" t="s">
        <v>905</v>
      </c>
      <c r="C376" s="6746"/>
      <c r="D376" s="6747" t="s">
        <v>906</v>
      </c>
      <c r="E376" s="6748" t="s">
        <v>907</v>
      </c>
      <c r="F376" s="6749"/>
      <c r="G376" s="6750" t="s">
        <v>15</v>
      </c>
      <c r="H376" s="6751" t="n">
        <v>43226.0001602199</v>
      </c>
      <c r="I376" s="6752" t="n">
        <v>43226.0001602199</v>
      </c>
      <c r="J376" s="6753" t="n">
        <v>43216.7173900579</v>
      </c>
      <c r="K376" s="6754" t="n">
        <v>43216.7173900579</v>
      </c>
      <c r="L376" s="6755" t="s">
        <v>16</v>
      </c>
      <c r="M376" s="6756"/>
      <c r="N376" s="6757"/>
      <c r="O376" s="6758"/>
      <c r="P376" s="6759" t="s">
        <v>59</v>
      </c>
      <c r="Q376" s="6760">
        <f>TODAY()-j376</f>
      </c>
      <c r="R376" s="6761">
        <f>VLOOKUP(A376,'Last Week'!A4:I395,7,FALSE)</f>
      </c>
    </row>
    <row r="377" ht="23.85" customHeight="true">
      <c r="A377" s="6762" t="s">
        <v>908</v>
      </c>
      <c r="B377" s="6763" t="s">
        <v>909</v>
      </c>
      <c r="C377" s="6764"/>
      <c r="D377" s="6765" t="s">
        <v>910</v>
      </c>
      <c r="E377" s="6766" t="s">
        <v>29</v>
      </c>
      <c r="F377" s="6767"/>
      <c r="G377" s="6768" t="s">
        <v>15</v>
      </c>
      <c r="H377" s="6769" t="n">
        <v>43229.2918411806</v>
      </c>
      <c r="I377" s="6770" t="n">
        <v>43229.2918411806</v>
      </c>
      <c r="J377" s="6771" t="n">
        <v>43217.6961291898</v>
      </c>
      <c r="K377" s="6772" t="n">
        <v>43217.6961291898</v>
      </c>
      <c r="L377" s="6773" t="s">
        <v>16</v>
      </c>
      <c r="M377" s="6774"/>
      <c r="N377" s="6775"/>
      <c r="O377" s="6776"/>
      <c r="P377" s="6777" t="s">
        <v>17</v>
      </c>
      <c r="Q377" s="6778">
        <f>TODAY()-j377</f>
      </c>
      <c r="R377" s="6779">
        <f>VLOOKUP(A377,'Last Week'!A4:I395,7,FALSE)</f>
      </c>
    </row>
    <row r="378" ht="23.85" customHeight="true">
      <c r="A378" s="6780" t="s">
        <v>911</v>
      </c>
      <c r="B378" s="6781" t="s">
        <v>58</v>
      </c>
      <c r="C378" s="6782"/>
      <c r="D378" s="6783" t="s">
        <v>55</v>
      </c>
      <c r="E378" s="6784" t="s">
        <v>73</v>
      </c>
      <c r="F378" s="6785"/>
      <c r="G378" s="6786" t="s">
        <v>15</v>
      </c>
      <c r="H378" s="6787" t="n">
        <v>43226.0001684606</v>
      </c>
      <c r="I378" s="6788" t="n">
        <v>43226.0001684606</v>
      </c>
      <c r="J378" s="6789" t="n">
        <v>43223.4279161227</v>
      </c>
      <c r="K378" s="6790" t="n">
        <v>43223.4279161227</v>
      </c>
      <c r="L378" s="6791" t="s">
        <v>16</v>
      </c>
      <c r="M378" s="6792"/>
      <c r="N378" s="6793"/>
      <c r="O378" s="6794"/>
      <c r="P378" s="6795" t="s">
        <v>59</v>
      </c>
      <c r="Q378" s="6796">
        <f>TODAY()-j378</f>
      </c>
      <c r="R378" s="6797">
        <f>VLOOKUP(A378,'Last Week'!A4:I395,7,FALSE)</f>
      </c>
    </row>
    <row r="379" ht="23.85" customHeight="true">
      <c r="A379" s="6798" t="s">
        <v>912</v>
      </c>
      <c r="B379" s="6799" t="s">
        <v>913</v>
      </c>
      <c r="C379" s="6800"/>
      <c r="D379" s="6801" t="s">
        <v>914</v>
      </c>
      <c r="E379" s="6802" t="s">
        <v>116</v>
      </c>
      <c r="F379" s="6803"/>
      <c r="G379" s="6804" t="s">
        <v>15</v>
      </c>
      <c r="H379" s="6805" t="n">
        <v>43229.0849535185</v>
      </c>
      <c r="I379" s="6806" t="n">
        <v>43229.0849535185</v>
      </c>
      <c r="J379" s="6807" t="n">
        <v>43224.4206784607</v>
      </c>
      <c r="K379" s="6808" t="n">
        <v>43224.4206784607</v>
      </c>
      <c r="L379" s="6809" t="s">
        <v>16</v>
      </c>
      <c r="M379" s="6810"/>
      <c r="N379" s="6811"/>
      <c r="O379" s="6812"/>
      <c r="P379" s="6813" t="s">
        <v>59</v>
      </c>
      <c r="Q379" s="6814">
        <f>TODAY()-j379</f>
      </c>
      <c r="R379" s="6815">
        <f>VLOOKUP(A379,'Last Week'!A4:I395,7,FALSE)</f>
      </c>
    </row>
    <row r="380" ht="23.85" customHeight="true">
      <c r="A380" s="6816" t="s">
        <v>915</v>
      </c>
      <c r="B380" s="6817" t="s">
        <v>916</v>
      </c>
      <c r="C380" s="6818"/>
      <c r="D380" s="6819" t="s">
        <v>729</v>
      </c>
      <c r="E380" s="6820" t="s">
        <v>402</v>
      </c>
      <c r="F380" s="6821"/>
      <c r="G380" s="6822" t="s">
        <v>15</v>
      </c>
      <c r="H380" s="6823" t="n">
        <v>43229.1251768634</v>
      </c>
      <c r="I380" s="6824" t="n">
        <v>43229.1251768634</v>
      </c>
      <c r="J380" s="6825" t="n">
        <v>43224.5367589236</v>
      </c>
      <c r="K380" s="6826" t="n">
        <v>43224.5367589236</v>
      </c>
      <c r="L380" s="6827" t="s">
        <v>16</v>
      </c>
      <c r="M380" s="6828"/>
      <c r="N380" s="6829"/>
      <c r="O380" s="6830"/>
      <c r="P380" s="6831" t="s">
        <v>17</v>
      </c>
      <c r="Q380" s="6832">
        <f>TODAY()-j380</f>
      </c>
      <c r="R380" s="6833">
        <f>VLOOKUP(A380,'Last Week'!A4:I395,7,FALSE)</f>
      </c>
    </row>
    <row r="381" ht="23.85" customHeight="true">
      <c r="A381" s="6834" t="s">
        <v>917</v>
      </c>
      <c r="B381" s="6835" t="s">
        <v>918</v>
      </c>
      <c r="C381" s="6836"/>
      <c r="D381" s="6837" t="s">
        <v>919</v>
      </c>
      <c r="E381" s="6838" t="s">
        <v>29</v>
      </c>
      <c r="F381" s="6839"/>
      <c r="G381" s="6840" t="s">
        <v>15</v>
      </c>
      <c r="H381" s="6841" t="n">
        <v>43245.0841348032</v>
      </c>
      <c r="I381" s="6842" t="n">
        <v>43245.0841348032</v>
      </c>
      <c r="J381" s="6843" t="n">
        <v>43229.7558914468</v>
      </c>
      <c r="K381" s="6844" t="n">
        <v>43229.7558914468</v>
      </c>
      <c r="L381" s="6845" t="s">
        <v>16</v>
      </c>
      <c r="M381" s="6846"/>
      <c r="N381" s="6847"/>
      <c r="O381" s="6848"/>
      <c r="P381" s="6849" t="s">
        <v>17</v>
      </c>
      <c r="Q381" s="6850">
        <f>TODAY()-j381</f>
      </c>
      <c r="R381" s="6851">
        <f>VLOOKUP(A381,'Last Week'!A4:I395,7,FALSE)</f>
      </c>
    </row>
    <row r="382" ht="23.85" customHeight="true">
      <c r="A382" s="6852" t="s">
        <v>920</v>
      </c>
      <c r="B382" s="6853" t="s">
        <v>921</v>
      </c>
      <c r="C382" s="6854"/>
      <c r="D382" s="6855" t="s">
        <v>729</v>
      </c>
      <c r="E382" s="6856" t="s">
        <v>278</v>
      </c>
      <c r="F382" s="6857"/>
      <c r="G382" s="6858" t="s">
        <v>15</v>
      </c>
      <c r="H382" s="6859" t="n">
        <v>43232.0850143287</v>
      </c>
      <c r="I382" s="6860" t="n">
        <v>43232.0850143287</v>
      </c>
      <c r="J382" s="6861" t="n">
        <v>43230.4222045486</v>
      </c>
      <c r="K382" s="6862" t="n">
        <v>43230.4222045486</v>
      </c>
      <c r="L382" s="6863" t="s">
        <v>16</v>
      </c>
      <c r="M382" s="6864"/>
      <c r="N382" s="6865"/>
      <c r="O382" s="6866"/>
      <c r="P382" s="6867" t="s">
        <v>59</v>
      </c>
      <c r="Q382" s="6868">
        <f>TODAY()-j382</f>
      </c>
      <c r="R382" s="6869">
        <f>VLOOKUP(A382,'Last Week'!A4:I395,7,FALSE)</f>
      </c>
    </row>
    <row r="383" ht="23.85" customHeight="true">
      <c r="A383" s="6870" t="s">
        <v>922</v>
      </c>
      <c r="B383" s="6871" t="s">
        <v>923</v>
      </c>
      <c r="C383" s="6872"/>
      <c r="D383" s="6873" t="s">
        <v>924</v>
      </c>
      <c r="E383" s="6874" t="s">
        <v>73</v>
      </c>
      <c r="F383" s="6875"/>
      <c r="G383" s="6876" t="s">
        <v>15</v>
      </c>
      <c r="H383" s="6877" t="n">
        <v>43259.0836606829</v>
      </c>
      <c r="I383" s="6878" t="n">
        <v>43259.0836606829</v>
      </c>
      <c r="J383" s="6879" t="n">
        <v>43230.5192152315</v>
      </c>
      <c r="K383" s="6880" t="n">
        <v>43230.5192152315</v>
      </c>
      <c r="L383" s="6881" t="s">
        <v>16</v>
      </c>
      <c r="M383" s="6882"/>
      <c r="N383" s="6883"/>
      <c r="O383" s="6884"/>
      <c r="P383" s="6885" t="s">
        <v>17</v>
      </c>
      <c r="Q383" s="6886">
        <f>TODAY()-j383</f>
      </c>
      <c r="R383" s="6887">
        <f>VLOOKUP(A383,'Last Week'!A4:I395,7,FALSE)</f>
      </c>
    </row>
    <row r="384" ht="23.85" customHeight="true">
      <c r="A384" s="6888" t="s">
        <v>925</v>
      </c>
      <c r="B384" s="6889" t="s">
        <v>926</v>
      </c>
      <c r="C384" s="6890"/>
      <c r="D384" s="6891" t="s">
        <v>927</v>
      </c>
      <c r="E384" s="6892" t="s">
        <v>812</v>
      </c>
      <c r="F384" s="6893"/>
      <c r="G384" s="6894" t="s">
        <v>15</v>
      </c>
      <c r="H384" s="6895" t="n">
        <v>43240.9588778241</v>
      </c>
      <c r="I384" s="6896" t="n">
        <v>43240.9588778241</v>
      </c>
      <c r="J384" s="6897" t="n">
        <v>43230.5712833449</v>
      </c>
      <c r="K384" s="6898" t="n">
        <v>43230.5712833449</v>
      </c>
      <c r="L384" s="6899" t="s">
        <v>16</v>
      </c>
      <c r="M384" s="6900"/>
      <c r="N384" s="6901"/>
      <c r="O384" s="6902"/>
      <c r="P384" s="6903" t="s">
        <v>17</v>
      </c>
      <c r="Q384" s="6904">
        <f>TODAY()-j384</f>
      </c>
      <c r="R384" s="6905">
        <f>VLOOKUP(A384,'Last Week'!A4:I395,7,FALSE)</f>
      </c>
    </row>
    <row r="385" ht="23.85" customHeight="true">
      <c r="A385" s="6906" t="s">
        <v>928</v>
      </c>
      <c r="B385" s="6907" t="s">
        <v>929</v>
      </c>
      <c r="C385" s="6908"/>
      <c r="D385" s="6909" t="s">
        <v>155</v>
      </c>
      <c r="E385" s="6910" t="s">
        <v>73</v>
      </c>
      <c r="F385" s="6911"/>
      <c r="G385" s="6912" t="s">
        <v>15</v>
      </c>
      <c r="H385" s="6913" t="n">
        <v>43252.0835796875</v>
      </c>
      <c r="I385" s="6914" t="n">
        <v>43252.0835796875</v>
      </c>
      <c r="J385" s="6915" t="n">
        <v>43234.7171812731</v>
      </c>
      <c r="K385" s="6916" t="n">
        <v>43234.7171812731</v>
      </c>
      <c r="L385" s="6917" t="s">
        <v>16</v>
      </c>
      <c r="M385" s="6918"/>
      <c r="N385" s="6919"/>
      <c r="O385" s="6920"/>
      <c r="P385" s="6921" t="s">
        <v>17</v>
      </c>
      <c r="Q385" s="6922">
        <f>TODAY()-j385</f>
      </c>
      <c r="R385" s="6923">
        <f>VLOOKUP(A385,'Last Week'!A4:I395,7,FALSE)</f>
      </c>
    </row>
    <row r="386" ht="23.85" customHeight="true">
      <c r="A386" s="6924" t="s">
        <v>930</v>
      </c>
      <c r="B386" s="6925" t="s">
        <v>931</v>
      </c>
      <c r="C386" s="6926"/>
      <c r="D386" s="6927" t="s">
        <v>932</v>
      </c>
      <c r="E386" s="6928" t="s">
        <v>242</v>
      </c>
      <c r="F386" s="6929"/>
      <c r="G386" s="6930" t="s">
        <v>15</v>
      </c>
      <c r="H386" s="6931" t="n">
        <v>43253.083530162</v>
      </c>
      <c r="I386" s="6932" t="n">
        <v>43253.083530162</v>
      </c>
      <c r="J386" s="6933" t="n">
        <v>43235.7191699537</v>
      </c>
      <c r="K386" s="6934" t="n">
        <v>43235.7191699537</v>
      </c>
      <c r="L386" s="6935" t="s">
        <v>16</v>
      </c>
      <c r="M386" s="6936"/>
      <c r="N386" s="6937"/>
      <c r="O386" s="6938"/>
      <c r="P386" s="6939" t="s">
        <v>17</v>
      </c>
      <c r="Q386" s="6940">
        <f>TODAY()-j386</f>
      </c>
      <c r="R386" s="6941">
        <f>VLOOKUP(A386,'Last Week'!A4:I395,7,FALSE)</f>
      </c>
    </row>
    <row r="387" ht="35.05" customHeight="true">
      <c r="A387" s="6942" t="s">
        <v>933</v>
      </c>
      <c r="B387" s="6943" t="s">
        <v>934</v>
      </c>
      <c r="C387" s="6944"/>
      <c r="D387" s="6945" t="s">
        <v>935</v>
      </c>
      <c r="E387" s="6946" t="s">
        <v>402</v>
      </c>
      <c r="F387" s="6947"/>
      <c r="G387" s="6948" t="s">
        <v>15</v>
      </c>
      <c r="H387" s="6949" t="n">
        <v>43244.3750896991</v>
      </c>
      <c r="I387" s="6950" t="n">
        <v>43244.3750896991</v>
      </c>
      <c r="J387" s="6951" t="n">
        <v>43236.5355537384</v>
      </c>
      <c r="K387" s="6952" t="n">
        <v>43236.5355537384</v>
      </c>
      <c r="L387" s="6953" t="s">
        <v>16</v>
      </c>
      <c r="M387" s="6954"/>
      <c r="N387" s="6955"/>
      <c r="O387" s="6956"/>
      <c r="P387" s="6957" t="s">
        <v>17</v>
      </c>
      <c r="Q387" s="6958">
        <f>TODAY()-j387</f>
      </c>
      <c r="R387" s="6959">
        <f>VLOOKUP(A387,'Last Week'!A4:I395,7,FALSE)</f>
      </c>
    </row>
    <row r="388" ht="23.85" customHeight="true">
      <c r="A388" s="6960" t="s">
        <v>936</v>
      </c>
      <c r="B388" s="6961" t="s">
        <v>937</v>
      </c>
      <c r="C388" s="6962"/>
      <c r="D388" s="6963" t="s">
        <v>938</v>
      </c>
      <c r="E388" s="6964" t="s">
        <v>38</v>
      </c>
      <c r="F388" s="6965"/>
      <c r="G388" s="6966" t="s">
        <v>15</v>
      </c>
      <c r="H388" s="6967" t="n">
        <v>43240.8755502894</v>
      </c>
      <c r="I388" s="6968" t="n">
        <v>43240.8755502894</v>
      </c>
      <c r="J388" s="6969" t="n">
        <v>43236.6042149421</v>
      </c>
      <c r="K388" s="6970" t="n">
        <v>43236.6042149421</v>
      </c>
      <c r="L388" s="6971" t="s">
        <v>16</v>
      </c>
      <c r="M388" s="6972"/>
      <c r="N388" s="6973"/>
      <c r="O388" s="6974"/>
      <c r="P388" s="6975" t="s">
        <v>17</v>
      </c>
      <c r="Q388" s="6976">
        <f>TODAY()-j388</f>
      </c>
      <c r="R388" s="6977">
        <f>VLOOKUP(A388,'Last Week'!A4:I395,7,FALSE)</f>
      </c>
    </row>
    <row r="389" ht="35.05" customHeight="true">
      <c r="A389" s="6978" t="s">
        <v>939</v>
      </c>
      <c r="B389" s="6979" t="s">
        <v>940</v>
      </c>
      <c r="C389" s="6980"/>
      <c r="D389" s="6981" t="s">
        <v>93</v>
      </c>
      <c r="E389" s="6982" t="s">
        <v>29</v>
      </c>
      <c r="F389" s="6983"/>
      <c r="G389" s="6984" t="s">
        <v>15</v>
      </c>
      <c r="H389" s="6985" t="n">
        <v>43252.0836761458</v>
      </c>
      <c r="I389" s="6986" t="n">
        <v>43252.0836761458</v>
      </c>
      <c r="J389" s="6987" t="n">
        <v>43236.8312245718</v>
      </c>
      <c r="K389" s="6988" t="n">
        <v>43236.8312245718</v>
      </c>
      <c r="L389" s="6989" t="s">
        <v>16</v>
      </c>
      <c r="M389" s="6990"/>
      <c r="N389" s="6991"/>
      <c r="O389" s="6992"/>
      <c r="P389" s="6993" t="s">
        <v>17</v>
      </c>
      <c r="Q389" s="6994">
        <f>TODAY()-j389</f>
      </c>
      <c r="R389" s="6995">
        <f>VLOOKUP(A389,'Last Week'!A4:I395,7,FALSE)</f>
      </c>
    </row>
    <row r="390" ht="23.85" customHeight="true">
      <c r="A390" s="6996" t="s">
        <v>941</v>
      </c>
      <c r="B390" s="6997" t="s">
        <v>942</v>
      </c>
      <c r="C390" s="6998"/>
      <c r="D390" s="6999" t="s">
        <v>131</v>
      </c>
      <c r="E390" s="7000" t="s">
        <v>242</v>
      </c>
      <c r="F390" s="7001"/>
      <c r="G390" s="7002" t="s">
        <v>15</v>
      </c>
      <c r="H390" s="7003" t="n">
        <v>43251.0835027315</v>
      </c>
      <c r="I390" s="7004" t="n">
        <v>43251.0835027315</v>
      </c>
      <c r="J390" s="7005" t="n">
        <v>43237.412098831</v>
      </c>
      <c r="K390" s="7006" t="n">
        <v>43237.412098831</v>
      </c>
      <c r="L390" s="7007" t="s">
        <v>16</v>
      </c>
      <c r="M390" s="7008"/>
      <c r="N390" s="7009"/>
      <c r="O390" s="7010"/>
      <c r="P390" s="7011" t="s">
        <v>17</v>
      </c>
      <c r="Q390" s="7012">
        <f>TODAY()-j390</f>
      </c>
      <c r="R390" s="7013">
        <f>VLOOKUP(A390,'Last Week'!A4:I395,7,FALSE)</f>
      </c>
    </row>
    <row r="391" ht="23.85" customHeight="true">
      <c r="A391" s="7014" t="s">
        <v>943</v>
      </c>
      <c r="B391" s="7015" t="s">
        <v>944</v>
      </c>
      <c r="C391" s="7016"/>
      <c r="D391" s="7017" t="s">
        <v>557</v>
      </c>
      <c r="E391" s="7018" t="s">
        <v>56</v>
      </c>
      <c r="F391" s="7019"/>
      <c r="G391" s="7020" t="s">
        <v>15</v>
      </c>
      <c r="H391" s="7021" t="n">
        <v>43245.084348588</v>
      </c>
      <c r="I391" s="7022" t="n">
        <v>43245.084348588</v>
      </c>
      <c r="J391" s="7023" t="n">
        <v>43243.4192312731</v>
      </c>
      <c r="K391" s="7024" t="n">
        <v>43243.4192312731</v>
      </c>
      <c r="L391" s="7025" t="s">
        <v>16</v>
      </c>
      <c r="M391" s="7026"/>
      <c r="N391" s="7027"/>
      <c r="O391" s="7028"/>
      <c r="P391" s="7029" t="s">
        <v>17</v>
      </c>
      <c r="Q391" s="7030">
        <f>TODAY()-j391</f>
      </c>
      <c r="R391" s="7031">
        <f>VLOOKUP(A391,'Last Week'!A4:I395,7,FALSE)</f>
      </c>
    </row>
    <row r="392" ht="35.05" customHeight="true">
      <c r="A392" s="7032" t="s">
        <v>945</v>
      </c>
      <c r="B392" s="7033" t="s">
        <v>946</v>
      </c>
      <c r="C392" s="7034"/>
      <c r="D392" s="7035" t="s">
        <v>187</v>
      </c>
      <c r="E392" s="7036" t="s">
        <v>241</v>
      </c>
      <c r="F392" s="7037"/>
      <c r="G392" s="7038" t="s">
        <v>15</v>
      </c>
      <c r="H392" s="7039" t="n">
        <v>43257.0837602431</v>
      </c>
      <c r="I392" s="7040" t="n">
        <v>43257.0837602431</v>
      </c>
      <c r="J392" s="7041" t="n">
        <v>43243.6589849653</v>
      </c>
      <c r="K392" s="7042" t="n">
        <v>43243.6589849653</v>
      </c>
      <c r="L392" s="7043" t="s">
        <v>16</v>
      </c>
      <c r="M392" s="7044"/>
      <c r="N392" s="7045"/>
      <c r="O392" s="7046"/>
      <c r="P392" s="7047" t="s">
        <v>17</v>
      </c>
      <c r="Q392" s="7048">
        <f>TODAY()-j392</f>
      </c>
      <c r="R392" s="7049">
        <f>VLOOKUP(A392,'Last Week'!A4:I395,7,FALSE)</f>
      </c>
    </row>
    <row r="393" ht="23.85" customHeight="true">
      <c r="A393" s="7050" t="s">
        <v>947</v>
      </c>
      <c r="B393" s="7051" t="s">
        <v>948</v>
      </c>
      <c r="C393" s="7052"/>
      <c r="D393" s="7053" t="s">
        <v>557</v>
      </c>
      <c r="E393" s="7054" t="s">
        <v>46</v>
      </c>
      <c r="F393" s="7055"/>
      <c r="G393" s="7056" t="s">
        <v>15</v>
      </c>
      <c r="H393" s="7057" t="n">
        <v>43259.0837097801</v>
      </c>
      <c r="I393" s="7058" t="n">
        <v>43259.0837097801</v>
      </c>
      <c r="J393" s="7059" t="n">
        <v>43250.4502130093</v>
      </c>
      <c r="K393" s="7060" t="n">
        <v>43250.4502130093</v>
      </c>
      <c r="L393" s="7061" t="s">
        <v>16</v>
      </c>
      <c r="M393" s="7062"/>
      <c r="N393" s="7063"/>
      <c r="O393" s="7064"/>
      <c r="P393" s="7065" t="s">
        <v>17</v>
      </c>
      <c r="Q393" s="7066">
        <f>TODAY()-j393</f>
      </c>
      <c r="R393" s="7067">
        <f>VLOOKUP(A393,'Last Week'!A4:I395,7,FALSE)</f>
      </c>
    </row>
    <row r="394" ht="23.85" customHeight="true">
      <c r="A394" s="7068" t="s">
        <v>949</v>
      </c>
      <c r="B394" s="7069" t="s">
        <v>950</v>
      </c>
      <c r="C394" s="7070"/>
      <c r="D394" s="7071" t="s">
        <v>951</v>
      </c>
      <c r="E394" s="7072" t="s">
        <v>242</v>
      </c>
      <c r="F394" s="7073"/>
      <c r="G394" s="7074" t="s">
        <v>15</v>
      </c>
      <c r="H394" s="7075" t="n">
        <v>43254.6251647917</v>
      </c>
      <c r="I394" s="7076" t="n">
        <v>43254.6251647917</v>
      </c>
      <c r="J394" s="7077" t="n">
        <v>43251.6073176389</v>
      </c>
      <c r="K394" s="7078" t="n">
        <v>43251.6073176389</v>
      </c>
      <c r="L394" s="7079" t="s">
        <v>16</v>
      </c>
      <c r="M394" s="7080"/>
      <c r="N394" s="7081"/>
      <c r="O394" s="7082"/>
      <c r="P394" s="7083" t="s">
        <v>17</v>
      </c>
      <c r="Q394" s="7084">
        <f>TODAY()-j394</f>
      </c>
      <c r="R394" s="7085">
        <f>VLOOKUP(A394,'Last Week'!A4:I395,7,FALSE)</f>
      </c>
    </row>
    <row r="395" ht="23.85" customHeight="true">
      <c r="A395" s="7086" t="s">
        <v>952</v>
      </c>
      <c r="B395" s="7087" t="s">
        <v>953</v>
      </c>
      <c r="C395" s="7088"/>
      <c r="D395" s="7089" t="s">
        <v>55</v>
      </c>
      <c r="E395" s="7090" t="s">
        <v>73</v>
      </c>
      <c r="F395" s="7091"/>
      <c r="G395" s="7092" t="s">
        <v>15</v>
      </c>
      <c r="H395" s="7093" t="n">
        <v>43264.1670036458</v>
      </c>
      <c r="I395" s="7094" t="n">
        <v>43264.1670036458</v>
      </c>
      <c r="J395" s="7095" t="n">
        <v>43255.4737618056</v>
      </c>
      <c r="K395" s="7096" t="n">
        <v>43255.4737618056</v>
      </c>
      <c r="L395" s="7097" t="s">
        <v>16</v>
      </c>
      <c r="M395" s="7098"/>
      <c r="N395" s="7099"/>
      <c r="O395" s="7100"/>
      <c r="P395" s="7101" t="s">
        <v>59</v>
      </c>
      <c r="Q395" s="7102">
        <f>TODAY()-j395</f>
      </c>
      <c r="R395" s="7103">
        <f>VLOOKUP(A395,'Last Week'!A4:I395,7,FALSE)</f>
      </c>
    </row>
    <row r="396" ht="35.05" customHeight="true">
      <c r="A396" s="7104" t="s">
        <v>954</v>
      </c>
      <c r="B396" s="7105" t="s">
        <v>821</v>
      </c>
      <c r="C396" s="7106"/>
      <c r="D396" s="7107" t="s">
        <v>55</v>
      </c>
      <c r="E396" s="7108" t="s">
        <v>184</v>
      </c>
      <c r="F396" s="7109"/>
      <c r="G396" s="7110" t="s">
        <v>15</v>
      </c>
      <c r="H396" s="7111" t="n">
        <v>43262.0003902199</v>
      </c>
      <c r="I396" s="7112" t="n">
        <v>43262.0003902199</v>
      </c>
      <c r="J396" s="7113" t="n">
        <v>43255.4747455208</v>
      </c>
      <c r="K396" s="7114" t="n">
        <v>43255.4747455208</v>
      </c>
      <c r="L396" s="7115" t="s">
        <v>16</v>
      </c>
      <c r="M396" s="7116"/>
      <c r="N396" s="7117"/>
      <c r="O396" s="7118"/>
      <c r="P396" s="7119" t="s">
        <v>17</v>
      </c>
      <c r="Q396" s="7120">
        <f>TODAY()-j396</f>
      </c>
      <c r="R396" s="7121">
        <f>VLOOKUP(A396,'Last Week'!A4:I395,7,FALSE)</f>
      </c>
    </row>
    <row r="397" ht="23.85" customHeight="true">
      <c r="A397" s="7122" t="s">
        <v>955</v>
      </c>
      <c r="B397" s="7123" t="s">
        <v>956</v>
      </c>
      <c r="C397" s="7124"/>
      <c r="D397" s="7125" t="s">
        <v>957</v>
      </c>
      <c r="E397" s="7126" t="s">
        <v>73</v>
      </c>
      <c r="F397" s="7127"/>
      <c r="G397" s="7128" t="s">
        <v>15</v>
      </c>
      <c r="H397" s="7129" t="n">
        <v>43259.0838933912</v>
      </c>
      <c r="I397" s="7130" t="n">
        <v>43259.0838933912</v>
      </c>
      <c r="J397" s="7131" t="n">
        <v>43255.512008831</v>
      </c>
      <c r="K397" s="7132" t="n">
        <v>43255.512008831</v>
      </c>
      <c r="L397" s="7133" t="s">
        <v>16</v>
      </c>
      <c r="M397" s="7134"/>
      <c r="N397" s="7135"/>
      <c r="O397" s="7136"/>
      <c r="P397" s="7137" t="s">
        <v>17</v>
      </c>
      <c r="Q397" s="7138">
        <f>TODAY()-j397</f>
      </c>
      <c r="R397" s="7139">
        <f>VLOOKUP(A397,'Last Week'!A4:I395,7,FALSE)</f>
      </c>
    </row>
    <row r="398" ht="23.85" customHeight="true">
      <c r="A398" s="7140" t="s">
        <v>958</v>
      </c>
      <c r="B398" s="7141" t="s">
        <v>959</v>
      </c>
      <c r="C398" s="7142"/>
      <c r="D398" s="7143" t="s">
        <v>960</v>
      </c>
      <c r="E398" s="7144" t="s">
        <v>73</v>
      </c>
      <c r="F398" s="7145"/>
      <c r="G398" s="7146" t="s">
        <v>961</v>
      </c>
      <c r="H398" s="7147" t="n">
        <v>43263.436359838</v>
      </c>
      <c r="I398" s="7148" t="n">
        <v>43263.436359838</v>
      </c>
      <c r="J398" s="7149" t="n">
        <v>43259.6176002894</v>
      </c>
      <c r="K398" s="7150" t="n">
        <v>43259.6176002894</v>
      </c>
      <c r="L398" s="7151" t="s">
        <v>16</v>
      </c>
      <c r="M398" s="7152"/>
      <c r="N398" s="7153"/>
      <c r="O398" s="7154"/>
      <c r="P398" s="7155" t="s">
        <v>17</v>
      </c>
      <c r="Q398" s="7156">
        <f>TODAY()-j398</f>
      </c>
      <c r="R398" s="7157">
        <f>VLOOKUP(A398,'Last Week'!A4:I395,7,FALSE)</f>
      </c>
    </row>
    <row r="399" ht="23.85" customHeight="true">
      <c r="A399" s="7158" t="s">
        <v>962</v>
      </c>
      <c r="B399" s="7159" t="s">
        <v>963</v>
      </c>
      <c r="C399" s="7160"/>
      <c r="D399" s="7161" t="s">
        <v>964</v>
      </c>
      <c r="E399" s="7162" t="s">
        <v>56</v>
      </c>
      <c r="F399" s="7163"/>
      <c r="G399" s="7164" t="s">
        <v>961</v>
      </c>
      <c r="H399" s="7165" t="n">
        <v>43263.4063292014</v>
      </c>
      <c r="I399" s="7166" t="n">
        <v>43263.4063292014</v>
      </c>
      <c r="J399" s="7167" t="n">
        <v>43259.6868819907</v>
      </c>
      <c r="K399" s="7168" t="n">
        <v>43259.6868819907</v>
      </c>
      <c r="L399" s="7169" t="s">
        <v>16</v>
      </c>
      <c r="M399" s="7170"/>
      <c r="N399" s="7171"/>
      <c r="O399" s="7172"/>
      <c r="P399" s="7173" t="s">
        <v>17</v>
      </c>
      <c r="Q399" s="7174">
        <f>TODAY()-j399</f>
      </c>
      <c r="R399" s="7175">
        <f>VLOOKUP(A399,'Last Week'!A4:I395,7,FALSE)</f>
      </c>
    </row>
    <row r="400">
      <c r="A400" s="7176" t="s">
        <v>965</v>
      </c>
      <c r="B400" s="7177"/>
      <c r="C400" s="7178" t="n">
        <v>396.0</v>
      </c>
      <c r="D400" s="7179"/>
      <c r="E400" s="7180"/>
      <c r="F400" s="7181"/>
      <c r="G400" s="7182"/>
      <c r="H400" s="7183"/>
      <c r="I400" s="7184"/>
      <c r="J400" s="7185"/>
      <c r="K400" s="7186"/>
      <c r="L400" s="7187"/>
      <c r="M400" s="7188"/>
      <c r="N400" s="7189"/>
      <c r="O400" s="7190"/>
      <c r="P400" s="7191"/>
    </row>
    <row r="401">
      <c r="A401" s="7192"/>
      <c r="B401" s="7193"/>
      <c r="C401" s="7194"/>
      <c r="D401" s="7195"/>
      <c r="E401" s="7196"/>
      <c r="F401" s="7197"/>
      <c r="G401" s="7198"/>
      <c r="H401" s="7199"/>
      <c r="I401" s="7200"/>
      <c r="J401" s="7201"/>
      <c r="K401" s="7202"/>
      <c r="L401" s="7203"/>
      <c r="M401" s="7204"/>
      <c r="N401" s="7205"/>
      <c r="O401" s="7206"/>
      <c r="P401" s="7207"/>
    </row>
    <row r="402">
      <c r="A402" s="7208" t="s">
        <v>966</v>
      </c>
      <c r="B402" s="7209"/>
      <c r="C402" s="7210" t="s">
        <v>967</v>
      </c>
      <c r="D402" s="7211"/>
      <c r="E402" s="7212"/>
      <c r="F402" s="7213"/>
      <c r="G402" s="7214"/>
      <c r="H402" s="7215"/>
      <c r="I402" s="7216"/>
      <c r="J402" s="7217"/>
      <c r="K402" s="7218"/>
      <c r="L402" s="7219"/>
      <c r="M402" s="7220"/>
      <c r="N402" s="7221"/>
      <c r="O402" s="7222"/>
      <c r="P402" s="7223"/>
    </row>
    <row r="403" ht="23.85" customHeight="true">
      <c r="A403" s="7224" t="s">
        <v>968</v>
      </c>
      <c r="B403" s="7225"/>
      <c r="C403" s="7226"/>
      <c r="D403" s="7227"/>
      <c r="E403" s="7228"/>
      <c r="F403" s="7229"/>
      <c r="G403" s="7230"/>
      <c r="H403" s="7231"/>
      <c r="I403" s="7232"/>
      <c r="J403" s="7233"/>
      <c r="K403" s="7234"/>
      <c r="L403" s="7235"/>
      <c r="M403" s="7236"/>
      <c r="N403" s="7237"/>
      <c r="O403" s="7238"/>
      <c r="P403" s="7239"/>
    </row>
    <row r="404">
      <c r="A404" s="7240" t="s">
        <v>969</v>
      </c>
      <c r="B404" s="7241"/>
      <c r="C404" s="7242"/>
      <c r="D404" s="7243"/>
      <c r="E404" s="7244"/>
      <c r="F404" s="7245" t="s">
        <v>970</v>
      </c>
      <c r="G404" s="7246"/>
      <c r="H404" s="7247"/>
      <c r="I404" s="7248"/>
      <c r="J404" s="7249"/>
      <c r="K404" s="7250"/>
      <c r="L404" s="7251"/>
      <c r="M404" s="7252" t="s">
        <v>971</v>
      </c>
      <c r="N404" s="7253" t="s">
        <v>970</v>
      </c>
    </row>
  </sheetData>
  <mergeCells>
    <mergeCell ref="A1:E1"/>
    <mergeCell ref="F1:N1"/>
    <mergeCell ref="A2:P2"/>
    <mergeCell ref="B3:C3"/>
    <mergeCell ref="E3:F3"/>
    <mergeCell ref="H3:I3"/>
    <mergeCell ref="J3:K3"/>
    <mergeCell ref="L3:O3"/>
    <mergeCell ref="B4:C4"/>
    <mergeCell ref="E4:F4"/>
    <mergeCell ref="L4:O4"/>
    <mergeCell ref="B5:C5"/>
    <mergeCell ref="E5:F5"/>
    <mergeCell ref="L5:O5"/>
    <mergeCell ref="B6:C6"/>
    <mergeCell ref="E6:F6"/>
    <mergeCell ref="L6:O6"/>
    <mergeCell ref="B7:C7"/>
    <mergeCell ref="E7:F7"/>
    <mergeCell ref="L7:O7"/>
    <mergeCell ref="B8:C8"/>
    <mergeCell ref="E8:F8"/>
    <mergeCell ref="L8:O8"/>
    <mergeCell ref="B9:C9"/>
    <mergeCell ref="E9:F9"/>
    <mergeCell ref="L9:O9"/>
    <mergeCell ref="B10:C10"/>
    <mergeCell ref="E10:F10"/>
    <mergeCell ref="L10:O10"/>
    <mergeCell ref="B11:C11"/>
    <mergeCell ref="E11:F11"/>
    <mergeCell ref="L11:O11"/>
    <mergeCell ref="B12:C12"/>
    <mergeCell ref="E12:F12"/>
    <mergeCell ref="L12:O12"/>
    <mergeCell ref="B13:C13"/>
    <mergeCell ref="E13:F13"/>
    <mergeCell ref="L13:O13"/>
    <mergeCell ref="B14:C14"/>
    <mergeCell ref="E14:F14"/>
    <mergeCell ref="L14:O14"/>
    <mergeCell ref="B15:C15"/>
    <mergeCell ref="E15:F15"/>
    <mergeCell ref="L15:O15"/>
    <mergeCell ref="B16:C16"/>
    <mergeCell ref="E16:F16"/>
    <mergeCell ref="L16:O16"/>
    <mergeCell ref="B17:C17"/>
    <mergeCell ref="E17:F17"/>
    <mergeCell ref="L17:O17"/>
    <mergeCell ref="B18:C18"/>
    <mergeCell ref="E18:F18"/>
    <mergeCell ref="L18:O18"/>
    <mergeCell ref="B19:C19"/>
    <mergeCell ref="E19:F19"/>
    <mergeCell ref="L19:O19"/>
    <mergeCell ref="B20:C20"/>
    <mergeCell ref="E20:F20"/>
    <mergeCell ref="L20:O20"/>
    <mergeCell ref="B21:C21"/>
    <mergeCell ref="E21:F21"/>
    <mergeCell ref="L21:O21"/>
    <mergeCell ref="B22:C22"/>
    <mergeCell ref="E22:F22"/>
    <mergeCell ref="L22:O22"/>
    <mergeCell ref="B23:C23"/>
    <mergeCell ref="E23:F23"/>
    <mergeCell ref="L23:O23"/>
    <mergeCell ref="B24:C24"/>
    <mergeCell ref="E24:F24"/>
    <mergeCell ref="L24:O24"/>
    <mergeCell ref="B25:C25"/>
    <mergeCell ref="E25:F25"/>
    <mergeCell ref="L25:O25"/>
    <mergeCell ref="B26:C26"/>
    <mergeCell ref="E26:F26"/>
    <mergeCell ref="L26:O26"/>
    <mergeCell ref="B27:C27"/>
    <mergeCell ref="E27:F27"/>
    <mergeCell ref="L27:O27"/>
    <mergeCell ref="B28:C28"/>
    <mergeCell ref="E28:F28"/>
    <mergeCell ref="L28:O28"/>
    <mergeCell ref="B29:C29"/>
    <mergeCell ref="E29:F29"/>
    <mergeCell ref="L29:O29"/>
    <mergeCell ref="B30:C30"/>
    <mergeCell ref="E30:F30"/>
    <mergeCell ref="L30:O30"/>
    <mergeCell ref="B31:C31"/>
    <mergeCell ref="E31:F31"/>
    <mergeCell ref="L31:O31"/>
    <mergeCell ref="B32:C32"/>
    <mergeCell ref="E32:F32"/>
    <mergeCell ref="L32:O32"/>
    <mergeCell ref="B33:C33"/>
    <mergeCell ref="E33:F33"/>
    <mergeCell ref="L33:O33"/>
    <mergeCell ref="B34:C34"/>
    <mergeCell ref="E34:F34"/>
    <mergeCell ref="L34:O34"/>
    <mergeCell ref="B35:C35"/>
    <mergeCell ref="E35:F35"/>
    <mergeCell ref="L35:O35"/>
    <mergeCell ref="B36:C36"/>
    <mergeCell ref="E36:F36"/>
    <mergeCell ref="L36:O36"/>
    <mergeCell ref="B37:C37"/>
    <mergeCell ref="E37:F37"/>
    <mergeCell ref="L37:O37"/>
    <mergeCell ref="B38:C38"/>
    <mergeCell ref="E38:F38"/>
    <mergeCell ref="L38:O38"/>
    <mergeCell ref="B39:C39"/>
    <mergeCell ref="E39:F39"/>
    <mergeCell ref="L39:O39"/>
    <mergeCell ref="B40:C40"/>
    <mergeCell ref="E40:F40"/>
    <mergeCell ref="L40:O40"/>
    <mergeCell ref="B41:C41"/>
    <mergeCell ref="E41:F41"/>
    <mergeCell ref="L41:O41"/>
    <mergeCell ref="B42:C42"/>
    <mergeCell ref="E42:F42"/>
    <mergeCell ref="L42:O42"/>
    <mergeCell ref="B43:C43"/>
    <mergeCell ref="E43:F43"/>
    <mergeCell ref="L43:O43"/>
    <mergeCell ref="B44:C44"/>
    <mergeCell ref="E44:F44"/>
    <mergeCell ref="L44:O44"/>
    <mergeCell ref="B45:C45"/>
    <mergeCell ref="E45:F45"/>
    <mergeCell ref="L45:O45"/>
    <mergeCell ref="B46:C46"/>
    <mergeCell ref="E46:F46"/>
    <mergeCell ref="L46:O46"/>
    <mergeCell ref="B47:C47"/>
    <mergeCell ref="E47:F47"/>
    <mergeCell ref="L47:O47"/>
    <mergeCell ref="B48:C48"/>
    <mergeCell ref="E48:F48"/>
    <mergeCell ref="L48:O48"/>
    <mergeCell ref="B49:C49"/>
    <mergeCell ref="E49:F49"/>
    <mergeCell ref="L49:O49"/>
    <mergeCell ref="B50:C50"/>
    <mergeCell ref="E50:F50"/>
    <mergeCell ref="L50:O50"/>
    <mergeCell ref="B51:C51"/>
    <mergeCell ref="E51:F51"/>
    <mergeCell ref="L51:O51"/>
    <mergeCell ref="B52:C52"/>
    <mergeCell ref="E52:F52"/>
    <mergeCell ref="L52:O52"/>
    <mergeCell ref="B53:C53"/>
    <mergeCell ref="E53:F53"/>
    <mergeCell ref="L53:O53"/>
    <mergeCell ref="B54:C54"/>
    <mergeCell ref="E54:F54"/>
    <mergeCell ref="L54:O54"/>
    <mergeCell ref="B55:C55"/>
    <mergeCell ref="E55:F55"/>
    <mergeCell ref="L55:O55"/>
    <mergeCell ref="B56:C56"/>
    <mergeCell ref="E56:F56"/>
    <mergeCell ref="L56:O56"/>
    <mergeCell ref="B57:C57"/>
    <mergeCell ref="E57:F57"/>
    <mergeCell ref="L57:O57"/>
    <mergeCell ref="B58:C58"/>
    <mergeCell ref="E58:F58"/>
    <mergeCell ref="L58:O58"/>
    <mergeCell ref="B59:C59"/>
    <mergeCell ref="E59:F59"/>
    <mergeCell ref="L59:O59"/>
    <mergeCell ref="B60:C60"/>
    <mergeCell ref="E60:F60"/>
    <mergeCell ref="L60:O60"/>
    <mergeCell ref="B61:C61"/>
    <mergeCell ref="E61:F61"/>
    <mergeCell ref="L61:O61"/>
    <mergeCell ref="B62:C62"/>
    <mergeCell ref="E62:F62"/>
    <mergeCell ref="L62:O62"/>
    <mergeCell ref="B63:C63"/>
    <mergeCell ref="E63:F63"/>
    <mergeCell ref="L63:O63"/>
    <mergeCell ref="B64:C64"/>
    <mergeCell ref="E64:F64"/>
    <mergeCell ref="L64:O64"/>
    <mergeCell ref="B65:C65"/>
    <mergeCell ref="E65:F65"/>
    <mergeCell ref="L65:O65"/>
    <mergeCell ref="B66:C66"/>
    <mergeCell ref="E66:F66"/>
    <mergeCell ref="L66:O66"/>
    <mergeCell ref="B67:C67"/>
    <mergeCell ref="E67:F67"/>
    <mergeCell ref="L67:O67"/>
    <mergeCell ref="B68:C68"/>
    <mergeCell ref="E68:F68"/>
    <mergeCell ref="L68:O68"/>
    <mergeCell ref="B69:C69"/>
    <mergeCell ref="E69:F69"/>
    <mergeCell ref="L69:O69"/>
    <mergeCell ref="B70:C70"/>
    <mergeCell ref="E70:F70"/>
    <mergeCell ref="L70:O70"/>
    <mergeCell ref="B71:C71"/>
    <mergeCell ref="E71:F71"/>
    <mergeCell ref="L71:O71"/>
    <mergeCell ref="B72:C72"/>
    <mergeCell ref="E72:F72"/>
    <mergeCell ref="L72:O72"/>
    <mergeCell ref="B73:C73"/>
    <mergeCell ref="E73:F73"/>
    <mergeCell ref="L73:O73"/>
    <mergeCell ref="B74:C74"/>
    <mergeCell ref="E74:F74"/>
    <mergeCell ref="L74:O74"/>
    <mergeCell ref="B75:C75"/>
    <mergeCell ref="E75:F75"/>
    <mergeCell ref="L75:O75"/>
    <mergeCell ref="B76:C76"/>
    <mergeCell ref="E76:F76"/>
    <mergeCell ref="L76:O76"/>
    <mergeCell ref="B77:C77"/>
    <mergeCell ref="E77:F77"/>
    <mergeCell ref="L77:O77"/>
    <mergeCell ref="B78:C78"/>
    <mergeCell ref="E78:F78"/>
    <mergeCell ref="L78:O78"/>
    <mergeCell ref="B79:C79"/>
    <mergeCell ref="E79:F79"/>
    <mergeCell ref="L79:O79"/>
    <mergeCell ref="B80:C80"/>
    <mergeCell ref="E80:F80"/>
    <mergeCell ref="L80:O80"/>
    <mergeCell ref="B81:C81"/>
    <mergeCell ref="E81:F81"/>
    <mergeCell ref="L81:O81"/>
    <mergeCell ref="B82:C82"/>
    <mergeCell ref="E82:F82"/>
    <mergeCell ref="L82:O82"/>
    <mergeCell ref="B83:C83"/>
    <mergeCell ref="E83:F83"/>
    <mergeCell ref="L83:O83"/>
    <mergeCell ref="B84:C84"/>
    <mergeCell ref="E84:F84"/>
    <mergeCell ref="L84:O84"/>
    <mergeCell ref="B85:C85"/>
    <mergeCell ref="E85:F85"/>
    <mergeCell ref="L85:O85"/>
    <mergeCell ref="B86:C86"/>
    <mergeCell ref="E86:F86"/>
    <mergeCell ref="L86:O86"/>
    <mergeCell ref="B87:C87"/>
    <mergeCell ref="E87:F87"/>
    <mergeCell ref="L87:O87"/>
    <mergeCell ref="B88:C88"/>
    <mergeCell ref="E88:F88"/>
    <mergeCell ref="L88:O88"/>
    <mergeCell ref="B89:C89"/>
    <mergeCell ref="E89:F89"/>
    <mergeCell ref="L89:O89"/>
    <mergeCell ref="B90:C90"/>
    <mergeCell ref="E90:F90"/>
    <mergeCell ref="L90:O90"/>
    <mergeCell ref="B91:C91"/>
    <mergeCell ref="E91:F91"/>
    <mergeCell ref="L91:O91"/>
    <mergeCell ref="B92:C92"/>
    <mergeCell ref="E92:F92"/>
    <mergeCell ref="L92:O92"/>
    <mergeCell ref="B93:C93"/>
    <mergeCell ref="E93:F93"/>
    <mergeCell ref="L93:O93"/>
    <mergeCell ref="B94:C94"/>
    <mergeCell ref="E94:F94"/>
    <mergeCell ref="L94:O94"/>
    <mergeCell ref="B95:C95"/>
    <mergeCell ref="E95:F95"/>
    <mergeCell ref="L95:O95"/>
    <mergeCell ref="B96:C96"/>
    <mergeCell ref="E96:F96"/>
    <mergeCell ref="L96:O96"/>
    <mergeCell ref="B97:C97"/>
    <mergeCell ref="E97:F97"/>
    <mergeCell ref="L97:O97"/>
    <mergeCell ref="B98:C98"/>
    <mergeCell ref="E98:F98"/>
    <mergeCell ref="L98:O98"/>
    <mergeCell ref="B99:C99"/>
    <mergeCell ref="E99:F99"/>
    <mergeCell ref="L99:O99"/>
    <mergeCell ref="B100:C100"/>
    <mergeCell ref="E100:F100"/>
    <mergeCell ref="L100:O100"/>
    <mergeCell ref="B101:C101"/>
    <mergeCell ref="E101:F101"/>
    <mergeCell ref="L101:O101"/>
    <mergeCell ref="B102:C102"/>
    <mergeCell ref="E102:F102"/>
    <mergeCell ref="L102:O102"/>
    <mergeCell ref="B103:C103"/>
    <mergeCell ref="E103:F103"/>
    <mergeCell ref="L103:O103"/>
    <mergeCell ref="B104:C104"/>
    <mergeCell ref="E104:F104"/>
    <mergeCell ref="L104:O104"/>
    <mergeCell ref="B105:C105"/>
    <mergeCell ref="E105:F105"/>
    <mergeCell ref="L105:O105"/>
    <mergeCell ref="B106:C106"/>
    <mergeCell ref="E106:F106"/>
    <mergeCell ref="L106:O106"/>
    <mergeCell ref="B107:C107"/>
    <mergeCell ref="E107:F107"/>
    <mergeCell ref="L107:O107"/>
    <mergeCell ref="B108:C108"/>
    <mergeCell ref="E108:F108"/>
    <mergeCell ref="L108:O108"/>
    <mergeCell ref="B109:C109"/>
    <mergeCell ref="E109:F109"/>
    <mergeCell ref="L109:O109"/>
    <mergeCell ref="B110:C110"/>
    <mergeCell ref="E110:F110"/>
    <mergeCell ref="L110:O110"/>
    <mergeCell ref="B111:C111"/>
    <mergeCell ref="E111:F111"/>
    <mergeCell ref="L111:O111"/>
    <mergeCell ref="B112:C112"/>
    <mergeCell ref="E112:F112"/>
    <mergeCell ref="L112:O112"/>
    <mergeCell ref="B113:C113"/>
    <mergeCell ref="E113:F113"/>
    <mergeCell ref="L113:O113"/>
    <mergeCell ref="B114:C114"/>
    <mergeCell ref="E114:F114"/>
    <mergeCell ref="L114:O114"/>
    <mergeCell ref="B115:C115"/>
    <mergeCell ref="E115:F115"/>
    <mergeCell ref="L115:O115"/>
    <mergeCell ref="B116:C116"/>
    <mergeCell ref="E116:F116"/>
    <mergeCell ref="L116:O116"/>
    <mergeCell ref="B117:C117"/>
    <mergeCell ref="E117:F117"/>
    <mergeCell ref="L117:O117"/>
    <mergeCell ref="B118:C118"/>
    <mergeCell ref="E118:F118"/>
    <mergeCell ref="L118:O118"/>
    <mergeCell ref="B119:C119"/>
    <mergeCell ref="E119:F119"/>
    <mergeCell ref="L119:O119"/>
    <mergeCell ref="B120:C120"/>
    <mergeCell ref="E120:F120"/>
    <mergeCell ref="L120:O120"/>
    <mergeCell ref="B121:C121"/>
    <mergeCell ref="E121:F121"/>
    <mergeCell ref="L121:O121"/>
    <mergeCell ref="B122:C122"/>
    <mergeCell ref="E122:F122"/>
    <mergeCell ref="L122:O122"/>
    <mergeCell ref="B123:C123"/>
    <mergeCell ref="E123:F123"/>
    <mergeCell ref="L123:O123"/>
    <mergeCell ref="B124:C124"/>
    <mergeCell ref="E124:F124"/>
    <mergeCell ref="L124:O124"/>
    <mergeCell ref="B125:C125"/>
    <mergeCell ref="E125:F125"/>
    <mergeCell ref="L125:O125"/>
    <mergeCell ref="B126:C126"/>
    <mergeCell ref="E126:F126"/>
    <mergeCell ref="L126:O126"/>
    <mergeCell ref="B127:C127"/>
    <mergeCell ref="E127:F127"/>
    <mergeCell ref="L127:O127"/>
    <mergeCell ref="B128:C128"/>
    <mergeCell ref="E128:F128"/>
    <mergeCell ref="L128:O128"/>
    <mergeCell ref="B129:C129"/>
    <mergeCell ref="E129:F129"/>
    <mergeCell ref="L129:O129"/>
    <mergeCell ref="B130:C130"/>
    <mergeCell ref="E130:F130"/>
    <mergeCell ref="L130:O130"/>
    <mergeCell ref="B131:C131"/>
    <mergeCell ref="E131:F131"/>
    <mergeCell ref="L131:O131"/>
    <mergeCell ref="B132:C132"/>
    <mergeCell ref="E132:F132"/>
    <mergeCell ref="L132:O132"/>
    <mergeCell ref="B133:C133"/>
    <mergeCell ref="E133:F133"/>
    <mergeCell ref="L133:O133"/>
    <mergeCell ref="B134:C134"/>
    <mergeCell ref="E134:F134"/>
    <mergeCell ref="L134:O134"/>
    <mergeCell ref="B135:C135"/>
    <mergeCell ref="E135:F135"/>
    <mergeCell ref="L135:O135"/>
    <mergeCell ref="B136:C136"/>
    <mergeCell ref="E136:F136"/>
    <mergeCell ref="L136:O136"/>
    <mergeCell ref="B137:C137"/>
    <mergeCell ref="E137:F137"/>
    <mergeCell ref="L137:O137"/>
    <mergeCell ref="B138:C138"/>
    <mergeCell ref="E138:F138"/>
    <mergeCell ref="L138:O138"/>
    <mergeCell ref="B139:C139"/>
    <mergeCell ref="E139:F139"/>
    <mergeCell ref="L139:O139"/>
    <mergeCell ref="B140:C140"/>
    <mergeCell ref="E140:F140"/>
    <mergeCell ref="L140:O140"/>
    <mergeCell ref="B141:C141"/>
    <mergeCell ref="E141:F141"/>
    <mergeCell ref="L141:O141"/>
    <mergeCell ref="B142:C142"/>
    <mergeCell ref="E142:F142"/>
    <mergeCell ref="L142:O142"/>
    <mergeCell ref="B143:C143"/>
    <mergeCell ref="E143:F143"/>
    <mergeCell ref="L143:O143"/>
    <mergeCell ref="B144:C144"/>
    <mergeCell ref="E144:F144"/>
    <mergeCell ref="L144:O144"/>
    <mergeCell ref="B145:C145"/>
    <mergeCell ref="E145:F145"/>
    <mergeCell ref="L145:O145"/>
    <mergeCell ref="B146:C146"/>
    <mergeCell ref="E146:F146"/>
    <mergeCell ref="L146:O146"/>
    <mergeCell ref="B147:C147"/>
    <mergeCell ref="E147:F147"/>
    <mergeCell ref="L147:O147"/>
    <mergeCell ref="B148:C148"/>
    <mergeCell ref="E148:F148"/>
    <mergeCell ref="L148:O148"/>
    <mergeCell ref="B149:C149"/>
    <mergeCell ref="E149:F149"/>
    <mergeCell ref="L149:O149"/>
    <mergeCell ref="B150:C150"/>
    <mergeCell ref="E150:F150"/>
    <mergeCell ref="L150:O150"/>
    <mergeCell ref="B151:C151"/>
    <mergeCell ref="E151:F151"/>
    <mergeCell ref="L151:O151"/>
    <mergeCell ref="B152:C152"/>
    <mergeCell ref="E152:F152"/>
    <mergeCell ref="L152:O152"/>
    <mergeCell ref="B153:C153"/>
    <mergeCell ref="E153:F153"/>
    <mergeCell ref="L153:O153"/>
    <mergeCell ref="B154:C154"/>
    <mergeCell ref="E154:F154"/>
    <mergeCell ref="L154:O154"/>
    <mergeCell ref="B155:C155"/>
    <mergeCell ref="E155:F155"/>
    <mergeCell ref="L155:O155"/>
    <mergeCell ref="B156:C156"/>
    <mergeCell ref="E156:F156"/>
    <mergeCell ref="L156:O156"/>
    <mergeCell ref="B157:C157"/>
    <mergeCell ref="E157:F157"/>
    <mergeCell ref="L157:O157"/>
    <mergeCell ref="B158:C158"/>
    <mergeCell ref="E158:F158"/>
    <mergeCell ref="L158:O158"/>
    <mergeCell ref="B159:C159"/>
    <mergeCell ref="E159:F159"/>
    <mergeCell ref="L159:O159"/>
    <mergeCell ref="B160:C160"/>
    <mergeCell ref="E160:F160"/>
    <mergeCell ref="L160:O160"/>
    <mergeCell ref="B161:C161"/>
    <mergeCell ref="E161:F161"/>
    <mergeCell ref="L161:O161"/>
    <mergeCell ref="B162:C162"/>
    <mergeCell ref="E162:F162"/>
    <mergeCell ref="L162:O162"/>
    <mergeCell ref="B163:C163"/>
    <mergeCell ref="E163:F163"/>
    <mergeCell ref="L163:O163"/>
    <mergeCell ref="B164:C164"/>
    <mergeCell ref="E164:F164"/>
    <mergeCell ref="L164:O164"/>
    <mergeCell ref="B165:C165"/>
    <mergeCell ref="E165:F165"/>
    <mergeCell ref="L165:O165"/>
    <mergeCell ref="B166:C166"/>
    <mergeCell ref="E166:F166"/>
    <mergeCell ref="L166:O166"/>
    <mergeCell ref="B167:C167"/>
    <mergeCell ref="E167:F167"/>
    <mergeCell ref="L167:O167"/>
    <mergeCell ref="B168:C168"/>
    <mergeCell ref="E168:F168"/>
    <mergeCell ref="L168:O168"/>
    <mergeCell ref="B169:C169"/>
    <mergeCell ref="E169:F169"/>
    <mergeCell ref="L169:O169"/>
    <mergeCell ref="B170:C170"/>
    <mergeCell ref="E170:F170"/>
    <mergeCell ref="L170:O170"/>
    <mergeCell ref="B171:C171"/>
    <mergeCell ref="E171:F171"/>
    <mergeCell ref="L171:O171"/>
    <mergeCell ref="B172:C172"/>
    <mergeCell ref="E172:F172"/>
    <mergeCell ref="L172:O172"/>
    <mergeCell ref="B173:C173"/>
    <mergeCell ref="E173:F173"/>
    <mergeCell ref="L173:O173"/>
    <mergeCell ref="B174:C174"/>
    <mergeCell ref="E174:F174"/>
    <mergeCell ref="L174:O174"/>
    <mergeCell ref="B175:C175"/>
    <mergeCell ref="E175:F175"/>
    <mergeCell ref="L175:O175"/>
    <mergeCell ref="B176:C176"/>
    <mergeCell ref="E176:F176"/>
    <mergeCell ref="L176:O176"/>
    <mergeCell ref="B177:C177"/>
    <mergeCell ref="E177:F177"/>
    <mergeCell ref="L177:O177"/>
    <mergeCell ref="B178:C178"/>
    <mergeCell ref="E178:F178"/>
    <mergeCell ref="L178:O178"/>
    <mergeCell ref="B179:C179"/>
    <mergeCell ref="E179:F179"/>
    <mergeCell ref="L179:O179"/>
    <mergeCell ref="B180:C180"/>
    <mergeCell ref="E180:F180"/>
    <mergeCell ref="L180:O180"/>
    <mergeCell ref="B181:C181"/>
    <mergeCell ref="E181:F181"/>
    <mergeCell ref="L181:O181"/>
    <mergeCell ref="B182:C182"/>
    <mergeCell ref="E182:F182"/>
    <mergeCell ref="L182:O182"/>
    <mergeCell ref="B183:C183"/>
    <mergeCell ref="E183:F183"/>
    <mergeCell ref="L183:O183"/>
    <mergeCell ref="B184:C184"/>
    <mergeCell ref="E184:F184"/>
    <mergeCell ref="L184:O184"/>
    <mergeCell ref="B185:C185"/>
    <mergeCell ref="E185:F185"/>
    <mergeCell ref="L185:O185"/>
    <mergeCell ref="B186:C186"/>
    <mergeCell ref="E186:F186"/>
    <mergeCell ref="L186:O186"/>
    <mergeCell ref="B187:C187"/>
    <mergeCell ref="E187:F187"/>
    <mergeCell ref="L187:O187"/>
    <mergeCell ref="B188:C188"/>
    <mergeCell ref="E188:F188"/>
    <mergeCell ref="L188:O188"/>
    <mergeCell ref="B189:C189"/>
    <mergeCell ref="E189:F189"/>
    <mergeCell ref="L189:O189"/>
    <mergeCell ref="B190:C190"/>
    <mergeCell ref="E190:F190"/>
    <mergeCell ref="L190:O190"/>
    <mergeCell ref="B191:C191"/>
    <mergeCell ref="E191:F191"/>
    <mergeCell ref="L191:O191"/>
    <mergeCell ref="B192:C192"/>
    <mergeCell ref="E192:F192"/>
    <mergeCell ref="L192:O192"/>
    <mergeCell ref="B193:C193"/>
    <mergeCell ref="E193:F193"/>
    <mergeCell ref="L193:O193"/>
    <mergeCell ref="B194:C194"/>
    <mergeCell ref="E194:F194"/>
    <mergeCell ref="L194:O194"/>
    <mergeCell ref="B195:C195"/>
    <mergeCell ref="E195:F195"/>
    <mergeCell ref="L195:O195"/>
    <mergeCell ref="B196:C196"/>
    <mergeCell ref="E196:F196"/>
    <mergeCell ref="L196:O196"/>
    <mergeCell ref="B197:C197"/>
    <mergeCell ref="E197:F197"/>
    <mergeCell ref="L197:O197"/>
    <mergeCell ref="B198:C198"/>
    <mergeCell ref="E198:F198"/>
    <mergeCell ref="L198:O198"/>
    <mergeCell ref="B199:C199"/>
    <mergeCell ref="E199:F199"/>
    <mergeCell ref="L199:O199"/>
    <mergeCell ref="B200:C200"/>
    <mergeCell ref="E200:F200"/>
    <mergeCell ref="L200:O200"/>
    <mergeCell ref="B201:C201"/>
    <mergeCell ref="E201:F201"/>
    <mergeCell ref="L201:O201"/>
    <mergeCell ref="B202:C202"/>
    <mergeCell ref="E202:F202"/>
    <mergeCell ref="L202:O202"/>
    <mergeCell ref="B203:C203"/>
    <mergeCell ref="E203:F203"/>
    <mergeCell ref="L203:O203"/>
    <mergeCell ref="B204:C204"/>
    <mergeCell ref="E204:F204"/>
    <mergeCell ref="L204:O204"/>
    <mergeCell ref="B205:C205"/>
    <mergeCell ref="E205:F205"/>
    <mergeCell ref="L205:O205"/>
    <mergeCell ref="B206:C206"/>
    <mergeCell ref="E206:F206"/>
    <mergeCell ref="L206:O206"/>
    <mergeCell ref="B207:C207"/>
    <mergeCell ref="E207:F207"/>
    <mergeCell ref="L207:O207"/>
    <mergeCell ref="B208:C208"/>
    <mergeCell ref="E208:F208"/>
    <mergeCell ref="L208:O208"/>
    <mergeCell ref="B209:C209"/>
    <mergeCell ref="E209:F209"/>
    <mergeCell ref="L209:O209"/>
    <mergeCell ref="B210:C210"/>
    <mergeCell ref="E210:F210"/>
    <mergeCell ref="L210:O210"/>
    <mergeCell ref="B211:C211"/>
    <mergeCell ref="E211:F211"/>
    <mergeCell ref="L211:O211"/>
    <mergeCell ref="B212:C212"/>
    <mergeCell ref="E212:F212"/>
    <mergeCell ref="L212:O212"/>
    <mergeCell ref="B213:C213"/>
    <mergeCell ref="E213:F213"/>
    <mergeCell ref="L213:O213"/>
    <mergeCell ref="B214:C214"/>
    <mergeCell ref="E214:F214"/>
    <mergeCell ref="L214:O214"/>
    <mergeCell ref="B215:C215"/>
    <mergeCell ref="E215:F215"/>
    <mergeCell ref="L215:O215"/>
    <mergeCell ref="B216:C216"/>
    <mergeCell ref="E216:F216"/>
    <mergeCell ref="L216:O216"/>
    <mergeCell ref="B217:C217"/>
    <mergeCell ref="E217:F217"/>
    <mergeCell ref="L217:O217"/>
    <mergeCell ref="B218:C218"/>
    <mergeCell ref="E218:F218"/>
    <mergeCell ref="L218:O218"/>
    <mergeCell ref="B219:C219"/>
    <mergeCell ref="E219:F219"/>
    <mergeCell ref="L219:O219"/>
    <mergeCell ref="B220:C220"/>
    <mergeCell ref="E220:F220"/>
    <mergeCell ref="L220:O220"/>
    <mergeCell ref="B221:C221"/>
    <mergeCell ref="E221:F221"/>
    <mergeCell ref="L221:O221"/>
    <mergeCell ref="B222:C222"/>
    <mergeCell ref="E222:F222"/>
    <mergeCell ref="L222:O222"/>
    <mergeCell ref="B223:C223"/>
    <mergeCell ref="E223:F223"/>
    <mergeCell ref="L223:O223"/>
    <mergeCell ref="B224:C224"/>
    <mergeCell ref="E224:F224"/>
    <mergeCell ref="L224:O224"/>
    <mergeCell ref="B225:C225"/>
    <mergeCell ref="E225:F225"/>
    <mergeCell ref="L225:O225"/>
    <mergeCell ref="B226:C226"/>
    <mergeCell ref="E226:F226"/>
    <mergeCell ref="L226:O226"/>
    <mergeCell ref="B227:C227"/>
    <mergeCell ref="E227:F227"/>
    <mergeCell ref="L227:O227"/>
    <mergeCell ref="B228:C228"/>
    <mergeCell ref="E228:F228"/>
    <mergeCell ref="L228:O228"/>
    <mergeCell ref="B229:C229"/>
    <mergeCell ref="E229:F229"/>
    <mergeCell ref="L229:O229"/>
    <mergeCell ref="B230:C230"/>
    <mergeCell ref="E230:F230"/>
    <mergeCell ref="L230:O230"/>
    <mergeCell ref="B231:C231"/>
    <mergeCell ref="E231:F231"/>
    <mergeCell ref="L231:O231"/>
    <mergeCell ref="B232:C232"/>
    <mergeCell ref="E232:F232"/>
    <mergeCell ref="L232:O232"/>
    <mergeCell ref="B233:C233"/>
    <mergeCell ref="E233:F233"/>
    <mergeCell ref="L233:O233"/>
    <mergeCell ref="B234:C234"/>
    <mergeCell ref="E234:F234"/>
    <mergeCell ref="L234:O234"/>
    <mergeCell ref="B235:C235"/>
    <mergeCell ref="E235:F235"/>
    <mergeCell ref="L235:O235"/>
    <mergeCell ref="B236:C236"/>
    <mergeCell ref="E236:F236"/>
    <mergeCell ref="L236:O236"/>
    <mergeCell ref="B237:C237"/>
    <mergeCell ref="E237:F237"/>
    <mergeCell ref="L237:O237"/>
    <mergeCell ref="B238:C238"/>
    <mergeCell ref="E238:F238"/>
    <mergeCell ref="L238:O238"/>
    <mergeCell ref="B239:C239"/>
    <mergeCell ref="E239:F239"/>
    <mergeCell ref="L239:O239"/>
    <mergeCell ref="B240:C240"/>
    <mergeCell ref="E240:F240"/>
    <mergeCell ref="L240:O240"/>
    <mergeCell ref="B241:C241"/>
    <mergeCell ref="E241:F241"/>
    <mergeCell ref="L241:O241"/>
    <mergeCell ref="B242:C242"/>
    <mergeCell ref="E242:F242"/>
    <mergeCell ref="L242:O242"/>
    <mergeCell ref="B243:C243"/>
    <mergeCell ref="E243:F243"/>
    <mergeCell ref="L243:O243"/>
    <mergeCell ref="B244:C244"/>
    <mergeCell ref="E244:F244"/>
    <mergeCell ref="L244:O244"/>
    <mergeCell ref="B245:C245"/>
    <mergeCell ref="E245:F245"/>
    <mergeCell ref="L245:O245"/>
    <mergeCell ref="B246:C246"/>
    <mergeCell ref="E246:F246"/>
    <mergeCell ref="L246:O246"/>
    <mergeCell ref="B247:C247"/>
    <mergeCell ref="E247:F247"/>
    <mergeCell ref="L247:O247"/>
    <mergeCell ref="B248:C248"/>
    <mergeCell ref="E248:F248"/>
    <mergeCell ref="L248:O248"/>
    <mergeCell ref="B249:C249"/>
    <mergeCell ref="E249:F249"/>
    <mergeCell ref="L249:O249"/>
    <mergeCell ref="B250:C250"/>
    <mergeCell ref="E250:F250"/>
    <mergeCell ref="L250:O250"/>
    <mergeCell ref="B251:C251"/>
    <mergeCell ref="E251:F251"/>
    <mergeCell ref="L251:O251"/>
    <mergeCell ref="B252:C252"/>
    <mergeCell ref="E252:F252"/>
    <mergeCell ref="L252:O252"/>
    <mergeCell ref="B253:C253"/>
    <mergeCell ref="E253:F253"/>
    <mergeCell ref="L253:O253"/>
    <mergeCell ref="B254:C254"/>
    <mergeCell ref="E254:F254"/>
    <mergeCell ref="L254:O254"/>
    <mergeCell ref="B255:C255"/>
    <mergeCell ref="E255:F255"/>
    <mergeCell ref="L255:O255"/>
    <mergeCell ref="B256:C256"/>
    <mergeCell ref="E256:F256"/>
    <mergeCell ref="L256:O256"/>
    <mergeCell ref="B257:C257"/>
    <mergeCell ref="E257:F257"/>
    <mergeCell ref="L257:O257"/>
    <mergeCell ref="B258:C258"/>
    <mergeCell ref="E258:F258"/>
    <mergeCell ref="L258:O258"/>
    <mergeCell ref="B259:C259"/>
    <mergeCell ref="E259:F259"/>
    <mergeCell ref="L259:O259"/>
    <mergeCell ref="B260:C260"/>
    <mergeCell ref="E260:F260"/>
    <mergeCell ref="L260:O260"/>
    <mergeCell ref="B261:C261"/>
    <mergeCell ref="E261:F261"/>
    <mergeCell ref="L261:O261"/>
    <mergeCell ref="B262:C262"/>
    <mergeCell ref="E262:F262"/>
    <mergeCell ref="L262:O262"/>
    <mergeCell ref="B263:C263"/>
    <mergeCell ref="E263:F263"/>
    <mergeCell ref="L263:O263"/>
    <mergeCell ref="B264:C264"/>
    <mergeCell ref="E264:F264"/>
    <mergeCell ref="L264:O264"/>
    <mergeCell ref="B265:C265"/>
    <mergeCell ref="E265:F265"/>
    <mergeCell ref="L265:O265"/>
    <mergeCell ref="B266:C266"/>
    <mergeCell ref="E266:F266"/>
    <mergeCell ref="L266:O266"/>
    <mergeCell ref="B267:C267"/>
    <mergeCell ref="E267:F267"/>
    <mergeCell ref="L267:O267"/>
    <mergeCell ref="B268:C268"/>
    <mergeCell ref="E268:F268"/>
    <mergeCell ref="L268:O268"/>
    <mergeCell ref="B269:C269"/>
    <mergeCell ref="E269:F269"/>
    <mergeCell ref="L269:O269"/>
    <mergeCell ref="B270:C270"/>
    <mergeCell ref="E270:F270"/>
    <mergeCell ref="L270:O270"/>
    <mergeCell ref="B271:C271"/>
    <mergeCell ref="E271:F271"/>
    <mergeCell ref="L271:O271"/>
    <mergeCell ref="B272:C272"/>
    <mergeCell ref="E272:F272"/>
    <mergeCell ref="L272:O272"/>
    <mergeCell ref="B273:C273"/>
    <mergeCell ref="E273:F273"/>
    <mergeCell ref="L273:O273"/>
    <mergeCell ref="B274:C274"/>
    <mergeCell ref="E274:F274"/>
    <mergeCell ref="L274:O274"/>
    <mergeCell ref="B275:C275"/>
    <mergeCell ref="E275:F275"/>
    <mergeCell ref="L275:O275"/>
    <mergeCell ref="B276:C276"/>
    <mergeCell ref="E276:F276"/>
    <mergeCell ref="L276:O276"/>
    <mergeCell ref="B277:C277"/>
    <mergeCell ref="E277:F277"/>
    <mergeCell ref="L277:O277"/>
    <mergeCell ref="B278:C278"/>
    <mergeCell ref="E278:F278"/>
    <mergeCell ref="L278:O278"/>
    <mergeCell ref="B279:C279"/>
    <mergeCell ref="E279:F279"/>
    <mergeCell ref="L279:O279"/>
    <mergeCell ref="B280:C280"/>
    <mergeCell ref="E280:F280"/>
    <mergeCell ref="L280:O280"/>
    <mergeCell ref="B281:C281"/>
    <mergeCell ref="E281:F281"/>
    <mergeCell ref="L281:O281"/>
    <mergeCell ref="B282:C282"/>
    <mergeCell ref="E282:F282"/>
    <mergeCell ref="L282:O282"/>
    <mergeCell ref="B283:C283"/>
    <mergeCell ref="E283:F283"/>
    <mergeCell ref="L283:O283"/>
    <mergeCell ref="B284:C284"/>
    <mergeCell ref="E284:F284"/>
    <mergeCell ref="L284:O284"/>
    <mergeCell ref="B285:C285"/>
    <mergeCell ref="E285:F285"/>
    <mergeCell ref="L285:O285"/>
    <mergeCell ref="B286:C286"/>
    <mergeCell ref="E286:F286"/>
    <mergeCell ref="L286:O286"/>
    <mergeCell ref="B287:C287"/>
    <mergeCell ref="E287:F287"/>
    <mergeCell ref="L287:O287"/>
    <mergeCell ref="B288:C288"/>
    <mergeCell ref="E288:F288"/>
    <mergeCell ref="L288:O288"/>
    <mergeCell ref="B289:C289"/>
    <mergeCell ref="E289:F289"/>
    <mergeCell ref="L289:O289"/>
    <mergeCell ref="B290:C290"/>
    <mergeCell ref="E290:F290"/>
    <mergeCell ref="L290:O290"/>
    <mergeCell ref="B291:C291"/>
    <mergeCell ref="E291:F291"/>
    <mergeCell ref="L291:O291"/>
    <mergeCell ref="B292:C292"/>
    <mergeCell ref="E292:F292"/>
    <mergeCell ref="L292:O292"/>
    <mergeCell ref="B293:C293"/>
    <mergeCell ref="E293:F293"/>
    <mergeCell ref="L293:O293"/>
    <mergeCell ref="B294:C294"/>
    <mergeCell ref="E294:F294"/>
    <mergeCell ref="L294:O294"/>
    <mergeCell ref="B295:C295"/>
    <mergeCell ref="E295:F295"/>
    <mergeCell ref="L295:O295"/>
    <mergeCell ref="B296:C296"/>
    <mergeCell ref="E296:F296"/>
    <mergeCell ref="L296:O296"/>
    <mergeCell ref="B297:C297"/>
    <mergeCell ref="E297:F297"/>
    <mergeCell ref="L297:O297"/>
    <mergeCell ref="B298:C298"/>
    <mergeCell ref="E298:F298"/>
    <mergeCell ref="L298:O298"/>
    <mergeCell ref="B299:C299"/>
    <mergeCell ref="E299:F299"/>
    <mergeCell ref="L299:O299"/>
    <mergeCell ref="B300:C300"/>
    <mergeCell ref="E300:F300"/>
    <mergeCell ref="L300:O300"/>
    <mergeCell ref="B301:C301"/>
    <mergeCell ref="E301:F301"/>
    <mergeCell ref="L301:O301"/>
    <mergeCell ref="B302:C302"/>
    <mergeCell ref="E302:F302"/>
    <mergeCell ref="L302:O302"/>
    <mergeCell ref="B303:C303"/>
    <mergeCell ref="E303:F303"/>
    <mergeCell ref="L303:O303"/>
    <mergeCell ref="B304:C304"/>
    <mergeCell ref="E304:F304"/>
    <mergeCell ref="L304:O304"/>
    <mergeCell ref="B305:C305"/>
    <mergeCell ref="E305:F305"/>
    <mergeCell ref="L305:O305"/>
    <mergeCell ref="B306:C306"/>
    <mergeCell ref="E306:F306"/>
    <mergeCell ref="L306:O306"/>
    <mergeCell ref="B307:C307"/>
    <mergeCell ref="E307:F307"/>
    <mergeCell ref="L307:O307"/>
    <mergeCell ref="B308:C308"/>
    <mergeCell ref="E308:F308"/>
    <mergeCell ref="L308:O308"/>
    <mergeCell ref="B309:C309"/>
    <mergeCell ref="E309:F309"/>
    <mergeCell ref="L309:O309"/>
    <mergeCell ref="B310:C310"/>
    <mergeCell ref="E310:F310"/>
    <mergeCell ref="L310:O310"/>
    <mergeCell ref="B311:C311"/>
    <mergeCell ref="E311:F311"/>
    <mergeCell ref="L311:O311"/>
    <mergeCell ref="B312:C312"/>
    <mergeCell ref="E312:F312"/>
    <mergeCell ref="L312:O312"/>
    <mergeCell ref="B313:C313"/>
    <mergeCell ref="E313:F313"/>
    <mergeCell ref="L313:O313"/>
    <mergeCell ref="B314:C314"/>
    <mergeCell ref="E314:F314"/>
    <mergeCell ref="L314:O314"/>
    <mergeCell ref="B315:C315"/>
    <mergeCell ref="E315:F315"/>
    <mergeCell ref="L315:O315"/>
    <mergeCell ref="B316:C316"/>
    <mergeCell ref="E316:F316"/>
    <mergeCell ref="L316:O316"/>
    <mergeCell ref="B317:C317"/>
    <mergeCell ref="E317:F317"/>
    <mergeCell ref="L317:O317"/>
    <mergeCell ref="B318:C318"/>
    <mergeCell ref="E318:F318"/>
    <mergeCell ref="L318:O318"/>
    <mergeCell ref="B319:C319"/>
    <mergeCell ref="E319:F319"/>
    <mergeCell ref="L319:O319"/>
    <mergeCell ref="B320:C320"/>
    <mergeCell ref="E320:F320"/>
    <mergeCell ref="L320:O320"/>
    <mergeCell ref="B321:C321"/>
    <mergeCell ref="E321:F321"/>
    <mergeCell ref="L321:O321"/>
    <mergeCell ref="B322:C322"/>
    <mergeCell ref="E322:F322"/>
    <mergeCell ref="L322:O322"/>
    <mergeCell ref="B323:C323"/>
    <mergeCell ref="E323:F323"/>
    <mergeCell ref="L323:O323"/>
    <mergeCell ref="B324:C324"/>
    <mergeCell ref="E324:F324"/>
    <mergeCell ref="L324:O324"/>
    <mergeCell ref="B325:C325"/>
    <mergeCell ref="E325:F325"/>
    <mergeCell ref="L325:O325"/>
    <mergeCell ref="B326:C326"/>
    <mergeCell ref="E326:F326"/>
    <mergeCell ref="L326:O326"/>
    <mergeCell ref="B327:C327"/>
    <mergeCell ref="E327:F327"/>
    <mergeCell ref="L327:O327"/>
    <mergeCell ref="B328:C328"/>
    <mergeCell ref="E328:F328"/>
    <mergeCell ref="L328:O328"/>
    <mergeCell ref="B329:C329"/>
    <mergeCell ref="E329:F329"/>
    <mergeCell ref="L329:O329"/>
    <mergeCell ref="B330:C330"/>
    <mergeCell ref="E330:F330"/>
    <mergeCell ref="L330:O330"/>
    <mergeCell ref="B331:C331"/>
    <mergeCell ref="E331:F331"/>
    <mergeCell ref="L331:O331"/>
    <mergeCell ref="B332:C332"/>
    <mergeCell ref="E332:F332"/>
    <mergeCell ref="L332:O332"/>
    <mergeCell ref="B333:C333"/>
    <mergeCell ref="E333:F333"/>
    <mergeCell ref="L333:O333"/>
    <mergeCell ref="B334:C334"/>
    <mergeCell ref="E334:F334"/>
    <mergeCell ref="L334:O334"/>
    <mergeCell ref="B335:C335"/>
    <mergeCell ref="E335:F335"/>
    <mergeCell ref="L335:O335"/>
    <mergeCell ref="B336:C336"/>
    <mergeCell ref="E336:F336"/>
    <mergeCell ref="L336:O336"/>
    <mergeCell ref="B337:C337"/>
    <mergeCell ref="E337:F337"/>
    <mergeCell ref="L337:O337"/>
    <mergeCell ref="B338:C338"/>
    <mergeCell ref="E338:F338"/>
    <mergeCell ref="L338:O338"/>
    <mergeCell ref="B339:C339"/>
    <mergeCell ref="E339:F339"/>
    <mergeCell ref="L339:O339"/>
    <mergeCell ref="B340:C340"/>
    <mergeCell ref="E340:F340"/>
    <mergeCell ref="L340:O340"/>
    <mergeCell ref="B341:C341"/>
    <mergeCell ref="E341:F341"/>
    <mergeCell ref="L341:O341"/>
    <mergeCell ref="B342:C342"/>
    <mergeCell ref="E342:F342"/>
    <mergeCell ref="L342:O342"/>
    <mergeCell ref="B343:C343"/>
    <mergeCell ref="E343:F343"/>
    <mergeCell ref="L343:O343"/>
    <mergeCell ref="B344:C344"/>
    <mergeCell ref="E344:F344"/>
    <mergeCell ref="L344:O344"/>
    <mergeCell ref="B345:C345"/>
    <mergeCell ref="E345:F345"/>
    <mergeCell ref="L345:O345"/>
    <mergeCell ref="B346:C346"/>
    <mergeCell ref="E346:F346"/>
    <mergeCell ref="L346:O346"/>
    <mergeCell ref="B347:C347"/>
    <mergeCell ref="E347:F347"/>
    <mergeCell ref="L347:O347"/>
    <mergeCell ref="B348:C348"/>
    <mergeCell ref="E348:F348"/>
    <mergeCell ref="L348:O348"/>
    <mergeCell ref="B349:C349"/>
    <mergeCell ref="E349:F349"/>
    <mergeCell ref="L349:O349"/>
    <mergeCell ref="B350:C350"/>
    <mergeCell ref="E350:F350"/>
    <mergeCell ref="L350:O350"/>
    <mergeCell ref="B351:C351"/>
    <mergeCell ref="E351:F351"/>
    <mergeCell ref="L351:O351"/>
    <mergeCell ref="B352:C352"/>
    <mergeCell ref="E352:F352"/>
    <mergeCell ref="L352:O352"/>
    <mergeCell ref="B353:C353"/>
    <mergeCell ref="E353:F353"/>
    <mergeCell ref="L353:O353"/>
    <mergeCell ref="B354:C354"/>
    <mergeCell ref="E354:F354"/>
    <mergeCell ref="L354:O354"/>
    <mergeCell ref="B355:C355"/>
    <mergeCell ref="E355:F355"/>
    <mergeCell ref="L355:O355"/>
    <mergeCell ref="B356:C356"/>
    <mergeCell ref="E356:F356"/>
    <mergeCell ref="L356:O356"/>
    <mergeCell ref="B357:C357"/>
    <mergeCell ref="E357:F357"/>
    <mergeCell ref="L357:O357"/>
    <mergeCell ref="B358:C358"/>
    <mergeCell ref="E358:F358"/>
    <mergeCell ref="L358:O358"/>
    <mergeCell ref="B359:C359"/>
    <mergeCell ref="E359:F359"/>
    <mergeCell ref="L359:O359"/>
    <mergeCell ref="B360:C360"/>
    <mergeCell ref="E360:F360"/>
    <mergeCell ref="L360:O360"/>
    <mergeCell ref="B361:C361"/>
    <mergeCell ref="E361:F361"/>
    <mergeCell ref="L361:O361"/>
    <mergeCell ref="B362:C362"/>
    <mergeCell ref="E362:F362"/>
    <mergeCell ref="L362:O362"/>
    <mergeCell ref="B363:C363"/>
    <mergeCell ref="E363:F363"/>
    <mergeCell ref="L363:O363"/>
    <mergeCell ref="B364:C364"/>
    <mergeCell ref="E364:F364"/>
    <mergeCell ref="L364:O364"/>
    <mergeCell ref="B365:C365"/>
    <mergeCell ref="E365:F365"/>
    <mergeCell ref="L365:O365"/>
    <mergeCell ref="B366:C366"/>
    <mergeCell ref="E366:F366"/>
    <mergeCell ref="L366:O366"/>
    <mergeCell ref="B367:C367"/>
    <mergeCell ref="E367:F367"/>
    <mergeCell ref="L367:O367"/>
    <mergeCell ref="B368:C368"/>
    <mergeCell ref="E368:F368"/>
    <mergeCell ref="L368:O368"/>
    <mergeCell ref="B369:C369"/>
    <mergeCell ref="E369:F369"/>
    <mergeCell ref="L369:O369"/>
    <mergeCell ref="B370:C370"/>
    <mergeCell ref="E370:F370"/>
    <mergeCell ref="L370:O370"/>
    <mergeCell ref="B371:C371"/>
    <mergeCell ref="E371:F371"/>
    <mergeCell ref="L371:O371"/>
    <mergeCell ref="B372:C372"/>
    <mergeCell ref="E372:F372"/>
    <mergeCell ref="L372:O372"/>
    <mergeCell ref="B373:C373"/>
    <mergeCell ref="E373:F373"/>
    <mergeCell ref="L373:O373"/>
    <mergeCell ref="B374:C374"/>
    <mergeCell ref="E374:F374"/>
    <mergeCell ref="L374:O374"/>
    <mergeCell ref="B375:C375"/>
    <mergeCell ref="E375:F375"/>
    <mergeCell ref="L375:O375"/>
    <mergeCell ref="B376:C376"/>
    <mergeCell ref="E376:F376"/>
    <mergeCell ref="L376:O376"/>
    <mergeCell ref="B377:C377"/>
    <mergeCell ref="E377:F377"/>
    <mergeCell ref="L377:O377"/>
    <mergeCell ref="B378:C378"/>
    <mergeCell ref="E378:F378"/>
    <mergeCell ref="L378:O378"/>
    <mergeCell ref="B379:C379"/>
    <mergeCell ref="E379:F379"/>
    <mergeCell ref="L379:O379"/>
    <mergeCell ref="B380:C380"/>
    <mergeCell ref="E380:F380"/>
    <mergeCell ref="L380:O380"/>
    <mergeCell ref="B381:C381"/>
    <mergeCell ref="E381:F381"/>
    <mergeCell ref="L381:O381"/>
    <mergeCell ref="B382:C382"/>
    <mergeCell ref="E382:F382"/>
    <mergeCell ref="L382:O382"/>
    <mergeCell ref="B383:C383"/>
    <mergeCell ref="E383:F383"/>
    <mergeCell ref="L383:O383"/>
    <mergeCell ref="B384:C384"/>
    <mergeCell ref="E384:F384"/>
    <mergeCell ref="L384:O384"/>
    <mergeCell ref="B385:C385"/>
    <mergeCell ref="E385:F385"/>
    <mergeCell ref="L385:O385"/>
    <mergeCell ref="B386:C386"/>
    <mergeCell ref="E386:F386"/>
    <mergeCell ref="L386:O386"/>
    <mergeCell ref="B387:C387"/>
    <mergeCell ref="E387:F387"/>
    <mergeCell ref="L387:O387"/>
    <mergeCell ref="B388:C388"/>
    <mergeCell ref="E388:F388"/>
    <mergeCell ref="L388:O388"/>
    <mergeCell ref="B389:C389"/>
    <mergeCell ref="E389:F389"/>
    <mergeCell ref="L389:O389"/>
    <mergeCell ref="B390:C390"/>
    <mergeCell ref="E390:F390"/>
    <mergeCell ref="L390:O390"/>
    <mergeCell ref="B391:C391"/>
    <mergeCell ref="E391:F391"/>
    <mergeCell ref="L391:O391"/>
    <mergeCell ref="B392:C392"/>
    <mergeCell ref="E392:F392"/>
    <mergeCell ref="L392:O392"/>
    <mergeCell ref="B393:C393"/>
    <mergeCell ref="E393:F393"/>
    <mergeCell ref="L393:O393"/>
    <mergeCell ref="B394:C394"/>
    <mergeCell ref="E394:F394"/>
    <mergeCell ref="L394:O394"/>
    <mergeCell ref="B395:C395"/>
    <mergeCell ref="E395:F395"/>
    <mergeCell ref="L395:O395"/>
    <mergeCell ref="B396:C396"/>
    <mergeCell ref="E396:F396"/>
    <mergeCell ref="L396:O396"/>
    <mergeCell ref="B397:C397"/>
    <mergeCell ref="E397:F397"/>
    <mergeCell ref="L397:O397"/>
    <mergeCell ref="B398:C398"/>
    <mergeCell ref="E398:F398"/>
    <mergeCell ref="L398:O398"/>
    <mergeCell ref="B399:C399"/>
    <mergeCell ref="E399:F399"/>
    <mergeCell ref="L399:O399"/>
    <mergeCell ref="A400:B400"/>
    <mergeCell ref="C400:N400"/>
    <mergeCell ref="O400:P400"/>
    <mergeCell ref="A401:P401"/>
    <mergeCell ref="A402:B402"/>
    <mergeCell ref="C402:N402"/>
    <mergeCell ref="O402:P402"/>
    <mergeCell ref="A403:B403"/>
    <mergeCell ref="C403:N403"/>
    <mergeCell ref="O403:P403"/>
    <mergeCell ref="A404:E404"/>
    <mergeCell ref="F404:L404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400"/>
  <sheetViews>
    <sheetView workbookViewId="0"/>
  </sheetViews>
  <sheetFormatPr defaultRowHeight="15.0"/>
  <cols>
    <col min="1" max="1" width="9.5703125" customWidth="true"/>
    <col min="2" max="2" width="15.140625" customWidth="true"/>
    <col min="3" max="3" width="5.42578125" customWidth="true"/>
    <col min="4" max="4" width="20.5703125" customWidth="true"/>
    <col min="5" max="5" width="17.85546875" customWidth="true"/>
    <col min="6" max="6" width="2.7109375" customWidth="true"/>
    <col min="7" max="7" width="9.5703125" customWidth="true"/>
    <col min="8" max="8" width="9.5703125" customWidth="true"/>
    <col min="9" max="9" width="9.5703125" customWidth="true"/>
    <col min="10" max="10" width="9.5703125" customWidth="true"/>
    <col min="11" max="11" width="9.5703125" customWidth="true"/>
    <col min="12" max="12" width="11.0" customWidth="true"/>
    <col min="13" max="13" width="1.42578125" customWidth="true"/>
    <col min="14" max="14" width="5.42578125" customWidth="true"/>
    <col min="15" max="15" width="2.7109375" customWidth="true"/>
    <col min="16" max="16" width="20.5703125" customWidth="true"/>
    <col min="17" max="17" width="9.140625" customWidth="true"/>
    <col min="18" max="18" width="9.140625" customWidth="true"/>
    <col min="19" max="19" width="8.0" customWidth="true"/>
  </cols>
  <sheetData>
    <row r="1">
      <c r="A1" s="7254"/>
      <c r="B1" s="7255"/>
      <c r="C1" s="7256"/>
      <c r="D1" s="7257"/>
      <c r="E1" s="7258"/>
      <c r="F1" s="7259"/>
      <c r="G1" s="7260"/>
      <c r="H1" s="7261"/>
      <c r="I1" s="7262"/>
      <c r="J1" s="7263"/>
      <c r="K1" s="7264"/>
      <c r="L1" s="7265"/>
      <c r="M1" s="7266"/>
      <c r="N1" s="7267"/>
    </row>
    <row r="2" ht="28.5" customHeight="true">
      <c r="A2" s="7268" t="s">
        <v>0</v>
      </c>
      <c r="B2" s="7269"/>
      <c r="C2" s="7270"/>
      <c r="D2" s="7271"/>
      <c r="E2" s="7272"/>
      <c r="F2" s="7273"/>
      <c r="G2" s="7274"/>
      <c r="H2" s="7275"/>
      <c r="I2" s="7276"/>
      <c r="J2" s="7277"/>
      <c r="K2" s="7278"/>
      <c r="L2" s="7279"/>
      <c r="M2" s="7280"/>
      <c r="N2" s="7281"/>
      <c r="O2" s="7282"/>
      <c r="P2" s="7283"/>
    </row>
    <row r="3" ht="39.0" customHeight="true">
      <c r="A3" s="7284" t="s">
        <v>1</v>
      </c>
      <c r="B3" s="7285" t="s">
        <v>2</v>
      </c>
      <c r="C3" s="7286"/>
      <c r="D3" s="7287" t="s">
        <v>3</v>
      </c>
      <c r="E3" s="7288" t="s">
        <v>4</v>
      </c>
      <c r="F3" s="7289"/>
      <c r="G3" s="7290" t="s">
        <v>5</v>
      </c>
      <c r="H3" s="7291" t="s">
        <v>6</v>
      </c>
      <c r="I3" s="7292"/>
      <c r="J3" s="7293" t="s">
        <v>7</v>
      </c>
      <c r="K3" s="7294"/>
      <c r="L3" s="7295" t="s">
        <v>8</v>
      </c>
      <c r="M3" s="7296"/>
      <c r="N3" s="7297"/>
      <c r="O3" s="7298"/>
      <c r="P3" s="7299" t="s">
        <v>9</v>
      </c>
    </row>
    <row r="4" ht="25.5" customHeight="true">
      <c r="A4" s="7300" t="s">
        <v>11</v>
      </c>
      <c r="B4" s="7301" t="s">
        <v>12</v>
      </c>
      <c r="C4" s="7302"/>
      <c r="D4" s="7303" t="s">
        <v>13</v>
      </c>
      <c r="E4" s="7304" t="s">
        <v>14</v>
      </c>
      <c r="F4" s="7305"/>
      <c r="G4" s="7306" t="s">
        <v>15</v>
      </c>
      <c r="H4" s="7307" t="n">
        <v>42901.605922476854</v>
      </c>
      <c r="I4" s="7308" t="n">
        <v>42901.605922476854</v>
      </c>
      <c r="J4" s="7309" t="n">
        <v>42884.53125019676</v>
      </c>
      <c r="K4" s="7310" t="n">
        <v>42884.53125019676</v>
      </c>
      <c r="L4" s="7311" t="s">
        <v>16</v>
      </c>
      <c r="M4" s="7312"/>
      <c r="N4" s="7313"/>
      <c r="O4" s="7314"/>
      <c r="P4" s="7315" t="s">
        <v>17</v>
      </c>
      <c r="Q4" s="7316">
        <f>TODAY()-j4</f>
      </c>
      <c r="R4" s="7317">
        <f>VLOOKUP(A4,'Last Week'!A4:I385,7,FALSE)</f>
      </c>
    </row>
    <row r="5" ht="25.5" customHeight="true">
      <c r="A5" s="7318" t="s">
        <v>18</v>
      </c>
      <c r="B5" s="7319" t="s">
        <v>19</v>
      </c>
      <c r="C5" s="7320"/>
      <c r="D5" s="7321" t="s">
        <v>20</v>
      </c>
      <c r="E5" s="7322" t="s">
        <v>21</v>
      </c>
      <c r="F5" s="7323"/>
      <c r="G5" s="7324" t="s">
        <v>15</v>
      </c>
      <c r="H5" s="7325" t="n">
        <v>43032.392322465275</v>
      </c>
      <c r="I5" s="7326" t="n">
        <v>43032.392322465275</v>
      </c>
      <c r="J5" s="7327" t="n">
        <v>42884.58749237269</v>
      </c>
      <c r="K5" s="7328" t="n">
        <v>42884.58749237269</v>
      </c>
      <c r="L5" s="7329" t="s">
        <v>16</v>
      </c>
      <c r="M5" s="7330"/>
      <c r="N5" s="7331"/>
      <c r="O5" s="7332"/>
      <c r="P5" s="7333" t="s">
        <v>17</v>
      </c>
      <c r="Q5" s="7334">
        <f>TODAY()-j5</f>
      </c>
      <c r="R5" s="7335">
        <f>VLOOKUP(A5,'Last Week'!A4:I385,7,FALSE)</f>
      </c>
    </row>
    <row r="6" ht="25.5" customHeight="true">
      <c r="A6" s="7336" t="s">
        <v>22</v>
      </c>
      <c r="B6" s="7337" t="s">
        <v>23</v>
      </c>
      <c r="C6" s="7338"/>
      <c r="D6" s="7339" t="s">
        <v>24</v>
      </c>
      <c r="E6" s="7340" t="s">
        <v>25</v>
      </c>
      <c r="F6" s="7341"/>
      <c r="G6" s="7342" t="s">
        <v>15</v>
      </c>
      <c r="H6" s="7343" t="n">
        <v>42901.608117800926</v>
      </c>
      <c r="I6" s="7344" t="n">
        <v>42901.608117800926</v>
      </c>
      <c r="J6" s="7345" t="n">
        <v>42884.691552731485</v>
      </c>
      <c r="K6" s="7346" t="n">
        <v>42884.691552731485</v>
      </c>
      <c r="L6" s="7347" t="s">
        <v>16</v>
      </c>
      <c r="M6" s="7348"/>
      <c r="N6" s="7349"/>
      <c r="O6" s="7350"/>
      <c r="P6" s="7351" t="s">
        <v>17</v>
      </c>
      <c r="Q6" s="7352">
        <f>TODAY()-j6</f>
      </c>
      <c r="R6" s="7353">
        <f>VLOOKUP(A6,'Last Week'!A4:I385,7,FALSE)</f>
      </c>
    </row>
    <row r="7" ht="25.5" customHeight="true">
      <c r="A7" s="7354" t="s">
        <v>26</v>
      </c>
      <c r="B7" s="7355" t="s">
        <v>27</v>
      </c>
      <c r="C7" s="7356"/>
      <c r="D7" s="7357" t="s">
        <v>28</v>
      </c>
      <c r="E7" s="7358" t="s">
        <v>29</v>
      </c>
      <c r="F7" s="7359"/>
      <c r="G7" s="7360" t="s">
        <v>15</v>
      </c>
      <c r="H7" s="7361" t="n">
        <v>42898.42485040509</v>
      </c>
      <c r="I7" s="7362" t="n">
        <v>42898.42485040509</v>
      </c>
      <c r="J7" s="7363" t="n">
        <v>42884.71997431713</v>
      </c>
      <c r="K7" s="7364" t="n">
        <v>42884.71997431713</v>
      </c>
      <c r="L7" s="7365" t="s">
        <v>16</v>
      </c>
      <c r="M7" s="7366"/>
      <c r="N7" s="7367"/>
      <c r="O7" s="7368"/>
      <c r="P7" s="7369" t="s">
        <v>30</v>
      </c>
      <c r="Q7" s="7370">
        <f>TODAY()-j7</f>
      </c>
      <c r="R7" s="7371">
        <f>VLOOKUP(A7,'Last Week'!A4:I385,7,FALSE)</f>
      </c>
    </row>
    <row r="8" ht="25.5" customHeight="true">
      <c r="A8" s="7372" t="s">
        <v>31</v>
      </c>
      <c r="B8" s="7373" t="s">
        <v>32</v>
      </c>
      <c r="C8" s="7374"/>
      <c r="D8" s="7375" t="s">
        <v>33</v>
      </c>
      <c r="E8" s="7376" t="s">
        <v>34</v>
      </c>
      <c r="F8" s="7377"/>
      <c r="G8" s="7378" t="s">
        <v>15</v>
      </c>
      <c r="H8" s="7379" t="n">
        <v>42888.487948090275</v>
      </c>
      <c r="I8" s="7380" t="n">
        <v>42888.487948090275</v>
      </c>
      <c r="J8" s="7381" t="n">
        <v>42884.85947506945</v>
      </c>
      <c r="K8" s="7382" t="n">
        <v>42884.85947506945</v>
      </c>
      <c r="L8" s="7383" t="s">
        <v>16</v>
      </c>
      <c r="M8" s="7384"/>
      <c r="N8" s="7385"/>
      <c r="O8" s="7386"/>
      <c r="P8" s="7387" t="s">
        <v>30</v>
      </c>
      <c r="Q8" s="7388">
        <f>TODAY()-j8</f>
      </c>
      <c r="R8" s="7389">
        <f>VLOOKUP(A8,'Last Week'!A4:I385,7,FALSE)</f>
      </c>
    </row>
    <row r="9" ht="25.5" customHeight="true">
      <c r="A9" s="7390" t="s">
        <v>35</v>
      </c>
      <c r="B9" s="7391" t="s">
        <v>36</v>
      </c>
      <c r="C9" s="7392"/>
      <c r="D9" s="7393" t="s">
        <v>37</v>
      </c>
      <c r="E9" s="7394" t="s">
        <v>38</v>
      </c>
      <c r="F9" s="7395"/>
      <c r="G9" s="7396" t="s">
        <v>15</v>
      </c>
      <c r="H9" s="7397" t="n">
        <v>42892.69951556713</v>
      </c>
      <c r="I9" s="7398" t="n">
        <v>42892.69951556713</v>
      </c>
      <c r="J9" s="7399" t="n">
        <v>42886.6004946875</v>
      </c>
      <c r="K9" s="7400" t="n">
        <v>42886.6004946875</v>
      </c>
      <c r="L9" s="7401" t="s">
        <v>16</v>
      </c>
      <c r="M9" s="7402"/>
      <c r="N9" s="7403"/>
      <c r="O9" s="7404"/>
      <c r="P9" s="7405" t="s">
        <v>30</v>
      </c>
      <c r="Q9" s="7406">
        <f>TODAY()-j9</f>
      </c>
      <c r="R9" s="7407">
        <f>VLOOKUP(A9,'Last Week'!A4:I385,7,FALSE)</f>
      </c>
    </row>
    <row r="10" ht="25.5" customHeight="true">
      <c r="A10" s="7408" t="s">
        <v>39</v>
      </c>
      <c r="B10" s="7409" t="s">
        <v>40</v>
      </c>
      <c r="C10" s="7410"/>
      <c r="D10" s="7411" t="s">
        <v>41</v>
      </c>
      <c r="E10" s="7412" t="s">
        <v>42</v>
      </c>
      <c r="F10" s="7413"/>
      <c r="G10" s="7414" t="s">
        <v>15</v>
      </c>
      <c r="H10" s="7415" t="n">
        <v>42941.76143846065</v>
      </c>
      <c r="I10" s="7416" t="n">
        <v>42941.76143846065</v>
      </c>
      <c r="J10" s="7417" t="n">
        <v>42886.915679502315</v>
      </c>
      <c r="K10" s="7418" t="n">
        <v>42886.915679502315</v>
      </c>
      <c r="L10" s="7419" t="s">
        <v>16</v>
      </c>
      <c r="M10" s="7420"/>
      <c r="N10" s="7421"/>
      <c r="O10" s="7422"/>
      <c r="P10" s="7423" t="s">
        <v>30</v>
      </c>
      <c r="Q10" s="7424">
        <f>TODAY()-j10</f>
      </c>
      <c r="R10" s="7425">
        <f>VLOOKUP(A10,'Last Week'!A4:I385,7,FALSE)</f>
      </c>
    </row>
    <row r="11" ht="25.5" customHeight="true">
      <c r="A11" s="7426" t="s">
        <v>43</v>
      </c>
      <c r="B11" s="7427" t="s">
        <v>44</v>
      </c>
      <c r="C11" s="7428"/>
      <c r="D11" s="7429" t="s">
        <v>45</v>
      </c>
      <c r="E11" s="7430" t="s">
        <v>46</v>
      </c>
      <c r="F11" s="7431"/>
      <c r="G11" s="7432" t="s">
        <v>15</v>
      </c>
      <c r="H11" s="7433" t="n">
        <v>42895.70577489583</v>
      </c>
      <c r="I11" s="7434" t="n">
        <v>42895.70577489583</v>
      </c>
      <c r="J11" s="7435" t="n">
        <v>42888.74948726852</v>
      </c>
      <c r="K11" s="7436" t="n">
        <v>42888.74948726852</v>
      </c>
      <c r="L11" s="7437" t="s">
        <v>16</v>
      </c>
      <c r="M11" s="7438"/>
      <c r="N11" s="7439"/>
      <c r="O11" s="7440"/>
      <c r="P11" s="7441" t="s">
        <v>47</v>
      </c>
      <c r="Q11" s="7442">
        <f>TODAY()-j11</f>
      </c>
      <c r="R11" s="7443">
        <f>VLOOKUP(A11,'Last Week'!A4:I385,7,FALSE)</f>
      </c>
    </row>
    <row r="12" ht="25.5" customHeight="true">
      <c r="A12" s="7444" t="s">
        <v>48</v>
      </c>
      <c r="B12" s="7445" t="s">
        <v>49</v>
      </c>
      <c r="C12" s="7446"/>
      <c r="D12" s="7447" t="s">
        <v>50</v>
      </c>
      <c r="E12" s="7448" t="s">
        <v>51</v>
      </c>
      <c r="F12" s="7449"/>
      <c r="G12" s="7450" t="s">
        <v>15</v>
      </c>
      <c r="H12" s="7451" t="n">
        <v>42891.67452011574</v>
      </c>
      <c r="I12" s="7452" t="n">
        <v>42891.67452011574</v>
      </c>
      <c r="J12" s="7453" t="n">
        <v>42889.277610578705</v>
      </c>
      <c r="K12" s="7454" t="n">
        <v>42889.277610578705</v>
      </c>
      <c r="L12" s="7455" t="s">
        <v>16</v>
      </c>
      <c r="M12" s="7456"/>
      <c r="N12" s="7457"/>
      <c r="O12" s="7458"/>
      <c r="P12" s="7459" t="s">
        <v>47</v>
      </c>
      <c r="Q12" s="7460">
        <f>TODAY()-j12</f>
      </c>
      <c r="R12" s="7461">
        <f>VLOOKUP(A12,'Last Week'!A4:I385,7,FALSE)</f>
      </c>
    </row>
    <row r="13" ht="25.5" customHeight="true">
      <c r="A13" s="7462" t="s">
        <v>52</v>
      </c>
      <c r="B13" s="7463" t="s">
        <v>49</v>
      </c>
      <c r="C13" s="7464"/>
      <c r="D13" s="7465" t="s">
        <v>50</v>
      </c>
      <c r="E13" s="7466" t="s">
        <v>51</v>
      </c>
      <c r="F13" s="7467"/>
      <c r="G13" s="7468" t="s">
        <v>15</v>
      </c>
      <c r="H13" s="7469" t="n">
        <v>42892.49688520833</v>
      </c>
      <c r="I13" s="7470" t="n">
        <v>42892.49688520833</v>
      </c>
      <c r="J13" s="7471" t="n">
        <v>42889.27957728009</v>
      </c>
      <c r="K13" s="7472" t="n">
        <v>42889.27957728009</v>
      </c>
      <c r="L13" s="7473" t="s">
        <v>16</v>
      </c>
      <c r="M13" s="7474"/>
      <c r="N13" s="7475"/>
      <c r="O13" s="7476"/>
      <c r="P13" s="7477" t="s">
        <v>47</v>
      </c>
      <c r="Q13" s="7478">
        <f>TODAY()-j13</f>
      </c>
      <c r="R13" s="7479">
        <f>VLOOKUP(A13,'Last Week'!A4:I385,7,FALSE)</f>
      </c>
    </row>
    <row r="14" ht="25.5" customHeight="true">
      <c r="A14" s="7480" t="s">
        <v>53</v>
      </c>
      <c r="B14" s="7481" t="s">
        <v>54</v>
      </c>
      <c r="C14" s="7482"/>
      <c r="D14" s="7483" t="s">
        <v>55</v>
      </c>
      <c r="E14" s="7484" t="s">
        <v>56</v>
      </c>
      <c r="F14" s="7485"/>
      <c r="G14" s="7486" t="s">
        <v>15</v>
      </c>
      <c r="H14" s="7487" t="n">
        <v>42892.48885673611</v>
      </c>
      <c r="I14" s="7488" t="n">
        <v>42892.48885673611</v>
      </c>
      <c r="J14" s="7489" t="n">
        <v>42891.491550694445</v>
      </c>
      <c r="K14" s="7490" t="n">
        <v>42891.491550694445</v>
      </c>
      <c r="L14" s="7491" t="s">
        <v>16</v>
      </c>
      <c r="M14" s="7492"/>
      <c r="N14" s="7493"/>
      <c r="O14" s="7494"/>
      <c r="P14" s="7495" t="s">
        <v>47</v>
      </c>
      <c r="Q14" s="7496">
        <f>TODAY()-j14</f>
      </c>
      <c r="R14" s="7497">
        <f>VLOOKUP(A14,'Last Week'!A4:I385,7,FALSE)</f>
      </c>
    </row>
    <row r="15" ht="25.5" customHeight="true">
      <c r="A15" s="7498" t="s">
        <v>57</v>
      </c>
      <c r="B15" s="7499" t="s">
        <v>58</v>
      </c>
      <c r="C15" s="7500"/>
      <c r="D15" s="7501" t="s">
        <v>55</v>
      </c>
      <c r="E15" s="7502" t="s">
        <v>56</v>
      </c>
      <c r="F15" s="7503"/>
      <c r="G15" s="7504" t="s">
        <v>15</v>
      </c>
      <c r="H15" s="7505" t="n">
        <v>42891.68164873843</v>
      </c>
      <c r="I15" s="7506" t="n">
        <v>42891.68164873843</v>
      </c>
      <c r="J15" s="7507" t="n">
        <v>42891.49490052083</v>
      </c>
      <c r="K15" s="7508" t="n">
        <v>42891.49490052083</v>
      </c>
      <c r="L15" s="7509" t="s">
        <v>16</v>
      </c>
      <c r="M15" s="7510"/>
      <c r="N15" s="7511"/>
      <c r="O15" s="7512"/>
      <c r="P15" s="7513" t="s">
        <v>59</v>
      </c>
      <c r="Q15" s="7514">
        <f>TODAY()-j15</f>
      </c>
      <c r="R15" s="7515">
        <f>VLOOKUP(A15,'Last Week'!A4:I385,7,FALSE)</f>
      </c>
    </row>
    <row r="16" ht="25.5" customHeight="true">
      <c r="A16" s="7516" t="s">
        <v>60</v>
      </c>
      <c r="B16" s="7517" t="s">
        <v>61</v>
      </c>
      <c r="C16" s="7518"/>
      <c r="D16" s="7519" t="s">
        <v>62</v>
      </c>
      <c r="E16" s="7520" t="s">
        <v>63</v>
      </c>
      <c r="F16" s="7521"/>
      <c r="G16" s="7522" t="s">
        <v>15</v>
      </c>
      <c r="H16" s="7523" t="n">
        <v>42894.62844371528</v>
      </c>
      <c r="I16" s="7524" t="n">
        <v>42894.62844371528</v>
      </c>
      <c r="J16" s="7525" t="n">
        <v>42891.68884009259</v>
      </c>
      <c r="K16" s="7526" t="n">
        <v>42891.68884009259</v>
      </c>
      <c r="L16" s="7527" t="s">
        <v>16</v>
      </c>
      <c r="M16" s="7528"/>
      <c r="N16" s="7529"/>
      <c r="O16" s="7530"/>
      <c r="P16" s="7531" t="s">
        <v>47</v>
      </c>
      <c r="Q16" s="7532">
        <f>TODAY()-j16</f>
      </c>
      <c r="R16" s="7533">
        <f>VLOOKUP(A16,'Last Week'!A4:I385,7,FALSE)</f>
      </c>
    </row>
    <row r="17" ht="25.5" customHeight="true">
      <c r="A17" s="7534" t="s">
        <v>64</v>
      </c>
      <c r="B17" s="7535" t="s">
        <v>65</v>
      </c>
      <c r="C17" s="7536"/>
      <c r="D17" s="7537" t="s">
        <v>66</v>
      </c>
      <c r="E17" s="7538" t="s">
        <v>66</v>
      </c>
      <c r="F17" s="7539"/>
      <c r="G17" s="7540" t="s">
        <v>15</v>
      </c>
      <c r="H17" s="7541" t="n">
        <v>42897.87539138889</v>
      </c>
      <c r="I17" s="7542" t="n">
        <v>42897.87539138889</v>
      </c>
      <c r="J17" s="7543" t="n">
        <v>42892.41195673611</v>
      </c>
      <c r="K17" s="7544" t="n">
        <v>42892.41195673611</v>
      </c>
      <c r="L17" s="7545" t="s">
        <v>16</v>
      </c>
      <c r="M17" s="7546"/>
      <c r="N17" s="7547"/>
      <c r="O17" s="7548"/>
      <c r="P17" s="7549" t="s">
        <v>17</v>
      </c>
      <c r="Q17" s="7550">
        <f>TODAY()-j17</f>
      </c>
      <c r="R17" s="7551">
        <f>VLOOKUP(A17,'Last Week'!A4:I385,7,FALSE)</f>
      </c>
    </row>
    <row r="18" ht="25.5" customHeight="true">
      <c r="A18" s="7552" t="s">
        <v>67</v>
      </c>
      <c r="B18" s="7553" t="s">
        <v>68</v>
      </c>
      <c r="C18" s="7554"/>
      <c r="D18" s="7555" t="s">
        <v>69</v>
      </c>
      <c r="E18" s="7556" t="s">
        <v>69</v>
      </c>
      <c r="F18" s="7557"/>
      <c r="G18" s="7558" t="s">
        <v>15</v>
      </c>
      <c r="H18" s="7559" t="n">
        <v>43217.08540847222</v>
      </c>
      <c r="I18" s="7560" t="n">
        <v>43217.08540847222</v>
      </c>
      <c r="J18" s="7561" t="n">
        <v>42892.53332899306</v>
      </c>
      <c r="K18" s="7562" t="n">
        <v>42892.53332899306</v>
      </c>
      <c r="L18" s="7563" t="s">
        <v>16</v>
      </c>
      <c r="M18" s="7564"/>
      <c r="N18" s="7565"/>
      <c r="O18" s="7566"/>
      <c r="P18" s="7567" t="s">
        <v>17</v>
      </c>
      <c r="Q18" s="7568">
        <f>TODAY()-j18</f>
      </c>
      <c r="R18" s="7569">
        <f>VLOOKUP(A18,'Last Week'!A4:I385,7,FALSE)</f>
      </c>
    </row>
    <row r="19" ht="25.5" customHeight="true">
      <c r="A19" s="7570" t="s">
        <v>70</v>
      </c>
      <c r="B19" s="7571" t="s">
        <v>71</v>
      </c>
      <c r="C19" s="7572"/>
      <c r="D19" s="7573" t="s">
        <v>72</v>
      </c>
      <c r="E19" s="7574" t="s">
        <v>73</v>
      </c>
      <c r="F19" s="7575"/>
      <c r="G19" s="7576" t="s">
        <v>15</v>
      </c>
      <c r="H19" s="7577" t="n">
        <v>42892.702214895835</v>
      </c>
      <c r="I19" s="7578" t="n">
        <v>42892.702214895835</v>
      </c>
      <c r="J19" s="7579" t="n">
        <v>42892.59432877315</v>
      </c>
      <c r="K19" s="7580" t="n">
        <v>42892.59432877315</v>
      </c>
      <c r="L19" s="7581" t="s">
        <v>16</v>
      </c>
      <c r="M19" s="7582"/>
      <c r="N19" s="7583"/>
      <c r="O19" s="7584"/>
      <c r="P19" s="7585" t="s">
        <v>47</v>
      </c>
      <c r="Q19" s="7586">
        <f>TODAY()-j19</f>
      </c>
      <c r="R19" s="7587">
        <f>VLOOKUP(A19,'Last Week'!A4:I385,7,FALSE)</f>
      </c>
    </row>
    <row r="20" ht="25.5" customHeight="true">
      <c r="A20" s="7588" t="s">
        <v>74</v>
      </c>
      <c r="B20" s="7589" t="s">
        <v>75</v>
      </c>
      <c r="C20" s="7590"/>
      <c r="D20" s="7591" t="s">
        <v>76</v>
      </c>
      <c r="E20" s="7592" t="s">
        <v>42</v>
      </c>
      <c r="F20" s="7593"/>
      <c r="G20" s="7594" t="s">
        <v>15</v>
      </c>
      <c r="H20" s="7595" t="n">
        <v>42893.488849953705</v>
      </c>
      <c r="I20" s="7596" t="n">
        <v>42893.488849953705</v>
      </c>
      <c r="J20" s="7597" t="n">
        <v>42892.783370763886</v>
      </c>
      <c r="K20" s="7598" t="n">
        <v>42892.783370763886</v>
      </c>
      <c r="L20" s="7599" t="s">
        <v>16</v>
      </c>
      <c r="M20" s="7600"/>
      <c r="N20" s="7601"/>
      <c r="O20" s="7602"/>
      <c r="P20" s="7603" t="s">
        <v>47</v>
      </c>
      <c r="Q20" s="7604">
        <f>TODAY()-j20</f>
      </c>
      <c r="R20" s="7605">
        <f>VLOOKUP(A20,'Last Week'!A4:I385,7,FALSE)</f>
      </c>
    </row>
    <row r="21" ht="25.5" customHeight="true">
      <c r="A21" s="7606" t="s">
        <v>77</v>
      </c>
      <c r="B21" s="7607" t="s">
        <v>78</v>
      </c>
      <c r="C21" s="7608"/>
      <c r="D21" s="7609" t="s">
        <v>79</v>
      </c>
      <c r="E21" s="7610" t="s">
        <v>79</v>
      </c>
      <c r="F21" s="7611"/>
      <c r="G21" s="7612" t="s">
        <v>15</v>
      </c>
      <c r="H21" s="7613" t="n">
        <v>42935.52438688657</v>
      </c>
      <c r="I21" s="7614" t="n">
        <v>42935.52438688657</v>
      </c>
      <c r="J21" s="7615" t="n">
        <v>42898.39492184028</v>
      </c>
      <c r="K21" s="7616" t="n">
        <v>42898.39492184028</v>
      </c>
      <c r="L21" s="7617" t="s">
        <v>16</v>
      </c>
      <c r="M21" s="7618"/>
      <c r="N21" s="7619"/>
      <c r="O21" s="7620"/>
      <c r="P21" s="7621" t="s">
        <v>17</v>
      </c>
      <c r="Q21" s="7622">
        <f>TODAY()-j21</f>
      </c>
      <c r="R21" s="7623">
        <f>VLOOKUP(A21,'Last Week'!A4:I385,7,FALSE)</f>
      </c>
    </row>
    <row r="22" ht="25.5" customHeight="true">
      <c r="A22" s="7624" t="s">
        <v>80</v>
      </c>
      <c r="B22" s="7625" t="s">
        <v>81</v>
      </c>
      <c r="C22" s="7626"/>
      <c r="D22" s="7627" t="s">
        <v>55</v>
      </c>
      <c r="E22" s="7628" t="s">
        <v>82</v>
      </c>
      <c r="F22" s="7629"/>
      <c r="G22" s="7630" t="s">
        <v>15</v>
      </c>
      <c r="H22" s="7631" t="n">
        <v>42899.514553402776</v>
      </c>
      <c r="I22" s="7632" t="n">
        <v>42899.514553402776</v>
      </c>
      <c r="J22" s="7633" t="n">
        <v>42898.440192835646</v>
      </c>
      <c r="K22" s="7634" t="n">
        <v>42898.440192835646</v>
      </c>
      <c r="L22" s="7635" t="s">
        <v>16</v>
      </c>
      <c r="M22" s="7636"/>
      <c r="N22" s="7637"/>
      <c r="O22" s="7638"/>
      <c r="P22" s="7639" t="s">
        <v>59</v>
      </c>
      <c r="Q22" s="7640">
        <f>TODAY()-j22</f>
      </c>
      <c r="R22" s="7641">
        <f>VLOOKUP(A22,'Last Week'!A4:I385,7,FALSE)</f>
      </c>
    </row>
    <row r="23" ht="25.5" customHeight="true">
      <c r="A23" s="7642" t="s">
        <v>83</v>
      </c>
      <c r="B23" s="7643" t="s">
        <v>84</v>
      </c>
      <c r="C23" s="7644"/>
      <c r="D23" s="7645" t="s">
        <v>85</v>
      </c>
      <c r="E23" s="7646" t="s">
        <v>17</v>
      </c>
      <c r="F23" s="7647"/>
      <c r="G23" s="7648" t="s">
        <v>86</v>
      </c>
      <c r="H23" s="7649" t="n">
        <v>42902.63802652778</v>
      </c>
      <c r="I23" s="7650" t="n">
        <v>42902.63802652778</v>
      </c>
      <c r="J23" s="7651" t="n">
        <v>42898.487634363424</v>
      </c>
      <c r="K23" s="7652" t="n">
        <v>42898.487634363424</v>
      </c>
      <c r="L23" s="7653" t="s">
        <v>16</v>
      </c>
      <c r="M23" s="7654"/>
      <c r="N23" s="7655"/>
      <c r="O23" s="7656"/>
      <c r="P23" s="7657" t="s">
        <v>30</v>
      </c>
      <c r="Q23" s="7658">
        <f>TODAY()-j23</f>
      </c>
      <c r="R23" s="7659">
        <f>VLOOKUP(A23,'Last Week'!A4:I385,7,FALSE)</f>
      </c>
    </row>
    <row r="24" ht="25.5" customHeight="true">
      <c r="A24" s="7660" t="s">
        <v>87</v>
      </c>
      <c r="B24" s="7661" t="s">
        <v>88</v>
      </c>
      <c r="C24" s="7662"/>
      <c r="D24" s="7663" t="s">
        <v>89</v>
      </c>
      <c r="E24" s="7664" t="s">
        <v>17</v>
      </c>
      <c r="F24" s="7665"/>
      <c r="G24" s="7666" t="s">
        <v>15</v>
      </c>
      <c r="H24" s="7667" t="n">
        <v>42933.478654363425</v>
      </c>
      <c r="I24" s="7668" t="n">
        <v>42933.478654363425</v>
      </c>
      <c r="J24" s="7669" t="n">
        <v>42898.49240355324</v>
      </c>
      <c r="K24" s="7670" t="n">
        <v>42898.49240355324</v>
      </c>
      <c r="L24" s="7671" t="s">
        <v>16</v>
      </c>
      <c r="M24" s="7672"/>
      <c r="N24" s="7673"/>
      <c r="O24" s="7674"/>
      <c r="P24" s="7675" t="s">
        <v>17</v>
      </c>
      <c r="Q24" s="7676">
        <f>TODAY()-j24</f>
      </c>
      <c r="R24" s="7677">
        <f>VLOOKUP(A24,'Last Week'!A4:I385,7,FALSE)</f>
      </c>
    </row>
    <row r="25" ht="25.5" customHeight="true">
      <c r="A25" s="7678" t="s">
        <v>90</v>
      </c>
      <c r="B25" s="7679" t="s">
        <v>88</v>
      </c>
      <c r="C25" s="7680"/>
      <c r="D25" s="7681" t="s">
        <v>89</v>
      </c>
      <c r="E25" s="7682" t="s">
        <v>17</v>
      </c>
      <c r="F25" s="7683"/>
      <c r="G25" s="7684" t="s">
        <v>86</v>
      </c>
      <c r="H25" s="7685" t="n">
        <v>42902.65311519676</v>
      </c>
      <c r="I25" s="7686" t="n">
        <v>42902.65311519676</v>
      </c>
      <c r="J25" s="7687" t="n">
        <v>42898.49928314815</v>
      </c>
      <c r="K25" s="7688" t="n">
        <v>42898.49928314815</v>
      </c>
      <c r="L25" s="7689" t="s">
        <v>16</v>
      </c>
      <c r="M25" s="7690"/>
      <c r="N25" s="7691"/>
      <c r="O25" s="7692"/>
      <c r="P25" s="7693" t="s">
        <v>30</v>
      </c>
      <c r="Q25" s="7694">
        <f>TODAY()-j25</f>
      </c>
      <c r="R25" s="7695">
        <f>VLOOKUP(A25,'Last Week'!A4:I385,7,FALSE)</f>
      </c>
    </row>
    <row r="26" ht="25.5" customHeight="true">
      <c r="A26" s="7696" t="s">
        <v>91</v>
      </c>
      <c r="B26" s="7697" t="s">
        <v>92</v>
      </c>
      <c r="C26" s="7698"/>
      <c r="D26" s="7699" t="s">
        <v>93</v>
      </c>
      <c r="E26" s="7700" t="s">
        <v>94</v>
      </c>
      <c r="F26" s="7701"/>
      <c r="G26" s="7702" t="s">
        <v>15</v>
      </c>
      <c r="H26" s="7703" t="n">
        <v>42898.59740446759</v>
      </c>
      <c r="I26" s="7704" t="n">
        <v>42898.59740446759</v>
      </c>
      <c r="J26" s="7705" t="n">
        <v>42898.53339324074</v>
      </c>
      <c r="K26" s="7706" t="n">
        <v>42898.53339324074</v>
      </c>
      <c r="L26" s="7707" t="s">
        <v>16</v>
      </c>
      <c r="M26" s="7708"/>
      <c r="N26" s="7709"/>
      <c r="O26" s="7710"/>
      <c r="P26" s="7711" t="s">
        <v>47</v>
      </c>
      <c r="Q26" s="7712">
        <f>TODAY()-j26</f>
      </c>
      <c r="R26" s="7713">
        <f>VLOOKUP(A26,'Last Week'!A4:I385,7,FALSE)</f>
      </c>
    </row>
    <row r="27" ht="25.5" customHeight="true">
      <c r="A27" s="7714" t="s">
        <v>95</v>
      </c>
      <c r="B27" s="7715" t="s">
        <v>96</v>
      </c>
      <c r="C27" s="7716"/>
      <c r="D27" s="7717" t="s">
        <v>97</v>
      </c>
      <c r="E27" s="7718" t="s">
        <v>97</v>
      </c>
      <c r="F27" s="7719"/>
      <c r="G27" s="7720" t="s">
        <v>15</v>
      </c>
      <c r="H27" s="7721" t="n">
        <v>42899.571768726855</v>
      </c>
      <c r="I27" s="7722" t="n">
        <v>42899.571768726855</v>
      </c>
      <c r="J27" s="7723" t="n">
        <v>42898.655709976854</v>
      </c>
      <c r="K27" s="7724" t="n">
        <v>42898.655709976854</v>
      </c>
      <c r="L27" s="7725" t="s">
        <v>16</v>
      </c>
      <c r="M27" s="7726"/>
      <c r="N27" s="7727"/>
      <c r="O27" s="7728"/>
      <c r="P27" s="7729" t="s">
        <v>59</v>
      </c>
      <c r="Q27" s="7730">
        <f>TODAY()-j27</f>
      </c>
      <c r="R27" s="7731">
        <f>VLOOKUP(A27,'Last Week'!A4:I385,7,FALSE)</f>
      </c>
    </row>
    <row r="28" ht="25.5" customHeight="true">
      <c r="A28" s="7732" t="s">
        <v>98</v>
      </c>
      <c r="B28" s="7733" t="s">
        <v>99</v>
      </c>
      <c r="C28" s="7734"/>
      <c r="D28" s="7735" t="s">
        <v>55</v>
      </c>
      <c r="E28" s="7736" t="s">
        <v>82</v>
      </c>
      <c r="F28" s="7737"/>
      <c r="G28" s="7738" t="s">
        <v>15</v>
      </c>
      <c r="H28" s="7739" t="n">
        <v>42899.595394097225</v>
      </c>
      <c r="I28" s="7740" t="n">
        <v>42899.595394097225</v>
      </c>
      <c r="J28" s="7741" t="n">
        <v>42898.73055684028</v>
      </c>
      <c r="K28" s="7742" t="n">
        <v>42898.73055684028</v>
      </c>
      <c r="L28" s="7743" t="s">
        <v>16</v>
      </c>
      <c r="M28" s="7744"/>
      <c r="N28" s="7745"/>
      <c r="O28" s="7746"/>
      <c r="P28" s="7747" t="s">
        <v>17</v>
      </c>
      <c r="Q28" s="7748">
        <f>TODAY()-j28</f>
      </c>
      <c r="R28" s="7749">
        <f>VLOOKUP(A28,'Last Week'!A4:I385,7,FALSE)</f>
      </c>
    </row>
    <row r="29" ht="25.5" customHeight="true">
      <c r="A29" s="7750" t="s">
        <v>100</v>
      </c>
      <c r="B29" s="7751" t="s">
        <v>101</v>
      </c>
      <c r="C29" s="7752"/>
      <c r="D29" s="7753" t="s">
        <v>55</v>
      </c>
      <c r="E29" s="7754" t="s">
        <v>82</v>
      </c>
      <c r="F29" s="7755"/>
      <c r="G29" s="7756" t="s">
        <v>15</v>
      </c>
      <c r="H29" s="7757" t="n">
        <v>42905.4416840625</v>
      </c>
      <c r="I29" s="7758" t="n">
        <v>42905.4416840625</v>
      </c>
      <c r="J29" s="7759" t="n">
        <v>42898.73213481482</v>
      </c>
      <c r="K29" s="7760" t="n">
        <v>42898.73213481482</v>
      </c>
      <c r="L29" s="7761" t="s">
        <v>16</v>
      </c>
      <c r="M29" s="7762"/>
      <c r="N29" s="7763"/>
      <c r="O29" s="7764"/>
      <c r="P29" s="7765" t="s">
        <v>17</v>
      </c>
      <c r="Q29" s="7766">
        <f>TODAY()-j29</f>
      </c>
      <c r="R29" s="7767">
        <f>VLOOKUP(A29,'Last Week'!A4:I385,7,FALSE)</f>
      </c>
    </row>
    <row r="30" ht="25.5" customHeight="true">
      <c r="A30" s="7768" t="s">
        <v>102</v>
      </c>
      <c r="B30" s="7769" t="s">
        <v>23</v>
      </c>
      <c r="C30" s="7770"/>
      <c r="D30" s="7771" t="s">
        <v>24</v>
      </c>
      <c r="E30" s="7772" t="s">
        <v>103</v>
      </c>
      <c r="F30" s="7773"/>
      <c r="G30" s="7774" t="s">
        <v>15</v>
      </c>
      <c r="H30" s="7775" t="n">
        <v>42905.71293099537</v>
      </c>
      <c r="I30" s="7776" t="n">
        <v>42905.71293099537</v>
      </c>
      <c r="J30" s="7777" t="n">
        <v>42899.63001112269</v>
      </c>
      <c r="K30" s="7778" t="n">
        <v>42899.63001112269</v>
      </c>
      <c r="L30" s="7779" t="s">
        <v>16</v>
      </c>
      <c r="M30" s="7780"/>
      <c r="N30" s="7781"/>
      <c r="O30" s="7782"/>
      <c r="P30" s="7783" t="s">
        <v>47</v>
      </c>
      <c r="Q30" s="7784">
        <f>TODAY()-j30</f>
      </c>
      <c r="R30" s="7785">
        <f>VLOOKUP(A30,'Last Week'!A4:I385,7,FALSE)</f>
      </c>
    </row>
    <row r="31" ht="25.5" customHeight="true">
      <c r="A31" s="7786" t="s">
        <v>104</v>
      </c>
      <c r="B31" s="7787" t="s">
        <v>105</v>
      </c>
      <c r="C31" s="7788"/>
      <c r="D31" s="7789" t="s">
        <v>62</v>
      </c>
      <c r="E31" s="7790" t="s">
        <v>82</v>
      </c>
      <c r="F31" s="7791"/>
      <c r="G31" s="7792" t="s">
        <v>15</v>
      </c>
      <c r="H31" s="7793" t="n">
        <v>42901.45922017361</v>
      </c>
      <c r="I31" s="7794" t="n">
        <v>42901.45922017361</v>
      </c>
      <c r="J31" s="7795" t="n">
        <v>42900.707295092594</v>
      </c>
      <c r="K31" s="7796" t="n">
        <v>42900.707295092594</v>
      </c>
      <c r="L31" s="7797" t="s">
        <v>16</v>
      </c>
      <c r="M31" s="7798"/>
      <c r="N31" s="7799"/>
      <c r="O31" s="7800"/>
      <c r="P31" s="7801" t="s">
        <v>30</v>
      </c>
      <c r="Q31" s="7802">
        <f>TODAY()-j31</f>
      </c>
      <c r="R31" s="7803">
        <f>VLOOKUP(A31,'Last Week'!A4:I385,7,FALSE)</f>
      </c>
    </row>
    <row r="32" ht="25.5" customHeight="true">
      <c r="A32" s="7804" t="s">
        <v>106</v>
      </c>
      <c r="B32" s="7805" t="s">
        <v>107</v>
      </c>
      <c r="C32" s="7806"/>
      <c r="D32" s="7807" t="s">
        <v>108</v>
      </c>
      <c r="E32" s="7808" t="s">
        <v>109</v>
      </c>
      <c r="F32" s="7809"/>
      <c r="G32" s="7810" t="s">
        <v>86</v>
      </c>
      <c r="H32" s="7811" t="n">
        <v>42919.746689155094</v>
      </c>
      <c r="I32" s="7812" t="n">
        <v>42919.746689155094</v>
      </c>
      <c r="J32" s="7813" t="n">
        <v>42902.344463298614</v>
      </c>
      <c r="K32" s="7814" t="n">
        <v>42902.344463298614</v>
      </c>
      <c r="L32" s="7815" t="s">
        <v>16</v>
      </c>
      <c r="M32" s="7816"/>
      <c r="N32" s="7817"/>
      <c r="O32" s="7818"/>
      <c r="P32" s="7819" t="s">
        <v>110</v>
      </c>
      <c r="Q32" s="7820">
        <f>TODAY()-j32</f>
      </c>
      <c r="R32" s="7821">
        <f>VLOOKUP(A32,'Last Week'!A4:I385,7,FALSE)</f>
      </c>
    </row>
    <row r="33" ht="25.5" customHeight="true">
      <c r="A33" s="7822" t="s">
        <v>111</v>
      </c>
      <c r="B33" s="7823" t="s">
        <v>112</v>
      </c>
      <c r="C33" s="7824"/>
      <c r="D33" s="7825" t="s">
        <v>113</v>
      </c>
      <c r="E33" s="7826" t="s">
        <v>73</v>
      </c>
      <c r="F33" s="7827"/>
      <c r="G33" s="7828" t="s">
        <v>15</v>
      </c>
      <c r="H33" s="7829" t="n">
        <v>42945.60056334491</v>
      </c>
      <c r="I33" s="7830" t="n">
        <v>42945.60056334491</v>
      </c>
      <c r="J33" s="7831" t="n">
        <v>42902.67374626157</v>
      </c>
      <c r="K33" s="7832" t="n">
        <v>42902.67374626157</v>
      </c>
      <c r="L33" s="7833" t="s">
        <v>16</v>
      </c>
      <c r="M33" s="7834"/>
      <c r="N33" s="7835"/>
      <c r="O33" s="7836"/>
      <c r="P33" s="7837" t="s">
        <v>47</v>
      </c>
      <c r="Q33" s="7838">
        <f>TODAY()-j33</f>
      </c>
      <c r="R33" s="7839">
        <f>VLOOKUP(A33,'Last Week'!A4:I385,7,FALSE)</f>
      </c>
    </row>
    <row r="34" ht="25.5" customHeight="true">
      <c r="A34" s="7840" t="s">
        <v>114</v>
      </c>
      <c r="B34" s="7841" t="s">
        <v>115</v>
      </c>
      <c r="C34" s="7842"/>
      <c r="D34" s="7843" t="s">
        <v>89</v>
      </c>
      <c r="E34" s="7844" t="s">
        <v>116</v>
      </c>
      <c r="F34" s="7845"/>
      <c r="G34" s="7846" t="s">
        <v>15</v>
      </c>
      <c r="H34" s="7847" t="n">
        <v>42907.08497145833</v>
      </c>
      <c r="I34" s="7848" t="n">
        <v>42907.08497145833</v>
      </c>
      <c r="J34" s="7849" t="n">
        <v>42902.73645390046</v>
      </c>
      <c r="K34" s="7850" t="n">
        <v>42902.73645390046</v>
      </c>
      <c r="L34" s="7851" t="s">
        <v>16</v>
      </c>
      <c r="M34" s="7852"/>
      <c r="N34" s="7853"/>
      <c r="O34" s="7854"/>
      <c r="P34" s="7855" t="s">
        <v>30</v>
      </c>
      <c r="Q34" s="7856">
        <f>TODAY()-j34</f>
      </c>
      <c r="R34" s="7857">
        <f>VLOOKUP(A34,'Last Week'!A4:I385,7,FALSE)</f>
      </c>
    </row>
    <row r="35" ht="25.5" customHeight="true">
      <c r="A35" s="7858" t="s">
        <v>117</v>
      </c>
      <c r="B35" s="7859" t="s">
        <v>118</v>
      </c>
      <c r="C35" s="7860"/>
      <c r="D35" s="7861" t="s">
        <v>119</v>
      </c>
      <c r="E35" s="7862" t="s">
        <v>46</v>
      </c>
      <c r="F35" s="7863"/>
      <c r="G35" s="7864" t="s">
        <v>15</v>
      </c>
      <c r="H35" s="7865" t="n">
        <v>42905.591767384256</v>
      </c>
      <c r="I35" s="7866" t="n">
        <v>42905.591767384256</v>
      </c>
      <c r="J35" s="7867" t="n">
        <v>42902.74382001157</v>
      </c>
      <c r="K35" s="7868" t="n">
        <v>42902.74382001157</v>
      </c>
      <c r="L35" s="7869" t="s">
        <v>16</v>
      </c>
      <c r="M35" s="7870"/>
      <c r="N35" s="7871"/>
      <c r="O35" s="7872"/>
      <c r="P35" s="7873" t="s">
        <v>59</v>
      </c>
      <c r="Q35" s="7874">
        <f>TODAY()-j35</f>
      </c>
      <c r="R35" s="7875">
        <f>VLOOKUP(A35,'Last Week'!A4:I385,7,FALSE)</f>
      </c>
    </row>
    <row r="36" ht="25.5" customHeight="true">
      <c r="A36" s="7876" t="s">
        <v>120</v>
      </c>
      <c r="B36" s="7877" t="s">
        <v>121</v>
      </c>
      <c r="C36" s="7878"/>
      <c r="D36" s="7879" t="s">
        <v>122</v>
      </c>
      <c r="E36" s="7880" t="s">
        <v>123</v>
      </c>
      <c r="F36" s="7881"/>
      <c r="G36" s="7882" t="s">
        <v>15</v>
      </c>
      <c r="H36" s="7883" t="n">
        <v>42922.63888737268</v>
      </c>
      <c r="I36" s="7884" t="n">
        <v>42922.63888737268</v>
      </c>
      <c r="J36" s="7885" t="n">
        <v>42902.97254045139</v>
      </c>
      <c r="K36" s="7886" t="n">
        <v>42902.97254045139</v>
      </c>
      <c r="L36" s="7887" t="s">
        <v>16</v>
      </c>
      <c r="M36" s="7888"/>
      <c r="N36" s="7889"/>
      <c r="O36" s="7890"/>
      <c r="P36" s="7891" t="s">
        <v>30</v>
      </c>
      <c r="Q36" s="7892">
        <f>TODAY()-j36</f>
      </c>
      <c r="R36" s="7893">
        <f>VLOOKUP(A36,'Last Week'!A4:I385,7,FALSE)</f>
      </c>
    </row>
    <row r="37" ht="25.5" customHeight="true">
      <c r="A37" s="7894" t="s">
        <v>124</v>
      </c>
      <c r="B37" s="7895" t="s">
        <v>125</v>
      </c>
      <c r="C37" s="7896"/>
      <c r="D37" s="7897" t="s">
        <v>126</v>
      </c>
      <c r="E37" s="7898" t="s">
        <v>127</v>
      </c>
      <c r="F37" s="7899"/>
      <c r="G37" s="7900" t="s">
        <v>15</v>
      </c>
      <c r="H37" s="7901" t="n">
        <v>42907.60837033565</v>
      </c>
      <c r="I37" s="7902" t="n">
        <v>42907.60837033565</v>
      </c>
      <c r="J37" s="7903" t="n">
        <v>42905.445464027776</v>
      </c>
      <c r="K37" s="7904" t="n">
        <v>42905.445464027776</v>
      </c>
      <c r="L37" s="7905" t="s">
        <v>16</v>
      </c>
      <c r="M37" s="7906"/>
      <c r="N37" s="7907"/>
      <c r="O37" s="7908"/>
      <c r="P37" s="7909" t="s">
        <v>30</v>
      </c>
      <c r="Q37" s="7910">
        <f>TODAY()-j37</f>
      </c>
      <c r="R37" s="7911">
        <f>VLOOKUP(A37,'Last Week'!A4:I385,7,FALSE)</f>
      </c>
    </row>
    <row r="38" ht="25.5" customHeight="true">
      <c r="A38" s="7912" t="s">
        <v>128</v>
      </c>
      <c r="B38" s="7913" t="s">
        <v>125</v>
      </c>
      <c r="C38" s="7914"/>
      <c r="D38" s="7915" t="s">
        <v>126</v>
      </c>
      <c r="E38" s="7916" t="s">
        <v>127</v>
      </c>
      <c r="F38" s="7917"/>
      <c r="G38" s="7918" t="s">
        <v>15</v>
      </c>
      <c r="H38" s="7919" t="n">
        <v>42907.60873396991</v>
      </c>
      <c r="I38" s="7920" t="n">
        <v>42907.60873396991</v>
      </c>
      <c r="J38" s="7921" t="n">
        <v>42905.48738496528</v>
      </c>
      <c r="K38" s="7922" t="n">
        <v>42905.48738496528</v>
      </c>
      <c r="L38" s="7923" t="s">
        <v>16</v>
      </c>
      <c r="M38" s="7924"/>
      <c r="N38" s="7925"/>
      <c r="O38" s="7926"/>
      <c r="P38" s="7927" t="s">
        <v>30</v>
      </c>
      <c r="Q38" s="7928">
        <f>TODAY()-j38</f>
      </c>
      <c r="R38" s="7929">
        <f>VLOOKUP(A38,'Last Week'!A4:I385,7,FALSE)</f>
      </c>
    </row>
    <row r="39" ht="25.5" customHeight="true">
      <c r="A39" s="7930" t="s">
        <v>129</v>
      </c>
      <c r="B39" s="7931" t="s">
        <v>130</v>
      </c>
      <c r="C39" s="7932"/>
      <c r="D39" s="7933" t="s">
        <v>131</v>
      </c>
      <c r="E39" s="7934" t="s">
        <v>25</v>
      </c>
      <c r="F39" s="7935"/>
      <c r="G39" s="7936" t="s">
        <v>15</v>
      </c>
      <c r="H39" s="7937" t="n">
        <v>42907.60044064815</v>
      </c>
      <c r="I39" s="7938" t="n">
        <v>42907.60044064815</v>
      </c>
      <c r="J39" s="7939" t="n">
        <v>42905.49672821759</v>
      </c>
      <c r="K39" s="7940" t="n">
        <v>42905.49672821759</v>
      </c>
      <c r="L39" s="7941" t="s">
        <v>16</v>
      </c>
      <c r="M39" s="7942"/>
      <c r="N39" s="7943"/>
      <c r="O39" s="7944"/>
      <c r="P39" s="7945" t="s">
        <v>30</v>
      </c>
      <c r="Q39" s="7946">
        <f>TODAY()-j39</f>
      </c>
      <c r="R39" s="7947">
        <f>VLOOKUP(A39,'Last Week'!A4:I385,7,FALSE)</f>
      </c>
    </row>
    <row r="40" ht="25.5" customHeight="true">
      <c r="A40" s="7948" t="s">
        <v>132</v>
      </c>
      <c r="B40" s="7949" t="s">
        <v>133</v>
      </c>
      <c r="C40" s="7950"/>
      <c r="D40" s="7951" t="s">
        <v>41</v>
      </c>
      <c r="E40" s="7952" t="s">
        <v>134</v>
      </c>
      <c r="F40" s="7953"/>
      <c r="G40" s="7954" t="s">
        <v>15</v>
      </c>
      <c r="H40" s="7955" t="n">
        <v>42907.60259412037</v>
      </c>
      <c r="I40" s="7956" t="n">
        <v>42907.60259412037</v>
      </c>
      <c r="J40" s="7957" t="n">
        <v>42905.887056597225</v>
      </c>
      <c r="K40" s="7958" t="n">
        <v>42905.887056597225</v>
      </c>
      <c r="L40" s="7959" t="s">
        <v>16</v>
      </c>
      <c r="M40" s="7960"/>
      <c r="N40" s="7961"/>
      <c r="O40" s="7962"/>
      <c r="P40" s="7963" t="s">
        <v>30</v>
      </c>
      <c r="Q40" s="7964">
        <f>TODAY()-j40</f>
      </c>
      <c r="R40" s="7965">
        <f>VLOOKUP(A40,'Last Week'!A4:I385,7,FALSE)</f>
      </c>
    </row>
    <row r="41" ht="25.5" customHeight="true">
      <c r="A41" s="7966" t="s">
        <v>135</v>
      </c>
      <c r="B41" s="7967" t="s">
        <v>136</v>
      </c>
      <c r="C41" s="7968"/>
      <c r="D41" s="7969" t="s">
        <v>137</v>
      </c>
      <c r="E41" s="7970" t="s">
        <v>138</v>
      </c>
      <c r="F41" s="7971"/>
      <c r="G41" s="7972" t="s">
        <v>86</v>
      </c>
      <c r="H41" s="7973" t="n">
        <v>43055.42597653935</v>
      </c>
      <c r="I41" s="7974" t="n">
        <v>43055.42597653935</v>
      </c>
      <c r="J41" s="7975" t="n">
        <v>42906.675850775464</v>
      </c>
      <c r="K41" s="7976" t="n">
        <v>42906.675850775464</v>
      </c>
      <c r="L41" s="7977" t="s">
        <v>16</v>
      </c>
      <c r="M41" s="7978"/>
      <c r="N41" s="7979"/>
      <c r="O41" s="7980"/>
      <c r="P41" s="7981" t="s">
        <v>17</v>
      </c>
      <c r="Q41" s="7982">
        <f>TODAY()-j41</f>
      </c>
      <c r="R41" s="7983">
        <f>VLOOKUP(A41,'Last Week'!A4:I385,7,FALSE)</f>
      </c>
    </row>
    <row r="42" ht="25.5" customHeight="true">
      <c r="A42" s="7984" t="s">
        <v>139</v>
      </c>
      <c r="B42" s="7985" t="s">
        <v>140</v>
      </c>
      <c r="C42" s="7986"/>
      <c r="D42" s="7987" t="s">
        <v>141</v>
      </c>
      <c r="E42" s="7988" t="s">
        <v>123</v>
      </c>
      <c r="F42" s="7989"/>
      <c r="G42" s="7990" t="s">
        <v>15</v>
      </c>
      <c r="H42" s="7991" t="n">
        <v>42909.2921225</v>
      </c>
      <c r="I42" s="7992" t="n">
        <v>42909.2921225</v>
      </c>
      <c r="J42" s="7993" t="n">
        <v>42906.67725101852</v>
      </c>
      <c r="K42" s="7994" t="n">
        <v>42906.67725101852</v>
      </c>
      <c r="L42" s="7995" t="s">
        <v>16</v>
      </c>
      <c r="M42" s="7996"/>
      <c r="N42" s="7997"/>
      <c r="O42" s="7998"/>
      <c r="P42" s="7999" t="s">
        <v>17</v>
      </c>
      <c r="Q42" s="8000">
        <f>TODAY()-j42</f>
      </c>
      <c r="R42" s="8001">
        <f>VLOOKUP(A42,'Last Week'!A4:I385,7,FALSE)</f>
      </c>
    </row>
    <row r="43" ht="25.5" customHeight="true">
      <c r="A43" s="8002" t="s">
        <v>142</v>
      </c>
      <c r="B43" s="8003" t="s">
        <v>143</v>
      </c>
      <c r="C43" s="8004"/>
      <c r="D43" s="8005" t="s">
        <v>141</v>
      </c>
      <c r="E43" s="8006" t="s">
        <v>123</v>
      </c>
      <c r="F43" s="8007"/>
      <c r="G43" s="8008" t="s">
        <v>15</v>
      </c>
      <c r="H43" s="8009" t="n">
        <v>42907.67072403935</v>
      </c>
      <c r="I43" s="8010" t="n">
        <v>42907.67072403935</v>
      </c>
      <c r="J43" s="8011" t="n">
        <v>42906.94554226852</v>
      </c>
      <c r="K43" s="8012" t="n">
        <v>42906.94554226852</v>
      </c>
      <c r="L43" s="8013" t="s">
        <v>16</v>
      </c>
      <c r="M43" s="8014"/>
      <c r="N43" s="8015"/>
      <c r="O43" s="8016"/>
      <c r="P43" s="8017" t="s">
        <v>30</v>
      </c>
      <c r="Q43" s="8018">
        <f>TODAY()-j43</f>
      </c>
      <c r="R43" s="8019">
        <f>VLOOKUP(A43,'Last Week'!A4:I385,7,FALSE)</f>
      </c>
    </row>
    <row r="44" ht="25.5" customHeight="true">
      <c r="A44" s="8020" t="s">
        <v>144</v>
      </c>
      <c r="B44" s="8021" t="s">
        <v>145</v>
      </c>
      <c r="C44" s="8022"/>
      <c r="D44" s="8023" t="s">
        <v>146</v>
      </c>
      <c r="E44" s="8024" t="s">
        <v>109</v>
      </c>
      <c r="F44" s="8025"/>
      <c r="G44" s="8026" t="s">
        <v>15</v>
      </c>
      <c r="H44" s="8027" t="n">
        <v>42921.54210584491</v>
      </c>
      <c r="I44" s="8028" t="n">
        <v>42921.54210584491</v>
      </c>
      <c r="J44" s="8029" t="n">
        <v>42907.37297975695</v>
      </c>
      <c r="K44" s="8030" t="n">
        <v>42907.37297975695</v>
      </c>
      <c r="L44" s="8031" t="s">
        <v>16</v>
      </c>
      <c r="M44" s="8032"/>
      <c r="N44" s="8033"/>
      <c r="O44" s="8034"/>
      <c r="P44" s="8035" t="s">
        <v>59</v>
      </c>
      <c r="Q44" s="8036">
        <f>TODAY()-j44</f>
      </c>
      <c r="R44" s="8037">
        <f>VLOOKUP(A44,'Last Week'!A4:I385,7,FALSE)</f>
      </c>
    </row>
    <row r="45" ht="25.5" customHeight="true">
      <c r="A45" s="8038" t="s">
        <v>147</v>
      </c>
      <c r="B45" s="8039" t="s">
        <v>148</v>
      </c>
      <c r="C45" s="8040"/>
      <c r="D45" s="8041" t="s">
        <v>149</v>
      </c>
      <c r="E45" s="8042" t="s">
        <v>73</v>
      </c>
      <c r="F45" s="8043"/>
      <c r="G45" s="8044" t="s">
        <v>15</v>
      </c>
      <c r="H45" s="8045" t="n">
        <v>42908.62422020833</v>
      </c>
      <c r="I45" s="8046" t="n">
        <v>42908.62422020833</v>
      </c>
      <c r="J45" s="8047" t="n">
        <v>42907.53214487268</v>
      </c>
      <c r="K45" s="8048" t="n">
        <v>42907.53214487268</v>
      </c>
      <c r="L45" s="8049" t="s">
        <v>16</v>
      </c>
      <c r="M45" s="8050"/>
      <c r="N45" s="8051"/>
      <c r="O45" s="8052"/>
      <c r="P45" s="8053" t="s">
        <v>30</v>
      </c>
      <c r="Q45" s="8054">
        <f>TODAY()-j45</f>
      </c>
      <c r="R45" s="8055">
        <f>VLOOKUP(A45,'Last Week'!A4:I385,7,FALSE)</f>
      </c>
    </row>
    <row r="46" ht="25.5" customHeight="true">
      <c r="A46" s="8056" t="s">
        <v>150</v>
      </c>
      <c r="B46" s="8057" t="s">
        <v>151</v>
      </c>
      <c r="C46" s="8058"/>
      <c r="D46" s="8059" t="s">
        <v>152</v>
      </c>
      <c r="E46" s="8060" t="s">
        <v>110</v>
      </c>
      <c r="F46" s="8061"/>
      <c r="G46" s="8062" t="s">
        <v>15</v>
      </c>
      <c r="H46" s="8063" t="n">
        <v>42911.47191984954</v>
      </c>
      <c r="I46" s="8064" t="n">
        <v>42911.47191984954</v>
      </c>
      <c r="J46" s="8065" t="n">
        <v>42907.651811180556</v>
      </c>
      <c r="K46" s="8066" t="n">
        <v>42907.651811180556</v>
      </c>
      <c r="L46" s="8067" t="s">
        <v>16</v>
      </c>
      <c r="M46" s="8068"/>
      <c r="N46" s="8069"/>
      <c r="O46" s="8070"/>
      <c r="P46" s="8071" t="s">
        <v>17</v>
      </c>
      <c r="Q46" s="8072">
        <f>TODAY()-j46</f>
      </c>
      <c r="R46" s="8073">
        <f>VLOOKUP(A46,'Last Week'!A4:I385,7,FALSE)</f>
      </c>
    </row>
    <row r="47" ht="25.5" customHeight="true">
      <c r="A47" s="8074" t="s">
        <v>153</v>
      </c>
      <c r="B47" s="8075" t="s">
        <v>154</v>
      </c>
      <c r="C47" s="8076"/>
      <c r="D47" s="8077" t="s">
        <v>155</v>
      </c>
      <c r="E47" s="8078" t="s">
        <v>29</v>
      </c>
      <c r="F47" s="8079"/>
      <c r="G47" s="8080" t="s">
        <v>15</v>
      </c>
      <c r="H47" s="8081" t="n">
        <v>42918.39578730324</v>
      </c>
      <c r="I47" s="8082" t="n">
        <v>42918.39578730324</v>
      </c>
      <c r="J47" s="8083" t="n">
        <v>42907.73697563657</v>
      </c>
      <c r="K47" s="8084" t="n">
        <v>42907.73697563657</v>
      </c>
      <c r="L47" s="8085" t="s">
        <v>16</v>
      </c>
      <c r="M47" s="8086"/>
      <c r="N47" s="8087"/>
      <c r="O47" s="8088"/>
      <c r="P47" s="8089" t="s">
        <v>47</v>
      </c>
      <c r="Q47" s="8090">
        <f>TODAY()-j47</f>
      </c>
      <c r="R47" s="8091">
        <f>VLOOKUP(A47,'Last Week'!A4:I385,7,FALSE)</f>
      </c>
    </row>
    <row r="48" ht="25.5" customHeight="true">
      <c r="A48" s="8092" t="s">
        <v>156</v>
      </c>
      <c r="B48" s="8093" t="s">
        <v>157</v>
      </c>
      <c r="C48" s="8094"/>
      <c r="D48" s="8095" t="s">
        <v>141</v>
      </c>
      <c r="E48" s="8096" t="s">
        <v>73</v>
      </c>
      <c r="F48" s="8097"/>
      <c r="G48" s="8098" t="s">
        <v>15</v>
      </c>
      <c r="H48" s="8099" t="n">
        <v>42914.08399200231</v>
      </c>
      <c r="I48" s="8100" t="n">
        <v>42914.08399200231</v>
      </c>
      <c r="J48" s="8101" t="n">
        <v>42908.47312834491</v>
      </c>
      <c r="K48" s="8102" t="n">
        <v>42908.47312834491</v>
      </c>
      <c r="L48" s="8103" t="s">
        <v>16</v>
      </c>
      <c r="M48" s="8104"/>
      <c r="N48" s="8105"/>
      <c r="O48" s="8106"/>
      <c r="P48" s="8107" t="s">
        <v>59</v>
      </c>
      <c r="Q48" s="8108">
        <f>TODAY()-j48</f>
      </c>
      <c r="R48" s="8109">
        <f>VLOOKUP(A48,'Last Week'!A4:I385,7,FALSE)</f>
      </c>
    </row>
    <row r="49" ht="25.5" customHeight="true">
      <c r="A49" s="8110" t="s">
        <v>158</v>
      </c>
      <c r="B49" s="8111" t="s">
        <v>159</v>
      </c>
      <c r="C49" s="8112"/>
      <c r="D49" s="8113" t="s">
        <v>141</v>
      </c>
      <c r="E49" s="8114" t="s">
        <v>73</v>
      </c>
      <c r="F49" s="8115"/>
      <c r="G49" s="8116" t="s">
        <v>15</v>
      </c>
      <c r="H49" s="8117" t="n">
        <v>42911.71497961805</v>
      </c>
      <c r="I49" s="8118" t="n">
        <v>42911.71497961805</v>
      </c>
      <c r="J49" s="8119" t="n">
        <v>42908.499673715276</v>
      </c>
      <c r="K49" s="8120" t="n">
        <v>42908.499673715276</v>
      </c>
      <c r="L49" s="8121" t="s">
        <v>16</v>
      </c>
      <c r="M49" s="8122"/>
      <c r="N49" s="8123"/>
      <c r="O49" s="8124"/>
      <c r="P49" s="8125" t="s">
        <v>30</v>
      </c>
      <c r="Q49" s="8126">
        <f>TODAY()-j49</f>
      </c>
      <c r="R49" s="8127">
        <f>VLOOKUP(A49,'Last Week'!A4:I385,7,FALSE)</f>
      </c>
    </row>
    <row r="50" ht="25.5" customHeight="true">
      <c r="A50" s="8128" t="s">
        <v>160</v>
      </c>
      <c r="B50" s="8129" t="s">
        <v>161</v>
      </c>
      <c r="C50" s="8130"/>
      <c r="D50" s="8131" t="s">
        <v>162</v>
      </c>
      <c r="E50" s="8132" t="s">
        <v>109</v>
      </c>
      <c r="F50" s="8133"/>
      <c r="G50" s="8134" t="s">
        <v>15</v>
      </c>
      <c r="H50" s="8135" t="n">
        <v>42916.61088011574</v>
      </c>
      <c r="I50" s="8136" t="n">
        <v>42916.61088011574</v>
      </c>
      <c r="J50" s="8137" t="n">
        <v>42908.51408782407</v>
      </c>
      <c r="K50" s="8138" t="n">
        <v>42908.51408782407</v>
      </c>
      <c r="L50" s="8139" t="s">
        <v>16</v>
      </c>
      <c r="M50" s="8140"/>
      <c r="N50" s="8141"/>
      <c r="O50" s="8142"/>
      <c r="P50" s="8143" t="s">
        <v>30</v>
      </c>
      <c r="Q50" s="8144">
        <f>TODAY()-j50</f>
      </c>
      <c r="R50" s="8145">
        <f>VLOOKUP(A50,'Last Week'!A4:I385,7,FALSE)</f>
      </c>
    </row>
    <row r="51" ht="25.5" customHeight="true">
      <c r="A51" s="8146" t="s">
        <v>163</v>
      </c>
      <c r="B51" s="8147" t="s">
        <v>164</v>
      </c>
      <c r="C51" s="8148"/>
      <c r="D51" s="8149" t="s">
        <v>165</v>
      </c>
      <c r="E51" s="8150" t="s">
        <v>127</v>
      </c>
      <c r="F51" s="8151"/>
      <c r="G51" s="8152" t="s">
        <v>15</v>
      </c>
      <c r="H51" s="8153" t="n">
        <v>42909.52690813658</v>
      </c>
      <c r="I51" s="8154" t="n">
        <v>42909.52690813658</v>
      </c>
      <c r="J51" s="8155" t="n">
        <v>42908.6332856713</v>
      </c>
      <c r="K51" s="8156" t="n">
        <v>42908.6332856713</v>
      </c>
      <c r="L51" s="8157" t="s">
        <v>16</v>
      </c>
      <c r="M51" s="8158"/>
      <c r="N51" s="8159"/>
      <c r="O51" s="8160"/>
      <c r="P51" s="8161" t="s">
        <v>30</v>
      </c>
      <c r="Q51" s="8162">
        <f>TODAY()-j51</f>
      </c>
      <c r="R51" s="8163">
        <f>VLOOKUP(A51,'Last Week'!A4:I385,7,FALSE)</f>
      </c>
    </row>
    <row r="52" ht="25.5" customHeight="true">
      <c r="A52" s="8164" t="s">
        <v>166</v>
      </c>
      <c r="B52" s="8165" t="s">
        <v>167</v>
      </c>
      <c r="C52" s="8166"/>
      <c r="D52" s="8167" t="s">
        <v>97</v>
      </c>
      <c r="E52" s="8168" t="s">
        <v>97</v>
      </c>
      <c r="F52" s="8169"/>
      <c r="G52" s="8170" t="s">
        <v>15</v>
      </c>
      <c r="H52" s="8171" t="n">
        <v>42912.631648310184</v>
      </c>
      <c r="I52" s="8172" t="n">
        <v>42912.631648310184</v>
      </c>
      <c r="J52" s="8173" t="n">
        <v>42908.73647153935</v>
      </c>
      <c r="K52" s="8174" t="n">
        <v>42908.73647153935</v>
      </c>
      <c r="L52" s="8175" t="s">
        <v>16</v>
      </c>
      <c r="M52" s="8176"/>
      <c r="N52" s="8177"/>
      <c r="O52" s="8178"/>
      <c r="P52" s="8179" t="s">
        <v>47</v>
      </c>
      <c r="Q52" s="8180">
        <f>TODAY()-j52</f>
      </c>
      <c r="R52" s="8181">
        <f>VLOOKUP(A52,'Last Week'!A4:I385,7,FALSE)</f>
      </c>
    </row>
    <row r="53" ht="25.5" customHeight="true">
      <c r="A53" s="8182" t="s">
        <v>168</v>
      </c>
      <c r="B53" s="8183" t="s">
        <v>169</v>
      </c>
      <c r="C53" s="8184"/>
      <c r="D53" s="8185" t="s">
        <v>170</v>
      </c>
      <c r="E53" s="8186" t="s">
        <v>29</v>
      </c>
      <c r="F53" s="8187"/>
      <c r="G53" s="8188" t="s">
        <v>15</v>
      </c>
      <c r="H53" s="8189" t="n">
        <v>42912.40180306713</v>
      </c>
      <c r="I53" s="8190" t="n">
        <v>42912.40180306713</v>
      </c>
      <c r="J53" s="8191" t="n">
        <v>42908.92128675926</v>
      </c>
      <c r="K53" s="8192" t="n">
        <v>42908.92128675926</v>
      </c>
      <c r="L53" s="8193" t="s">
        <v>16</v>
      </c>
      <c r="M53" s="8194"/>
      <c r="N53" s="8195"/>
      <c r="O53" s="8196"/>
      <c r="P53" s="8197" t="s">
        <v>30</v>
      </c>
      <c r="Q53" s="8198">
        <f>TODAY()-j53</f>
      </c>
      <c r="R53" s="8199">
        <f>VLOOKUP(A53,'Last Week'!A4:I385,7,FALSE)</f>
      </c>
    </row>
    <row r="54" ht="25.5" customHeight="true">
      <c r="A54" s="8200" t="s">
        <v>171</v>
      </c>
      <c r="B54" s="8201" t="s">
        <v>172</v>
      </c>
      <c r="C54" s="8202"/>
      <c r="D54" s="8203" t="s">
        <v>141</v>
      </c>
      <c r="E54" s="8204" t="s">
        <v>73</v>
      </c>
      <c r="F54" s="8205"/>
      <c r="G54" s="8206" t="s">
        <v>15</v>
      </c>
      <c r="H54" s="8207" t="n">
        <v>42914.08434164352</v>
      </c>
      <c r="I54" s="8208" t="n">
        <v>42914.08434164352</v>
      </c>
      <c r="J54" s="8209" t="n">
        <v>42909.71311974537</v>
      </c>
      <c r="K54" s="8210" t="n">
        <v>42909.71311974537</v>
      </c>
      <c r="L54" s="8211" t="s">
        <v>16</v>
      </c>
      <c r="M54" s="8212"/>
      <c r="N54" s="8213"/>
      <c r="O54" s="8214"/>
      <c r="P54" s="8215" t="s">
        <v>30</v>
      </c>
      <c r="Q54" s="8216">
        <f>TODAY()-j54</f>
      </c>
      <c r="R54" s="8217">
        <f>VLOOKUP(A54,'Last Week'!A4:I385,7,FALSE)</f>
      </c>
    </row>
    <row r="55" ht="25.5" customHeight="true">
      <c r="A55" s="8218" t="s">
        <v>173</v>
      </c>
      <c r="B55" s="8219" t="s">
        <v>174</v>
      </c>
      <c r="C55" s="8220"/>
      <c r="D55" s="8221" t="s">
        <v>175</v>
      </c>
      <c r="E55" s="8222" t="s">
        <v>176</v>
      </c>
      <c r="F55" s="8223"/>
      <c r="G55" s="8224" t="s">
        <v>15</v>
      </c>
      <c r="H55" s="8225" t="n">
        <v>42915.485876377315</v>
      </c>
      <c r="I55" s="8226" t="n">
        <v>42915.485876377315</v>
      </c>
      <c r="J55" s="8227" t="n">
        <v>42909.93843115741</v>
      </c>
      <c r="K55" s="8228" t="n">
        <v>42909.93843115741</v>
      </c>
      <c r="L55" s="8229" t="s">
        <v>16</v>
      </c>
      <c r="M55" s="8230"/>
      <c r="N55" s="8231"/>
      <c r="O55" s="8232"/>
      <c r="P55" s="8233" t="s">
        <v>30</v>
      </c>
      <c r="Q55" s="8234">
        <f>TODAY()-j55</f>
      </c>
      <c r="R55" s="8235">
        <f>VLOOKUP(A55,'Last Week'!A4:I385,7,FALSE)</f>
      </c>
    </row>
    <row r="56" ht="25.5" customHeight="true">
      <c r="A56" s="8236" t="s">
        <v>177</v>
      </c>
      <c r="B56" s="8237" t="s">
        <v>178</v>
      </c>
      <c r="C56" s="8238"/>
      <c r="D56" s="8239" t="s">
        <v>89</v>
      </c>
      <c r="E56" s="8240" t="s">
        <v>116</v>
      </c>
      <c r="F56" s="8241"/>
      <c r="G56" s="8242" t="s">
        <v>15</v>
      </c>
      <c r="H56" s="8243" t="n">
        <v>42915.08452761574</v>
      </c>
      <c r="I56" s="8244" t="n">
        <v>42915.08452761574</v>
      </c>
      <c r="J56" s="8245" t="n">
        <v>42912.49392951389</v>
      </c>
      <c r="K56" s="8246" t="n">
        <v>42912.49392951389</v>
      </c>
      <c r="L56" s="8247" t="s">
        <v>16</v>
      </c>
      <c r="M56" s="8248"/>
      <c r="N56" s="8249"/>
      <c r="O56" s="8250"/>
      <c r="P56" s="8251" t="s">
        <v>59</v>
      </c>
      <c r="Q56" s="8252">
        <f>TODAY()-j56</f>
      </c>
      <c r="R56" s="8253">
        <f>VLOOKUP(A56,'Last Week'!A4:I385,7,FALSE)</f>
      </c>
    </row>
    <row r="57" ht="25.5" customHeight="true">
      <c r="A57" s="8254" t="s">
        <v>179</v>
      </c>
      <c r="B57" s="8255" t="s">
        <v>180</v>
      </c>
      <c r="C57" s="8256"/>
      <c r="D57" s="8257" t="s">
        <v>126</v>
      </c>
      <c r="E57" s="8258" t="s">
        <v>127</v>
      </c>
      <c r="F57" s="8259"/>
      <c r="G57" s="8260" t="s">
        <v>15</v>
      </c>
      <c r="H57" s="8261" t="n">
        <v>42912.53175271991</v>
      </c>
      <c r="I57" s="8262" t="n">
        <v>42912.53175271991</v>
      </c>
      <c r="J57" s="8263" t="n">
        <v>42912.49545243056</v>
      </c>
      <c r="K57" s="8264" t="n">
        <v>42912.49545243056</v>
      </c>
      <c r="L57" s="8265" t="s">
        <v>16</v>
      </c>
      <c r="M57" s="8266"/>
      <c r="N57" s="8267"/>
      <c r="O57" s="8268"/>
      <c r="P57" s="8269" t="s">
        <v>30</v>
      </c>
      <c r="Q57" s="8270">
        <f>TODAY()-j57</f>
      </c>
      <c r="R57" s="8271">
        <f>VLOOKUP(A57,'Last Week'!A4:I385,7,FALSE)</f>
      </c>
    </row>
    <row r="58" ht="25.5" customHeight="true">
      <c r="A58" s="8272" t="s">
        <v>181</v>
      </c>
      <c r="B58" s="8273" t="s">
        <v>182</v>
      </c>
      <c r="C58" s="8274"/>
      <c r="D58" s="8275" t="s">
        <v>183</v>
      </c>
      <c r="E58" s="8276" t="s">
        <v>184</v>
      </c>
      <c r="F58" s="8277"/>
      <c r="G58" s="8278" t="s">
        <v>15</v>
      </c>
      <c r="H58" s="8279" t="n">
        <v>42914.68090269676</v>
      </c>
      <c r="I58" s="8280" t="n">
        <v>42914.68090269676</v>
      </c>
      <c r="J58" s="8281" t="n">
        <v>42912.659828414355</v>
      </c>
      <c r="K58" s="8282" t="n">
        <v>42912.659828414355</v>
      </c>
      <c r="L58" s="8283" t="s">
        <v>16</v>
      </c>
      <c r="M58" s="8284"/>
      <c r="N58" s="8285"/>
      <c r="O58" s="8286"/>
      <c r="P58" s="8287" t="s">
        <v>30</v>
      </c>
      <c r="Q58" s="8288">
        <f>TODAY()-j58</f>
      </c>
      <c r="R58" s="8289">
        <f>VLOOKUP(A58,'Last Week'!A4:I385,7,FALSE)</f>
      </c>
    </row>
    <row r="59" ht="25.5" customHeight="true">
      <c r="A59" s="8290" t="s">
        <v>185</v>
      </c>
      <c r="B59" s="8291" t="s">
        <v>186</v>
      </c>
      <c r="C59" s="8292"/>
      <c r="D59" s="8293" t="s">
        <v>187</v>
      </c>
      <c r="E59" s="8294" t="s">
        <v>14</v>
      </c>
      <c r="F59" s="8295"/>
      <c r="G59" s="8296" t="s">
        <v>15</v>
      </c>
      <c r="H59" s="8297" t="n">
        <v>42915.588758935184</v>
      </c>
      <c r="I59" s="8298" t="n">
        <v>42915.588758935184</v>
      </c>
      <c r="J59" s="8299" t="n">
        <v>42912.72484553241</v>
      </c>
      <c r="K59" s="8300" t="n">
        <v>42912.72484553241</v>
      </c>
      <c r="L59" s="8301" t="s">
        <v>16</v>
      </c>
      <c r="M59" s="8302"/>
      <c r="N59" s="8303"/>
      <c r="O59" s="8304"/>
      <c r="P59" s="8305" t="s">
        <v>30</v>
      </c>
      <c r="Q59" s="8306">
        <f>TODAY()-j59</f>
      </c>
      <c r="R59" s="8307">
        <f>VLOOKUP(A59,'Last Week'!A4:I385,7,FALSE)</f>
      </c>
    </row>
    <row r="60" ht="25.5" customHeight="true">
      <c r="A60" s="8308" t="s">
        <v>188</v>
      </c>
      <c r="B60" s="8309" t="s">
        <v>189</v>
      </c>
      <c r="C60" s="8310"/>
      <c r="D60" s="8311" t="s">
        <v>62</v>
      </c>
      <c r="E60" s="8312" t="s">
        <v>73</v>
      </c>
      <c r="F60" s="8313"/>
      <c r="G60" s="8314" t="s">
        <v>15</v>
      </c>
      <c r="H60" s="8315" t="n">
        <v>42915.71692795139</v>
      </c>
      <c r="I60" s="8316" t="n">
        <v>42915.71692795139</v>
      </c>
      <c r="J60" s="8317" t="n">
        <v>42915.64831380787</v>
      </c>
      <c r="K60" s="8318" t="n">
        <v>42915.64831380787</v>
      </c>
      <c r="L60" s="8319" t="s">
        <v>16</v>
      </c>
      <c r="M60" s="8320"/>
      <c r="N60" s="8321"/>
      <c r="O60" s="8322"/>
      <c r="P60" s="8323" t="s">
        <v>30</v>
      </c>
      <c r="Q60" s="8324">
        <f>TODAY()-j60</f>
      </c>
      <c r="R60" s="8325">
        <f>VLOOKUP(A60,'Last Week'!A4:I385,7,FALSE)</f>
      </c>
    </row>
    <row r="61" ht="25.5" customHeight="true">
      <c r="A61" s="8326" t="s">
        <v>190</v>
      </c>
      <c r="B61" s="8327" t="s">
        <v>191</v>
      </c>
      <c r="C61" s="8328"/>
      <c r="D61" s="8329" t="s">
        <v>141</v>
      </c>
      <c r="E61" s="8330" t="s">
        <v>176</v>
      </c>
      <c r="F61" s="8331"/>
      <c r="G61" s="8332" t="s">
        <v>15</v>
      </c>
      <c r="H61" s="8333" t="n">
        <v>42921.08457216435</v>
      </c>
      <c r="I61" s="8334" t="n">
        <v>42921.08457216435</v>
      </c>
      <c r="J61" s="8335" t="n">
        <v>42916.975928796295</v>
      </c>
      <c r="K61" s="8336" t="n">
        <v>42916.975928796295</v>
      </c>
      <c r="L61" s="8337" t="s">
        <v>16</v>
      </c>
      <c r="M61" s="8338"/>
      <c r="N61" s="8339"/>
      <c r="O61" s="8340"/>
      <c r="P61" s="8341" t="s">
        <v>59</v>
      </c>
      <c r="Q61" s="8342">
        <f>TODAY()-j61</f>
      </c>
      <c r="R61" s="8343">
        <f>VLOOKUP(A61,'Last Week'!A4:I385,7,FALSE)</f>
      </c>
    </row>
    <row r="62" ht="25.5" customHeight="true">
      <c r="A62" s="8344" t="s">
        <v>192</v>
      </c>
      <c r="B62" s="8345" t="s">
        <v>193</v>
      </c>
      <c r="C62" s="8346"/>
      <c r="D62" s="8347" t="s">
        <v>194</v>
      </c>
      <c r="E62" s="8348" t="s">
        <v>73</v>
      </c>
      <c r="F62" s="8349"/>
      <c r="G62" s="8350" t="s">
        <v>15</v>
      </c>
      <c r="H62" s="8351" t="n">
        <v>42921.08460938658</v>
      </c>
      <c r="I62" s="8352" t="n">
        <v>42921.08460938658</v>
      </c>
      <c r="J62" s="8353" t="n">
        <v>42919.40095023148</v>
      </c>
      <c r="K62" s="8354" t="n">
        <v>42919.40095023148</v>
      </c>
      <c r="L62" s="8355" t="s">
        <v>16</v>
      </c>
      <c r="M62" s="8356"/>
      <c r="N62" s="8357"/>
      <c r="O62" s="8358"/>
      <c r="P62" s="8359" t="s">
        <v>30</v>
      </c>
      <c r="Q62" s="8360">
        <f>TODAY()-j62</f>
      </c>
      <c r="R62" s="8361">
        <f>VLOOKUP(A62,'Last Week'!A4:I385,7,FALSE)</f>
      </c>
    </row>
    <row r="63" ht="25.5" customHeight="true">
      <c r="A63" s="8362" t="s">
        <v>195</v>
      </c>
      <c r="B63" s="8363" t="s">
        <v>196</v>
      </c>
      <c r="C63" s="8364"/>
      <c r="D63" s="8365" t="s">
        <v>55</v>
      </c>
      <c r="E63" s="8366" t="s">
        <v>82</v>
      </c>
      <c r="F63" s="8367"/>
      <c r="G63" s="8368" t="s">
        <v>15</v>
      </c>
      <c r="H63" s="8369" t="n">
        <v>42919.60615105324</v>
      </c>
      <c r="I63" s="8370" t="n">
        <v>42919.60615105324</v>
      </c>
      <c r="J63" s="8371" t="n">
        <v>42919.46495070602</v>
      </c>
      <c r="K63" s="8372" t="n">
        <v>42919.46495070602</v>
      </c>
      <c r="L63" s="8373" t="s">
        <v>16</v>
      </c>
      <c r="M63" s="8374"/>
      <c r="N63" s="8375"/>
      <c r="O63" s="8376"/>
      <c r="P63" s="8377" t="s">
        <v>47</v>
      </c>
      <c r="Q63" s="8378">
        <f>TODAY()-j63</f>
      </c>
      <c r="R63" s="8379">
        <f>VLOOKUP(A63,'Last Week'!A4:I385,7,FALSE)</f>
      </c>
    </row>
    <row r="64" ht="25.5" customHeight="true">
      <c r="A64" s="8380" t="s">
        <v>197</v>
      </c>
      <c r="B64" s="8381" t="s">
        <v>198</v>
      </c>
      <c r="C64" s="8382"/>
      <c r="D64" s="8383" t="s">
        <v>55</v>
      </c>
      <c r="E64" s="8384" t="s">
        <v>82</v>
      </c>
      <c r="F64" s="8385"/>
      <c r="G64" s="8386" t="s">
        <v>15</v>
      </c>
      <c r="H64" s="8387" t="n">
        <v>42921.50049060185</v>
      </c>
      <c r="I64" s="8388" t="n">
        <v>42921.50049060185</v>
      </c>
      <c r="J64" s="8389" t="n">
        <v>42919.46736530092</v>
      </c>
      <c r="K64" s="8390" t="n">
        <v>42919.46736530092</v>
      </c>
      <c r="L64" s="8391" t="s">
        <v>16</v>
      </c>
      <c r="M64" s="8392"/>
      <c r="N64" s="8393"/>
      <c r="O64" s="8394"/>
      <c r="P64" s="8395" t="s">
        <v>59</v>
      </c>
      <c r="Q64" s="8396">
        <f>TODAY()-j64</f>
      </c>
      <c r="R64" s="8397">
        <f>VLOOKUP(A64,'Last Week'!A4:I385,7,FALSE)</f>
      </c>
    </row>
    <row r="65" ht="25.5" customHeight="true">
      <c r="A65" s="8398" t="s">
        <v>199</v>
      </c>
      <c r="B65" s="8399" t="s">
        <v>200</v>
      </c>
      <c r="C65" s="8400"/>
      <c r="D65" s="8401" t="s">
        <v>201</v>
      </c>
      <c r="E65" s="8402" t="s">
        <v>34</v>
      </c>
      <c r="F65" s="8403"/>
      <c r="G65" s="8404" t="s">
        <v>15</v>
      </c>
      <c r="H65" s="8405" t="n">
        <v>42921.58380084491</v>
      </c>
      <c r="I65" s="8406" t="n">
        <v>42921.58380084491</v>
      </c>
      <c r="J65" s="8407" t="n">
        <v>42919.71794568287</v>
      </c>
      <c r="K65" s="8408" t="n">
        <v>42919.71794568287</v>
      </c>
      <c r="L65" s="8409" t="s">
        <v>16</v>
      </c>
      <c r="M65" s="8410"/>
      <c r="N65" s="8411"/>
      <c r="O65" s="8412"/>
      <c r="P65" s="8413" t="s">
        <v>59</v>
      </c>
      <c r="Q65" s="8414">
        <f>TODAY()-j65</f>
      </c>
      <c r="R65" s="8415">
        <f>VLOOKUP(A65,'Last Week'!A4:I385,7,FALSE)</f>
      </c>
    </row>
    <row r="66" ht="25.5" customHeight="true">
      <c r="A66" s="8416" t="s">
        <v>202</v>
      </c>
      <c r="B66" s="8417" t="s">
        <v>203</v>
      </c>
      <c r="C66" s="8418"/>
      <c r="D66" s="8419" t="s">
        <v>55</v>
      </c>
      <c r="E66" s="8420" t="s">
        <v>82</v>
      </c>
      <c r="F66" s="8421"/>
      <c r="G66" s="8422" t="s">
        <v>15</v>
      </c>
      <c r="H66" s="8423" t="n">
        <v>42921.50053012731</v>
      </c>
      <c r="I66" s="8424" t="n">
        <v>42921.50053012731</v>
      </c>
      <c r="J66" s="8425" t="n">
        <v>42919.72041326389</v>
      </c>
      <c r="K66" s="8426" t="n">
        <v>42919.72041326389</v>
      </c>
      <c r="L66" s="8427" t="s">
        <v>16</v>
      </c>
      <c r="M66" s="8428"/>
      <c r="N66" s="8429"/>
      <c r="O66" s="8430"/>
      <c r="P66" s="8431" t="s">
        <v>59</v>
      </c>
      <c r="Q66" s="8432">
        <f>TODAY()-j66</f>
      </c>
      <c r="R66" s="8433">
        <f>VLOOKUP(A66,'Last Week'!A4:I385,7,FALSE)</f>
      </c>
    </row>
    <row r="67" ht="25.5" customHeight="true">
      <c r="A67" s="8434" t="s">
        <v>204</v>
      </c>
      <c r="B67" s="8435" t="s">
        <v>205</v>
      </c>
      <c r="C67" s="8436"/>
      <c r="D67" s="8437" t="s">
        <v>108</v>
      </c>
      <c r="E67" s="8438" t="s">
        <v>110</v>
      </c>
      <c r="F67" s="8439"/>
      <c r="G67" s="8440" t="s">
        <v>15</v>
      </c>
      <c r="H67" s="8441" t="n">
        <v>42922.08458960648</v>
      </c>
      <c r="I67" s="8442" t="n">
        <v>42922.08458960648</v>
      </c>
      <c r="J67" s="8443" t="n">
        <v>42919.720958680555</v>
      </c>
      <c r="K67" s="8444" t="n">
        <v>42919.720958680555</v>
      </c>
      <c r="L67" s="8445" t="s">
        <v>16</v>
      </c>
      <c r="M67" s="8446"/>
      <c r="N67" s="8447"/>
      <c r="O67" s="8448"/>
      <c r="P67" s="8449" t="s">
        <v>59</v>
      </c>
      <c r="Q67" s="8450">
        <f>TODAY()-j67</f>
      </c>
      <c r="R67" s="8451">
        <f>VLOOKUP(A67,'Last Week'!A4:I385,7,FALSE)</f>
      </c>
    </row>
    <row r="68" ht="25.5" customHeight="true">
      <c r="A68" s="8452" t="s">
        <v>206</v>
      </c>
      <c r="B68" s="8453" t="s">
        <v>207</v>
      </c>
      <c r="C68" s="8454"/>
      <c r="D68" s="8455" t="s">
        <v>208</v>
      </c>
      <c r="E68" s="8456" t="s">
        <v>209</v>
      </c>
      <c r="F68" s="8457"/>
      <c r="G68" s="8458" t="s">
        <v>15</v>
      </c>
      <c r="H68" s="8459" t="n">
        <v>42921.48895339121</v>
      </c>
      <c r="I68" s="8460" t="n">
        <v>42921.48895339121</v>
      </c>
      <c r="J68" s="8461" t="n">
        <v>42920.69583804398</v>
      </c>
      <c r="K68" s="8462" t="n">
        <v>42920.69583804398</v>
      </c>
      <c r="L68" s="8463" t="s">
        <v>16</v>
      </c>
      <c r="M68" s="8464"/>
      <c r="N68" s="8465"/>
      <c r="O68" s="8466"/>
      <c r="P68" s="8467" t="s">
        <v>30</v>
      </c>
      <c r="Q68" s="8468">
        <f>TODAY()-j68</f>
      </c>
      <c r="R68" s="8469">
        <f>VLOOKUP(A68,'Last Week'!A4:I385,7,FALSE)</f>
      </c>
    </row>
    <row r="69" ht="25.5" customHeight="true">
      <c r="A69" s="8470" t="s">
        <v>210</v>
      </c>
      <c r="B69" s="8471" t="s">
        <v>211</v>
      </c>
      <c r="C69" s="8472"/>
      <c r="D69" s="8473" t="s">
        <v>155</v>
      </c>
      <c r="E69" s="8474" t="s">
        <v>29</v>
      </c>
      <c r="F69" s="8475"/>
      <c r="G69" s="8476" t="s">
        <v>15</v>
      </c>
      <c r="H69" s="8477" t="n">
        <v>42929.730684710645</v>
      </c>
      <c r="I69" s="8478" t="n">
        <v>42929.730684710645</v>
      </c>
      <c r="J69" s="8479" t="n">
        <v>42920.810438912034</v>
      </c>
      <c r="K69" s="8480" t="n">
        <v>42920.810438912034</v>
      </c>
      <c r="L69" s="8481" t="s">
        <v>16</v>
      </c>
      <c r="M69" s="8482"/>
      <c r="N69" s="8483"/>
      <c r="O69" s="8484"/>
      <c r="P69" s="8485" t="s">
        <v>47</v>
      </c>
      <c r="Q69" s="8486">
        <f>TODAY()-j69</f>
      </c>
      <c r="R69" s="8487">
        <f>VLOOKUP(A69,'Last Week'!A4:I385,7,FALSE)</f>
      </c>
    </row>
    <row r="70" ht="25.5" customHeight="true">
      <c r="A70" s="8488" t="s">
        <v>212</v>
      </c>
      <c r="B70" s="8489" t="s">
        <v>213</v>
      </c>
      <c r="C70" s="8490"/>
      <c r="D70" s="8491" t="s">
        <v>62</v>
      </c>
      <c r="E70" s="8492" t="s">
        <v>73</v>
      </c>
      <c r="F70" s="8493"/>
      <c r="G70" s="8494" t="s">
        <v>15</v>
      </c>
      <c r="H70" s="8495" t="n">
        <v>42923.12546351852</v>
      </c>
      <c r="I70" s="8496" t="n">
        <v>42923.12546351852</v>
      </c>
      <c r="J70" s="8497" t="n">
        <v>42921.476019918984</v>
      </c>
      <c r="K70" s="8498" t="n">
        <v>42921.476019918984</v>
      </c>
      <c r="L70" s="8499" t="s">
        <v>16</v>
      </c>
      <c r="M70" s="8500"/>
      <c r="N70" s="8501"/>
      <c r="O70" s="8502"/>
      <c r="P70" s="8503" t="s">
        <v>47</v>
      </c>
      <c r="Q70" s="8504">
        <f>TODAY()-j70</f>
      </c>
      <c r="R70" s="8505">
        <f>VLOOKUP(A70,'Last Week'!A4:I385,7,FALSE)</f>
      </c>
    </row>
    <row r="71" ht="25.5" customHeight="true">
      <c r="A71" s="8506" t="s">
        <v>214</v>
      </c>
      <c r="B71" s="8507" t="s">
        <v>215</v>
      </c>
      <c r="C71" s="8508"/>
      <c r="D71" s="8509" t="s">
        <v>165</v>
      </c>
      <c r="E71" s="8510" t="s">
        <v>216</v>
      </c>
      <c r="F71" s="8511"/>
      <c r="G71" s="8512" t="s">
        <v>15</v>
      </c>
      <c r="H71" s="8513" t="n">
        <v>42923.375521030095</v>
      </c>
      <c r="I71" s="8514" t="n">
        <v>42923.375521030095</v>
      </c>
      <c r="J71" s="8515" t="n">
        <v>42921.6231527662</v>
      </c>
      <c r="K71" s="8516" t="n">
        <v>42921.6231527662</v>
      </c>
      <c r="L71" s="8517" t="s">
        <v>16</v>
      </c>
      <c r="M71" s="8518"/>
      <c r="N71" s="8519"/>
      <c r="O71" s="8520"/>
      <c r="P71" s="8521" t="s">
        <v>59</v>
      </c>
      <c r="Q71" s="8522">
        <f>TODAY()-j71</f>
      </c>
      <c r="R71" s="8523">
        <f>VLOOKUP(A71,'Last Week'!A4:I385,7,FALSE)</f>
      </c>
    </row>
    <row r="72" ht="25.5" customHeight="true">
      <c r="A72" s="8524" t="s">
        <v>217</v>
      </c>
      <c r="B72" s="8525" t="s">
        <v>218</v>
      </c>
      <c r="C72" s="8526"/>
      <c r="D72" s="8527" t="s">
        <v>219</v>
      </c>
      <c r="E72" s="8528" t="s">
        <v>25</v>
      </c>
      <c r="F72" s="8529"/>
      <c r="G72" s="8530" t="s">
        <v>86</v>
      </c>
      <c r="H72" s="8531" t="n">
        <v>43049.408835358794</v>
      </c>
      <c r="I72" s="8532" t="n">
        <v>43049.408835358794</v>
      </c>
      <c r="J72" s="8533" t="n">
        <v>42921.71041983796</v>
      </c>
      <c r="K72" s="8534" t="n">
        <v>42921.71041983796</v>
      </c>
      <c r="L72" s="8535" t="s">
        <v>16</v>
      </c>
      <c r="M72" s="8536"/>
      <c r="N72" s="8537"/>
      <c r="O72" s="8538"/>
      <c r="P72" s="8539" t="s">
        <v>17</v>
      </c>
      <c r="Q72" s="8540">
        <f>TODAY()-j72</f>
      </c>
      <c r="R72" s="8541">
        <f>VLOOKUP(A72,'Last Week'!A4:I385,7,FALSE)</f>
      </c>
    </row>
    <row r="73" ht="25.5" customHeight="true">
      <c r="A73" s="8542" t="s">
        <v>220</v>
      </c>
      <c r="B73" s="8543" t="s">
        <v>221</v>
      </c>
      <c r="C73" s="8544"/>
      <c r="D73" s="8545" t="s">
        <v>175</v>
      </c>
      <c r="E73" s="8546" t="s">
        <v>25</v>
      </c>
      <c r="F73" s="8547"/>
      <c r="G73" s="8548" t="s">
        <v>15</v>
      </c>
      <c r="H73" s="8549" t="n">
        <v>42929.41608025463</v>
      </c>
      <c r="I73" s="8550" t="n">
        <v>42929.41608025463</v>
      </c>
      <c r="J73" s="8551" t="n">
        <v>42923.54545211806</v>
      </c>
      <c r="K73" s="8552" t="n">
        <v>42923.54545211806</v>
      </c>
      <c r="L73" s="8553" t="s">
        <v>16</v>
      </c>
      <c r="M73" s="8554"/>
      <c r="N73" s="8555"/>
      <c r="O73" s="8556"/>
      <c r="P73" s="8557" t="s">
        <v>47</v>
      </c>
      <c r="Q73" s="8558">
        <f>TODAY()-j73</f>
      </c>
      <c r="R73" s="8559">
        <f>VLOOKUP(A73,'Last Week'!A4:I385,7,FALSE)</f>
      </c>
    </row>
    <row r="74" ht="25.5" customHeight="true">
      <c r="A74" s="8560" t="s">
        <v>222</v>
      </c>
      <c r="B74" s="8561" t="s">
        <v>223</v>
      </c>
      <c r="C74" s="8562"/>
      <c r="D74" s="8563" t="s">
        <v>224</v>
      </c>
      <c r="E74" s="8564" t="s">
        <v>42</v>
      </c>
      <c r="F74" s="8565"/>
      <c r="G74" s="8566" t="s">
        <v>15</v>
      </c>
      <c r="H74" s="8567" t="n">
        <v>42927.76629398148</v>
      </c>
      <c r="I74" s="8568" t="n">
        <v>42927.76629398148</v>
      </c>
      <c r="J74" s="8569" t="n">
        <v>42923.71244079861</v>
      </c>
      <c r="K74" s="8570" t="n">
        <v>42923.71244079861</v>
      </c>
      <c r="L74" s="8571" t="s">
        <v>16</v>
      </c>
      <c r="M74" s="8572"/>
      <c r="N74" s="8573"/>
      <c r="O74" s="8574"/>
      <c r="P74" s="8575" t="s">
        <v>47</v>
      </c>
      <c r="Q74" s="8576">
        <f>TODAY()-j74</f>
      </c>
      <c r="R74" s="8577">
        <f>VLOOKUP(A74,'Last Week'!A4:I385,7,FALSE)</f>
      </c>
    </row>
    <row r="75" ht="25.5" customHeight="true">
      <c r="A75" s="8578" t="s">
        <v>225</v>
      </c>
      <c r="B75" s="8579" t="s">
        <v>226</v>
      </c>
      <c r="C75" s="8580"/>
      <c r="D75" s="8581" t="s">
        <v>165</v>
      </c>
      <c r="E75" s="8582" t="s">
        <v>216</v>
      </c>
      <c r="F75" s="8583"/>
      <c r="G75" s="8584" t="s">
        <v>15</v>
      </c>
      <c r="H75" s="8585" t="n">
        <v>42930.08436231482</v>
      </c>
      <c r="I75" s="8586" t="n">
        <v>42930.08436231482</v>
      </c>
      <c r="J75" s="8587" t="n">
        <v>42926.57828202546</v>
      </c>
      <c r="K75" s="8588" t="n">
        <v>42926.57828202546</v>
      </c>
      <c r="L75" s="8589" t="s">
        <v>16</v>
      </c>
      <c r="M75" s="8590"/>
      <c r="N75" s="8591"/>
      <c r="O75" s="8592"/>
      <c r="P75" s="8593" t="s">
        <v>47</v>
      </c>
      <c r="Q75" s="8594">
        <f>TODAY()-j75</f>
      </c>
      <c r="R75" s="8595">
        <f>VLOOKUP(A75,'Last Week'!A4:I385,7,FALSE)</f>
      </c>
    </row>
    <row r="76" ht="25.5" customHeight="true">
      <c r="A76" s="8596" t="s">
        <v>227</v>
      </c>
      <c r="B76" s="8597" t="s">
        <v>228</v>
      </c>
      <c r="C76" s="8598"/>
      <c r="D76" s="8599" t="s">
        <v>229</v>
      </c>
      <c r="E76" s="8600" t="s">
        <v>230</v>
      </c>
      <c r="F76" s="8601"/>
      <c r="G76" s="8602" t="s">
        <v>15</v>
      </c>
      <c r="H76" s="8603" t="n">
        <v>42930.46679784722</v>
      </c>
      <c r="I76" s="8604" t="n">
        <v>42930.46679784722</v>
      </c>
      <c r="J76" s="8605" t="n">
        <v>42926.945830868055</v>
      </c>
      <c r="K76" s="8606" t="n">
        <v>42926.945830868055</v>
      </c>
      <c r="L76" s="8607" t="s">
        <v>16</v>
      </c>
      <c r="M76" s="8608"/>
      <c r="N76" s="8609"/>
      <c r="O76" s="8610"/>
      <c r="P76" s="8611" t="s">
        <v>47</v>
      </c>
      <c r="Q76" s="8612">
        <f>TODAY()-j76</f>
      </c>
      <c r="R76" s="8613">
        <f>VLOOKUP(A76,'Last Week'!A4:I385,7,FALSE)</f>
      </c>
    </row>
    <row r="77" ht="25.5" customHeight="true">
      <c r="A77" s="8614" t="s">
        <v>231</v>
      </c>
      <c r="B77" s="8615" t="s">
        <v>232</v>
      </c>
      <c r="C77" s="8616"/>
      <c r="D77" s="8617" t="s">
        <v>233</v>
      </c>
      <c r="E77" s="8618" t="s">
        <v>116</v>
      </c>
      <c r="F77" s="8619"/>
      <c r="G77" s="8620" t="s">
        <v>15</v>
      </c>
      <c r="H77" s="8621" t="n">
        <v>42927.53327625</v>
      </c>
      <c r="I77" s="8622" t="n">
        <v>42927.53327625</v>
      </c>
      <c r="J77" s="8623" t="n">
        <v>42927.46987296296</v>
      </c>
      <c r="K77" s="8624" t="n">
        <v>42927.46987296296</v>
      </c>
      <c r="L77" s="8625" t="s">
        <v>16</v>
      </c>
      <c r="M77" s="8626"/>
      <c r="N77" s="8627"/>
      <c r="O77" s="8628"/>
      <c r="P77" s="8629" t="s">
        <v>47</v>
      </c>
      <c r="Q77" s="8630">
        <f>TODAY()-j77</f>
      </c>
      <c r="R77" s="8631">
        <f>VLOOKUP(A77,'Last Week'!A4:I385,7,FALSE)</f>
      </c>
    </row>
    <row r="78" ht="25.5" customHeight="true">
      <c r="A78" s="8632" t="s">
        <v>234</v>
      </c>
      <c r="B78" s="8633" t="s">
        <v>235</v>
      </c>
      <c r="C78" s="8634"/>
      <c r="D78" s="8635" t="s">
        <v>236</v>
      </c>
      <c r="E78" s="8636" t="s">
        <v>34</v>
      </c>
      <c r="F78" s="8637"/>
      <c r="G78" s="8638" t="s">
        <v>15</v>
      </c>
      <c r="H78" s="8639" t="n">
        <v>42930.084614155094</v>
      </c>
      <c r="I78" s="8640" t="n">
        <v>42930.084614155094</v>
      </c>
      <c r="J78" s="8641" t="n">
        <v>42927.69818072917</v>
      </c>
      <c r="K78" s="8642" t="n">
        <v>42927.69818072917</v>
      </c>
      <c r="L78" s="8643" t="s">
        <v>16</v>
      </c>
      <c r="M78" s="8644"/>
      <c r="N78" s="8645"/>
      <c r="O78" s="8646"/>
      <c r="P78" s="8647" t="s">
        <v>47</v>
      </c>
      <c r="Q78" s="8648">
        <f>TODAY()-j78</f>
      </c>
      <c r="R78" s="8649">
        <f>VLOOKUP(A78,'Last Week'!A4:I385,7,FALSE)</f>
      </c>
    </row>
    <row r="79" ht="25.5" customHeight="true">
      <c r="A79" s="8650" t="s">
        <v>237</v>
      </c>
      <c r="B79" s="8651" t="s">
        <v>238</v>
      </c>
      <c r="C79" s="8652"/>
      <c r="D79" s="8653" t="s">
        <v>89</v>
      </c>
      <c r="E79" s="8654" t="s">
        <v>82</v>
      </c>
      <c r="F79" s="8655"/>
      <c r="G79" s="8656" t="s">
        <v>15</v>
      </c>
      <c r="H79" s="8657" t="n">
        <v>42936.12564168982</v>
      </c>
      <c r="I79" s="8658" t="n">
        <v>42936.12564168982</v>
      </c>
      <c r="J79" s="8659" t="n">
        <v>42927.742847939815</v>
      </c>
      <c r="K79" s="8660" t="n">
        <v>42927.742847939815</v>
      </c>
      <c r="L79" s="8661" t="s">
        <v>16</v>
      </c>
      <c r="M79" s="8662"/>
      <c r="N79" s="8663"/>
      <c r="O79" s="8664"/>
      <c r="P79" s="8665" t="s">
        <v>47</v>
      </c>
      <c r="Q79" s="8666">
        <f>TODAY()-j79</f>
      </c>
      <c r="R79" s="8667">
        <f>VLOOKUP(A79,'Last Week'!A4:I385,7,FALSE)</f>
      </c>
    </row>
    <row r="80" ht="25.5" customHeight="true">
      <c r="A80" s="8668" t="s">
        <v>239</v>
      </c>
      <c r="B80" s="8669" t="s">
        <v>240</v>
      </c>
      <c r="C80" s="8670"/>
      <c r="D80" s="8671" t="s">
        <v>241</v>
      </c>
      <c r="E80" s="8672" t="s">
        <v>242</v>
      </c>
      <c r="F80" s="8673"/>
      <c r="G80" s="8674" t="s">
        <v>15</v>
      </c>
      <c r="H80" s="8675" t="n">
        <v>42931.08444549768</v>
      </c>
      <c r="I80" s="8676" t="n">
        <v>42931.08444549768</v>
      </c>
      <c r="J80" s="8677" t="n">
        <v>42928.550747974536</v>
      </c>
      <c r="K80" s="8678" t="n">
        <v>42928.550747974536</v>
      </c>
      <c r="L80" s="8679" t="s">
        <v>16</v>
      </c>
      <c r="M80" s="8680"/>
      <c r="N80" s="8681"/>
      <c r="O80" s="8682"/>
      <c r="P80" s="8683" t="s">
        <v>47</v>
      </c>
      <c r="Q80" s="8684">
        <f>TODAY()-j80</f>
      </c>
      <c r="R80" s="8685">
        <f>VLOOKUP(A80,'Last Week'!A4:I385,7,FALSE)</f>
      </c>
    </row>
    <row r="81" ht="25.5" customHeight="true">
      <c r="A81" s="8686" t="s">
        <v>243</v>
      </c>
      <c r="B81" s="8687" t="s">
        <v>191</v>
      </c>
      <c r="C81" s="8688"/>
      <c r="D81" s="8689" t="s">
        <v>141</v>
      </c>
      <c r="E81" s="8690" t="s">
        <v>73</v>
      </c>
      <c r="F81" s="8691"/>
      <c r="G81" s="8692" t="s">
        <v>15</v>
      </c>
      <c r="H81" s="8693" t="n">
        <v>42931.08487298611</v>
      </c>
      <c r="I81" s="8694" t="n">
        <v>42931.08487298611</v>
      </c>
      <c r="J81" s="8695" t="n">
        <v>42929.521231053244</v>
      </c>
      <c r="K81" s="8696" t="n">
        <v>42929.521231053244</v>
      </c>
      <c r="L81" s="8697" t="s">
        <v>16</v>
      </c>
      <c r="M81" s="8698"/>
      <c r="N81" s="8699"/>
      <c r="O81" s="8700"/>
      <c r="P81" s="8701" t="s">
        <v>17</v>
      </c>
      <c r="Q81" s="8702">
        <f>TODAY()-j81</f>
      </c>
      <c r="R81" s="8703">
        <f>VLOOKUP(A81,'Last Week'!A4:I385,7,FALSE)</f>
      </c>
    </row>
    <row r="82" ht="25.5" customHeight="true">
      <c r="A82" s="8704" t="s">
        <v>244</v>
      </c>
      <c r="B82" s="8705" t="s">
        <v>245</v>
      </c>
      <c r="C82" s="8706"/>
      <c r="D82" s="8707" t="s">
        <v>246</v>
      </c>
      <c r="E82" s="8708" t="s">
        <v>21</v>
      </c>
      <c r="F82" s="8709"/>
      <c r="G82" s="8710" t="s">
        <v>15</v>
      </c>
      <c r="H82" s="8711" t="n">
        <v>42935.61021587963</v>
      </c>
      <c r="I82" s="8712" t="n">
        <v>42935.61021587963</v>
      </c>
      <c r="J82" s="8713" t="n">
        <v>42929.57936642361</v>
      </c>
      <c r="K82" s="8714" t="n">
        <v>42929.57936642361</v>
      </c>
      <c r="L82" s="8715" t="s">
        <v>16</v>
      </c>
      <c r="M82" s="8716"/>
      <c r="N82" s="8717"/>
      <c r="O82" s="8718"/>
      <c r="P82" s="8719" t="s">
        <v>17</v>
      </c>
      <c r="Q82" s="8720">
        <f>TODAY()-j82</f>
      </c>
      <c r="R82" s="8721">
        <f>VLOOKUP(A82,'Last Week'!A4:I385,7,FALSE)</f>
      </c>
    </row>
    <row r="83" ht="25.5" customHeight="true">
      <c r="A83" s="8722" t="s">
        <v>247</v>
      </c>
      <c r="B83" s="8723" t="s">
        <v>248</v>
      </c>
      <c r="C83" s="8724"/>
      <c r="D83" s="8725" t="s">
        <v>30</v>
      </c>
      <c r="E83" s="8726" t="s">
        <v>29</v>
      </c>
      <c r="F83" s="8727"/>
      <c r="G83" s="8728" t="s">
        <v>15</v>
      </c>
      <c r="H83" s="8729" t="n">
        <v>42932.917304490744</v>
      </c>
      <c r="I83" s="8730" t="n">
        <v>42932.917304490744</v>
      </c>
      <c r="J83" s="8731" t="n">
        <v>42929.84461774305</v>
      </c>
      <c r="K83" s="8732" t="n">
        <v>42929.84461774305</v>
      </c>
      <c r="L83" s="8733" t="s">
        <v>16</v>
      </c>
      <c r="M83" s="8734"/>
      <c r="N83" s="8735"/>
      <c r="O83" s="8736"/>
      <c r="P83" s="8737" t="s">
        <v>30</v>
      </c>
      <c r="Q83" s="8738">
        <f>TODAY()-j83</f>
      </c>
      <c r="R83" s="8739">
        <f>VLOOKUP(A83,'Last Week'!A4:I385,7,FALSE)</f>
      </c>
    </row>
    <row r="84" ht="25.5" customHeight="true">
      <c r="A84" s="8740" t="s">
        <v>249</v>
      </c>
      <c r="B84" s="8741" t="s">
        <v>250</v>
      </c>
      <c r="C84" s="8742"/>
      <c r="D84" s="8743" t="s">
        <v>251</v>
      </c>
      <c r="E84" s="8744" t="s">
        <v>73</v>
      </c>
      <c r="F84" s="8745"/>
      <c r="G84" s="8746" t="s">
        <v>15</v>
      </c>
      <c r="H84" s="8747" t="n">
        <v>42933.66786900463</v>
      </c>
      <c r="I84" s="8748" t="n">
        <v>42933.66786900463</v>
      </c>
      <c r="J84" s="8749" t="n">
        <v>42930.47028429398</v>
      </c>
      <c r="K84" s="8750" t="n">
        <v>42930.47028429398</v>
      </c>
      <c r="L84" s="8751" t="s">
        <v>16</v>
      </c>
      <c r="M84" s="8752"/>
      <c r="N84" s="8753"/>
      <c r="O84" s="8754"/>
      <c r="P84" s="8755" t="s">
        <v>17</v>
      </c>
      <c r="Q84" s="8756">
        <f>TODAY()-j84</f>
      </c>
      <c r="R84" s="8757">
        <f>VLOOKUP(A84,'Last Week'!A4:I385,7,FALSE)</f>
      </c>
    </row>
    <row r="85" ht="25.5" customHeight="true">
      <c r="A85" s="8758" t="s">
        <v>252</v>
      </c>
      <c r="B85" s="8759" t="s">
        <v>253</v>
      </c>
      <c r="C85" s="8760"/>
      <c r="D85" s="8761" t="s">
        <v>254</v>
      </c>
      <c r="E85" s="8762" t="s">
        <v>25</v>
      </c>
      <c r="F85" s="8763"/>
      <c r="G85" s="8764" t="s">
        <v>15</v>
      </c>
      <c r="H85" s="8765" t="n">
        <v>42935.29234591435</v>
      </c>
      <c r="I85" s="8766" t="n">
        <v>42935.29234591435</v>
      </c>
      <c r="J85" s="8767" t="n">
        <v>42933.5445446875</v>
      </c>
      <c r="K85" s="8768" t="n">
        <v>42933.5445446875</v>
      </c>
      <c r="L85" s="8769" t="s">
        <v>16</v>
      </c>
      <c r="M85" s="8770"/>
      <c r="N85" s="8771"/>
      <c r="O85" s="8772"/>
      <c r="P85" s="8773" t="s">
        <v>17</v>
      </c>
      <c r="Q85" s="8774">
        <f>TODAY()-j85</f>
      </c>
      <c r="R85" s="8775">
        <f>VLOOKUP(A85,'Last Week'!A4:I385,7,FALSE)</f>
      </c>
    </row>
    <row r="86" ht="25.5" customHeight="true">
      <c r="A86" s="8776" t="s">
        <v>255</v>
      </c>
      <c r="B86" s="8777" t="s">
        <v>256</v>
      </c>
      <c r="C86" s="8778"/>
      <c r="D86" s="8779" t="s">
        <v>257</v>
      </c>
      <c r="E86" s="8780" t="s">
        <v>138</v>
      </c>
      <c r="F86" s="8781"/>
      <c r="G86" s="8782" t="s">
        <v>15</v>
      </c>
      <c r="H86" s="8783" t="n">
        <v>42937.73241278935</v>
      </c>
      <c r="I86" s="8784" t="n">
        <v>42937.73241278935</v>
      </c>
      <c r="J86" s="8785" t="n">
        <v>42933.70893532407</v>
      </c>
      <c r="K86" s="8786" t="n">
        <v>42933.70893532407</v>
      </c>
      <c r="L86" s="8787" t="s">
        <v>16</v>
      </c>
      <c r="M86" s="8788"/>
      <c r="N86" s="8789"/>
      <c r="O86" s="8790"/>
      <c r="P86" s="8791" t="s">
        <v>30</v>
      </c>
      <c r="Q86" s="8792">
        <f>TODAY()-j86</f>
      </c>
      <c r="R86" s="8793">
        <f>VLOOKUP(A86,'Last Week'!A4:I385,7,FALSE)</f>
      </c>
    </row>
    <row r="87" ht="25.5" customHeight="true">
      <c r="A87" s="8794" t="s">
        <v>258</v>
      </c>
      <c r="B87" s="8795" t="s">
        <v>259</v>
      </c>
      <c r="C87" s="8796"/>
      <c r="D87" s="8797" t="s">
        <v>62</v>
      </c>
      <c r="E87" s="8798" t="s">
        <v>176</v>
      </c>
      <c r="F87" s="8799"/>
      <c r="G87" s="8800" t="s">
        <v>15</v>
      </c>
      <c r="H87" s="8801" t="n">
        <v>42949.0842308912</v>
      </c>
      <c r="I87" s="8802" t="n">
        <v>42949.0842308912</v>
      </c>
      <c r="J87" s="8803" t="n">
        <v>42934.9435381713</v>
      </c>
      <c r="K87" s="8804" t="n">
        <v>42934.9435381713</v>
      </c>
      <c r="L87" s="8805" t="s">
        <v>16</v>
      </c>
      <c r="M87" s="8806"/>
      <c r="N87" s="8807"/>
      <c r="O87" s="8808"/>
      <c r="P87" s="8809" t="s">
        <v>17</v>
      </c>
      <c r="Q87" s="8810">
        <f>TODAY()-j87</f>
      </c>
      <c r="R87" s="8811">
        <f>VLOOKUP(A87,'Last Week'!A4:I385,7,FALSE)</f>
      </c>
    </row>
    <row r="88" ht="25.5" customHeight="true">
      <c r="A88" s="8812" t="s">
        <v>260</v>
      </c>
      <c r="B88" s="8813" t="s">
        <v>180</v>
      </c>
      <c r="C88" s="8814"/>
      <c r="D88" s="8815" t="s">
        <v>261</v>
      </c>
      <c r="E88" s="8816" t="s">
        <v>127</v>
      </c>
      <c r="F88" s="8817"/>
      <c r="G88" s="8818" t="s">
        <v>15</v>
      </c>
      <c r="H88" s="8819" t="n">
        <v>42935.61088949074</v>
      </c>
      <c r="I88" s="8820" t="n">
        <v>42935.61088949074</v>
      </c>
      <c r="J88" s="8821" t="n">
        <v>42935.374384525465</v>
      </c>
      <c r="K88" s="8822" t="n">
        <v>42935.374384525465</v>
      </c>
      <c r="L88" s="8823" t="s">
        <v>16</v>
      </c>
      <c r="M88" s="8824"/>
      <c r="N88" s="8825"/>
      <c r="O88" s="8826"/>
      <c r="P88" s="8827" t="s">
        <v>17</v>
      </c>
      <c r="Q88" s="8828">
        <f>TODAY()-j88</f>
      </c>
      <c r="R88" s="8829">
        <f>VLOOKUP(A88,'Last Week'!A4:I385,7,FALSE)</f>
      </c>
    </row>
    <row r="89" ht="25.5" customHeight="true">
      <c r="A89" s="8830" t="s">
        <v>262</v>
      </c>
      <c r="B89" s="8831" t="s">
        <v>125</v>
      </c>
      <c r="C89" s="8832"/>
      <c r="D89" s="8833" t="s">
        <v>126</v>
      </c>
      <c r="E89" s="8834" t="s">
        <v>127</v>
      </c>
      <c r="F89" s="8835"/>
      <c r="G89" s="8836" t="s">
        <v>15</v>
      </c>
      <c r="H89" s="8837" t="n">
        <v>42937.08488767361</v>
      </c>
      <c r="I89" s="8838" t="n">
        <v>42937.08488767361</v>
      </c>
      <c r="J89" s="8839" t="n">
        <v>42935.44146324074</v>
      </c>
      <c r="K89" s="8840" t="n">
        <v>42935.44146324074</v>
      </c>
      <c r="L89" s="8841" t="s">
        <v>16</v>
      </c>
      <c r="M89" s="8842"/>
      <c r="N89" s="8843"/>
      <c r="O89" s="8844"/>
      <c r="P89" s="8845" t="s">
        <v>17</v>
      </c>
      <c r="Q89" s="8846">
        <f>TODAY()-j89</f>
      </c>
      <c r="R89" s="8847">
        <f>VLOOKUP(A89,'Last Week'!A4:I385,7,FALSE)</f>
      </c>
    </row>
    <row r="90" ht="25.5" customHeight="true">
      <c r="A90" s="8848" t="s">
        <v>263</v>
      </c>
      <c r="B90" s="8849" t="s">
        <v>264</v>
      </c>
      <c r="C90" s="8850"/>
      <c r="D90" s="8851" t="s">
        <v>155</v>
      </c>
      <c r="E90" s="8852" t="s">
        <v>29</v>
      </c>
      <c r="F90" s="8853"/>
      <c r="G90" s="8854" t="s">
        <v>15</v>
      </c>
      <c r="H90" s="8855" t="n">
        <v>42942.084391689816</v>
      </c>
      <c r="I90" s="8856" t="n">
        <v>42942.084391689816</v>
      </c>
      <c r="J90" s="8857" t="n">
        <v>42935.83145121528</v>
      </c>
      <c r="K90" s="8858" t="n">
        <v>42935.83145121528</v>
      </c>
      <c r="L90" s="8859" t="s">
        <v>16</v>
      </c>
      <c r="M90" s="8860"/>
      <c r="N90" s="8861"/>
      <c r="O90" s="8862"/>
      <c r="P90" s="8863" t="s">
        <v>47</v>
      </c>
      <c r="Q90" s="8864">
        <f>TODAY()-j90</f>
      </c>
      <c r="R90" s="8865">
        <f>VLOOKUP(A90,'Last Week'!A4:I385,7,FALSE)</f>
      </c>
    </row>
    <row r="91" ht="25.5" customHeight="true">
      <c r="A91" s="8866" t="s">
        <v>265</v>
      </c>
      <c r="B91" s="8867" t="s">
        <v>266</v>
      </c>
      <c r="C91" s="8868"/>
      <c r="D91" s="8869" t="s">
        <v>62</v>
      </c>
      <c r="E91" s="8870" t="s">
        <v>73</v>
      </c>
      <c r="F91" s="8871"/>
      <c r="G91" s="8872" t="s">
        <v>15</v>
      </c>
      <c r="H91" s="8873" t="n">
        <v>42937.56006363426</v>
      </c>
      <c r="I91" s="8874" t="n">
        <v>42937.56006363426</v>
      </c>
      <c r="J91" s="8875" t="n">
        <v>42936.44413429398</v>
      </c>
      <c r="K91" s="8876" t="n">
        <v>42936.44413429398</v>
      </c>
      <c r="L91" s="8877" t="s">
        <v>16</v>
      </c>
      <c r="M91" s="8878"/>
      <c r="N91" s="8879"/>
      <c r="O91" s="8880"/>
      <c r="P91" s="8881" t="s">
        <v>17</v>
      </c>
      <c r="Q91" s="8882">
        <f>TODAY()-j91</f>
      </c>
      <c r="R91" s="8883">
        <f>VLOOKUP(A91,'Last Week'!A4:I385,7,FALSE)</f>
      </c>
    </row>
    <row r="92" ht="25.5" customHeight="true">
      <c r="A92" s="8884" t="s">
        <v>267</v>
      </c>
      <c r="B92" s="8885" t="s">
        <v>268</v>
      </c>
      <c r="C92" s="8886"/>
      <c r="D92" s="8887" t="s">
        <v>62</v>
      </c>
      <c r="E92" s="8888" t="s">
        <v>73</v>
      </c>
      <c r="F92" s="8889"/>
      <c r="G92" s="8890" t="s">
        <v>15</v>
      </c>
      <c r="H92" s="8891" t="n">
        <v>42940.5006621875</v>
      </c>
      <c r="I92" s="8892" t="n">
        <v>42940.5006621875</v>
      </c>
      <c r="J92" s="8893" t="n">
        <v>42937.73270003472</v>
      </c>
      <c r="K92" s="8894" t="n">
        <v>42937.73270003472</v>
      </c>
      <c r="L92" s="8895" t="s">
        <v>16</v>
      </c>
      <c r="M92" s="8896"/>
      <c r="N92" s="8897"/>
      <c r="O92" s="8898"/>
      <c r="P92" s="8899" t="s">
        <v>17</v>
      </c>
      <c r="Q92" s="8900">
        <f>TODAY()-j92</f>
      </c>
      <c r="R92" s="8901">
        <f>VLOOKUP(A92,'Last Week'!A4:I385,7,FALSE)</f>
      </c>
    </row>
    <row r="93" ht="25.5" customHeight="true">
      <c r="A93" s="8902" t="s">
        <v>269</v>
      </c>
      <c r="B93" s="8903" t="s">
        <v>270</v>
      </c>
      <c r="C93" s="8904"/>
      <c r="D93" s="8905" t="s">
        <v>229</v>
      </c>
      <c r="E93" s="8906" t="s">
        <v>230</v>
      </c>
      <c r="F93" s="8907"/>
      <c r="G93" s="8908" t="s">
        <v>15</v>
      </c>
      <c r="H93" s="8909" t="n">
        <v>42945.0843503125</v>
      </c>
      <c r="I93" s="8910" t="n">
        <v>42945.0843503125</v>
      </c>
      <c r="J93" s="8911" t="n">
        <v>42937.8699369213</v>
      </c>
      <c r="K93" s="8912" t="n">
        <v>42937.8699369213</v>
      </c>
      <c r="L93" s="8913" t="s">
        <v>16</v>
      </c>
      <c r="M93" s="8914"/>
      <c r="N93" s="8915"/>
      <c r="O93" s="8916"/>
      <c r="P93" s="8917" t="s">
        <v>17</v>
      </c>
      <c r="Q93" s="8918">
        <f>TODAY()-j93</f>
      </c>
      <c r="R93" s="8919">
        <f>VLOOKUP(A93,'Last Week'!A4:I385,7,FALSE)</f>
      </c>
    </row>
    <row r="94" ht="25.5" customHeight="true">
      <c r="A94" s="8920" t="s">
        <v>271</v>
      </c>
      <c r="B94" s="8921" t="s">
        <v>272</v>
      </c>
      <c r="C94" s="8922"/>
      <c r="D94" s="8923" t="s">
        <v>141</v>
      </c>
      <c r="E94" s="8924" t="s">
        <v>176</v>
      </c>
      <c r="F94" s="8925"/>
      <c r="G94" s="8926" t="s">
        <v>15</v>
      </c>
      <c r="H94" s="8927" t="n">
        <v>42942.084699259256</v>
      </c>
      <c r="I94" s="8928" t="n">
        <v>42942.084699259256</v>
      </c>
      <c r="J94" s="8929" t="n">
        <v>42937.94520863426</v>
      </c>
      <c r="K94" s="8930" t="n">
        <v>42937.94520863426</v>
      </c>
      <c r="L94" s="8931" t="s">
        <v>16</v>
      </c>
      <c r="M94" s="8932"/>
      <c r="N94" s="8933"/>
      <c r="O94" s="8934"/>
      <c r="P94" s="8935" t="s">
        <v>17</v>
      </c>
      <c r="Q94" s="8936">
        <f>TODAY()-j94</f>
      </c>
      <c r="R94" s="8937">
        <f>VLOOKUP(A94,'Last Week'!A4:I385,7,FALSE)</f>
      </c>
    </row>
    <row r="95" ht="25.5" customHeight="true">
      <c r="A95" s="8938" t="s">
        <v>273</v>
      </c>
      <c r="B95" s="8939" t="s">
        <v>274</v>
      </c>
      <c r="C95" s="8940"/>
      <c r="D95" s="8941" t="s">
        <v>97</v>
      </c>
      <c r="E95" s="8942" t="s">
        <v>97</v>
      </c>
      <c r="F95" s="8943"/>
      <c r="G95" s="8944" t="s">
        <v>15</v>
      </c>
      <c r="H95" s="8945" t="n">
        <v>42944.54096077546</v>
      </c>
      <c r="I95" s="8946" t="n">
        <v>42944.54096077546</v>
      </c>
      <c r="J95" s="8947" t="n">
        <v>42940.4449396412</v>
      </c>
      <c r="K95" s="8948" t="n">
        <v>42940.4449396412</v>
      </c>
      <c r="L95" s="8949" t="s">
        <v>16</v>
      </c>
      <c r="M95" s="8950"/>
      <c r="N95" s="8951"/>
      <c r="O95" s="8952"/>
      <c r="P95" s="8953" t="s">
        <v>47</v>
      </c>
      <c r="Q95" s="8954">
        <f>TODAY()-j95</f>
      </c>
      <c r="R95" s="8955">
        <f>VLOOKUP(A95,'Last Week'!A4:I385,7,FALSE)</f>
      </c>
    </row>
    <row r="96" ht="25.5" customHeight="true">
      <c r="A96" s="8956" t="s">
        <v>275</v>
      </c>
      <c r="B96" s="8957" t="s">
        <v>276</v>
      </c>
      <c r="C96" s="8958"/>
      <c r="D96" s="8959" t="s">
        <v>277</v>
      </c>
      <c r="E96" s="8960" t="s">
        <v>278</v>
      </c>
      <c r="F96" s="8961"/>
      <c r="G96" s="8962" t="s">
        <v>15</v>
      </c>
      <c r="H96" s="8963" t="n">
        <v>42943.54316559028</v>
      </c>
      <c r="I96" s="8964" t="n">
        <v>42943.54316559028</v>
      </c>
      <c r="J96" s="8965" t="n">
        <v>42940.473357222225</v>
      </c>
      <c r="K96" s="8966" t="n">
        <v>42940.473357222225</v>
      </c>
      <c r="L96" s="8967" t="s">
        <v>16</v>
      </c>
      <c r="M96" s="8968"/>
      <c r="N96" s="8969"/>
      <c r="O96" s="8970"/>
      <c r="P96" s="8971" t="s">
        <v>17</v>
      </c>
      <c r="Q96" s="8972">
        <f>TODAY()-j96</f>
      </c>
      <c r="R96" s="8973">
        <f>VLOOKUP(A96,'Last Week'!A4:I385,7,FALSE)</f>
      </c>
    </row>
    <row r="97" ht="25.5" customHeight="true">
      <c r="A97" s="8974" t="s">
        <v>279</v>
      </c>
      <c r="B97" s="8975" t="s">
        <v>280</v>
      </c>
      <c r="C97" s="8976"/>
      <c r="D97" s="8977" t="s">
        <v>281</v>
      </c>
      <c r="E97" s="8978" t="s">
        <v>282</v>
      </c>
      <c r="F97" s="8979"/>
      <c r="G97" s="8980" t="s">
        <v>15</v>
      </c>
      <c r="H97" s="8981" t="n">
        <v>42943.71165554398</v>
      </c>
      <c r="I97" s="8982" t="n">
        <v>42943.71165554398</v>
      </c>
      <c r="J97" s="8983" t="n">
        <v>42940.547524988426</v>
      </c>
      <c r="K97" s="8984" t="n">
        <v>42940.547524988426</v>
      </c>
      <c r="L97" s="8985" t="s">
        <v>16</v>
      </c>
      <c r="M97" s="8986"/>
      <c r="N97" s="8987"/>
      <c r="O97" s="8988"/>
      <c r="P97" s="8989" t="s">
        <v>17</v>
      </c>
      <c r="Q97" s="8990">
        <f>TODAY()-j97</f>
      </c>
      <c r="R97" s="8991">
        <f>VLOOKUP(A97,'Last Week'!A4:I385,7,FALSE)</f>
      </c>
    </row>
    <row r="98" ht="25.5" customHeight="true">
      <c r="A98" s="8992" t="s">
        <v>283</v>
      </c>
      <c r="B98" s="8993" t="s">
        <v>284</v>
      </c>
      <c r="C98" s="8994"/>
      <c r="D98" s="8995" t="s">
        <v>285</v>
      </c>
      <c r="E98" s="8996" t="s">
        <v>56</v>
      </c>
      <c r="F98" s="8997"/>
      <c r="G98" s="8998" t="s">
        <v>15</v>
      </c>
      <c r="H98" s="8999" t="n">
        <v>42945.378343310185</v>
      </c>
      <c r="I98" s="9000" t="n">
        <v>42945.378343310185</v>
      </c>
      <c r="J98" s="9001" t="n">
        <v>42941.6469496875</v>
      </c>
      <c r="K98" s="9002" t="n">
        <v>42941.6469496875</v>
      </c>
      <c r="L98" s="9003" t="s">
        <v>16</v>
      </c>
      <c r="M98" s="9004"/>
      <c r="N98" s="9005"/>
      <c r="O98" s="9006"/>
      <c r="P98" s="9007" t="s">
        <v>59</v>
      </c>
      <c r="Q98" s="9008">
        <f>TODAY()-j98</f>
      </c>
      <c r="R98" s="9009">
        <f>VLOOKUP(A98,'Last Week'!A4:I385,7,FALSE)</f>
      </c>
    </row>
    <row r="99" ht="25.5" customHeight="true">
      <c r="A99" s="9010" t="s">
        <v>286</v>
      </c>
      <c r="B99" s="9011" t="s">
        <v>287</v>
      </c>
      <c r="C99" s="9012"/>
      <c r="D99" s="9013" t="s">
        <v>288</v>
      </c>
      <c r="E99" s="9014" t="s">
        <v>73</v>
      </c>
      <c r="F99" s="9015"/>
      <c r="G99" s="9016" t="s">
        <v>15</v>
      </c>
      <c r="H99" s="9017" t="n">
        <v>42942.3840230787</v>
      </c>
      <c r="I99" s="9018" t="n">
        <v>42942.3840230787</v>
      </c>
      <c r="J99" s="9019" t="n">
        <v>42941.672278252314</v>
      </c>
      <c r="K99" s="9020" t="n">
        <v>42941.672278252314</v>
      </c>
      <c r="L99" s="9021" t="s">
        <v>16</v>
      </c>
      <c r="M99" s="9022"/>
      <c r="N99" s="9023"/>
      <c r="O99" s="9024"/>
      <c r="P99" s="9025" t="s">
        <v>47</v>
      </c>
      <c r="Q99" s="9026">
        <f>TODAY()-j99</f>
      </c>
      <c r="R99" s="9027">
        <f>VLOOKUP(A99,'Last Week'!A4:I385,7,FALSE)</f>
      </c>
    </row>
    <row r="100" ht="25.5" customHeight="true">
      <c r="A100" s="9028" t="s">
        <v>289</v>
      </c>
      <c r="B100" s="9029" t="s">
        <v>290</v>
      </c>
      <c r="C100" s="9030"/>
      <c r="D100" s="9031" t="s">
        <v>291</v>
      </c>
      <c r="E100" s="9032" t="s">
        <v>209</v>
      </c>
      <c r="F100" s="9033"/>
      <c r="G100" s="9034" t="s">
        <v>15</v>
      </c>
      <c r="H100" s="9035" t="n">
        <v>42943.48275196759</v>
      </c>
      <c r="I100" s="9036" t="n">
        <v>42943.48275196759</v>
      </c>
      <c r="J100" s="9037" t="n">
        <v>42941.680102175924</v>
      </c>
      <c r="K100" s="9038" t="n">
        <v>42941.680102175924</v>
      </c>
      <c r="L100" s="9039" t="s">
        <v>16</v>
      </c>
      <c r="M100" s="9040"/>
      <c r="N100" s="9041"/>
      <c r="O100" s="9042"/>
      <c r="P100" s="9043" t="s">
        <v>30</v>
      </c>
      <c r="Q100" s="9044">
        <f>TODAY()-j100</f>
      </c>
      <c r="R100" s="9045">
        <f>VLOOKUP(A100,'Last Week'!A4:I385,7,FALSE)</f>
      </c>
    </row>
    <row r="101" ht="25.5" customHeight="true">
      <c r="A101" s="9046" t="s">
        <v>292</v>
      </c>
      <c r="B101" s="9047" t="s">
        <v>293</v>
      </c>
      <c r="C101" s="9048"/>
      <c r="D101" s="9049" t="s">
        <v>126</v>
      </c>
      <c r="E101" s="9050" t="s">
        <v>127</v>
      </c>
      <c r="F101" s="9051"/>
      <c r="G101" s="9052" t="s">
        <v>15</v>
      </c>
      <c r="H101" s="9053" t="n">
        <v>42942.741953020835</v>
      </c>
      <c r="I101" s="9054" t="n">
        <v>42942.741953020835</v>
      </c>
      <c r="J101" s="9055" t="n">
        <v>42942.51438180556</v>
      </c>
      <c r="K101" s="9056" t="n">
        <v>42942.51438180556</v>
      </c>
      <c r="L101" s="9057" t="s">
        <v>16</v>
      </c>
      <c r="M101" s="9058"/>
      <c r="N101" s="9059"/>
      <c r="O101" s="9060"/>
      <c r="P101" s="9061" t="s">
        <v>30</v>
      </c>
      <c r="Q101" s="9062">
        <f>TODAY()-j101</f>
      </c>
      <c r="R101" s="9063">
        <f>VLOOKUP(A101,'Last Week'!A4:I385,7,FALSE)</f>
      </c>
    </row>
    <row r="102" ht="25.5" customHeight="true">
      <c r="A102" s="9064" t="s">
        <v>294</v>
      </c>
      <c r="B102" s="9065" t="s">
        <v>295</v>
      </c>
      <c r="C102" s="9066"/>
      <c r="D102" s="9067" t="s">
        <v>97</v>
      </c>
      <c r="E102" s="9068" t="s">
        <v>97</v>
      </c>
      <c r="F102" s="9069"/>
      <c r="G102" s="9070" t="s">
        <v>15</v>
      </c>
      <c r="H102" s="9071" t="n">
        <v>42944.54288178241</v>
      </c>
      <c r="I102" s="9072" t="n">
        <v>42944.54288178241</v>
      </c>
      <c r="J102" s="9073" t="n">
        <v>42942.622022372685</v>
      </c>
      <c r="K102" s="9074" t="n">
        <v>42942.622022372685</v>
      </c>
      <c r="L102" s="9075" t="s">
        <v>16</v>
      </c>
      <c r="M102" s="9076"/>
      <c r="N102" s="9077"/>
      <c r="O102" s="9078"/>
      <c r="P102" s="9079" t="s">
        <v>47</v>
      </c>
      <c r="Q102" s="9080">
        <f>TODAY()-j102</f>
      </c>
      <c r="R102" s="9081">
        <f>VLOOKUP(A102,'Last Week'!A4:I385,7,FALSE)</f>
      </c>
    </row>
    <row r="103" ht="25.5" customHeight="true">
      <c r="A103" s="9082" t="s">
        <v>296</v>
      </c>
      <c r="B103" s="9083" t="s">
        <v>297</v>
      </c>
      <c r="C103" s="9084"/>
      <c r="D103" s="9085" t="s">
        <v>141</v>
      </c>
      <c r="E103" s="9086" t="s">
        <v>82</v>
      </c>
      <c r="F103" s="9087"/>
      <c r="G103" s="9088" t="s">
        <v>15</v>
      </c>
      <c r="H103" s="9089" t="n">
        <v>42943.448751111115</v>
      </c>
      <c r="I103" s="9090" t="n">
        <v>42943.448751111115</v>
      </c>
      <c r="J103" s="9091" t="n">
        <v>42942.73787336805</v>
      </c>
      <c r="K103" s="9092" t="n">
        <v>42942.73787336805</v>
      </c>
      <c r="L103" s="9093" t="s">
        <v>16</v>
      </c>
      <c r="M103" s="9094"/>
      <c r="N103" s="9095"/>
      <c r="O103" s="9096"/>
      <c r="P103" s="9097" t="s">
        <v>17</v>
      </c>
      <c r="Q103" s="9098">
        <f>TODAY()-j103</f>
      </c>
      <c r="R103" s="9099">
        <f>VLOOKUP(A103,'Last Week'!A4:I385,7,FALSE)</f>
      </c>
    </row>
    <row r="104" ht="25.5" customHeight="true">
      <c r="A104" s="9100" t="s">
        <v>298</v>
      </c>
      <c r="B104" s="9101" t="s">
        <v>299</v>
      </c>
      <c r="C104" s="9102"/>
      <c r="D104" s="9103" t="s">
        <v>62</v>
      </c>
      <c r="E104" s="9104" t="s">
        <v>73</v>
      </c>
      <c r="F104" s="9105"/>
      <c r="G104" s="9106" t="s">
        <v>15</v>
      </c>
      <c r="H104" s="9107" t="n">
        <v>42944.45844410879</v>
      </c>
      <c r="I104" s="9108" t="n">
        <v>42944.45844410879</v>
      </c>
      <c r="J104" s="9109" t="n">
        <v>42943.652393344906</v>
      </c>
      <c r="K104" s="9110" t="n">
        <v>42943.652393344906</v>
      </c>
      <c r="L104" s="9111" t="s">
        <v>16</v>
      </c>
      <c r="M104" s="9112"/>
      <c r="N104" s="9113"/>
      <c r="O104" s="9114"/>
      <c r="P104" s="9115" t="s">
        <v>30</v>
      </c>
      <c r="Q104" s="9116">
        <f>TODAY()-j104</f>
      </c>
      <c r="R104" s="9117">
        <f>VLOOKUP(A104,'Last Week'!A4:I385,7,FALSE)</f>
      </c>
    </row>
    <row r="105" ht="25.5" customHeight="true">
      <c r="A105" s="9118" t="s">
        <v>300</v>
      </c>
      <c r="B105" s="9119" t="s">
        <v>301</v>
      </c>
      <c r="C105" s="9120"/>
      <c r="D105" s="9121" t="s">
        <v>126</v>
      </c>
      <c r="E105" s="9122" t="s">
        <v>127</v>
      </c>
      <c r="F105" s="9123"/>
      <c r="G105" s="9124" t="s">
        <v>15</v>
      </c>
      <c r="H105" s="9125" t="n">
        <v>42947.042350034724</v>
      </c>
      <c r="I105" s="9126" t="n">
        <v>42947.042350034724</v>
      </c>
      <c r="J105" s="9127" t="n">
        <v>42944.482536689815</v>
      </c>
      <c r="K105" s="9128" t="n">
        <v>42944.482536689815</v>
      </c>
      <c r="L105" s="9129" t="s">
        <v>16</v>
      </c>
      <c r="M105" s="9130"/>
      <c r="N105" s="9131"/>
      <c r="O105" s="9132"/>
      <c r="P105" s="9133" t="s">
        <v>47</v>
      </c>
      <c r="Q105" s="9134">
        <f>TODAY()-j105</f>
      </c>
      <c r="R105" s="9135">
        <f>VLOOKUP(A105,'Last Week'!A4:I385,7,FALSE)</f>
      </c>
    </row>
    <row r="106" ht="25.5" customHeight="true">
      <c r="A106" s="9136" t="s">
        <v>302</v>
      </c>
      <c r="B106" s="9137" t="s">
        <v>303</v>
      </c>
      <c r="C106" s="9138"/>
      <c r="D106" s="9139" t="s">
        <v>62</v>
      </c>
      <c r="E106" s="9140" t="s">
        <v>176</v>
      </c>
      <c r="F106" s="9141"/>
      <c r="G106" s="9142" t="s">
        <v>15</v>
      </c>
      <c r="H106" s="9143" t="n">
        <v>42947.487320625</v>
      </c>
      <c r="I106" s="9144" t="n">
        <v>42947.487320625</v>
      </c>
      <c r="J106" s="9145" t="n">
        <v>42944.76944615741</v>
      </c>
      <c r="K106" s="9146" t="n">
        <v>42944.76944615741</v>
      </c>
      <c r="L106" s="9147" t="s">
        <v>16</v>
      </c>
      <c r="M106" s="9148"/>
      <c r="N106" s="9149"/>
      <c r="O106" s="9150"/>
      <c r="P106" s="9151" t="s">
        <v>47</v>
      </c>
      <c r="Q106" s="9152">
        <f>TODAY()-j106</f>
      </c>
      <c r="R106" s="9153">
        <f>VLOOKUP(A106,'Last Week'!A4:I385,7,FALSE)</f>
      </c>
    </row>
    <row r="107" ht="25.5" customHeight="true">
      <c r="A107" s="9154" t="s">
        <v>304</v>
      </c>
      <c r="B107" s="9155" t="s">
        <v>305</v>
      </c>
      <c r="C107" s="9156"/>
      <c r="D107" s="9157" t="s">
        <v>306</v>
      </c>
      <c r="E107" s="9158" t="s">
        <v>73</v>
      </c>
      <c r="F107" s="9159"/>
      <c r="G107" s="9160" t="s">
        <v>15</v>
      </c>
      <c r="H107" s="9161" t="n">
        <v>42949.392228171295</v>
      </c>
      <c r="I107" s="9162" t="n">
        <v>42949.392228171295</v>
      </c>
      <c r="J107" s="9163" t="n">
        <v>42947.49076569444</v>
      </c>
      <c r="K107" s="9164" t="n">
        <v>42947.49076569444</v>
      </c>
      <c r="L107" s="9165" t="s">
        <v>16</v>
      </c>
      <c r="M107" s="9166"/>
      <c r="N107" s="9167"/>
      <c r="O107" s="9168"/>
      <c r="P107" s="9169" t="s">
        <v>47</v>
      </c>
      <c r="Q107" s="9170">
        <f>TODAY()-j107</f>
      </c>
      <c r="R107" s="9171">
        <f>VLOOKUP(A107,'Last Week'!A4:I385,7,FALSE)</f>
      </c>
    </row>
    <row r="108" ht="25.5" customHeight="true">
      <c r="A108" s="9172" t="s">
        <v>307</v>
      </c>
      <c r="B108" s="9173" t="s">
        <v>308</v>
      </c>
      <c r="C108" s="9174"/>
      <c r="D108" s="9175" t="s">
        <v>309</v>
      </c>
      <c r="E108" s="9176" t="s">
        <v>230</v>
      </c>
      <c r="F108" s="9177"/>
      <c r="G108" s="9178" t="s">
        <v>15</v>
      </c>
      <c r="H108" s="9179" t="n">
        <v>42953.39228206019</v>
      </c>
      <c r="I108" s="9180" t="n">
        <v>42953.39228206019</v>
      </c>
      <c r="J108" s="9181" t="n">
        <v>42949.94448841435</v>
      </c>
      <c r="K108" s="9182" t="n">
        <v>42949.94448841435</v>
      </c>
      <c r="L108" s="9183" t="s">
        <v>16</v>
      </c>
      <c r="M108" s="9184"/>
      <c r="N108" s="9185"/>
      <c r="O108" s="9186"/>
      <c r="P108" s="9187" t="s">
        <v>17</v>
      </c>
      <c r="Q108" s="9188">
        <f>TODAY()-j108</f>
      </c>
      <c r="R108" s="9189">
        <f>VLOOKUP(A108,'Last Week'!A4:I385,7,FALSE)</f>
      </c>
    </row>
    <row r="109" ht="25.5" customHeight="true">
      <c r="A109" s="9190" t="s">
        <v>310</v>
      </c>
      <c r="B109" s="9191" t="s">
        <v>311</v>
      </c>
      <c r="C109" s="9192"/>
      <c r="D109" s="9193" t="s">
        <v>55</v>
      </c>
      <c r="E109" s="9194" t="s">
        <v>56</v>
      </c>
      <c r="F109" s="9195"/>
      <c r="G109" s="9196" t="s">
        <v>15</v>
      </c>
      <c r="H109" s="9197" t="n">
        <v>42952.16739516204</v>
      </c>
      <c r="I109" s="9198" t="n">
        <v>42952.16739516204</v>
      </c>
      <c r="J109" s="9199" t="n">
        <v>42950.51529833333</v>
      </c>
      <c r="K109" s="9200" t="n">
        <v>42950.51529833333</v>
      </c>
      <c r="L109" s="9201" t="s">
        <v>16</v>
      </c>
      <c r="M109" s="9202"/>
      <c r="N109" s="9203"/>
      <c r="O109" s="9204"/>
      <c r="P109" s="9205" t="s">
        <v>17</v>
      </c>
      <c r="Q109" s="9206">
        <f>TODAY()-j109</f>
      </c>
      <c r="R109" s="9207">
        <f>VLOOKUP(A109,'Last Week'!A4:I385,7,FALSE)</f>
      </c>
    </row>
    <row r="110" ht="25.5" customHeight="true">
      <c r="A110" s="9208" t="s">
        <v>312</v>
      </c>
      <c r="B110" s="9209" t="s">
        <v>313</v>
      </c>
      <c r="C110" s="9210"/>
      <c r="D110" s="9211" t="s">
        <v>55</v>
      </c>
      <c r="E110" s="9212" t="s">
        <v>56</v>
      </c>
      <c r="F110" s="9213"/>
      <c r="G110" s="9214" t="s">
        <v>15</v>
      </c>
      <c r="H110" s="9215" t="n">
        <v>42953.750722199075</v>
      </c>
      <c r="I110" s="9216" t="n">
        <v>42953.750722199075</v>
      </c>
      <c r="J110" s="9217" t="n">
        <v>42950.527823032404</v>
      </c>
      <c r="K110" s="9218" t="n">
        <v>42950.527823032404</v>
      </c>
      <c r="L110" s="9219" t="s">
        <v>16</v>
      </c>
      <c r="M110" s="9220"/>
      <c r="N110" s="9221"/>
      <c r="O110" s="9222"/>
      <c r="P110" s="9223" t="s">
        <v>59</v>
      </c>
      <c r="Q110" s="9224">
        <f>TODAY()-j110</f>
      </c>
      <c r="R110" s="9225">
        <f>VLOOKUP(A110,'Last Week'!A4:I385,7,FALSE)</f>
      </c>
    </row>
    <row r="111" ht="25.5" customHeight="true">
      <c r="A111" s="9226" t="s">
        <v>314</v>
      </c>
      <c r="B111" s="9227" t="s">
        <v>315</v>
      </c>
      <c r="C111" s="9228"/>
      <c r="D111" s="9229" t="s">
        <v>316</v>
      </c>
      <c r="E111" s="9230" t="s">
        <v>25</v>
      </c>
      <c r="F111" s="9231"/>
      <c r="G111" s="9232" t="s">
        <v>15</v>
      </c>
      <c r="H111" s="9233" t="n">
        <v>42953.64922694444</v>
      </c>
      <c r="I111" s="9234" t="n">
        <v>42953.64922694444</v>
      </c>
      <c r="J111" s="9235" t="n">
        <v>42950.61605912037</v>
      </c>
      <c r="K111" s="9236" t="n">
        <v>42950.61605912037</v>
      </c>
      <c r="L111" s="9237" t="s">
        <v>16</v>
      </c>
      <c r="M111" s="9238"/>
      <c r="N111" s="9239"/>
      <c r="O111" s="9240"/>
      <c r="P111" s="9241" t="s">
        <v>30</v>
      </c>
      <c r="Q111" s="9242">
        <f>TODAY()-j111</f>
      </c>
      <c r="R111" s="9243">
        <f>VLOOKUP(A111,'Last Week'!A4:I385,7,FALSE)</f>
      </c>
    </row>
    <row r="112" ht="25.5" customHeight="true">
      <c r="A112" s="9244" t="s">
        <v>317</v>
      </c>
      <c r="B112" s="9245" t="s">
        <v>318</v>
      </c>
      <c r="C112" s="9246"/>
      <c r="D112" s="9247" t="s">
        <v>30</v>
      </c>
      <c r="E112" s="9248" t="s">
        <v>73</v>
      </c>
      <c r="F112" s="9249"/>
      <c r="G112" s="9250" t="s">
        <v>15</v>
      </c>
      <c r="H112" s="9251" t="n">
        <v>42950.724385127316</v>
      </c>
      <c r="I112" s="9252" t="n">
        <v>42950.724385127316</v>
      </c>
      <c r="J112" s="9253" t="n">
        <v>42950.715859965276</v>
      </c>
      <c r="K112" s="9254" t="n">
        <v>42950.715859965276</v>
      </c>
      <c r="L112" s="9255" t="s">
        <v>16</v>
      </c>
      <c r="M112" s="9256"/>
      <c r="N112" s="9257"/>
      <c r="O112" s="9258"/>
      <c r="P112" s="9259" t="s">
        <v>30</v>
      </c>
      <c r="Q112" s="9260">
        <f>TODAY()-j112</f>
      </c>
      <c r="R112" s="9261">
        <f>VLOOKUP(A112,'Last Week'!A4:I385,7,FALSE)</f>
      </c>
    </row>
    <row r="113" ht="25.5" customHeight="true">
      <c r="A113" s="9262" t="s">
        <v>319</v>
      </c>
      <c r="B113" s="9263" t="s">
        <v>320</v>
      </c>
      <c r="C113" s="9264"/>
      <c r="D113" s="9265" t="s">
        <v>62</v>
      </c>
      <c r="E113" s="9266" t="s">
        <v>73</v>
      </c>
      <c r="F113" s="9267"/>
      <c r="G113" s="9268" t="s">
        <v>15</v>
      </c>
      <c r="H113" s="9269" t="n">
        <v>42953.750735277776</v>
      </c>
      <c r="I113" s="9270" t="n">
        <v>42953.750735277776</v>
      </c>
      <c r="J113" s="9271" t="n">
        <v>42951.40422146991</v>
      </c>
      <c r="K113" s="9272" t="n">
        <v>42951.40422146991</v>
      </c>
      <c r="L113" s="9273" t="s">
        <v>16</v>
      </c>
      <c r="M113" s="9274"/>
      <c r="N113" s="9275"/>
      <c r="O113" s="9276"/>
      <c r="P113" s="9277" t="s">
        <v>30</v>
      </c>
      <c r="Q113" s="9278">
        <f>TODAY()-j113</f>
      </c>
      <c r="R113" s="9279">
        <f>VLOOKUP(A113,'Last Week'!A4:I385,7,FALSE)</f>
      </c>
    </row>
    <row r="114" ht="25.5" customHeight="true">
      <c r="A114" s="9280" t="s">
        <v>321</v>
      </c>
      <c r="B114" s="9281" t="s">
        <v>322</v>
      </c>
      <c r="C114" s="9282"/>
      <c r="D114" s="9283" t="s">
        <v>62</v>
      </c>
      <c r="E114" s="9284" t="s">
        <v>73</v>
      </c>
      <c r="F114" s="9285"/>
      <c r="G114" s="9286" t="s">
        <v>15</v>
      </c>
      <c r="H114" s="9287" t="n">
        <v>42953.83406314815</v>
      </c>
      <c r="I114" s="9288" t="n">
        <v>42953.83406314815</v>
      </c>
      <c r="J114" s="9289" t="n">
        <v>42951.411397094904</v>
      </c>
      <c r="K114" s="9290" t="n">
        <v>42951.411397094904</v>
      </c>
      <c r="L114" s="9291" t="s">
        <v>16</v>
      </c>
      <c r="M114" s="9292"/>
      <c r="N114" s="9293"/>
      <c r="O114" s="9294"/>
      <c r="P114" s="9295" t="s">
        <v>30</v>
      </c>
      <c r="Q114" s="9296">
        <f>TODAY()-j114</f>
      </c>
      <c r="R114" s="9297">
        <f>VLOOKUP(A114,'Last Week'!A4:I385,7,FALSE)</f>
      </c>
    </row>
    <row r="115" ht="25.5" customHeight="true">
      <c r="A115" s="9298" t="s">
        <v>323</v>
      </c>
      <c r="B115" s="9299" t="s">
        <v>324</v>
      </c>
      <c r="C115" s="9300"/>
      <c r="D115" s="9301" t="s">
        <v>62</v>
      </c>
      <c r="E115" s="9302" t="s">
        <v>73</v>
      </c>
      <c r="F115" s="9303"/>
      <c r="G115" s="9304" t="s">
        <v>15</v>
      </c>
      <c r="H115" s="9305" t="n">
        <v>42956.083706875</v>
      </c>
      <c r="I115" s="9306" t="n">
        <v>42956.083706875</v>
      </c>
      <c r="J115" s="9307" t="n">
        <v>42951.746999421295</v>
      </c>
      <c r="K115" s="9308" t="n">
        <v>42951.746999421295</v>
      </c>
      <c r="L115" s="9309" t="s">
        <v>16</v>
      </c>
      <c r="M115" s="9310"/>
      <c r="N115" s="9311"/>
      <c r="O115" s="9312"/>
      <c r="P115" s="9313" t="s">
        <v>17</v>
      </c>
      <c r="Q115" s="9314">
        <f>TODAY()-j115</f>
      </c>
      <c r="R115" s="9315">
        <f>VLOOKUP(A115,'Last Week'!A4:I385,7,FALSE)</f>
      </c>
    </row>
    <row r="116" ht="25.5" customHeight="true">
      <c r="A116" s="9316" t="s">
        <v>325</v>
      </c>
      <c r="B116" s="9317" t="s">
        <v>326</v>
      </c>
      <c r="C116" s="9318"/>
      <c r="D116" s="9319" t="s">
        <v>126</v>
      </c>
      <c r="E116" s="9320" t="s">
        <v>127</v>
      </c>
      <c r="F116" s="9321"/>
      <c r="G116" s="9322" t="s">
        <v>15</v>
      </c>
      <c r="H116" s="9323" t="n">
        <v>42955.704249490744</v>
      </c>
      <c r="I116" s="9324" t="n">
        <v>42955.704249490744</v>
      </c>
      <c r="J116" s="9325" t="n">
        <v>42954.46913315972</v>
      </c>
      <c r="K116" s="9326" t="n">
        <v>42954.46913315972</v>
      </c>
      <c r="L116" s="9327" t="s">
        <v>16</v>
      </c>
      <c r="M116" s="9328"/>
      <c r="N116" s="9329"/>
      <c r="O116" s="9330"/>
      <c r="P116" s="9331" t="s">
        <v>47</v>
      </c>
      <c r="Q116" s="9332">
        <f>TODAY()-j116</f>
      </c>
      <c r="R116" s="9333">
        <f>VLOOKUP(A116,'Last Week'!A4:I385,7,FALSE)</f>
      </c>
    </row>
    <row r="117" ht="25.5" customHeight="true">
      <c r="A117" s="9334" t="s">
        <v>327</v>
      </c>
      <c r="B117" s="9335" t="s">
        <v>328</v>
      </c>
      <c r="C117" s="9336"/>
      <c r="D117" s="9337" t="s">
        <v>62</v>
      </c>
      <c r="E117" s="9338" t="s">
        <v>82</v>
      </c>
      <c r="F117" s="9339"/>
      <c r="G117" s="9340" t="s">
        <v>15</v>
      </c>
      <c r="H117" s="9341" t="n">
        <v>42955.620548900464</v>
      </c>
      <c r="I117" s="9342" t="n">
        <v>42955.620548900464</v>
      </c>
      <c r="J117" s="9343" t="n">
        <v>42955.42125086806</v>
      </c>
      <c r="K117" s="9344" t="n">
        <v>42955.42125086806</v>
      </c>
      <c r="L117" s="9345" t="s">
        <v>16</v>
      </c>
      <c r="M117" s="9346"/>
      <c r="N117" s="9347"/>
      <c r="O117" s="9348"/>
      <c r="P117" s="9349" t="s">
        <v>30</v>
      </c>
      <c r="Q117" s="9350">
        <f>TODAY()-j117</f>
      </c>
      <c r="R117" s="9351">
        <f>VLOOKUP(A117,'Last Week'!A4:I385,7,FALSE)</f>
      </c>
    </row>
    <row r="118" ht="25.5" customHeight="true">
      <c r="A118" s="9352" t="s">
        <v>329</v>
      </c>
      <c r="B118" s="9353" t="s">
        <v>330</v>
      </c>
      <c r="C118" s="9354"/>
      <c r="D118" s="9355" t="s">
        <v>62</v>
      </c>
      <c r="E118" s="9356" t="s">
        <v>82</v>
      </c>
      <c r="F118" s="9357"/>
      <c r="G118" s="9358" t="s">
        <v>15</v>
      </c>
      <c r="H118" s="9359" t="n">
        <v>42955.685165497685</v>
      </c>
      <c r="I118" s="9360" t="n">
        <v>42955.685165497685</v>
      </c>
      <c r="J118" s="9361" t="n">
        <v>42955.42886645834</v>
      </c>
      <c r="K118" s="9362" t="n">
        <v>42955.42886645834</v>
      </c>
      <c r="L118" s="9363" t="s">
        <v>16</v>
      </c>
      <c r="M118" s="9364"/>
      <c r="N118" s="9365"/>
      <c r="O118" s="9366"/>
      <c r="P118" s="9367" t="s">
        <v>30</v>
      </c>
      <c r="Q118" s="9368">
        <f>TODAY()-j118</f>
      </c>
      <c r="R118" s="9369">
        <f>VLOOKUP(A118,'Last Week'!A4:I385,7,FALSE)</f>
      </c>
    </row>
    <row r="119" ht="25.5" customHeight="true">
      <c r="A119" s="9370" t="s">
        <v>331</v>
      </c>
      <c r="B119" s="9371" t="s">
        <v>332</v>
      </c>
      <c r="C119" s="9372"/>
      <c r="D119" s="9373" t="s">
        <v>62</v>
      </c>
      <c r="E119" s="9374" t="s">
        <v>82</v>
      </c>
      <c r="F119" s="9375"/>
      <c r="G119" s="9376" t="s">
        <v>15</v>
      </c>
      <c r="H119" s="9377" t="n">
        <v>42958.52559333333</v>
      </c>
      <c r="I119" s="9378" t="n">
        <v>42958.52559333333</v>
      </c>
      <c r="J119" s="9379" t="n">
        <v>42955.52972501158</v>
      </c>
      <c r="K119" s="9380" t="n">
        <v>42955.52972501158</v>
      </c>
      <c r="L119" s="9381" t="s">
        <v>16</v>
      </c>
      <c r="M119" s="9382"/>
      <c r="N119" s="9383"/>
      <c r="O119" s="9384"/>
      <c r="P119" s="9385" t="s">
        <v>30</v>
      </c>
      <c r="Q119" s="9386">
        <f>TODAY()-j119</f>
      </c>
      <c r="R119" s="9387">
        <f>VLOOKUP(A119,'Last Week'!A4:I385,7,FALSE)</f>
      </c>
    </row>
    <row r="120" ht="25.5" customHeight="true">
      <c r="A120" s="9388" t="s">
        <v>333</v>
      </c>
      <c r="B120" s="9389" t="s">
        <v>301</v>
      </c>
      <c r="C120" s="9390"/>
      <c r="D120" s="9391" t="s">
        <v>126</v>
      </c>
      <c r="E120" s="9392" t="s">
        <v>127</v>
      </c>
      <c r="F120" s="9393"/>
      <c r="G120" s="9394" t="s">
        <v>15</v>
      </c>
      <c r="H120" s="9395" t="n">
        <v>42959.08402336806</v>
      </c>
      <c r="I120" s="9396" t="n">
        <v>42959.08402336806</v>
      </c>
      <c r="J120" s="9397" t="n">
        <v>42956.6007808912</v>
      </c>
      <c r="K120" s="9398" t="n">
        <v>42956.6007808912</v>
      </c>
      <c r="L120" s="9399" t="s">
        <v>16</v>
      </c>
      <c r="M120" s="9400"/>
      <c r="N120" s="9401"/>
      <c r="O120" s="9402"/>
      <c r="P120" s="9403" t="s">
        <v>17</v>
      </c>
      <c r="Q120" s="9404">
        <f>TODAY()-j120</f>
      </c>
      <c r="R120" s="9405">
        <f>VLOOKUP(A120,'Last Week'!A4:I385,7,FALSE)</f>
      </c>
    </row>
    <row r="121" ht="25.5" customHeight="true">
      <c r="A121" s="9406" t="s">
        <v>334</v>
      </c>
      <c r="B121" s="9407" t="s">
        <v>335</v>
      </c>
      <c r="C121" s="9408"/>
      <c r="D121" s="9409" t="s">
        <v>165</v>
      </c>
      <c r="E121" s="9410" t="s">
        <v>216</v>
      </c>
      <c r="F121" s="9411"/>
      <c r="G121" s="9412" t="s">
        <v>15</v>
      </c>
      <c r="H121" s="9413" t="n">
        <v>42959.08405561343</v>
      </c>
      <c r="I121" s="9414" t="n">
        <v>42959.08405561343</v>
      </c>
      <c r="J121" s="9415" t="n">
        <v>42956.64271568287</v>
      </c>
      <c r="K121" s="9416" t="n">
        <v>42956.64271568287</v>
      </c>
      <c r="L121" s="9417" t="s">
        <v>16</v>
      </c>
      <c r="M121" s="9418"/>
      <c r="N121" s="9419"/>
      <c r="O121" s="9420"/>
      <c r="P121" s="9421" t="s">
        <v>17</v>
      </c>
      <c r="Q121" s="9422">
        <f>TODAY()-j121</f>
      </c>
      <c r="R121" s="9423">
        <f>VLOOKUP(A121,'Last Week'!A4:I385,7,FALSE)</f>
      </c>
    </row>
    <row r="122" ht="25.5" customHeight="true">
      <c r="A122" s="9424" t="s">
        <v>336</v>
      </c>
      <c r="B122" s="9425" t="s">
        <v>337</v>
      </c>
      <c r="C122" s="9426"/>
      <c r="D122" s="9427" t="s">
        <v>62</v>
      </c>
      <c r="E122" s="9428" t="s">
        <v>176</v>
      </c>
      <c r="F122" s="9429"/>
      <c r="G122" s="9430" t="s">
        <v>15</v>
      </c>
      <c r="H122" s="9431" t="n">
        <v>42959.08414954861</v>
      </c>
      <c r="I122" s="9432" t="n">
        <v>42959.08414954861</v>
      </c>
      <c r="J122" s="9433" t="n">
        <v>42956.84857221065</v>
      </c>
      <c r="K122" s="9434" t="n">
        <v>42956.84857221065</v>
      </c>
      <c r="L122" s="9435" t="s">
        <v>16</v>
      </c>
      <c r="M122" s="9436"/>
      <c r="N122" s="9437"/>
      <c r="O122" s="9438"/>
      <c r="P122" s="9439" t="s">
        <v>17</v>
      </c>
      <c r="Q122" s="9440">
        <f>TODAY()-j122</f>
      </c>
      <c r="R122" s="9441">
        <f>VLOOKUP(A122,'Last Week'!A4:I385,7,FALSE)</f>
      </c>
    </row>
    <row r="123" ht="25.5" customHeight="true">
      <c r="A123" s="9442" t="s">
        <v>338</v>
      </c>
      <c r="B123" s="9443" t="s">
        <v>339</v>
      </c>
      <c r="C123" s="9444"/>
      <c r="D123" s="9445" t="s">
        <v>340</v>
      </c>
      <c r="E123" s="9446" t="s">
        <v>340</v>
      </c>
      <c r="F123" s="9447"/>
      <c r="G123" s="9448" t="s">
        <v>15</v>
      </c>
      <c r="H123" s="9449" t="n">
        <v>42961.45835550926</v>
      </c>
      <c r="I123" s="9450" t="n">
        <v>42961.45835550926</v>
      </c>
      <c r="J123" s="9451" t="n">
        <v>42957.52207006944</v>
      </c>
      <c r="K123" s="9452" t="n">
        <v>42957.52207006944</v>
      </c>
      <c r="L123" s="9453" t="s">
        <v>16</v>
      </c>
      <c r="M123" s="9454"/>
      <c r="N123" s="9455"/>
      <c r="O123" s="9456"/>
      <c r="P123" s="9457" t="s">
        <v>47</v>
      </c>
      <c r="Q123" s="9458">
        <f>TODAY()-j123</f>
      </c>
      <c r="R123" s="9459">
        <f>VLOOKUP(A123,'Last Week'!A4:I385,7,FALSE)</f>
      </c>
    </row>
    <row r="124" ht="25.5" customHeight="true">
      <c r="A124" s="9460" t="s">
        <v>341</v>
      </c>
      <c r="B124" s="9461" t="s">
        <v>337</v>
      </c>
      <c r="C124" s="9462"/>
      <c r="D124" s="9463" t="s">
        <v>62</v>
      </c>
      <c r="E124" s="9464" t="s">
        <v>73</v>
      </c>
      <c r="F124" s="9465"/>
      <c r="G124" s="9466" t="s">
        <v>15</v>
      </c>
      <c r="H124" s="9467" t="n">
        <v>42957.75194912037</v>
      </c>
      <c r="I124" s="9468" t="n">
        <v>42957.75194912037</v>
      </c>
      <c r="J124" s="9469" t="n">
        <v>42957.673163611114</v>
      </c>
      <c r="K124" s="9470" t="n">
        <v>42957.673163611114</v>
      </c>
      <c r="L124" s="9471" t="s">
        <v>16</v>
      </c>
      <c r="M124" s="9472"/>
      <c r="N124" s="9473"/>
      <c r="O124" s="9474"/>
      <c r="P124" s="9475" t="s">
        <v>47</v>
      </c>
      <c r="Q124" s="9476">
        <f>TODAY()-j124</f>
      </c>
      <c r="R124" s="9477">
        <f>VLOOKUP(A124,'Last Week'!A4:I385,7,FALSE)</f>
      </c>
    </row>
    <row r="125" ht="25.5" customHeight="true">
      <c r="A125" s="9478" t="s">
        <v>342</v>
      </c>
      <c r="B125" s="9479" t="s">
        <v>343</v>
      </c>
      <c r="C125" s="9480"/>
      <c r="D125" s="9481" t="s">
        <v>344</v>
      </c>
      <c r="E125" s="9482" t="s">
        <v>116</v>
      </c>
      <c r="F125" s="9483"/>
      <c r="G125" s="9484" t="s">
        <v>15</v>
      </c>
      <c r="H125" s="9485" t="n">
        <v>42960.783712662036</v>
      </c>
      <c r="I125" s="9486" t="n">
        <v>42960.783712662036</v>
      </c>
      <c r="J125" s="9487" t="n">
        <v>42957.72721428241</v>
      </c>
      <c r="K125" s="9488" t="n">
        <v>42957.72721428241</v>
      </c>
      <c r="L125" s="9489" t="s">
        <v>16</v>
      </c>
      <c r="M125" s="9490"/>
      <c r="N125" s="9491"/>
      <c r="O125" s="9492"/>
      <c r="P125" s="9493" t="s">
        <v>30</v>
      </c>
      <c r="Q125" s="9494">
        <f>TODAY()-j125</f>
      </c>
      <c r="R125" s="9495">
        <f>VLOOKUP(A125,'Last Week'!A4:I385,7,FALSE)</f>
      </c>
    </row>
    <row r="126" ht="25.5" customHeight="true">
      <c r="A126" s="9496" t="s">
        <v>345</v>
      </c>
      <c r="B126" s="9497" t="s">
        <v>346</v>
      </c>
      <c r="C126" s="9498"/>
      <c r="D126" s="9499" t="s">
        <v>281</v>
      </c>
      <c r="E126" s="9500" t="s">
        <v>176</v>
      </c>
      <c r="F126" s="9501"/>
      <c r="G126" s="9502" t="s">
        <v>15</v>
      </c>
      <c r="H126" s="9503" t="n">
        <v>42958.48245604167</v>
      </c>
      <c r="I126" s="9504" t="n">
        <v>42958.48245604167</v>
      </c>
      <c r="J126" s="9505" t="n">
        <v>42957.89237958333</v>
      </c>
      <c r="K126" s="9506" t="n">
        <v>42957.89237958333</v>
      </c>
      <c r="L126" s="9507" t="s">
        <v>16</v>
      </c>
      <c r="M126" s="9508"/>
      <c r="N126" s="9509"/>
      <c r="O126" s="9510"/>
      <c r="P126" s="9511" t="s">
        <v>47</v>
      </c>
      <c r="Q126" s="9512">
        <f>TODAY()-j126</f>
      </c>
      <c r="R126" s="9513">
        <f>VLOOKUP(A126,'Last Week'!A4:I385,7,FALSE)</f>
      </c>
    </row>
    <row r="127" ht="25.5" customHeight="true">
      <c r="A127" s="9514" t="s">
        <v>347</v>
      </c>
      <c r="B127" s="9515" t="s">
        <v>348</v>
      </c>
      <c r="C127" s="9516"/>
      <c r="D127" s="9517" t="s">
        <v>349</v>
      </c>
      <c r="E127" s="9518" t="s">
        <v>73</v>
      </c>
      <c r="F127" s="9519"/>
      <c r="G127" s="9520" t="s">
        <v>15</v>
      </c>
      <c r="H127" s="9521" t="n">
        <v>42961.425635625</v>
      </c>
      <c r="I127" s="9522" t="n">
        <v>42961.425635625</v>
      </c>
      <c r="J127" s="9523" t="n">
        <v>42958.3904016088</v>
      </c>
      <c r="K127" s="9524" t="n">
        <v>42958.3904016088</v>
      </c>
      <c r="L127" s="9525" t="s">
        <v>16</v>
      </c>
      <c r="M127" s="9526"/>
      <c r="N127" s="9527"/>
      <c r="O127" s="9528"/>
      <c r="P127" s="9529" t="s">
        <v>30</v>
      </c>
      <c r="Q127" s="9530">
        <f>TODAY()-j127</f>
      </c>
      <c r="R127" s="9531">
        <f>VLOOKUP(A127,'Last Week'!A4:I385,7,FALSE)</f>
      </c>
    </row>
    <row r="128" ht="25.5" customHeight="true">
      <c r="A128" s="9532" t="s">
        <v>350</v>
      </c>
      <c r="B128" s="9533" t="s">
        <v>301</v>
      </c>
      <c r="C128" s="9534"/>
      <c r="D128" s="9535" t="s">
        <v>126</v>
      </c>
      <c r="E128" s="9536" t="s">
        <v>127</v>
      </c>
      <c r="F128" s="9537"/>
      <c r="G128" s="9538" t="s">
        <v>15</v>
      </c>
      <c r="H128" s="9539" t="n">
        <v>42961.24547717593</v>
      </c>
      <c r="I128" s="9540" t="n">
        <v>42961.24547717593</v>
      </c>
      <c r="J128" s="9541" t="n">
        <v>42958.564948784726</v>
      </c>
      <c r="K128" s="9542" t="n">
        <v>42958.564948784726</v>
      </c>
      <c r="L128" s="9543" t="s">
        <v>16</v>
      </c>
      <c r="M128" s="9544"/>
      <c r="N128" s="9545"/>
      <c r="O128" s="9546"/>
      <c r="P128" s="9547" t="s">
        <v>30</v>
      </c>
      <c r="Q128" s="9548">
        <f>TODAY()-j128</f>
      </c>
      <c r="R128" s="9549">
        <f>VLOOKUP(A128,'Last Week'!A4:I385,7,FALSE)</f>
      </c>
    </row>
    <row r="129" ht="25.5" customHeight="true">
      <c r="A129" s="9550" t="s">
        <v>351</v>
      </c>
      <c r="B129" s="9551" t="s">
        <v>352</v>
      </c>
      <c r="C129" s="9552"/>
      <c r="D129" s="9553" t="s">
        <v>62</v>
      </c>
      <c r="E129" s="9554" t="s">
        <v>176</v>
      </c>
      <c r="F129" s="9555"/>
      <c r="G129" s="9556" t="s">
        <v>15</v>
      </c>
      <c r="H129" s="9557" t="n">
        <v>42963.084686215276</v>
      </c>
      <c r="I129" s="9558" t="n">
        <v>42963.084686215276</v>
      </c>
      <c r="J129" s="9559" t="n">
        <v>42958.95439820602</v>
      </c>
      <c r="K129" s="9560" t="n">
        <v>42958.95439820602</v>
      </c>
      <c r="L129" s="9561" t="s">
        <v>16</v>
      </c>
      <c r="M129" s="9562"/>
      <c r="N129" s="9563"/>
      <c r="O129" s="9564"/>
      <c r="P129" s="9565" t="s">
        <v>17</v>
      </c>
      <c r="Q129" s="9566">
        <f>TODAY()-j129</f>
      </c>
      <c r="R129" s="9567">
        <f>VLOOKUP(A129,'Last Week'!A4:I385,7,FALSE)</f>
      </c>
    </row>
    <row r="130" ht="25.5" customHeight="true">
      <c r="A130" s="9568" t="s">
        <v>353</v>
      </c>
      <c r="B130" s="9569" t="s">
        <v>354</v>
      </c>
      <c r="C130" s="9570"/>
      <c r="D130" s="9571" t="s">
        <v>233</v>
      </c>
      <c r="E130" s="9572" t="s">
        <v>209</v>
      </c>
      <c r="F130" s="9573"/>
      <c r="G130" s="9574" t="s">
        <v>15</v>
      </c>
      <c r="H130" s="9575" t="n">
        <v>42963.51629530093</v>
      </c>
      <c r="I130" s="9576" t="n">
        <v>42963.51629530093</v>
      </c>
      <c r="J130" s="9577" t="n">
        <v>42961.67489621528</v>
      </c>
      <c r="K130" s="9578" t="n">
        <v>42961.67489621528</v>
      </c>
      <c r="L130" s="9579" t="s">
        <v>16</v>
      </c>
      <c r="M130" s="9580"/>
      <c r="N130" s="9581"/>
      <c r="O130" s="9582"/>
      <c r="P130" s="9583" t="s">
        <v>47</v>
      </c>
      <c r="Q130" s="9584">
        <f>TODAY()-j130</f>
      </c>
      <c r="R130" s="9585">
        <f>VLOOKUP(A130,'Last Week'!A4:I385,7,FALSE)</f>
      </c>
    </row>
    <row r="131" ht="25.5" customHeight="true">
      <c r="A131" s="9586" t="s">
        <v>355</v>
      </c>
      <c r="B131" s="9587" t="s">
        <v>356</v>
      </c>
      <c r="C131" s="9588"/>
      <c r="D131" s="9589" t="s">
        <v>233</v>
      </c>
      <c r="E131" s="9590" t="s">
        <v>110</v>
      </c>
      <c r="F131" s="9591"/>
      <c r="G131" s="9592" t="s">
        <v>15</v>
      </c>
      <c r="H131" s="9593" t="n">
        <v>42963.51663788194</v>
      </c>
      <c r="I131" s="9594" t="n">
        <v>42963.51663788194</v>
      </c>
      <c r="J131" s="9595" t="n">
        <v>42961.74701752315</v>
      </c>
      <c r="K131" s="9596" t="n">
        <v>42961.74701752315</v>
      </c>
      <c r="L131" s="9597" t="s">
        <v>16</v>
      </c>
      <c r="M131" s="9598"/>
      <c r="N131" s="9599"/>
      <c r="O131" s="9600"/>
      <c r="P131" s="9601" t="s">
        <v>47</v>
      </c>
      <c r="Q131" s="9602">
        <f>TODAY()-j131</f>
      </c>
      <c r="R131" s="9603">
        <f>VLOOKUP(A131,'Last Week'!A4:I385,7,FALSE)</f>
      </c>
    </row>
    <row r="132" ht="25.5" customHeight="true">
      <c r="A132" s="9604" t="s">
        <v>357</v>
      </c>
      <c r="B132" s="9605" t="s">
        <v>358</v>
      </c>
      <c r="C132" s="9606"/>
      <c r="D132" s="9607" t="s">
        <v>359</v>
      </c>
      <c r="E132" s="9608" t="s">
        <v>51</v>
      </c>
      <c r="F132" s="9609"/>
      <c r="G132" s="9610" t="s">
        <v>15</v>
      </c>
      <c r="H132" s="9611" t="n">
        <v>42964.084851273146</v>
      </c>
      <c r="I132" s="9612" t="n">
        <v>42964.084851273146</v>
      </c>
      <c r="J132" s="9613" t="n">
        <v>42962.10038412037</v>
      </c>
      <c r="K132" s="9614" t="n">
        <v>42962.10038412037</v>
      </c>
      <c r="L132" s="9615" t="s">
        <v>16</v>
      </c>
      <c r="M132" s="9616"/>
      <c r="N132" s="9617"/>
      <c r="O132" s="9618"/>
      <c r="P132" s="9619" t="s">
        <v>59</v>
      </c>
      <c r="Q132" s="9620">
        <f>TODAY()-j132</f>
      </c>
      <c r="R132" s="9621">
        <f>VLOOKUP(A132,'Last Week'!A4:I385,7,FALSE)</f>
      </c>
    </row>
    <row r="133" ht="25.5" customHeight="true">
      <c r="A133" s="9622" t="s">
        <v>360</v>
      </c>
      <c r="B133" s="9623" t="s">
        <v>180</v>
      </c>
      <c r="C133" s="9624"/>
      <c r="D133" s="9625" t="s">
        <v>126</v>
      </c>
      <c r="E133" s="9626" t="s">
        <v>127</v>
      </c>
      <c r="F133" s="9627"/>
      <c r="G133" s="9628" t="s">
        <v>15</v>
      </c>
      <c r="H133" s="9629" t="n">
        <v>42962.62797819445</v>
      </c>
      <c r="I133" s="9630" t="n">
        <v>42962.62797819445</v>
      </c>
      <c r="J133" s="9631" t="n">
        <v>42962.53561960648</v>
      </c>
      <c r="K133" s="9632" t="n">
        <v>42962.53561960648</v>
      </c>
      <c r="L133" s="9633" t="s">
        <v>16</v>
      </c>
      <c r="M133" s="9634"/>
      <c r="N133" s="9635"/>
      <c r="O133" s="9636"/>
      <c r="P133" s="9637" t="s">
        <v>30</v>
      </c>
      <c r="Q133" s="9638">
        <f>TODAY()-j133</f>
      </c>
      <c r="R133" s="9639">
        <f>VLOOKUP(A133,'Last Week'!A4:I385,7,FALSE)</f>
      </c>
    </row>
    <row r="134" ht="25.5" customHeight="true">
      <c r="A134" s="9640" t="s">
        <v>361</v>
      </c>
      <c r="B134" s="9641" t="s">
        <v>362</v>
      </c>
      <c r="C134" s="9642"/>
      <c r="D134" s="9643" t="s">
        <v>62</v>
      </c>
      <c r="E134" s="9644" t="s">
        <v>51</v>
      </c>
      <c r="F134" s="9645"/>
      <c r="G134" s="9646" t="s">
        <v>15</v>
      </c>
      <c r="H134" s="9647" t="n">
        <v>42965.084993275465</v>
      </c>
      <c r="I134" s="9648" t="n">
        <v>42965.084993275465</v>
      </c>
      <c r="J134" s="9649" t="n">
        <v>42963.20115136574</v>
      </c>
      <c r="K134" s="9650" t="n">
        <v>42963.20115136574</v>
      </c>
      <c r="L134" s="9651" t="s">
        <v>16</v>
      </c>
      <c r="M134" s="9652"/>
      <c r="N134" s="9653"/>
      <c r="O134" s="9654"/>
      <c r="P134" s="9655" t="s">
        <v>59</v>
      </c>
      <c r="Q134" s="9656">
        <f>TODAY()-j134</f>
      </c>
      <c r="R134" s="9657">
        <f>VLOOKUP(A134,'Last Week'!A4:I385,7,FALSE)</f>
      </c>
    </row>
    <row r="135" ht="25.5" customHeight="true">
      <c r="A135" s="9658" t="s">
        <v>363</v>
      </c>
      <c r="B135" s="9659" t="s">
        <v>364</v>
      </c>
      <c r="C135" s="9660"/>
      <c r="D135" s="9661" t="s">
        <v>365</v>
      </c>
      <c r="E135" s="9662" t="s">
        <v>51</v>
      </c>
      <c r="F135" s="9663"/>
      <c r="G135" s="9664" t="s">
        <v>15</v>
      </c>
      <c r="H135" s="9665" t="n">
        <v>42965.084994895835</v>
      </c>
      <c r="I135" s="9666" t="n">
        <v>42965.084994895835</v>
      </c>
      <c r="J135" s="9667" t="n">
        <v>42963.24571686343</v>
      </c>
      <c r="K135" s="9668" t="n">
        <v>42963.24571686343</v>
      </c>
      <c r="L135" s="9669" t="s">
        <v>16</v>
      </c>
      <c r="M135" s="9670"/>
      <c r="N135" s="9671"/>
      <c r="O135" s="9672"/>
      <c r="P135" s="9673" t="s">
        <v>59</v>
      </c>
      <c r="Q135" s="9674">
        <f>TODAY()-j135</f>
      </c>
      <c r="R135" s="9675">
        <f>VLOOKUP(A135,'Last Week'!A4:I385,7,FALSE)</f>
      </c>
    </row>
    <row r="136" ht="25.5" customHeight="true">
      <c r="A136" s="9676" t="s">
        <v>366</v>
      </c>
      <c r="B136" s="9677" t="s">
        <v>367</v>
      </c>
      <c r="C136" s="9678"/>
      <c r="D136" s="9679" t="s">
        <v>368</v>
      </c>
      <c r="E136" s="9680" t="s">
        <v>73</v>
      </c>
      <c r="F136" s="9681"/>
      <c r="G136" s="9682" t="s">
        <v>15</v>
      </c>
      <c r="H136" s="9683" t="n">
        <v>42965.45911108796</v>
      </c>
      <c r="I136" s="9684" t="n">
        <v>42965.45911108796</v>
      </c>
      <c r="J136" s="9685" t="n">
        <v>42963.65039422454</v>
      </c>
      <c r="K136" s="9686" t="n">
        <v>42963.65039422454</v>
      </c>
      <c r="L136" s="9687" t="s">
        <v>16</v>
      </c>
      <c r="M136" s="9688"/>
      <c r="N136" s="9689"/>
      <c r="O136" s="9690"/>
      <c r="P136" s="9691" t="s">
        <v>47</v>
      </c>
      <c r="Q136" s="9692">
        <f>TODAY()-j136</f>
      </c>
      <c r="R136" s="9693">
        <f>VLOOKUP(A136,'Last Week'!A4:I385,7,FALSE)</f>
      </c>
    </row>
    <row r="137" ht="25.5" customHeight="true">
      <c r="A137" s="9694" t="s">
        <v>369</v>
      </c>
      <c r="B137" s="9695" t="s">
        <v>370</v>
      </c>
      <c r="C137" s="9696"/>
      <c r="D137" s="9697" t="s">
        <v>62</v>
      </c>
      <c r="E137" s="9698" t="s">
        <v>73</v>
      </c>
      <c r="F137" s="9699"/>
      <c r="G137" s="9700" t="s">
        <v>15</v>
      </c>
      <c r="H137" s="9701" t="n">
        <v>42966.3341065625</v>
      </c>
      <c r="I137" s="9702" t="n">
        <v>42966.3341065625</v>
      </c>
      <c r="J137" s="9703" t="n">
        <v>42964.51758238426</v>
      </c>
      <c r="K137" s="9704" t="n">
        <v>42964.51758238426</v>
      </c>
      <c r="L137" s="9705" t="s">
        <v>16</v>
      </c>
      <c r="M137" s="9706"/>
      <c r="N137" s="9707"/>
      <c r="O137" s="9708"/>
      <c r="P137" s="9709" t="s">
        <v>17</v>
      </c>
      <c r="Q137" s="9710">
        <f>TODAY()-j137</f>
      </c>
      <c r="R137" s="9711">
        <f>VLOOKUP(A137,'Last Week'!A4:I385,7,FALSE)</f>
      </c>
    </row>
    <row r="138" ht="25.5" customHeight="true">
      <c r="A138" s="9712" t="s">
        <v>371</v>
      </c>
      <c r="B138" s="9713" t="s">
        <v>372</v>
      </c>
      <c r="C138" s="9714"/>
      <c r="D138" s="9715" t="s">
        <v>62</v>
      </c>
      <c r="E138" s="9716" t="s">
        <v>176</v>
      </c>
      <c r="F138" s="9717"/>
      <c r="G138" s="9718" t="s">
        <v>15</v>
      </c>
      <c r="H138" s="9719" t="n">
        <v>42969.67100126157</v>
      </c>
      <c r="I138" s="9720" t="n">
        <v>42969.67100126157</v>
      </c>
      <c r="J138" s="9721" t="n">
        <v>42965.88500310185</v>
      </c>
      <c r="K138" s="9722" t="n">
        <v>42965.88500310185</v>
      </c>
      <c r="L138" s="9723" t="s">
        <v>16</v>
      </c>
      <c r="M138" s="9724"/>
      <c r="N138" s="9725"/>
      <c r="O138" s="9726"/>
      <c r="P138" s="9727" t="s">
        <v>17</v>
      </c>
      <c r="Q138" s="9728">
        <f>TODAY()-j138</f>
      </c>
      <c r="R138" s="9729">
        <f>VLOOKUP(A138,'Last Week'!A4:I385,7,FALSE)</f>
      </c>
    </row>
    <row r="139" ht="25.5" customHeight="true">
      <c r="A139" s="9730" t="s">
        <v>373</v>
      </c>
      <c r="B139" s="9731" t="s">
        <v>207</v>
      </c>
      <c r="C139" s="9732"/>
      <c r="D139" s="9733" t="s">
        <v>349</v>
      </c>
      <c r="E139" s="9734" t="s">
        <v>25</v>
      </c>
      <c r="F139" s="9735"/>
      <c r="G139" s="9736" t="s">
        <v>15</v>
      </c>
      <c r="H139" s="9737" t="n">
        <v>42971.08369875</v>
      </c>
      <c r="I139" s="9738" t="n">
        <v>42971.08369875</v>
      </c>
      <c r="J139" s="9739" t="n">
        <v>42968.54698600694</v>
      </c>
      <c r="K139" s="9740" t="n">
        <v>42968.54698600694</v>
      </c>
      <c r="L139" s="9741" t="s">
        <v>16</v>
      </c>
      <c r="M139" s="9742"/>
      <c r="N139" s="9743"/>
      <c r="O139" s="9744"/>
      <c r="P139" s="9745" t="s">
        <v>47</v>
      </c>
      <c r="Q139" s="9746">
        <f>TODAY()-j139</f>
      </c>
      <c r="R139" s="9747">
        <f>VLOOKUP(A139,'Last Week'!A4:I385,7,FALSE)</f>
      </c>
    </row>
    <row r="140" ht="25.5" customHeight="true">
      <c r="A140" s="9748" t="s">
        <v>374</v>
      </c>
      <c r="B140" s="9749" t="s">
        <v>375</v>
      </c>
      <c r="C140" s="9750"/>
      <c r="D140" s="9751" t="s">
        <v>376</v>
      </c>
      <c r="E140" s="9752" t="s">
        <v>25</v>
      </c>
      <c r="F140" s="9753"/>
      <c r="G140" s="9754" t="s">
        <v>15</v>
      </c>
      <c r="H140" s="9755" t="n">
        <v>42972.12505891204</v>
      </c>
      <c r="I140" s="9756" t="n">
        <v>42972.12505891204</v>
      </c>
      <c r="J140" s="9757" t="n">
        <v>42968.655965590275</v>
      </c>
      <c r="K140" s="9758" t="n">
        <v>42968.655965590275</v>
      </c>
      <c r="L140" s="9759" t="s">
        <v>16</v>
      </c>
      <c r="M140" s="9760"/>
      <c r="N140" s="9761"/>
      <c r="O140" s="9762"/>
      <c r="P140" s="9763" t="s">
        <v>30</v>
      </c>
      <c r="Q140" s="9764">
        <f>TODAY()-j140</f>
      </c>
      <c r="R140" s="9765">
        <f>VLOOKUP(A140,'Last Week'!A4:I385,7,FALSE)</f>
      </c>
    </row>
    <row r="141" ht="25.5" customHeight="true">
      <c r="A141" s="9766" t="s">
        <v>377</v>
      </c>
      <c r="B141" s="9767" t="s">
        <v>378</v>
      </c>
      <c r="C141" s="9768"/>
      <c r="D141" s="9769" t="s">
        <v>89</v>
      </c>
      <c r="E141" s="9770" t="s">
        <v>25</v>
      </c>
      <c r="F141" s="9771"/>
      <c r="G141" s="9772" t="s">
        <v>15</v>
      </c>
      <c r="H141" s="9773" t="n">
        <v>42985.08400108796</v>
      </c>
      <c r="I141" s="9774" t="n">
        <v>42985.08400108796</v>
      </c>
      <c r="J141" s="9775" t="n">
        <v>42969.50964215278</v>
      </c>
      <c r="K141" s="9776" t="n">
        <v>42969.50964215278</v>
      </c>
      <c r="L141" s="9777" t="s">
        <v>16</v>
      </c>
      <c r="M141" s="9778"/>
      <c r="N141" s="9779"/>
      <c r="O141" s="9780"/>
      <c r="P141" s="9781" t="s">
        <v>59</v>
      </c>
      <c r="Q141" s="9782">
        <f>TODAY()-j141</f>
      </c>
      <c r="R141" s="9783">
        <f>VLOOKUP(A141,'Last Week'!A4:I385,7,FALSE)</f>
      </c>
    </row>
    <row r="142" ht="25.5" customHeight="true">
      <c r="A142" s="9784" t="s">
        <v>379</v>
      </c>
      <c r="B142" s="9785" t="s">
        <v>380</v>
      </c>
      <c r="C142" s="9786"/>
      <c r="D142" s="9787" t="s">
        <v>381</v>
      </c>
      <c r="E142" s="9788" t="s">
        <v>73</v>
      </c>
      <c r="F142" s="9789"/>
      <c r="G142" s="9790" t="s">
        <v>15</v>
      </c>
      <c r="H142" s="9791" t="n">
        <v>42973.45659335648</v>
      </c>
      <c r="I142" s="9792" t="n">
        <v>42973.45659335648</v>
      </c>
      <c r="J142" s="9793" t="n">
        <v>42969.53263630787</v>
      </c>
      <c r="K142" s="9794" t="n">
        <v>42969.53263630787</v>
      </c>
      <c r="L142" s="9795" t="s">
        <v>16</v>
      </c>
      <c r="M142" s="9796"/>
      <c r="N142" s="9797"/>
      <c r="O142" s="9798"/>
      <c r="P142" s="9799" t="s">
        <v>47</v>
      </c>
      <c r="Q142" s="9800">
        <f>TODAY()-j142</f>
      </c>
      <c r="R142" s="9801">
        <f>VLOOKUP(A142,'Last Week'!A4:I385,7,FALSE)</f>
      </c>
    </row>
    <row r="143" ht="25.5" customHeight="true">
      <c r="A143" s="9802" t="s">
        <v>382</v>
      </c>
      <c r="B143" s="9803" t="s">
        <v>297</v>
      </c>
      <c r="C143" s="9804"/>
      <c r="D143" s="9805" t="s">
        <v>62</v>
      </c>
      <c r="E143" s="9806" t="s">
        <v>82</v>
      </c>
      <c r="F143" s="9807"/>
      <c r="G143" s="9808" t="s">
        <v>15</v>
      </c>
      <c r="H143" s="9809" t="n">
        <v>42970.588250162036</v>
      </c>
      <c r="I143" s="9810" t="n">
        <v>42970.588250162036</v>
      </c>
      <c r="J143" s="9811" t="n">
        <v>42969.725991273146</v>
      </c>
      <c r="K143" s="9812" t="n">
        <v>42969.725991273146</v>
      </c>
      <c r="L143" s="9813" t="s">
        <v>16</v>
      </c>
      <c r="M143" s="9814"/>
      <c r="N143" s="9815"/>
      <c r="O143" s="9816"/>
      <c r="P143" s="9817" t="s">
        <v>30</v>
      </c>
      <c r="Q143" s="9818">
        <f>TODAY()-j143</f>
      </c>
      <c r="R143" s="9819">
        <f>VLOOKUP(A143,'Last Week'!A4:I385,7,FALSE)</f>
      </c>
    </row>
    <row r="144" ht="25.5" customHeight="true">
      <c r="A144" s="9820" t="s">
        <v>383</v>
      </c>
      <c r="B144" s="9821" t="s">
        <v>297</v>
      </c>
      <c r="C144" s="9822"/>
      <c r="D144" s="9823" t="s">
        <v>62</v>
      </c>
      <c r="E144" s="9824" t="s">
        <v>82</v>
      </c>
      <c r="F144" s="9825"/>
      <c r="G144" s="9826" t="s">
        <v>15</v>
      </c>
      <c r="H144" s="9827" t="n">
        <v>42970.704070381944</v>
      </c>
      <c r="I144" s="9828" t="n">
        <v>42970.704070381944</v>
      </c>
      <c r="J144" s="9829" t="n">
        <v>42969.74544965278</v>
      </c>
      <c r="K144" s="9830" t="n">
        <v>42969.74544965278</v>
      </c>
      <c r="L144" s="9831" t="s">
        <v>16</v>
      </c>
      <c r="M144" s="9832"/>
      <c r="N144" s="9833"/>
      <c r="O144" s="9834"/>
      <c r="P144" s="9835" t="s">
        <v>47</v>
      </c>
      <c r="Q144" s="9836">
        <f>TODAY()-j144</f>
      </c>
      <c r="R144" s="9837">
        <f>VLOOKUP(A144,'Last Week'!A4:I385,7,FALSE)</f>
      </c>
    </row>
    <row r="145" ht="25.5" customHeight="true">
      <c r="A145" s="9838" t="s">
        <v>384</v>
      </c>
      <c r="B145" s="9839" t="s">
        <v>385</v>
      </c>
      <c r="C145" s="9840"/>
      <c r="D145" s="9841" t="s">
        <v>386</v>
      </c>
      <c r="E145" s="9842" t="s">
        <v>14</v>
      </c>
      <c r="F145" s="9843"/>
      <c r="G145" s="9844" t="s">
        <v>15</v>
      </c>
      <c r="H145" s="9845" t="n">
        <v>42974.421874907406</v>
      </c>
      <c r="I145" s="9846" t="n">
        <v>42974.421874907406</v>
      </c>
      <c r="J145" s="9847" t="n">
        <v>42971.389168043985</v>
      </c>
      <c r="K145" s="9848" t="n">
        <v>42971.389168043985</v>
      </c>
      <c r="L145" s="9849" t="s">
        <v>16</v>
      </c>
      <c r="M145" s="9850"/>
      <c r="N145" s="9851"/>
      <c r="O145" s="9852"/>
      <c r="P145" s="9853" t="s">
        <v>30</v>
      </c>
      <c r="Q145" s="9854">
        <f>TODAY()-j145</f>
      </c>
      <c r="R145" s="9855">
        <f>VLOOKUP(A145,'Last Week'!A4:I385,7,FALSE)</f>
      </c>
    </row>
    <row r="146" ht="25.5" customHeight="true">
      <c r="A146" s="9856" t="s">
        <v>387</v>
      </c>
      <c r="B146" s="9857" t="s">
        <v>388</v>
      </c>
      <c r="C146" s="9858"/>
      <c r="D146" s="9859" t="s">
        <v>368</v>
      </c>
      <c r="E146" s="9860" t="s">
        <v>73</v>
      </c>
      <c r="F146" s="9861"/>
      <c r="G146" s="9862" t="s">
        <v>15</v>
      </c>
      <c r="H146" s="9863" t="n">
        <v>42971.61371179398</v>
      </c>
      <c r="I146" s="9864" t="n">
        <v>42971.61371179398</v>
      </c>
      <c r="J146" s="9865" t="n">
        <v>42971.60903561342</v>
      </c>
      <c r="K146" s="9866" t="n">
        <v>42971.60903561342</v>
      </c>
      <c r="L146" s="9867" t="s">
        <v>16</v>
      </c>
      <c r="M146" s="9868"/>
      <c r="N146" s="9869"/>
      <c r="O146" s="9870"/>
      <c r="P146" s="9871" t="s">
        <v>47</v>
      </c>
      <c r="Q146" s="9872">
        <f>TODAY()-j146</f>
      </c>
      <c r="R146" s="9873">
        <f>VLOOKUP(A146,'Last Week'!A4:I385,7,FALSE)</f>
      </c>
    </row>
    <row r="147" ht="25.5" customHeight="true">
      <c r="A147" s="9874" t="s">
        <v>389</v>
      </c>
      <c r="B147" s="9875" t="s">
        <v>390</v>
      </c>
      <c r="C147" s="9876"/>
      <c r="D147" s="9877" t="s">
        <v>66</v>
      </c>
      <c r="E147" s="9878" t="s">
        <v>66</v>
      </c>
      <c r="F147" s="9879"/>
      <c r="G147" s="9880" t="s">
        <v>15</v>
      </c>
      <c r="H147" s="9881" t="n">
        <v>42986.642843229165</v>
      </c>
      <c r="I147" s="9882" t="n">
        <v>42986.642843229165</v>
      </c>
      <c r="J147" s="9883" t="n">
        <v>42971.6287934375</v>
      </c>
      <c r="K147" s="9884" t="n">
        <v>42971.6287934375</v>
      </c>
      <c r="L147" s="9885" t="s">
        <v>16</v>
      </c>
      <c r="M147" s="9886"/>
      <c r="N147" s="9887"/>
      <c r="O147" s="9888"/>
      <c r="P147" s="9889" t="s">
        <v>17</v>
      </c>
      <c r="Q147" s="9890">
        <f>TODAY()-j147</f>
      </c>
      <c r="R147" s="9891">
        <f>VLOOKUP(A147,'Last Week'!A4:I385,7,FALSE)</f>
      </c>
    </row>
    <row r="148" ht="25.5" customHeight="true">
      <c r="A148" s="9892" t="s">
        <v>391</v>
      </c>
      <c r="B148" s="9893" t="s">
        <v>392</v>
      </c>
      <c r="C148" s="9894"/>
      <c r="D148" s="9895" t="s">
        <v>393</v>
      </c>
      <c r="E148" s="9896" t="s">
        <v>29</v>
      </c>
      <c r="F148" s="9897"/>
      <c r="G148" s="9898" t="s">
        <v>15</v>
      </c>
      <c r="H148" s="9899" t="n">
        <v>42974.83375644676</v>
      </c>
      <c r="I148" s="9900" t="n">
        <v>42974.83375644676</v>
      </c>
      <c r="J148" s="9901" t="n">
        <v>42971.90340269676</v>
      </c>
      <c r="K148" s="9902" t="n">
        <v>42971.90340269676</v>
      </c>
      <c r="L148" s="9903" t="s">
        <v>16</v>
      </c>
      <c r="M148" s="9904"/>
      <c r="N148" s="9905"/>
      <c r="O148" s="9906"/>
      <c r="P148" s="9907" t="s">
        <v>17</v>
      </c>
      <c r="Q148" s="9908">
        <f>TODAY()-j148</f>
      </c>
      <c r="R148" s="9909">
        <f>VLOOKUP(A148,'Last Week'!A4:I385,7,FALSE)</f>
      </c>
    </row>
    <row r="149" ht="25.5" customHeight="true">
      <c r="A149" s="9910" t="s">
        <v>394</v>
      </c>
      <c r="B149" s="9911" t="s">
        <v>395</v>
      </c>
      <c r="C149" s="9912"/>
      <c r="D149" s="9913" t="s">
        <v>89</v>
      </c>
      <c r="E149" s="9914" t="s">
        <v>25</v>
      </c>
      <c r="F149" s="9915"/>
      <c r="G149" s="9916" t="s">
        <v>15</v>
      </c>
      <c r="H149" s="9917" t="n">
        <v>42972.64427626158</v>
      </c>
      <c r="I149" s="9918" t="n">
        <v>42972.64427626158</v>
      </c>
      <c r="J149" s="9919" t="n">
        <v>42972.63763123842</v>
      </c>
      <c r="K149" s="9920" t="n">
        <v>42972.63763123842</v>
      </c>
      <c r="L149" s="9921" t="s">
        <v>16</v>
      </c>
      <c r="M149" s="9922"/>
      <c r="N149" s="9923"/>
      <c r="O149" s="9924"/>
      <c r="P149" s="9925" t="s">
        <v>47</v>
      </c>
      <c r="Q149" s="9926">
        <f>TODAY()-j149</f>
      </c>
      <c r="R149" s="9927">
        <f>VLOOKUP(A149,'Last Week'!A4:I385,7,FALSE)</f>
      </c>
    </row>
    <row r="150" ht="25.5" customHeight="true">
      <c r="A150" s="9928" t="s">
        <v>396</v>
      </c>
      <c r="B150" s="9929" t="s">
        <v>397</v>
      </c>
      <c r="C150" s="9930"/>
      <c r="D150" s="9931" t="s">
        <v>398</v>
      </c>
      <c r="E150" s="9932" t="s">
        <v>25</v>
      </c>
      <c r="F150" s="9933"/>
      <c r="G150" s="9934" t="s">
        <v>15</v>
      </c>
      <c r="H150" s="9935" t="n">
        <v>42977.688964733796</v>
      </c>
      <c r="I150" s="9936" t="n">
        <v>42977.688964733796</v>
      </c>
      <c r="J150" s="9937" t="n">
        <v>42975.69725978009</v>
      </c>
      <c r="K150" s="9938" t="n">
        <v>42975.69725978009</v>
      </c>
      <c r="L150" s="9939" t="s">
        <v>16</v>
      </c>
      <c r="M150" s="9940"/>
      <c r="N150" s="9941"/>
      <c r="O150" s="9942"/>
      <c r="P150" s="9943" t="s">
        <v>30</v>
      </c>
      <c r="Q150" s="9944">
        <f>TODAY()-j150</f>
      </c>
      <c r="R150" s="9945">
        <f>VLOOKUP(A150,'Last Week'!A4:I385,7,FALSE)</f>
      </c>
    </row>
    <row r="151" ht="25.5" customHeight="true">
      <c r="A151" s="9946" t="s">
        <v>399</v>
      </c>
      <c r="B151" s="9947" t="s">
        <v>400</v>
      </c>
      <c r="C151" s="9948"/>
      <c r="D151" s="9949" t="s">
        <v>401</v>
      </c>
      <c r="E151" s="9950" t="s">
        <v>402</v>
      </c>
      <c r="F151" s="9951"/>
      <c r="G151" s="9952" t="s">
        <v>15</v>
      </c>
      <c r="H151" s="9953" t="n">
        <v>42977.456516273145</v>
      </c>
      <c r="I151" s="9954" t="n">
        <v>42977.456516273145</v>
      </c>
      <c r="J151" s="9955" t="n">
        <v>42976.46989608796</v>
      </c>
      <c r="K151" s="9956" t="n">
        <v>42976.46989608796</v>
      </c>
      <c r="L151" s="9957" t="s">
        <v>16</v>
      </c>
      <c r="M151" s="9958"/>
      <c r="N151" s="9959"/>
      <c r="O151" s="9960"/>
      <c r="P151" s="9961" t="s">
        <v>47</v>
      </c>
      <c r="Q151" s="9962">
        <f>TODAY()-j151</f>
      </c>
      <c r="R151" s="9963">
        <f>VLOOKUP(A151,'Last Week'!A4:I385,7,FALSE)</f>
      </c>
    </row>
    <row r="152" ht="25.5" customHeight="true">
      <c r="A152" s="9964" t="s">
        <v>403</v>
      </c>
      <c r="B152" s="9965" t="s">
        <v>404</v>
      </c>
      <c r="C152" s="9966"/>
      <c r="D152" s="9967" t="s">
        <v>386</v>
      </c>
      <c r="E152" s="9968" t="s">
        <v>14</v>
      </c>
      <c r="F152" s="9969"/>
      <c r="G152" s="9970" t="s">
        <v>15</v>
      </c>
      <c r="H152" s="9971" t="n">
        <v>42979.37768452546</v>
      </c>
      <c r="I152" s="9972" t="n">
        <v>42979.37768452546</v>
      </c>
      <c r="J152" s="9973" t="n">
        <v>42978.5873087963</v>
      </c>
      <c r="K152" s="9974" t="n">
        <v>42978.5873087963</v>
      </c>
      <c r="L152" s="9975" t="s">
        <v>16</v>
      </c>
      <c r="M152" s="9976"/>
      <c r="N152" s="9977"/>
      <c r="O152" s="9978"/>
      <c r="P152" s="9979" t="s">
        <v>30</v>
      </c>
      <c r="Q152" s="9980">
        <f>TODAY()-j152</f>
      </c>
      <c r="R152" s="9981">
        <f>VLOOKUP(A152,'Last Week'!A4:I385,7,FALSE)</f>
      </c>
    </row>
    <row r="153" ht="25.5" customHeight="true">
      <c r="A153" s="9982" t="s">
        <v>405</v>
      </c>
      <c r="B153" s="9983" t="s">
        <v>406</v>
      </c>
      <c r="C153" s="9984"/>
      <c r="D153" s="9985" t="s">
        <v>155</v>
      </c>
      <c r="E153" s="9986" t="s">
        <v>56</v>
      </c>
      <c r="F153" s="9987"/>
      <c r="G153" s="9988" t="s">
        <v>15</v>
      </c>
      <c r="H153" s="9989" t="n">
        <v>42982.46911290509</v>
      </c>
      <c r="I153" s="9990" t="n">
        <v>42982.46911290509</v>
      </c>
      <c r="J153" s="9991" t="n">
        <v>42978.74713650463</v>
      </c>
      <c r="K153" s="9992" t="n">
        <v>42978.74713650463</v>
      </c>
      <c r="L153" s="9993" t="s">
        <v>16</v>
      </c>
      <c r="M153" s="9994"/>
      <c r="N153" s="9995"/>
      <c r="O153" s="9996"/>
      <c r="P153" s="9997" t="s">
        <v>47</v>
      </c>
      <c r="Q153" s="9998">
        <f>TODAY()-j153</f>
      </c>
      <c r="R153" s="9999">
        <f>VLOOKUP(A153,'Last Week'!A4:I385,7,FALSE)</f>
      </c>
    </row>
    <row r="154" ht="25.5" customHeight="true">
      <c r="A154" s="10000" t="s">
        <v>407</v>
      </c>
      <c r="B154" s="10001" t="s">
        <v>408</v>
      </c>
      <c r="C154" s="10002"/>
      <c r="D154" s="10003" t="s">
        <v>409</v>
      </c>
      <c r="E154" s="10004" t="s">
        <v>29</v>
      </c>
      <c r="F154" s="10005"/>
      <c r="G154" s="10006" t="s">
        <v>15</v>
      </c>
      <c r="H154" s="10007" t="n">
        <v>42984.3338524537</v>
      </c>
      <c r="I154" s="10008" t="n">
        <v>42984.3338524537</v>
      </c>
      <c r="J154" s="10009" t="n">
        <v>42979.8320475</v>
      </c>
      <c r="K154" s="10010" t="n">
        <v>42979.8320475</v>
      </c>
      <c r="L154" s="10011" t="s">
        <v>16</v>
      </c>
      <c r="M154" s="10012"/>
      <c r="N154" s="10013"/>
      <c r="O154" s="10014"/>
      <c r="P154" s="10015" t="s">
        <v>59</v>
      </c>
      <c r="Q154" s="10016">
        <f>TODAY()-j154</f>
      </c>
      <c r="R154" s="10017">
        <f>VLOOKUP(A154,'Last Week'!A4:I385,7,FALSE)</f>
      </c>
    </row>
    <row r="155" ht="25.5" customHeight="true">
      <c r="A155" s="10018" t="s">
        <v>410</v>
      </c>
      <c r="B155" s="10019" t="s">
        <v>198</v>
      </c>
      <c r="C155" s="10020"/>
      <c r="D155" s="10021" t="s">
        <v>55</v>
      </c>
      <c r="E155" s="10022" t="s">
        <v>82</v>
      </c>
      <c r="F155" s="10023"/>
      <c r="G155" s="10024" t="s">
        <v>15</v>
      </c>
      <c r="H155" s="10025" t="n">
        <v>42984.33385834491</v>
      </c>
      <c r="I155" s="10026" t="n">
        <v>42984.33385834491</v>
      </c>
      <c r="J155" s="10027" t="n">
        <v>42982.48181302084</v>
      </c>
      <c r="K155" s="10028" t="n">
        <v>42982.48181302084</v>
      </c>
      <c r="L155" s="10029" t="s">
        <v>16</v>
      </c>
      <c r="M155" s="10030"/>
      <c r="N155" s="10031"/>
      <c r="O155" s="10032"/>
      <c r="P155" s="10033" t="s">
        <v>59</v>
      </c>
      <c r="Q155" s="10034">
        <f>TODAY()-j155</f>
      </c>
      <c r="R155" s="10035">
        <f>VLOOKUP(A155,'Last Week'!A4:I385,7,FALSE)</f>
      </c>
    </row>
    <row r="156" ht="25.5" customHeight="true">
      <c r="A156" s="10036" t="s">
        <v>411</v>
      </c>
      <c r="B156" s="10037" t="s">
        <v>412</v>
      </c>
      <c r="C156" s="10038"/>
      <c r="D156" s="10039" t="s">
        <v>55</v>
      </c>
      <c r="E156" s="10040" t="s">
        <v>82</v>
      </c>
      <c r="F156" s="10041"/>
      <c r="G156" s="10042" t="s">
        <v>15</v>
      </c>
      <c r="H156" s="10043" t="n">
        <v>42982.681804513886</v>
      </c>
      <c r="I156" s="10044" t="n">
        <v>42982.681804513886</v>
      </c>
      <c r="J156" s="10045" t="n">
        <v>42982.49604520833</v>
      </c>
      <c r="K156" s="10046" t="n">
        <v>42982.49604520833</v>
      </c>
      <c r="L156" s="10047" t="s">
        <v>16</v>
      </c>
      <c r="M156" s="10048"/>
      <c r="N156" s="10049"/>
      <c r="O156" s="10050"/>
      <c r="P156" s="10051" t="s">
        <v>59</v>
      </c>
      <c r="Q156" s="10052">
        <f>TODAY()-j156</f>
      </c>
      <c r="R156" s="10053">
        <f>VLOOKUP(A156,'Last Week'!A4:I385,7,FALSE)</f>
      </c>
    </row>
    <row r="157" ht="25.5" customHeight="true">
      <c r="A157" s="10054" t="s">
        <v>413</v>
      </c>
      <c r="B157" s="10055" t="s">
        <v>414</v>
      </c>
      <c r="C157" s="10056"/>
      <c r="D157" s="10057" t="s">
        <v>415</v>
      </c>
      <c r="E157" s="10058" t="s">
        <v>42</v>
      </c>
      <c r="F157" s="10059"/>
      <c r="G157" s="10060" t="s">
        <v>15</v>
      </c>
      <c r="H157" s="10061" t="n">
        <v>42988.56675097222</v>
      </c>
      <c r="I157" s="10062" t="n">
        <v>42988.56675097222</v>
      </c>
      <c r="J157" s="10063" t="n">
        <v>42983.75876873843</v>
      </c>
      <c r="K157" s="10064" t="n">
        <v>42983.75876873843</v>
      </c>
      <c r="L157" s="10065" t="s">
        <v>16</v>
      </c>
      <c r="M157" s="10066"/>
      <c r="N157" s="10067"/>
      <c r="O157" s="10068"/>
      <c r="P157" s="10069" t="s">
        <v>47</v>
      </c>
      <c r="Q157" s="10070">
        <f>TODAY()-j157</f>
      </c>
      <c r="R157" s="10071">
        <f>VLOOKUP(A157,'Last Week'!A4:I385,7,FALSE)</f>
      </c>
    </row>
    <row r="158" ht="25.5" customHeight="true">
      <c r="A158" s="10072" t="s">
        <v>416</v>
      </c>
      <c r="B158" s="10073" t="s">
        <v>49</v>
      </c>
      <c r="C158" s="10074"/>
      <c r="D158" s="10075" t="s">
        <v>417</v>
      </c>
      <c r="E158" s="10076" t="s">
        <v>73</v>
      </c>
      <c r="F158" s="10077"/>
      <c r="G158" s="10078" t="s">
        <v>15</v>
      </c>
      <c r="H158" s="10079" t="n">
        <v>42985.42940112269</v>
      </c>
      <c r="I158" s="10080" t="n">
        <v>42985.42940112269</v>
      </c>
      <c r="J158" s="10081" t="n">
        <v>42984.41250171296</v>
      </c>
      <c r="K158" s="10082" t="n">
        <v>42984.41250171296</v>
      </c>
      <c r="L158" s="10083" t="s">
        <v>16</v>
      </c>
      <c r="M158" s="10084"/>
      <c r="N158" s="10085"/>
      <c r="O158" s="10086"/>
      <c r="P158" s="10087" t="s">
        <v>30</v>
      </c>
      <c r="Q158" s="10088">
        <f>TODAY()-j158</f>
      </c>
      <c r="R158" s="10089">
        <f>VLOOKUP(A158,'Last Week'!A4:I385,7,FALSE)</f>
      </c>
    </row>
    <row r="159" ht="25.5" customHeight="true">
      <c r="A159" s="10090" t="s">
        <v>418</v>
      </c>
      <c r="B159" s="10091" t="s">
        <v>419</v>
      </c>
      <c r="C159" s="10092"/>
      <c r="D159" s="10093" t="s">
        <v>55</v>
      </c>
      <c r="E159" s="10094" t="s">
        <v>82</v>
      </c>
      <c r="F159" s="10095"/>
      <c r="G159" s="10096" t="s">
        <v>15</v>
      </c>
      <c r="H159" s="10097" t="n">
        <v>42996.624624386575</v>
      </c>
      <c r="I159" s="10098" t="n">
        <v>42996.624624386575</v>
      </c>
      <c r="J159" s="10099" t="n">
        <v>42984.44277671296</v>
      </c>
      <c r="K159" s="10100" t="n">
        <v>42984.44277671296</v>
      </c>
      <c r="L159" s="10101" t="s">
        <v>16</v>
      </c>
      <c r="M159" s="10102"/>
      <c r="N159" s="10103"/>
      <c r="O159" s="10104"/>
      <c r="P159" s="10105" t="s">
        <v>47</v>
      </c>
      <c r="Q159" s="10106">
        <f>TODAY()-j159</f>
      </c>
      <c r="R159" s="10107">
        <f>VLOOKUP(A159,'Last Week'!A4:I385,7,FALSE)</f>
      </c>
    </row>
    <row r="160" ht="25.5" customHeight="true">
      <c r="A160" s="10108" t="s">
        <v>420</v>
      </c>
      <c r="B160" s="10109" t="s">
        <v>421</v>
      </c>
      <c r="C160" s="10110"/>
      <c r="D160" s="10111" t="s">
        <v>422</v>
      </c>
      <c r="E160" s="10112" t="s">
        <v>21</v>
      </c>
      <c r="F160" s="10113"/>
      <c r="G160" s="10114" t="s">
        <v>15</v>
      </c>
      <c r="H160" s="10115" t="n">
        <v>42986.39348100695</v>
      </c>
      <c r="I160" s="10116" t="n">
        <v>42986.39348100695</v>
      </c>
      <c r="J160" s="10117" t="n">
        <v>42985.48848137732</v>
      </c>
      <c r="K160" s="10118" t="n">
        <v>42985.48848137732</v>
      </c>
      <c r="L160" s="10119" t="s">
        <v>16</v>
      </c>
      <c r="M160" s="10120"/>
      <c r="N160" s="10121"/>
      <c r="O160" s="10122"/>
      <c r="P160" s="10123" t="s">
        <v>47</v>
      </c>
      <c r="Q160" s="10124">
        <f>TODAY()-j160</f>
      </c>
      <c r="R160" s="10125">
        <f>VLOOKUP(A160,'Last Week'!A4:I385,7,FALSE)</f>
      </c>
    </row>
    <row r="161" ht="25.5" customHeight="true">
      <c r="A161" s="10126" t="s">
        <v>423</v>
      </c>
      <c r="B161" s="10127" t="s">
        <v>49</v>
      </c>
      <c r="C161" s="10128"/>
      <c r="D161" s="10129" t="s">
        <v>417</v>
      </c>
      <c r="E161" s="10130" t="s">
        <v>73</v>
      </c>
      <c r="F161" s="10131"/>
      <c r="G161" s="10132" t="s">
        <v>15</v>
      </c>
      <c r="H161" s="10133" t="n">
        <v>42987.16727226852</v>
      </c>
      <c r="I161" s="10134" t="n">
        <v>42987.16727226852</v>
      </c>
      <c r="J161" s="10135" t="n">
        <v>42985.60470994213</v>
      </c>
      <c r="K161" s="10136" t="n">
        <v>42985.60470994213</v>
      </c>
      <c r="L161" s="10137" t="s">
        <v>16</v>
      </c>
      <c r="M161" s="10138"/>
      <c r="N161" s="10139"/>
      <c r="O161" s="10140"/>
      <c r="P161" s="10141" t="s">
        <v>47</v>
      </c>
      <c r="Q161" s="10142">
        <f>TODAY()-j161</f>
      </c>
      <c r="R161" s="10143">
        <f>VLOOKUP(A161,'Last Week'!A4:I385,7,FALSE)</f>
      </c>
    </row>
    <row r="162" ht="25.5" customHeight="true">
      <c r="A162" s="10144" t="s">
        <v>424</v>
      </c>
      <c r="B162" s="10145" t="s">
        <v>425</v>
      </c>
      <c r="C162" s="10146"/>
      <c r="D162" s="10147" t="s">
        <v>426</v>
      </c>
      <c r="E162" s="10148" t="s">
        <v>73</v>
      </c>
      <c r="F162" s="10149"/>
      <c r="G162" s="10150" t="s">
        <v>15</v>
      </c>
      <c r="H162" s="10151" t="n">
        <v>42985.69589101852</v>
      </c>
      <c r="I162" s="10152" t="n">
        <v>42985.69589101852</v>
      </c>
      <c r="J162" s="10153" t="n">
        <v>42985.60665648148</v>
      </c>
      <c r="K162" s="10154" t="n">
        <v>42985.60665648148</v>
      </c>
      <c r="L162" s="10155" t="s">
        <v>16</v>
      </c>
      <c r="M162" s="10156"/>
      <c r="N162" s="10157"/>
      <c r="O162" s="10158"/>
      <c r="P162" s="10159" t="s">
        <v>47</v>
      </c>
      <c r="Q162" s="10160">
        <f>TODAY()-j162</f>
      </c>
      <c r="R162" s="10161">
        <f>VLOOKUP(A162,'Last Week'!A4:I385,7,FALSE)</f>
      </c>
    </row>
    <row r="163" ht="25.5" customHeight="true">
      <c r="A163" s="10162" t="s">
        <v>427</v>
      </c>
      <c r="B163" s="10163" t="s">
        <v>428</v>
      </c>
      <c r="C163" s="10164"/>
      <c r="D163" s="10165" t="s">
        <v>141</v>
      </c>
      <c r="E163" s="10166" t="s">
        <v>29</v>
      </c>
      <c r="F163" s="10167"/>
      <c r="G163" s="10168" t="s">
        <v>15</v>
      </c>
      <c r="H163" s="10169" t="n">
        <v>42988.87552149306</v>
      </c>
      <c r="I163" s="10170" t="n">
        <v>42988.87552149306</v>
      </c>
      <c r="J163" s="10171" t="n">
        <v>42985.85483625</v>
      </c>
      <c r="K163" s="10172" t="n">
        <v>42985.85483625</v>
      </c>
      <c r="L163" s="10173" t="s">
        <v>16</v>
      </c>
      <c r="M163" s="10174"/>
      <c r="N163" s="10175"/>
      <c r="O163" s="10176"/>
      <c r="P163" s="10177" t="s">
        <v>17</v>
      </c>
      <c r="Q163" s="10178">
        <f>TODAY()-j163</f>
      </c>
      <c r="R163" s="10179">
        <f>VLOOKUP(A163,'Last Week'!A4:I385,7,FALSE)</f>
      </c>
    </row>
    <row r="164" ht="25.5" customHeight="true">
      <c r="A164" s="10180" t="s">
        <v>429</v>
      </c>
      <c r="B164" s="10181" t="s">
        <v>430</v>
      </c>
      <c r="C164" s="10182"/>
      <c r="D164" s="10183" t="s">
        <v>431</v>
      </c>
      <c r="E164" s="10184" t="s">
        <v>176</v>
      </c>
      <c r="F164" s="10185"/>
      <c r="G164" s="10186" t="s">
        <v>15</v>
      </c>
      <c r="H164" s="10187" t="n">
        <v>42989.608426273146</v>
      </c>
      <c r="I164" s="10188" t="n">
        <v>42989.608426273146</v>
      </c>
      <c r="J164" s="10189" t="n">
        <v>42985.92552813658</v>
      </c>
      <c r="K164" s="10190" t="n">
        <v>42985.92552813658</v>
      </c>
      <c r="L164" s="10191" t="s">
        <v>16</v>
      </c>
      <c r="M164" s="10192"/>
      <c r="N164" s="10193"/>
      <c r="O164" s="10194"/>
      <c r="P164" s="10195" t="s">
        <v>47</v>
      </c>
      <c r="Q164" s="10196">
        <f>TODAY()-j164</f>
      </c>
      <c r="R164" s="10197">
        <f>VLOOKUP(A164,'Last Week'!A4:I385,7,FALSE)</f>
      </c>
    </row>
    <row r="165" ht="25.5" customHeight="true">
      <c r="A165" s="10198" t="s">
        <v>432</v>
      </c>
      <c r="B165" s="10199" t="s">
        <v>433</v>
      </c>
      <c r="C165" s="10200"/>
      <c r="D165" s="10201" t="s">
        <v>155</v>
      </c>
      <c r="E165" s="10202" t="s">
        <v>29</v>
      </c>
      <c r="F165" s="10203"/>
      <c r="G165" s="10204" t="s">
        <v>15</v>
      </c>
      <c r="H165" s="10205" t="n">
        <v>42993.167219270836</v>
      </c>
      <c r="I165" s="10206" t="n">
        <v>42993.167219270836</v>
      </c>
      <c r="J165" s="10207" t="n">
        <v>42986.82661851852</v>
      </c>
      <c r="K165" s="10208" t="n">
        <v>42986.82661851852</v>
      </c>
      <c r="L165" s="10209" t="s">
        <v>16</v>
      </c>
      <c r="M165" s="10210"/>
      <c r="N165" s="10211"/>
      <c r="O165" s="10212"/>
      <c r="P165" s="10213" t="s">
        <v>47</v>
      </c>
      <c r="Q165" s="10214">
        <f>TODAY()-j165</f>
      </c>
      <c r="R165" s="10215">
        <f>VLOOKUP(A165,'Last Week'!A4:I385,7,FALSE)</f>
      </c>
    </row>
    <row r="166" ht="25.5" customHeight="true">
      <c r="A166" s="10216" t="s">
        <v>434</v>
      </c>
      <c r="B166" s="10217" t="s">
        <v>435</v>
      </c>
      <c r="C166" s="10218"/>
      <c r="D166" s="10219" t="s">
        <v>436</v>
      </c>
      <c r="E166" s="10220" t="s">
        <v>216</v>
      </c>
      <c r="F166" s="10221"/>
      <c r="G166" s="10222" t="s">
        <v>15</v>
      </c>
      <c r="H166" s="10223" t="n">
        <v>42991.37144368055</v>
      </c>
      <c r="I166" s="10224" t="n">
        <v>42991.37144368055</v>
      </c>
      <c r="J166" s="10225" t="n">
        <v>42989.63972331018</v>
      </c>
      <c r="K166" s="10226" t="n">
        <v>42989.63972331018</v>
      </c>
      <c r="L166" s="10227" t="s">
        <v>16</v>
      </c>
      <c r="M166" s="10228"/>
      <c r="N166" s="10229"/>
      <c r="O166" s="10230"/>
      <c r="P166" s="10231" t="s">
        <v>17</v>
      </c>
      <c r="Q166" s="10232">
        <f>TODAY()-j166</f>
      </c>
      <c r="R166" s="10233">
        <f>VLOOKUP(A166,'Last Week'!A4:I385,7,FALSE)</f>
      </c>
    </row>
    <row r="167" ht="25.5" customHeight="true">
      <c r="A167" s="10234" t="s">
        <v>437</v>
      </c>
      <c r="B167" s="10235" t="s">
        <v>438</v>
      </c>
      <c r="C167" s="10236"/>
      <c r="D167" s="10237" t="s">
        <v>141</v>
      </c>
      <c r="E167" s="10238" t="s">
        <v>82</v>
      </c>
      <c r="F167" s="10239"/>
      <c r="G167" s="10240" t="s">
        <v>15</v>
      </c>
      <c r="H167" s="10241" t="n">
        <v>42991.53904041667</v>
      </c>
      <c r="I167" s="10242" t="n">
        <v>42991.53904041667</v>
      </c>
      <c r="J167" s="10243" t="n">
        <v>42990.50642266204</v>
      </c>
      <c r="K167" s="10244" t="n">
        <v>42990.50642266204</v>
      </c>
      <c r="L167" s="10245" t="s">
        <v>16</v>
      </c>
      <c r="M167" s="10246"/>
      <c r="N167" s="10247"/>
      <c r="O167" s="10248"/>
      <c r="P167" s="10249" t="s">
        <v>17</v>
      </c>
      <c r="Q167" s="10250">
        <f>TODAY()-j167</f>
      </c>
      <c r="R167" s="10251">
        <f>VLOOKUP(A167,'Last Week'!A4:I385,7,FALSE)</f>
      </c>
    </row>
    <row r="168" ht="25.5" customHeight="true">
      <c r="A168" s="10252" t="s">
        <v>439</v>
      </c>
      <c r="B168" s="10253" t="s">
        <v>440</v>
      </c>
      <c r="C168" s="10254"/>
      <c r="D168" s="10255" t="s">
        <v>241</v>
      </c>
      <c r="E168" s="10256" t="s">
        <v>241</v>
      </c>
      <c r="F168" s="10257"/>
      <c r="G168" s="10258" t="s">
        <v>15</v>
      </c>
      <c r="H168" s="10259" t="n">
        <v>42996.08391734954</v>
      </c>
      <c r="I168" s="10260" t="n">
        <v>42996.08391734954</v>
      </c>
      <c r="J168" s="10261" t="n">
        <v>42990.54318310185</v>
      </c>
      <c r="K168" s="10262" t="n">
        <v>42990.54318310185</v>
      </c>
      <c r="L168" s="10263" t="s">
        <v>16</v>
      </c>
      <c r="M168" s="10264"/>
      <c r="N168" s="10265"/>
      <c r="O168" s="10266"/>
      <c r="P168" s="10267" t="s">
        <v>47</v>
      </c>
      <c r="Q168" s="10268">
        <f>TODAY()-j168</f>
      </c>
      <c r="R168" s="10269">
        <f>VLOOKUP(A168,'Last Week'!A4:I385,7,FALSE)</f>
      </c>
    </row>
    <row r="169" ht="25.5" customHeight="true">
      <c r="A169" s="10270" t="s">
        <v>441</v>
      </c>
      <c r="B169" s="10271" t="s">
        <v>442</v>
      </c>
      <c r="C169" s="10272"/>
      <c r="D169" s="10273" t="s">
        <v>443</v>
      </c>
      <c r="E169" s="10274" t="s">
        <v>21</v>
      </c>
      <c r="F169" s="10275"/>
      <c r="G169" s="10276" t="s">
        <v>15</v>
      </c>
      <c r="H169" s="10277" t="n">
        <v>43058.444400740744</v>
      </c>
      <c r="I169" s="10278" t="n">
        <v>43058.444400740744</v>
      </c>
      <c r="J169" s="10279" t="n">
        <v>42991.44919677083</v>
      </c>
      <c r="K169" s="10280" t="n">
        <v>42991.44919677083</v>
      </c>
      <c r="L169" s="10281" t="s">
        <v>16</v>
      </c>
      <c r="M169" s="10282"/>
      <c r="N169" s="10283"/>
      <c r="O169" s="10284"/>
      <c r="P169" s="10285" t="s">
        <v>17</v>
      </c>
      <c r="Q169" s="10286">
        <f>TODAY()-j169</f>
      </c>
      <c r="R169" s="10287">
        <f>VLOOKUP(A169,'Last Week'!A4:I385,7,FALSE)</f>
      </c>
    </row>
    <row r="170" ht="25.5" customHeight="true">
      <c r="A170" s="10288" t="s">
        <v>444</v>
      </c>
      <c r="B170" s="10289" t="s">
        <v>445</v>
      </c>
      <c r="C170" s="10290"/>
      <c r="D170" s="10291" t="s">
        <v>446</v>
      </c>
      <c r="E170" s="10292" t="s">
        <v>73</v>
      </c>
      <c r="F170" s="10293"/>
      <c r="G170" s="10294" t="s">
        <v>15</v>
      </c>
      <c r="H170" s="10295" t="n">
        <v>42995.7197503125</v>
      </c>
      <c r="I170" s="10296" t="n">
        <v>42995.7197503125</v>
      </c>
      <c r="J170" s="10297" t="n">
        <v>42991.60366853009</v>
      </c>
      <c r="K170" s="10298" t="n">
        <v>42991.60366853009</v>
      </c>
      <c r="L170" s="10299" t="s">
        <v>16</v>
      </c>
      <c r="M170" s="10300"/>
      <c r="N170" s="10301"/>
      <c r="O170" s="10302"/>
      <c r="P170" s="10303" t="s">
        <v>17</v>
      </c>
      <c r="Q170" s="10304">
        <f>TODAY()-j170</f>
      </c>
      <c r="R170" s="10305">
        <f>VLOOKUP(A170,'Last Week'!A4:I385,7,FALSE)</f>
      </c>
    </row>
    <row r="171" ht="25.5" customHeight="true">
      <c r="A171" s="10306" t="s">
        <v>447</v>
      </c>
      <c r="B171" s="10307" t="s">
        <v>448</v>
      </c>
      <c r="C171" s="10308"/>
      <c r="D171" s="10309" t="s">
        <v>449</v>
      </c>
      <c r="E171" s="10310" t="s">
        <v>42</v>
      </c>
      <c r="F171" s="10311"/>
      <c r="G171" s="10312" t="s">
        <v>15</v>
      </c>
      <c r="H171" s="10313" t="n">
        <v>42996.68508658565</v>
      </c>
      <c r="I171" s="10314" t="n">
        <v>42996.68508658565</v>
      </c>
      <c r="J171" s="10315" t="n">
        <v>42992.821547893516</v>
      </c>
      <c r="K171" s="10316" t="n">
        <v>42992.821547893516</v>
      </c>
      <c r="L171" s="10317" t="s">
        <v>16</v>
      </c>
      <c r="M171" s="10318"/>
      <c r="N171" s="10319"/>
      <c r="O171" s="10320"/>
      <c r="P171" s="10321" t="s">
        <v>47</v>
      </c>
      <c r="Q171" s="10322">
        <f>TODAY()-j171</f>
      </c>
      <c r="R171" s="10323">
        <f>VLOOKUP(A171,'Last Week'!A4:I385,7,FALSE)</f>
      </c>
    </row>
    <row r="172" ht="25.5" customHeight="true">
      <c r="A172" s="10324" t="s">
        <v>450</v>
      </c>
      <c r="B172" s="10325" t="s">
        <v>451</v>
      </c>
      <c r="C172" s="10326"/>
      <c r="D172" s="10327" t="s">
        <v>155</v>
      </c>
      <c r="E172" s="10328" t="s">
        <v>29</v>
      </c>
      <c r="F172" s="10329"/>
      <c r="G172" s="10330" t="s">
        <v>15</v>
      </c>
      <c r="H172" s="10331" t="n">
        <v>43000.759515011574</v>
      </c>
      <c r="I172" s="10332" t="n">
        <v>43000.759515011574</v>
      </c>
      <c r="J172" s="10333" t="n">
        <v>42992.823910231484</v>
      </c>
      <c r="K172" s="10334" t="n">
        <v>42992.823910231484</v>
      </c>
      <c r="L172" s="10335" t="s">
        <v>16</v>
      </c>
      <c r="M172" s="10336"/>
      <c r="N172" s="10337"/>
      <c r="O172" s="10338"/>
      <c r="P172" s="10339" t="s">
        <v>47</v>
      </c>
      <c r="Q172" s="10340">
        <f>TODAY()-j172</f>
      </c>
      <c r="R172" s="10341">
        <f>VLOOKUP(A172,'Last Week'!A4:I385,7,FALSE)</f>
      </c>
    </row>
    <row r="173" ht="25.5" customHeight="true">
      <c r="A173" s="10342" t="s">
        <v>452</v>
      </c>
      <c r="B173" s="10343" t="s">
        <v>453</v>
      </c>
      <c r="C173" s="10344"/>
      <c r="D173" s="10345" t="s">
        <v>62</v>
      </c>
      <c r="E173" s="10346" t="s">
        <v>176</v>
      </c>
      <c r="F173" s="10347"/>
      <c r="G173" s="10348" t="s">
        <v>15</v>
      </c>
      <c r="H173" s="10349" t="n">
        <v>42995.95886652778</v>
      </c>
      <c r="I173" s="10350" t="n">
        <v>42995.95886652778</v>
      </c>
      <c r="J173" s="10351" t="n">
        <v>42992.828112337964</v>
      </c>
      <c r="K173" s="10352" t="n">
        <v>42992.828112337964</v>
      </c>
      <c r="L173" s="10353" t="s">
        <v>16</v>
      </c>
      <c r="M173" s="10354"/>
      <c r="N173" s="10355"/>
      <c r="O173" s="10356"/>
      <c r="P173" s="10357" t="s">
        <v>17</v>
      </c>
      <c r="Q173" s="10358">
        <f>TODAY()-j173</f>
      </c>
      <c r="R173" s="10359">
        <f>VLOOKUP(A173,'Last Week'!A4:I385,7,FALSE)</f>
      </c>
    </row>
    <row r="174" ht="25.5" customHeight="true">
      <c r="A174" s="10360" t="s">
        <v>454</v>
      </c>
      <c r="B174" s="10361" t="s">
        <v>455</v>
      </c>
      <c r="C174" s="10362"/>
      <c r="D174" s="10363" t="s">
        <v>456</v>
      </c>
      <c r="E174" s="10364" t="s">
        <v>29</v>
      </c>
      <c r="F174" s="10365"/>
      <c r="G174" s="10366" t="s">
        <v>15</v>
      </c>
      <c r="H174" s="10367" t="n">
        <v>42998.08478053241</v>
      </c>
      <c r="I174" s="10368" t="n">
        <v>42998.08478053241</v>
      </c>
      <c r="J174" s="10369" t="n">
        <v>42992.95842740741</v>
      </c>
      <c r="K174" s="10370" t="n">
        <v>42992.95842740741</v>
      </c>
      <c r="L174" s="10371" t="s">
        <v>16</v>
      </c>
      <c r="M174" s="10372"/>
      <c r="N174" s="10373"/>
      <c r="O174" s="10374"/>
      <c r="P174" s="10375" t="s">
        <v>17</v>
      </c>
      <c r="Q174" s="10376">
        <f>TODAY()-j174</f>
      </c>
      <c r="R174" s="10377">
        <f>VLOOKUP(A174,'Last Week'!A4:I385,7,FALSE)</f>
      </c>
    </row>
    <row r="175" ht="25.5" customHeight="true">
      <c r="A175" s="10378" t="s">
        <v>457</v>
      </c>
      <c r="B175" s="10379" t="s">
        <v>458</v>
      </c>
      <c r="C175" s="10380"/>
      <c r="D175" s="10381" t="s">
        <v>459</v>
      </c>
      <c r="E175" s="10382" t="s">
        <v>29</v>
      </c>
      <c r="F175" s="10383"/>
      <c r="G175" s="10384" t="s">
        <v>15</v>
      </c>
      <c r="H175" s="10385" t="n">
        <v>42996.44256869213</v>
      </c>
      <c r="I175" s="10386" t="n">
        <v>42996.44256869213</v>
      </c>
      <c r="J175" s="10387" t="n">
        <v>42993.71066016204</v>
      </c>
      <c r="K175" s="10388" t="n">
        <v>42993.71066016204</v>
      </c>
      <c r="L175" s="10389" t="s">
        <v>16</v>
      </c>
      <c r="M175" s="10390"/>
      <c r="N175" s="10391"/>
      <c r="O175" s="10392"/>
      <c r="P175" s="10393" t="s">
        <v>47</v>
      </c>
      <c r="Q175" s="10394">
        <f>TODAY()-j175</f>
      </c>
      <c r="R175" s="10395">
        <f>VLOOKUP(A175,'Last Week'!A4:I385,7,FALSE)</f>
      </c>
    </row>
    <row r="176" ht="25.5" customHeight="true">
      <c r="A176" s="10396" t="s">
        <v>460</v>
      </c>
      <c r="B176" s="10397" t="s">
        <v>461</v>
      </c>
      <c r="C176" s="10398"/>
      <c r="D176" s="10399" t="s">
        <v>462</v>
      </c>
      <c r="E176" s="10400" t="s">
        <v>209</v>
      </c>
      <c r="F176" s="10401"/>
      <c r="G176" s="10402" t="s">
        <v>15</v>
      </c>
      <c r="H176" s="10403" t="n">
        <v>42999.084476400465</v>
      </c>
      <c r="I176" s="10404" t="n">
        <v>42999.084476400465</v>
      </c>
      <c r="J176" s="10405" t="n">
        <v>42996.49455189815</v>
      </c>
      <c r="K176" s="10406" t="n">
        <v>42996.49455189815</v>
      </c>
      <c r="L176" s="10407" t="s">
        <v>16</v>
      </c>
      <c r="M176" s="10408"/>
      <c r="N176" s="10409"/>
      <c r="O176" s="10410"/>
      <c r="P176" s="10411" t="s">
        <v>59</v>
      </c>
      <c r="Q176" s="10412">
        <f>TODAY()-j176</f>
      </c>
      <c r="R176" s="10413">
        <f>VLOOKUP(A176,'Last Week'!A4:I385,7,FALSE)</f>
      </c>
    </row>
    <row r="177" ht="25.5" customHeight="true">
      <c r="A177" s="10414" t="s">
        <v>463</v>
      </c>
      <c r="B177" s="10415" t="s">
        <v>464</v>
      </c>
      <c r="C177" s="10416"/>
      <c r="D177" s="10417" t="s">
        <v>465</v>
      </c>
      <c r="E177" s="10418" t="s">
        <v>216</v>
      </c>
      <c r="F177" s="10419"/>
      <c r="G177" s="10420" t="s">
        <v>15</v>
      </c>
      <c r="H177" s="10421" t="n">
        <v>42997.527816539354</v>
      </c>
      <c r="I177" s="10422" t="n">
        <v>42997.527816539354</v>
      </c>
      <c r="J177" s="10423" t="n">
        <v>42997.44077137732</v>
      </c>
      <c r="K177" s="10424" t="n">
        <v>42997.44077137732</v>
      </c>
      <c r="L177" s="10425" t="s">
        <v>16</v>
      </c>
      <c r="M177" s="10426"/>
      <c r="N177" s="10427"/>
      <c r="O177" s="10428"/>
      <c r="P177" s="10429" t="s">
        <v>47</v>
      </c>
      <c r="Q177" s="10430">
        <f>TODAY()-j177</f>
      </c>
      <c r="R177" s="10431">
        <f>VLOOKUP(A177,'Last Week'!A4:I385,7,FALSE)</f>
      </c>
    </row>
    <row r="178" ht="25.5" customHeight="true">
      <c r="A178" s="10432" t="s">
        <v>466</v>
      </c>
      <c r="B178" s="10433" t="s">
        <v>467</v>
      </c>
      <c r="C178" s="10434"/>
      <c r="D178" s="10435" t="s">
        <v>468</v>
      </c>
      <c r="E178" s="10436" t="s">
        <v>134</v>
      </c>
      <c r="F178" s="10437"/>
      <c r="G178" s="10438" t="s">
        <v>15</v>
      </c>
      <c r="H178" s="10439" t="n">
        <v>43000.76095809028</v>
      </c>
      <c r="I178" s="10440" t="n">
        <v>43000.76095809028</v>
      </c>
      <c r="J178" s="10441" t="n">
        <v>42997.97329515046</v>
      </c>
      <c r="K178" s="10442" t="n">
        <v>42997.97329515046</v>
      </c>
      <c r="L178" s="10443" t="s">
        <v>16</v>
      </c>
      <c r="M178" s="10444"/>
      <c r="N178" s="10445"/>
      <c r="O178" s="10446"/>
      <c r="P178" s="10447" t="s">
        <v>47</v>
      </c>
      <c r="Q178" s="10448">
        <f>TODAY()-j178</f>
      </c>
      <c r="R178" s="10449">
        <f>VLOOKUP(A178,'Last Week'!A4:I385,7,FALSE)</f>
      </c>
    </row>
    <row r="179" ht="25.5" customHeight="true">
      <c r="A179" s="10450" t="s">
        <v>469</v>
      </c>
      <c r="B179" s="10451" t="s">
        <v>470</v>
      </c>
      <c r="C179" s="10452"/>
      <c r="D179" s="10453" t="s">
        <v>471</v>
      </c>
      <c r="E179" s="10454" t="s">
        <v>471</v>
      </c>
      <c r="F179" s="10455"/>
      <c r="G179" s="10456" t="s">
        <v>15</v>
      </c>
      <c r="H179" s="10457" t="n">
        <v>43002.70866837963</v>
      </c>
      <c r="I179" s="10458" t="n">
        <v>43002.70866837963</v>
      </c>
      <c r="J179" s="10459" t="n">
        <v>42998.69501119213</v>
      </c>
      <c r="K179" s="10460" t="n">
        <v>42998.69501119213</v>
      </c>
      <c r="L179" s="10461" t="s">
        <v>16</v>
      </c>
      <c r="M179" s="10462"/>
      <c r="N179" s="10463"/>
      <c r="O179" s="10464"/>
      <c r="P179" s="10465" t="s">
        <v>47</v>
      </c>
      <c r="Q179" s="10466">
        <f>TODAY()-j179</f>
      </c>
      <c r="R179" s="10467">
        <f>VLOOKUP(A179,'Last Week'!A4:I385,7,FALSE)</f>
      </c>
    </row>
    <row r="180" ht="25.5" customHeight="true">
      <c r="A180" s="10468" t="s">
        <v>472</v>
      </c>
      <c r="B180" s="10469" t="s">
        <v>473</v>
      </c>
      <c r="C180" s="10470"/>
      <c r="D180" s="10471" t="s">
        <v>474</v>
      </c>
      <c r="E180" s="10472" t="s">
        <v>21</v>
      </c>
      <c r="F180" s="10473"/>
      <c r="G180" s="10474" t="s">
        <v>15</v>
      </c>
      <c r="H180" s="10475" t="n">
        <v>43026.53207180556</v>
      </c>
      <c r="I180" s="10476" t="n">
        <v>43026.53207180556</v>
      </c>
      <c r="J180" s="10477" t="n">
        <v>42999.42889780093</v>
      </c>
      <c r="K180" s="10478" t="n">
        <v>42999.42889780093</v>
      </c>
      <c r="L180" s="10479" t="s">
        <v>16</v>
      </c>
      <c r="M180" s="10480"/>
      <c r="N180" s="10481"/>
      <c r="O180" s="10482"/>
      <c r="P180" s="10483" t="s">
        <v>47</v>
      </c>
      <c r="Q180" s="10484">
        <f>TODAY()-j180</f>
      </c>
      <c r="R180" s="10485">
        <f>VLOOKUP(A180,'Last Week'!A4:I385,7,FALSE)</f>
      </c>
    </row>
    <row r="181" ht="25.5" customHeight="true">
      <c r="A181" s="10486" t="s">
        <v>475</v>
      </c>
      <c r="B181" s="10487" t="s">
        <v>476</v>
      </c>
      <c r="C181" s="10488"/>
      <c r="D181" s="10489" t="s">
        <v>477</v>
      </c>
      <c r="E181" s="10490" t="s">
        <v>38</v>
      </c>
      <c r="F181" s="10491"/>
      <c r="G181" s="10492" t="s">
        <v>15</v>
      </c>
      <c r="H181" s="10493" t="n">
        <v>43002.755252546296</v>
      </c>
      <c r="I181" s="10494" t="n">
        <v>43002.755252546296</v>
      </c>
      <c r="J181" s="10495" t="n">
        <v>42999.48115601852</v>
      </c>
      <c r="K181" s="10496" t="n">
        <v>42999.48115601852</v>
      </c>
      <c r="L181" s="10497" t="s">
        <v>16</v>
      </c>
      <c r="M181" s="10498"/>
      <c r="N181" s="10499"/>
      <c r="O181" s="10500"/>
      <c r="P181" s="10501" t="s">
        <v>47</v>
      </c>
      <c r="Q181" s="10502">
        <f>TODAY()-j181</f>
      </c>
      <c r="R181" s="10503">
        <f>VLOOKUP(A181,'Last Week'!A4:I385,7,FALSE)</f>
      </c>
    </row>
    <row r="182" ht="25.5" customHeight="true">
      <c r="A182" s="10504" t="s">
        <v>478</v>
      </c>
      <c r="B182" s="10505" t="s">
        <v>479</v>
      </c>
      <c r="C182" s="10506"/>
      <c r="D182" s="10507" t="s">
        <v>480</v>
      </c>
      <c r="E182" s="10508" t="s">
        <v>34</v>
      </c>
      <c r="F182" s="10509"/>
      <c r="G182" s="10510" t="s">
        <v>15</v>
      </c>
      <c r="H182" s="10511" t="n">
        <v>43008.35533373843</v>
      </c>
      <c r="I182" s="10512" t="n">
        <v>43008.35533373843</v>
      </c>
      <c r="J182" s="10513" t="n">
        <v>43000.585310069444</v>
      </c>
      <c r="K182" s="10514" t="n">
        <v>43000.585310069444</v>
      </c>
      <c r="L182" s="10515" t="s">
        <v>16</v>
      </c>
      <c r="M182" s="10516"/>
      <c r="N182" s="10517"/>
      <c r="O182" s="10518"/>
      <c r="P182" s="10519" t="s">
        <v>47</v>
      </c>
      <c r="Q182" s="10520">
        <f>TODAY()-j182</f>
      </c>
      <c r="R182" s="10521">
        <f>VLOOKUP(A182,'Last Week'!A4:I385,7,FALSE)</f>
      </c>
    </row>
    <row r="183" ht="25.5" customHeight="true">
      <c r="A183" s="10522" t="s">
        <v>481</v>
      </c>
      <c r="B183" s="10523" t="s">
        <v>482</v>
      </c>
      <c r="C183" s="10524"/>
      <c r="D183" s="10525" t="s">
        <v>483</v>
      </c>
      <c r="E183" s="10526" t="s">
        <v>73</v>
      </c>
      <c r="F183" s="10527"/>
      <c r="G183" s="10528" t="s">
        <v>15</v>
      </c>
      <c r="H183" s="10529" t="n">
        <v>43005.08535440972</v>
      </c>
      <c r="I183" s="10530" t="n">
        <v>43005.08535440972</v>
      </c>
      <c r="J183" s="10531" t="n">
        <v>43003.47684466435</v>
      </c>
      <c r="K183" s="10532" t="n">
        <v>43003.47684466435</v>
      </c>
      <c r="L183" s="10533" t="s">
        <v>16</v>
      </c>
      <c r="M183" s="10534"/>
      <c r="N183" s="10535"/>
      <c r="O183" s="10536"/>
      <c r="P183" s="10537" t="s">
        <v>59</v>
      </c>
      <c r="Q183" s="10538">
        <f>TODAY()-j183</f>
      </c>
      <c r="R183" s="10539">
        <f>VLOOKUP(A183,'Last Week'!A4:I385,7,FALSE)</f>
      </c>
    </row>
    <row r="184" ht="25.5" customHeight="true">
      <c r="A184" s="10540" t="s">
        <v>484</v>
      </c>
      <c r="B184" s="10541" t="s">
        <v>485</v>
      </c>
      <c r="C184" s="10542"/>
      <c r="D184" s="10543" t="s">
        <v>477</v>
      </c>
      <c r="E184" s="10544" t="s">
        <v>216</v>
      </c>
      <c r="F184" s="10545"/>
      <c r="G184" s="10546" t="s">
        <v>15</v>
      </c>
      <c r="H184" s="10547" t="n">
        <v>43004.73478157407</v>
      </c>
      <c r="I184" s="10548" t="n">
        <v>43004.73478157407</v>
      </c>
      <c r="J184" s="10549" t="n">
        <v>43003.49827050926</v>
      </c>
      <c r="K184" s="10550" t="n">
        <v>43003.49827050926</v>
      </c>
      <c r="L184" s="10551" t="s">
        <v>16</v>
      </c>
      <c r="M184" s="10552"/>
      <c r="N184" s="10553"/>
      <c r="O184" s="10554"/>
      <c r="P184" s="10555" t="s">
        <v>47</v>
      </c>
      <c r="Q184" s="10556">
        <f>TODAY()-j184</f>
      </c>
      <c r="R184" s="10557">
        <f>VLOOKUP(A184,'Last Week'!A4:I385,7,FALSE)</f>
      </c>
    </row>
    <row r="185" ht="25.5" customHeight="true">
      <c r="A185" s="10558" t="s">
        <v>486</v>
      </c>
      <c r="B185" s="10559" t="s">
        <v>487</v>
      </c>
      <c r="C185" s="10560"/>
      <c r="D185" s="10561" t="s">
        <v>488</v>
      </c>
      <c r="E185" s="10562" t="s">
        <v>116</v>
      </c>
      <c r="F185" s="10563"/>
      <c r="G185" s="10564" t="s">
        <v>15</v>
      </c>
      <c r="H185" s="10565" t="n">
        <v>43005.4515341088</v>
      </c>
      <c r="I185" s="10566" t="n">
        <v>43005.4515341088</v>
      </c>
      <c r="J185" s="10567" t="n">
        <v>43004.40765303241</v>
      </c>
      <c r="K185" s="10568" t="n">
        <v>43004.40765303241</v>
      </c>
      <c r="L185" s="10569" t="s">
        <v>16</v>
      </c>
      <c r="M185" s="10570"/>
      <c r="N185" s="10571"/>
      <c r="O185" s="10572"/>
      <c r="P185" s="10573" t="s">
        <v>47</v>
      </c>
      <c r="Q185" s="10574">
        <f>TODAY()-j185</f>
      </c>
      <c r="R185" s="10575">
        <f>VLOOKUP(A185,'Last Week'!A4:I385,7,FALSE)</f>
      </c>
    </row>
    <row r="186" ht="25.5" customHeight="true">
      <c r="A186" s="10576" t="s">
        <v>489</v>
      </c>
      <c r="B186" s="10577" t="s">
        <v>490</v>
      </c>
      <c r="C186" s="10578"/>
      <c r="D186" s="10579" t="s">
        <v>62</v>
      </c>
      <c r="E186" s="10580" t="s">
        <v>29</v>
      </c>
      <c r="F186" s="10581"/>
      <c r="G186" s="10582" t="s">
        <v>15</v>
      </c>
      <c r="H186" s="10583" t="n">
        <v>43007.12536096065</v>
      </c>
      <c r="I186" s="10584" t="n">
        <v>43007.12536096065</v>
      </c>
      <c r="J186" s="10585" t="n">
        <v>43004.983800601854</v>
      </c>
      <c r="K186" s="10586" t="n">
        <v>43004.983800601854</v>
      </c>
      <c r="L186" s="10587" t="s">
        <v>16</v>
      </c>
      <c r="M186" s="10588"/>
      <c r="N186" s="10589"/>
      <c r="O186" s="10590"/>
      <c r="P186" s="10591" t="s">
        <v>17</v>
      </c>
      <c r="Q186" s="10592">
        <f>TODAY()-j186</f>
      </c>
      <c r="R186" s="10593">
        <f>VLOOKUP(A186,'Last Week'!A4:I385,7,FALSE)</f>
      </c>
    </row>
    <row r="187" ht="25.5" customHeight="true">
      <c r="A187" s="10594" t="s">
        <v>491</v>
      </c>
      <c r="B187" s="10595" t="s">
        <v>492</v>
      </c>
      <c r="C187" s="10596"/>
      <c r="D187" s="10597" t="s">
        <v>493</v>
      </c>
      <c r="E187" s="10598" t="s">
        <v>73</v>
      </c>
      <c r="F187" s="10599"/>
      <c r="G187" s="10600" t="s">
        <v>15</v>
      </c>
      <c r="H187" s="10601" t="n">
        <v>43010.390066608794</v>
      </c>
      <c r="I187" s="10602" t="n">
        <v>43010.390066608794</v>
      </c>
      <c r="J187" s="10603" t="n">
        <v>43005.70845010417</v>
      </c>
      <c r="K187" s="10604" t="n">
        <v>43005.70845010417</v>
      </c>
      <c r="L187" s="10605" t="s">
        <v>16</v>
      </c>
      <c r="M187" s="10606"/>
      <c r="N187" s="10607"/>
      <c r="O187" s="10608"/>
      <c r="P187" s="10609" t="s">
        <v>47</v>
      </c>
      <c r="Q187" s="10610">
        <f>TODAY()-j187</f>
      </c>
      <c r="R187" s="10611">
        <f>VLOOKUP(A187,'Last Week'!A4:I385,7,FALSE)</f>
      </c>
    </row>
    <row r="188" ht="25.5" customHeight="true">
      <c r="A188" s="10612" t="s">
        <v>494</v>
      </c>
      <c r="B188" s="10613" t="s">
        <v>297</v>
      </c>
      <c r="C188" s="10614"/>
      <c r="D188" s="10615" t="s">
        <v>495</v>
      </c>
      <c r="E188" s="10616" t="s">
        <v>82</v>
      </c>
      <c r="F188" s="10617"/>
      <c r="G188" s="10618" t="s">
        <v>15</v>
      </c>
      <c r="H188" s="10619" t="n">
        <v>43008.08501621528</v>
      </c>
      <c r="I188" s="10620" t="n">
        <v>43008.08501621528</v>
      </c>
      <c r="J188" s="10621" t="n">
        <v>43005.7259953125</v>
      </c>
      <c r="K188" s="10622" t="n">
        <v>43005.7259953125</v>
      </c>
      <c r="L188" s="10623" t="s">
        <v>16</v>
      </c>
      <c r="M188" s="10624"/>
      <c r="N188" s="10625"/>
      <c r="O188" s="10626"/>
      <c r="P188" s="10627" t="s">
        <v>59</v>
      </c>
      <c r="Q188" s="10628">
        <f>TODAY()-j188</f>
      </c>
      <c r="R188" s="10629">
        <f>VLOOKUP(A188,'Last Week'!A4:I385,7,FALSE)</f>
      </c>
    </row>
    <row r="189" ht="25.5" customHeight="true">
      <c r="A189" s="10630" t="s">
        <v>496</v>
      </c>
      <c r="B189" s="10631" t="s">
        <v>311</v>
      </c>
      <c r="C189" s="10632"/>
      <c r="D189" s="10633" t="s">
        <v>55</v>
      </c>
      <c r="E189" s="10634" t="s">
        <v>29</v>
      </c>
      <c r="F189" s="10635"/>
      <c r="G189" s="10636" t="s">
        <v>15</v>
      </c>
      <c r="H189" s="10637" t="n">
        <v>43013.08500988426</v>
      </c>
      <c r="I189" s="10638" t="n">
        <v>43013.08500988426</v>
      </c>
      <c r="J189" s="10639" t="n">
        <v>43010.87063508102</v>
      </c>
      <c r="K189" s="10640" t="n">
        <v>43010.87063508102</v>
      </c>
      <c r="L189" s="10641" t="s">
        <v>16</v>
      </c>
      <c r="M189" s="10642"/>
      <c r="N189" s="10643"/>
      <c r="O189" s="10644"/>
      <c r="P189" s="10645" t="s">
        <v>17</v>
      </c>
      <c r="Q189" s="10646">
        <f>TODAY()-j189</f>
      </c>
      <c r="R189" s="10647">
        <f>VLOOKUP(A189,'Last Week'!A4:I385,7,FALSE)</f>
      </c>
    </row>
    <row r="190" ht="25.5" customHeight="true">
      <c r="A190" s="10648" t="s">
        <v>497</v>
      </c>
      <c r="B190" s="10649" t="s">
        <v>498</v>
      </c>
      <c r="C190" s="10650"/>
      <c r="D190" s="10651" t="s">
        <v>55</v>
      </c>
      <c r="E190" s="10652" t="s">
        <v>82</v>
      </c>
      <c r="F190" s="10653"/>
      <c r="G190" s="10654" t="s">
        <v>15</v>
      </c>
      <c r="H190" s="10655" t="n">
        <v>43015.75038704861</v>
      </c>
      <c r="I190" s="10656" t="n">
        <v>43015.75038704861</v>
      </c>
      <c r="J190" s="10657" t="n">
        <v>43011.40428195602</v>
      </c>
      <c r="K190" s="10658" t="n">
        <v>43011.40428195602</v>
      </c>
      <c r="L190" s="10659" t="s">
        <v>16</v>
      </c>
      <c r="M190" s="10660"/>
      <c r="N190" s="10661"/>
      <c r="O190" s="10662"/>
      <c r="P190" s="10663" t="s">
        <v>59</v>
      </c>
      <c r="Q190" s="10664">
        <f>TODAY()-j190</f>
      </c>
      <c r="R190" s="10665">
        <f>VLOOKUP(A190,'Last Week'!A4:I385,7,FALSE)</f>
      </c>
    </row>
    <row r="191" ht="25.5" customHeight="true">
      <c r="A191" s="10666" t="s">
        <v>499</v>
      </c>
      <c r="B191" s="10667" t="s">
        <v>500</v>
      </c>
      <c r="C191" s="10668"/>
      <c r="D191" s="10669" t="s">
        <v>501</v>
      </c>
      <c r="E191" s="10670" t="s">
        <v>34</v>
      </c>
      <c r="F191" s="10671"/>
      <c r="G191" s="10672" t="s">
        <v>15</v>
      </c>
      <c r="H191" s="10673" t="n">
        <v>43011.73668725695</v>
      </c>
      <c r="I191" s="10674" t="n">
        <v>43011.73668725695</v>
      </c>
      <c r="J191" s="10675" t="n">
        <v>43011.41716175926</v>
      </c>
      <c r="K191" s="10676" t="n">
        <v>43011.41716175926</v>
      </c>
      <c r="L191" s="10677" t="s">
        <v>16</v>
      </c>
      <c r="M191" s="10678"/>
      <c r="N191" s="10679"/>
      <c r="O191" s="10680"/>
      <c r="P191" s="10681" t="s">
        <v>59</v>
      </c>
      <c r="Q191" s="10682">
        <f>TODAY()-j191</f>
      </c>
      <c r="R191" s="10683">
        <f>VLOOKUP(A191,'Last Week'!A4:I385,7,FALSE)</f>
      </c>
    </row>
    <row r="192" ht="25.5" customHeight="true">
      <c r="A192" s="10684" t="s">
        <v>502</v>
      </c>
      <c r="B192" s="10685" t="s">
        <v>301</v>
      </c>
      <c r="C192" s="10686"/>
      <c r="D192" s="10687" t="s">
        <v>126</v>
      </c>
      <c r="E192" s="10688" t="s">
        <v>127</v>
      </c>
      <c r="F192" s="10689"/>
      <c r="G192" s="10690" t="s">
        <v>15</v>
      </c>
      <c r="H192" s="10691" t="n">
        <v>43013.333776782405</v>
      </c>
      <c r="I192" s="10692" t="n">
        <v>43013.333776782405</v>
      </c>
      <c r="J192" s="10693" t="n">
        <v>43011.65935212963</v>
      </c>
      <c r="K192" s="10694" t="n">
        <v>43011.65935212963</v>
      </c>
      <c r="L192" s="10695" t="s">
        <v>16</v>
      </c>
      <c r="M192" s="10696"/>
      <c r="N192" s="10697"/>
      <c r="O192" s="10698"/>
      <c r="P192" s="10699" t="s">
        <v>17</v>
      </c>
      <c r="Q192" s="10700">
        <f>TODAY()-j192</f>
      </c>
      <c r="R192" s="10701">
        <f>VLOOKUP(A192,'Last Week'!A4:I385,7,FALSE)</f>
      </c>
    </row>
    <row r="193" ht="25.5" customHeight="true">
      <c r="A193" s="10702" t="s">
        <v>503</v>
      </c>
      <c r="B193" s="10703" t="s">
        <v>428</v>
      </c>
      <c r="C193" s="10704"/>
      <c r="D193" s="10705" t="s">
        <v>141</v>
      </c>
      <c r="E193" s="10706" t="s">
        <v>29</v>
      </c>
      <c r="F193" s="10707"/>
      <c r="G193" s="10708" t="s">
        <v>15</v>
      </c>
      <c r="H193" s="10709" t="n">
        <v>43015.085207372686</v>
      </c>
      <c r="I193" s="10710" t="n">
        <v>43015.085207372686</v>
      </c>
      <c r="J193" s="10711" t="n">
        <v>43012.84986155092</v>
      </c>
      <c r="K193" s="10712" t="n">
        <v>43012.84986155092</v>
      </c>
      <c r="L193" s="10713" t="s">
        <v>16</v>
      </c>
      <c r="M193" s="10714"/>
      <c r="N193" s="10715"/>
      <c r="O193" s="10716"/>
      <c r="P193" s="10717" t="s">
        <v>17</v>
      </c>
      <c r="Q193" s="10718">
        <f>TODAY()-j193</f>
      </c>
      <c r="R193" s="10719">
        <f>VLOOKUP(A193,'Last Week'!A4:I385,7,FALSE)</f>
      </c>
    </row>
    <row r="194" ht="25.5" customHeight="true">
      <c r="A194" s="10720" t="s">
        <v>504</v>
      </c>
      <c r="B194" s="10721" t="s">
        <v>505</v>
      </c>
      <c r="C194" s="10722"/>
      <c r="D194" s="10723" t="s">
        <v>506</v>
      </c>
      <c r="E194" s="10724" t="s">
        <v>29</v>
      </c>
      <c r="F194" s="10725"/>
      <c r="G194" s="10726" t="s">
        <v>15</v>
      </c>
      <c r="H194" s="10727" t="n">
        <v>43016.75356866898</v>
      </c>
      <c r="I194" s="10728" t="n">
        <v>43016.75356866898</v>
      </c>
      <c r="J194" s="10729" t="n">
        <v>43012.935288657405</v>
      </c>
      <c r="K194" s="10730" t="n">
        <v>43012.935288657405</v>
      </c>
      <c r="L194" s="10731" t="s">
        <v>16</v>
      </c>
      <c r="M194" s="10732"/>
      <c r="N194" s="10733"/>
      <c r="O194" s="10734"/>
      <c r="P194" s="10735" t="s">
        <v>17</v>
      </c>
      <c r="Q194" s="10736">
        <f>TODAY()-j194</f>
      </c>
      <c r="R194" s="10737">
        <f>VLOOKUP(A194,'Last Week'!A4:I385,7,FALSE)</f>
      </c>
    </row>
    <row r="195" ht="25.5" customHeight="true">
      <c r="A195" s="10738" t="s">
        <v>507</v>
      </c>
      <c r="B195" s="10739" t="s">
        <v>479</v>
      </c>
      <c r="C195" s="10740"/>
      <c r="D195" s="10741" t="s">
        <v>480</v>
      </c>
      <c r="E195" s="10742" t="s">
        <v>242</v>
      </c>
      <c r="F195" s="10743"/>
      <c r="G195" s="10744" t="s">
        <v>15</v>
      </c>
      <c r="H195" s="10745" t="n">
        <v>43045.38898185185</v>
      </c>
      <c r="I195" s="10746" t="n">
        <v>43045.38898185185</v>
      </c>
      <c r="J195" s="10747" t="n">
        <v>43014.40065863426</v>
      </c>
      <c r="K195" s="10748" t="n">
        <v>43014.40065863426</v>
      </c>
      <c r="L195" s="10749" t="s">
        <v>16</v>
      </c>
      <c r="M195" s="10750"/>
      <c r="N195" s="10751"/>
      <c r="O195" s="10752"/>
      <c r="P195" s="10753" t="s">
        <v>47</v>
      </c>
      <c r="Q195" s="10754">
        <f>TODAY()-j195</f>
      </c>
      <c r="R195" s="10755">
        <f>VLOOKUP(A195,'Last Week'!A4:I385,7,FALSE)</f>
      </c>
    </row>
    <row r="196" ht="25.5" customHeight="true">
      <c r="A196" s="10756" t="s">
        <v>508</v>
      </c>
      <c r="B196" s="10757" t="s">
        <v>509</v>
      </c>
      <c r="C196" s="10758"/>
      <c r="D196" s="10759" t="s">
        <v>155</v>
      </c>
      <c r="E196" s="10760" t="s">
        <v>56</v>
      </c>
      <c r="F196" s="10761"/>
      <c r="G196" s="10762" t="s">
        <v>15</v>
      </c>
      <c r="H196" s="10763" t="n">
        <v>43019.08544570602</v>
      </c>
      <c r="I196" s="10764" t="n">
        <v>43019.08544570602</v>
      </c>
      <c r="J196" s="10765" t="n">
        <v>43014.46465851852</v>
      </c>
      <c r="K196" s="10766" t="n">
        <v>43014.46465851852</v>
      </c>
      <c r="L196" s="10767" t="s">
        <v>16</v>
      </c>
      <c r="M196" s="10768"/>
      <c r="N196" s="10769"/>
      <c r="O196" s="10770"/>
      <c r="P196" s="10771" t="s">
        <v>47</v>
      </c>
      <c r="Q196" s="10772">
        <f>TODAY()-j196</f>
      </c>
      <c r="R196" s="10773">
        <f>VLOOKUP(A196,'Last Week'!A4:I385,7,FALSE)</f>
      </c>
    </row>
    <row r="197" ht="25.5" customHeight="true">
      <c r="A197" s="10774" t="s">
        <v>510</v>
      </c>
      <c r="B197" s="10775" t="s">
        <v>511</v>
      </c>
      <c r="C197" s="10776"/>
      <c r="D197" s="10777" t="s">
        <v>512</v>
      </c>
      <c r="E197" s="10778" t="s">
        <v>73</v>
      </c>
      <c r="F197" s="10779"/>
      <c r="G197" s="10780" t="s">
        <v>15</v>
      </c>
      <c r="H197" s="10781" t="n">
        <v>43017.69786056713</v>
      </c>
      <c r="I197" s="10782" t="n">
        <v>43017.69786056713</v>
      </c>
      <c r="J197" s="10783" t="n">
        <v>43017.40563530093</v>
      </c>
      <c r="K197" s="10784" t="n">
        <v>43017.40563530093</v>
      </c>
      <c r="L197" s="10785" t="s">
        <v>16</v>
      </c>
      <c r="M197" s="10786"/>
      <c r="N197" s="10787"/>
      <c r="O197" s="10788"/>
      <c r="P197" s="10789" t="s">
        <v>47</v>
      </c>
      <c r="Q197" s="10790">
        <f>TODAY()-j197</f>
      </c>
      <c r="R197" s="10791">
        <f>VLOOKUP(A197,'Last Week'!A4:I385,7,FALSE)</f>
      </c>
    </row>
    <row r="198" ht="25.5" customHeight="true">
      <c r="A198" s="10792" t="s">
        <v>513</v>
      </c>
      <c r="B198" s="10793" t="s">
        <v>514</v>
      </c>
      <c r="C198" s="10794"/>
      <c r="D198" s="10795" t="s">
        <v>515</v>
      </c>
      <c r="E198" s="10796" t="s">
        <v>138</v>
      </c>
      <c r="F198" s="10797"/>
      <c r="G198" s="10798" t="s">
        <v>15</v>
      </c>
      <c r="H198" s="10799" t="n">
        <v>43021.08472392361</v>
      </c>
      <c r="I198" s="10800" t="n">
        <v>43021.08472392361</v>
      </c>
      <c r="J198" s="10801" t="n">
        <v>43017.551362488426</v>
      </c>
      <c r="K198" s="10802" t="n">
        <v>43017.551362488426</v>
      </c>
      <c r="L198" s="10803" t="s">
        <v>16</v>
      </c>
      <c r="M198" s="10804"/>
      <c r="N198" s="10805"/>
      <c r="O198" s="10806"/>
      <c r="P198" s="10807" t="s">
        <v>47</v>
      </c>
      <c r="Q198" s="10808">
        <f>TODAY()-j198</f>
      </c>
      <c r="R198" s="10809">
        <f>VLOOKUP(A198,'Last Week'!A4:I385,7,FALSE)</f>
      </c>
    </row>
    <row r="199" ht="25.5" customHeight="true">
      <c r="A199" s="10810" t="s">
        <v>516</v>
      </c>
      <c r="B199" s="10811" t="s">
        <v>517</v>
      </c>
      <c r="C199" s="10812"/>
      <c r="D199" s="10813" t="s">
        <v>518</v>
      </c>
      <c r="E199" s="10814" t="s">
        <v>34</v>
      </c>
      <c r="F199" s="10815"/>
      <c r="G199" s="10816" t="s">
        <v>15</v>
      </c>
      <c r="H199" s="10817" t="n">
        <v>43020.78164818287</v>
      </c>
      <c r="I199" s="10818" t="n">
        <v>43020.78164818287</v>
      </c>
      <c r="J199" s="10819" t="n">
        <v>43017.58108831019</v>
      </c>
      <c r="K199" s="10820" t="n">
        <v>43017.58108831019</v>
      </c>
      <c r="L199" s="10821" t="s">
        <v>16</v>
      </c>
      <c r="M199" s="10822"/>
      <c r="N199" s="10823"/>
      <c r="O199" s="10824"/>
      <c r="P199" s="10825" t="s">
        <v>47</v>
      </c>
      <c r="Q199" s="10826">
        <f>TODAY()-j199</f>
      </c>
      <c r="R199" s="10827">
        <f>VLOOKUP(A199,'Last Week'!A4:I385,7,FALSE)</f>
      </c>
    </row>
    <row r="200" ht="25.5" customHeight="true">
      <c r="A200" s="10828" t="s">
        <v>519</v>
      </c>
      <c r="B200" s="10829" t="s">
        <v>520</v>
      </c>
      <c r="C200" s="10830"/>
      <c r="D200" s="10831" t="s">
        <v>521</v>
      </c>
      <c r="E200" s="10832" t="s">
        <v>242</v>
      </c>
      <c r="F200" s="10833"/>
      <c r="G200" s="10834" t="s">
        <v>15</v>
      </c>
      <c r="H200" s="10835" t="n">
        <v>43018.519873958336</v>
      </c>
      <c r="I200" s="10836" t="n">
        <v>43018.519873958336</v>
      </c>
      <c r="J200" s="10837" t="n">
        <v>43017.66720336806</v>
      </c>
      <c r="K200" s="10838" t="n">
        <v>43017.66720336806</v>
      </c>
      <c r="L200" s="10839" t="s">
        <v>16</v>
      </c>
      <c r="M200" s="10840"/>
      <c r="N200" s="10841"/>
      <c r="O200" s="10842"/>
      <c r="P200" s="10843" t="s">
        <v>47</v>
      </c>
      <c r="Q200" s="10844">
        <f>TODAY()-j200</f>
      </c>
      <c r="R200" s="10845">
        <f>VLOOKUP(A200,'Last Week'!A4:I385,7,FALSE)</f>
      </c>
    </row>
    <row r="201" ht="25.5" customHeight="true">
      <c r="A201" s="10846" t="s">
        <v>522</v>
      </c>
      <c r="B201" s="10847" t="s">
        <v>523</v>
      </c>
      <c r="C201" s="10848"/>
      <c r="D201" s="10849" t="s">
        <v>241</v>
      </c>
      <c r="E201" s="10850" t="s">
        <v>241</v>
      </c>
      <c r="F201" s="10851"/>
      <c r="G201" s="10852" t="s">
        <v>15</v>
      </c>
      <c r="H201" s="10853" t="n">
        <v>43018.525972233794</v>
      </c>
      <c r="I201" s="10854" t="n">
        <v>43018.525972233794</v>
      </c>
      <c r="J201" s="10855" t="n">
        <v>43017.744004548615</v>
      </c>
      <c r="K201" s="10856" t="n">
        <v>43017.744004548615</v>
      </c>
      <c r="L201" s="10857" t="s">
        <v>16</v>
      </c>
      <c r="M201" s="10858"/>
      <c r="N201" s="10859"/>
      <c r="O201" s="10860"/>
      <c r="P201" s="10861" t="s">
        <v>59</v>
      </c>
      <c r="Q201" s="10862">
        <f>TODAY()-j201</f>
      </c>
      <c r="R201" s="10863">
        <f>VLOOKUP(A201,'Last Week'!A4:I385,7,FALSE)</f>
      </c>
    </row>
    <row r="202" ht="25.5" customHeight="true">
      <c r="A202" s="10864" t="s">
        <v>524</v>
      </c>
      <c r="B202" s="10865" t="s">
        <v>297</v>
      </c>
      <c r="C202" s="10866"/>
      <c r="D202" s="10867" t="s">
        <v>525</v>
      </c>
      <c r="E202" s="10868" t="s">
        <v>82</v>
      </c>
      <c r="F202" s="10869"/>
      <c r="G202" s="10870" t="s">
        <v>86</v>
      </c>
      <c r="H202" s="10871" t="n">
        <v>43020.50972771991</v>
      </c>
      <c r="I202" s="10872" t="n">
        <v>43020.50972771991</v>
      </c>
      <c r="J202" s="10873" t="n">
        <v>43018.636500671295</v>
      </c>
      <c r="K202" s="10874" t="n">
        <v>43018.636500671295</v>
      </c>
      <c r="L202" s="10875" t="s">
        <v>16</v>
      </c>
      <c r="M202" s="10876"/>
      <c r="N202" s="10877"/>
      <c r="O202" s="10878"/>
      <c r="P202" s="10879" t="s">
        <v>47</v>
      </c>
      <c r="Q202" s="10880">
        <f>TODAY()-j202</f>
      </c>
      <c r="R202" s="10881">
        <f>VLOOKUP(A202,'Last Week'!A4:I385,7,FALSE)</f>
      </c>
    </row>
    <row r="203" ht="25.5" customHeight="true">
      <c r="A203" s="10882" t="s">
        <v>526</v>
      </c>
      <c r="B203" s="10883" t="s">
        <v>297</v>
      </c>
      <c r="C203" s="10884"/>
      <c r="D203" s="10885" t="s">
        <v>525</v>
      </c>
      <c r="E203" s="10886" t="s">
        <v>82</v>
      </c>
      <c r="F203" s="10887"/>
      <c r="G203" s="10888" t="s">
        <v>15</v>
      </c>
      <c r="H203" s="10889" t="n">
        <v>43020.60283111111</v>
      </c>
      <c r="I203" s="10890" t="n">
        <v>43020.60283111111</v>
      </c>
      <c r="J203" s="10891" t="n">
        <v>43018.64215142361</v>
      </c>
      <c r="K203" s="10892" t="n">
        <v>43018.64215142361</v>
      </c>
      <c r="L203" s="10893" t="s">
        <v>16</v>
      </c>
      <c r="M203" s="10894"/>
      <c r="N203" s="10895"/>
      <c r="O203" s="10896"/>
      <c r="P203" s="10897" t="s">
        <v>17</v>
      </c>
      <c r="Q203" s="10898">
        <f>TODAY()-j203</f>
      </c>
      <c r="R203" s="10899">
        <f>VLOOKUP(A203,'Last Week'!A4:I385,7,FALSE)</f>
      </c>
    </row>
    <row r="204" ht="25.5" customHeight="true">
      <c r="A204" s="10900" t="s">
        <v>527</v>
      </c>
      <c r="B204" s="10901" t="s">
        <v>528</v>
      </c>
      <c r="C204" s="10902"/>
      <c r="D204" s="10903" t="s">
        <v>529</v>
      </c>
      <c r="E204" s="10904" t="s">
        <v>82</v>
      </c>
      <c r="F204" s="10905"/>
      <c r="G204" s="10906" t="s">
        <v>15</v>
      </c>
      <c r="H204" s="10907" t="n">
        <v>43021.38966850694</v>
      </c>
      <c r="I204" s="10908" t="n">
        <v>43021.38966850694</v>
      </c>
      <c r="J204" s="10909" t="n">
        <v>43019.68682387732</v>
      </c>
      <c r="K204" s="10910" t="n">
        <v>43019.68682387732</v>
      </c>
      <c r="L204" s="10911" t="s">
        <v>16</v>
      </c>
      <c r="M204" s="10912"/>
      <c r="N204" s="10913"/>
      <c r="O204" s="10914"/>
      <c r="P204" s="10915" t="s">
        <v>47</v>
      </c>
      <c r="Q204" s="10916">
        <f>TODAY()-j204</f>
      </c>
      <c r="R204" s="10917">
        <f>VLOOKUP(A204,'Last Week'!A4:I385,7,FALSE)</f>
      </c>
    </row>
    <row r="205" ht="25.5" customHeight="true">
      <c r="A205" s="10918" t="s">
        <v>530</v>
      </c>
      <c r="B205" s="10919" t="s">
        <v>531</v>
      </c>
      <c r="C205" s="10920"/>
      <c r="D205" s="10921" t="s">
        <v>393</v>
      </c>
      <c r="E205" s="10922" t="s">
        <v>56</v>
      </c>
      <c r="F205" s="10923"/>
      <c r="G205" s="10924" t="s">
        <v>15</v>
      </c>
      <c r="H205" s="10925" t="n">
        <v>43028.39528679398</v>
      </c>
      <c r="I205" s="10926" t="n">
        <v>43028.39528679398</v>
      </c>
      <c r="J205" s="10927" t="n">
        <v>43020.54945770833</v>
      </c>
      <c r="K205" s="10928" t="n">
        <v>43020.54945770833</v>
      </c>
      <c r="L205" s="10929" t="s">
        <v>16</v>
      </c>
      <c r="M205" s="10930"/>
      <c r="N205" s="10931"/>
      <c r="O205" s="10932"/>
      <c r="P205" s="10933" t="s">
        <v>17</v>
      </c>
      <c r="Q205" s="10934">
        <f>TODAY()-j205</f>
      </c>
      <c r="R205" s="10935">
        <f>VLOOKUP(A205,'Last Week'!A4:I385,7,FALSE)</f>
      </c>
    </row>
    <row r="206" ht="25.5" customHeight="true">
      <c r="A206" s="10936" t="s">
        <v>532</v>
      </c>
      <c r="B206" s="10937" t="s">
        <v>533</v>
      </c>
      <c r="C206" s="10938"/>
      <c r="D206" s="10939" t="s">
        <v>462</v>
      </c>
      <c r="E206" s="10940" t="s">
        <v>29</v>
      </c>
      <c r="F206" s="10941"/>
      <c r="G206" s="10942" t="s">
        <v>15</v>
      </c>
      <c r="H206" s="10943" t="n">
        <v>43024.70767231481</v>
      </c>
      <c r="I206" s="10944" t="n">
        <v>43024.70767231481</v>
      </c>
      <c r="J206" s="10945" t="n">
        <v>43020.871630775466</v>
      </c>
      <c r="K206" s="10946" t="n">
        <v>43020.871630775466</v>
      </c>
      <c r="L206" s="10947" t="s">
        <v>16</v>
      </c>
      <c r="M206" s="10948"/>
      <c r="N206" s="10949"/>
      <c r="O206" s="10950"/>
      <c r="P206" s="10951" t="s">
        <v>17</v>
      </c>
      <c r="Q206" s="10952">
        <f>TODAY()-j206</f>
      </c>
      <c r="R206" s="10953">
        <f>VLOOKUP(A206,'Last Week'!A4:I385,7,FALSE)</f>
      </c>
    </row>
    <row r="207" ht="25.5" customHeight="true">
      <c r="A207" s="10954" t="s">
        <v>534</v>
      </c>
      <c r="B207" s="10955" t="s">
        <v>535</v>
      </c>
      <c r="C207" s="10956"/>
      <c r="D207" s="10957" t="s">
        <v>62</v>
      </c>
      <c r="E207" s="10958" t="s">
        <v>29</v>
      </c>
      <c r="F207" s="10959"/>
      <c r="G207" s="10960" t="s">
        <v>15</v>
      </c>
      <c r="H207" s="10961" t="n">
        <v>43023.75044150463</v>
      </c>
      <c r="I207" s="10962" t="n">
        <v>43023.75044150463</v>
      </c>
      <c r="J207" s="10963" t="n">
        <v>43020.90459211806</v>
      </c>
      <c r="K207" s="10964" t="n">
        <v>43020.90459211806</v>
      </c>
      <c r="L207" s="10965" t="s">
        <v>16</v>
      </c>
      <c r="M207" s="10966"/>
      <c r="N207" s="10967"/>
      <c r="O207" s="10968"/>
      <c r="P207" s="10969" t="s">
        <v>17</v>
      </c>
      <c r="Q207" s="10970">
        <f>TODAY()-j207</f>
      </c>
      <c r="R207" s="10971">
        <f>VLOOKUP(A207,'Last Week'!A4:I385,7,FALSE)</f>
      </c>
    </row>
    <row r="208" ht="25.5" customHeight="true">
      <c r="A208" s="10972" t="s">
        <v>536</v>
      </c>
      <c r="B208" s="10973" t="s">
        <v>537</v>
      </c>
      <c r="C208" s="10974"/>
      <c r="D208" s="10975" t="s">
        <v>538</v>
      </c>
      <c r="E208" s="10976" t="s">
        <v>42</v>
      </c>
      <c r="F208" s="10977"/>
      <c r="G208" s="10978" t="s">
        <v>15</v>
      </c>
      <c r="H208" s="10979" t="n">
        <v>43026.619232523146</v>
      </c>
      <c r="I208" s="10980" t="n">
        <v>43026.619232523146</v>
      </c>
      <c r="J208" s="10981" t="n">
        <v>43024.703034479164</v>
      </c>
      <c r="K208" s="10982" t="n">
        <v>43024.703034479164</v>
      </c>
      <c r="L208" s="10983" t="s">
        <v>16</v>
      </c>
      <c r="M208" s="10984"/>
      <c r="N208" s="10985"/>
      <c r="O208" s="10986"/>
      <c r="P208" s="10987" t="s">
        <v>47</v>
      </c>
      <c r="Q208" s="10988">
        <f>TODAY()-j208</f>
      </c>
      <c r="R208" s="10989">
        <f>VLOOKUP(A208,'Last Week'!A4:I385,7,FALSE)</f>
      </c>
    </row>
    <row r="209" ht="25.5" customHeight="true">
      <c r="A209" s="10990" t="s">
        <v>539</v>
      </c>
      <c r="B209" s="10991" t="s">
        <v>540</v>
      </c>
      <c r="C209" s="10992"/>
      <c r="D209" s="10993" t="s">
        <v>541</v>
      </c>
      <c r="E209" s="10994" t="s">
        <v>73</v>
      </c>
      <c r="F209" s="10995"/>
      <c r="G209" s="10996" t="s">
        <v>15</v>
      </c>
      <c r="H209" s="10997" t="n">
        <v>43030.87545180556</v>
      </c>
      <c r="I209" s="10998" t="n">
        <v>43030.87545180556</v>
      </c>
      <c r="J209" s="10999" t="n">
        <v>43025.45844837963</v>
      </c>
      <c r="K209" s="11000" t="n">
        <v>43025.45844837963</v>
      </c>
      <c r="L209" s="11001" t="s">
        <v>16</v>
      </c>
      <c r="M209" s="11002"/>
      <c r="N209" s="11003"/>
      <c r="O209" s="11004"/>
      <c r="P209" s="11005" t="s">
        <v>47</v>
      </c>
      <c r="Q209" s="11006">
        <f>TODAY()-j209</f>
      </c>
      <c r="R209" s="11007">
        <f>VLOOKUP(A209,'Last Week'!A4:I385,7,FALSE)</f>
      </c>
    </row>
    <row r="210" ht="25.5" customHeight="true">
      <c r="A210" s="11008" t="s">
        <v>542</v>
      </c>
      <c r="B210" s="11009" t="s">
        <v>543</v>
      </c>
      <c r="C210" s="11010"/>
      <c r="D210" s="11011" t="s">
        <v>155</v>
      </c>
      <c r="E210" s="11012" t="s">
        <v>82</v>
      </c>
      <c r="F210" s="11013"/>
      <c r="G210" s="11014" t="s">
        <v>15</v>
      </c>
      <c r="H210" s="11015" t="n">
        <v>43029.08484550926</v>
      </c>
      <c r="I210" s="11016" t="n">
        <v>43029.08484550926</v>
      </c>
      <c r="J210" s="11017" t="n">
        <v>43025.68305164352</v>
      </c>
      <c r="K210" s="11018" t="n">
        <v>43025.68305164352</v>
      </c>
      <c r="L210" s="11019" t="s">
        <v>16</v>
      </c>
      <c r="M210" s="11020"/>
      <c r="N210" s="11021"/>
      <c r="O210" s="11022"/>
      <c r="P210" s="11023" t="s">
        <v>47</v>
      </c>
      <c r="Q210" s="11024">
        <f>TODAY()-j210</f>
      </c>
      <c r="R210" s="11025">
        <f>VLOOKUP(A210,'Last Week'!A4:I385,7,FALSE)</f>
      </c>
    </row>
    <row r="211" ht="25.5" customHeight="true">
      <c r="A211" s="11026" t="s">
        <v>544</v>
      </c>
      <c r="B211" s="11027" t="s">
        <v>545</v>
      </c>
      <c r="C211" s="11028"/>
      <c r="D211" s="11029" t="s">
        <v>62</v>
      </c>
      <c r="E211" s="11030" t="s">
        <v>82</v>
      </c>
      <c r="F211" s="11031"/>
      <c r="G211" s="11032" t="s">
        <v>15</v>
      </c>
      <c r="H211" s="11033" t="n">
        <v>43026.68098094907</v>
      </c>
      <c r="I211" s="11034" t="n">
        <v>43026.68098094907</v>
      </c>
      <c r="J211" s="11035" t="n">
        <v>43026.53961894676</v>
      </c>
      <c r="K211" s="11036" t="n">
        <v>43026.53961894676</v>
      </c>
      <c r="L211" s="11037" t="s">
        <v>16</v>
      </c>
      <c r="M211" s="11038"/>
      <c r="N211" s="11039"/>
      <c r="O211" s="11040"/>
      <c r="P211" s="11041" t="s">
        <v>47</v>
      </c>
      <c r="Q211" s="11042">
        <f>TODAY()-j211</f>
      </c>
      <c r="R211" s="11043">
        <f>VLOOKUP(A211,'Last Week'!A4:I385,7,FALSE)</f>
      </c>
    </row>
    <row r="212" ht="25.5" customHeight="true">
      <c r="A212" s="11044" t="s">
        <v>546</v>
      </c>
      <c r="B212" s="11045" t="s">
        <v>547</v>
      </c>
      <c r="C212" s="11046"/>
      <c r="D212" s="11047" t="s">
        <v>62</v>
      </c>
      <c r="E212" s="11048" t="s">
        <v>51</v>
      </c>
      <c r="F212" s="11049"/>
      <c r="G212" s="11050" t="s">
        <v>15</v>
      </c>
      <c r="H212" s="11051" t="n">
        <v>43028.450316759256</v>
      </c>
      <c r="I212" s="11052" t="n">
        <v>43028.450316759256</v>
      </c>
      <c r="J212" s="11053" t="n">
        <v>43027.29964579861</v>
      </c>
      <c r="K212" s="11054" t="n">
        <v>43027.29964579861</v>
      </c>
      <c r="L212" s="11055" t="s">
        <v>16</v>
      </c>
      <c r="M212" s="11056"/>
      <c r="N212" s="11057"/>
      <c r="O212" s="11058"/>
      <c r="P212" s="11059" t="s">
        <v>47</v>
      </c>
      <c r="Q212" s="11060">
        <f>TODAY()-j212</f>
      </c>
      <c r="R212" s="11061">
        <f>VLOOKUP(A212,'Last Week'!A4:I385,7,FALSE)</f>
      </c>
    </row>
    <row r="213" ht="25.5" customHeight="true">
      <c r="A213" s="11062" t="s">
        <v>548</v>
      </c>
      <c r="B213" s="11063" t="s">
        <v>549</v>
      </c>
      <c r="C213" s="11064"/>
      <c r="D213" s="11065" t="s">
        <v>62</v>
      </c>
      <c r="E213" s="11066" t="s">
        <v>51</v>
      </c>
      <c r="F213" s="11067"/>
      <c r="G213" s="11068" t="s">
        <v>15</v>
      </c>
      <c r="H213" s="11069" t="n">
        <v>43028.44549641204</v>
      </c>
      <c r="I213" s="11070" t="n">
        <v>43028.44549641204</v>
      </c>
      <c r="J213" s="11071" t="n">
        <v>43027.301758981484</v>
      </c>
      <c r="K213" s="11072" t="n">
        <v>43027.301758981484</v>
      </c>
      <c r="L213" s="11073" t="s">
        <v>16</v>
      </c>
      <c r="M213" s="11074"/>
      <c r="N213" s="11075"/>
      <c r="O213" s="11076"/>
      <c r="P213" s="11077" t="s">
        <v>47</v>
      </c>
      <c r="Q213" s="11078">
        <f>TODAY()-j213</f>
      </c>
      <c r="R213" s="11079">
        <f>VLOOKUP(A213,'Last Week'!A4:I385,7,FALSE)</f>
      </c>
    </row>
    <row r="214" ht="25.5" customHeight="true">
      <c r="A214" s="11080" t="s">
        <v>550</v>
      </c>
      <c r="B214" s="11081" t="s">
        <v>551</v>
      </c>
      <c r="C214" s="11082"/>
      <c r="D214" s="11083" t="s">
        <v>155</v>
      </c>
      <c r="E214" s="11084" t="s">
        <v>56</v>
      </c>
      <c r="F214" s="11085"/>
      <c r="G214" s="11086" t="s">
        <v>15</v>
      </c>
      <c r="H214" s="11087" t="n">
        <v>43030.83380305555</v>
      </c>
      <c r="I214" s="11088" t="n">
        <v>43030.83380305555</v>
      </c>
      <c r="J214" s="11089" t="n">
        <v>43027.55815615741</v>
      </c>
      <c r="K214" s="11090" t="n">
        <v>43027.55815615741</v>
      </c>
      <c r="L214" s="11091" t="s">
        <v>16</v>
      </c>
      <c r="M214" s="11092"/>
      <c r="N214" s="11093"/>
      <c r="O214" s="11094"/>
      <c r="P214" s="11095" t="s">
        <v>47</v>
      </c>
      <c r="Q214" s="11096">
        <f>TODAY()-j214</f>
      </c>
      <c r="R214" s="11097">
        <f>VLOOKUP(A214,'Last Week'!A4:I385,7,FALSE)</f>
      </c>
    </row>
    <row r="215" ht="25.5" customHeight="true">
      <c r="A215" s="11098" t="s">
        <v>552</v>
      </c>
      <c r="B215" s="11099" t="s">
        <v>553</v>
      </c>
      <c r="C215" s="11100"/>
      <c r="D215" s="11101" t="s">
        <v>554</v>
      </c>
      <c r="E215" s="11102" t="s">
        <v>42</v>
      </c>
      <c r="F215" s="11103"/>
      <c r="G215" s="11104" t="s">
        <v>15</v>
      </c>
      <c r="H215" s="11105" t="n">
        <v>43034.25047283565</v>
      </c>
      <c r="I215" s="11106" t="n">
        <v>43034.25047283565</v>
      </c>
      <c r="J215" s="11107" t="n">
        <v>43027.75955756944</v>
      </c>
      <c r="K215" s="11108" t="n">
        <v>43027.75955756944</v>
      </c>
      <c r="L215" s="11109" t="s">
        <v>16</v>
      </c>
      <c r="M215" s="11110"/>
      <c r="N215" s="11111"/>
      <c r="O215" s="11112"/>
      <c r="P215" s="11113" t="s">
        <v>47</v>
      </c>
      <c r="Q215" s="11114">
        <f>TODAY()-j215</f>
      </c>
      <c r="R215" s="11115">
        <f>VLOOKUP(A215,'Last Week'!A4:I385,7,FALSE)</f>
      </c>
    </row>
    <row r="216" ht="25.5" customHeight="true">
      <c r="A216" s="11116" t="s">
        <v>555</v>
      </c>
      <c r="B216" s="11117" t="s">
        <v>556</v>
      </c>
      <c r="C216" s="11118"/>
      <c r="D216" s="11119" t="s">
        <v>557</v>
      </c>
      <c r="E216" s="11120" t="s">
        <v>38</v>
      </c>
      <c r="F216" s="11121"/>
      <c r="G216" s="11122" t="s">
        <v>15</v>
      </c>
      <c r="H216" s="11123" t="n">
        <v>43034.66840167824</v>
      </c>
      <c r="I216" s="11124" t="n">
        <v>43034.66840167824</v>
      </c>
      <c r="J216" s="11125" t="n">
        <v>43031.490425717595</v>
      </c>
      <c r="K216" s="11126" t="n">
        <v>43031.490425717595</v>
      </c>
      <c r="L216" s="11127" t="s">
        <v>16</v>
      </c>
      <c r="M216" s="11128"/>
      <c r="N216" s="11129"/>
      <c r="O216" s="11130"/>
      <c r="P216" s="11131" t="s">
        <v>17</v>
      </c>
      <c r="Q216" s="11132">
        <f>TODAY()-j216</f>
      </c>
      <c r="R216" s="11133">
        <f>VLOOKUP(A216,'Last Week'!A4:I385,7,FALSE)</f>
      </c>
    </row>
    <row r="217" ht="25.5" customHeight="true">
      <c r="A217" s="11134" t="s">
        <v>558</v>
      </c>
      <c r="B217" s="11135" t="s">
        <v>297</v>
      </c>
      <c r="C217" s="11136"/>
      <c r="D217" s="11137" t="s">
        <v>62</v>
      </c>
      <c r="E217" s="11138" t="s">
        <v>82</v>
      </c>
      <c r="F217" s="11139"/>
      <c r="G217" s="11140" t="s">
        <v>15</v>
      </c>
      <c r="H217" s="11141" t="n">
        <v>43033.38154099537</v>
      </c>
      <c r="I217" s="11142" t="n">
        <v>43033.38154099537</v>
      </c>
      <c r="J217" s="11143" t="n">
        <v>43032.50143280093</v>
      </c>
      <c r="K217" s="11144" t="n">
        <v>43032.50143280093</v>
      </c>
      <c r="L217" s="11145" t="s">
        <v>16</v>
      </c>
      <c r="M217" s="11146"/>
      <c r="N217" s="11147"/>
      <c r="O217" s="11148"/>
      <c r="P217" s="11149" t="s">
        <v>47</v>
      </c>
      <c r="Q217" s="11150">
        <f>TODAY()-j217</f>
      </c>
      <c r="R217" s="11151">
        <f>VLOOKUP(A217,'Last Week'!A4:I385,7,FALSE)</f>
      </c>
    </row>
    <row r="218" ht="25.5" customHeight="true">
      <c r="A218" s="11152" t="s">
        <v>559</v>
      </c>
      <c r="B218" s="11153" t="s">
        <v>404</v>
      </c>
      <c r="C218" s="11154"/>
      <c r="D218" s="11155" t="s">
        <v>560</v>
      </c>
      <c r="E218" s="11156" t="s">
        <v>176</v>
      </c>
      <c r="F218" s="11157"/>
      <c r="G218" s="11158" t="s">
        <v>15</v>
      </c>
      <c r="H218" s="11159" t="n">
        <v>43041.08416540509</v>
      </c>
      <c r="I218" s="11160" t="n">
        <v>43041.08416540509</v>
      </c>
      <c r="J218" s="11161" t="n">
        <v>43032.70952831019</v>
      </c>
      <c r="K218" s="11162" t="n">
        <v>43032.70952831019</v>
      </c>
      <c r="L218" s="11163" t="s">
        <v>16</v>
      </c>
      <c r="M218" s="11164"/>
      <c r="N218" s="11165"/>
      <c r="O218" s="11166"/>
      <c r="P218" s="11167" t="s">
        <v>17</v>
      </c>
      <c r="Q218" s="11168">
        <f>TODAY()-j218</f>
      </c>
      <c r="R218" s="11169">
        <f>VLOOKUP(A218,'Last Week'!A4:I385,7,FALSE)</f>
      </c>
    </row>
    <row r="219" ht="25.5" customHeight="true">
      <c r="A219" s="11170" t="s">
        <v>561</v>
      </c>
      <c r="B219" s="11171" t="s">
        <v>562</v>
      </c>
      <c r="C219" s="11172"/>
      <c r="D219" s="11173" t="s">
        <v>563</v>
      </c>
      <c r="E219" s="11174" t="s">
        <v>42</v>
      </c>
      <c r="F219" s="11175"/>
      <c r="G219" s="11176" t="s">
        <v>15</v>
      </c>
      <c r="H219" s="11177" t="n">
        <v>43038.250501319446</v>
      </c>
      <c r="I219" s="11178" t="n">
        <v>43038.250501319446</v>
      </c>
      <c r="J219" s="11179" t="n">
        <v>43034.889299490744</v>
      </c>
      <c r="K219" s="11180" t="n">
        <v>43034.889299490744</v>
      </c>
      <c r="L219" s="11181" t="s">
        <v>16</v>
      </c>
      <c r="M219" s="11182"/>
      <c r="N219" s="11183"/>
      <c r="O219" s="11184"/>
      <c r="P219" s="11185" t="s">
        <v>47</v>
      </c>
      <c r="Q219" s="11186">
        <f>TODAY()-j219</f>
      </c>
      <c r="R219" s="11187">
        <f>VLOOKUP(A219,'Last Week'!A4:I385,7,FALSE)</f>
      </c>
    </row>
    <row r="220" ht="25.5" customHeight="true">
      <c r="A220" s="11188" t="s">
        <v>564</v>
      </c>
      <c r="B220" s="11189" t="s">
        <v>565</v>
      </c>
      <c r="C220" s="11190"/>
      <c r="D220" s="11191" t="s">
        <v>62</v>
      </c>
      <c r="E220" s="11192" t="s">
        <v>29</v>
      </c>
      <c r="F220" s="11193"/>
      <c r="G220" s="11194" t="s">
        <v>15</v>
      </c>
      <c r="H220" s="11195" t="n">
        <v>43040.45973483796</v>
      </c>
      <c r="I220" s="11196" t="n">
        <v>43040.45973483796</v>
      </c>
      <c r="J220" s="11197" t="n">
        <v>43039.82891497685</v>
      </c>
      <c r="K220" s="11198" t="n">
        <v>43039.82891497685</v>
      </c>
      <c r="L220" s="11199" t="s">
        <v>16</v>
      </c>
      <c r="M220" s="11200"/>
      <c r="N220" s="11201"/>
      <c r="O220" s="11202"/>
      <c r="P220" s="11203" t="s">
        <v>47</v>
      </c>
      <c r="Q220" s="11204">
        <f>TODAY()-j220</f>
      </c>
      <c r="R220" s="11205">
        <f>VLOOKUP(A220,'Last Week'!A4:I385,7,FALSE)</f>
      </c>
    </row>
    <row r="221" ht="25.5" customHeight="true">
      <c r="A221" s="11206" t="s">
        <v>566</v>
      </c>
      <c r="B221" s="11207" t="s">
        <v>301</v>
      </c>
      <c r="C221" s="11208"/>
      <c r="D221" s="11209" t="s">
        <v>126</v>
      </c>
      <c r="E221" s="11210" t="s">
        <v>127</v>
      </c>
      <c r="F221" s="11211"/>
      <c r="G221" s="11212" t="s">
        <v>15</v>
      </c>
      <c r="H221" s="11213" t="n">
        <v>43043.084601296294</v>
      </c>
      <c r="I221" s="11214" t="n">
        <v>43043.084601296294</v>
      </c>
      <c r="J221" s="11215" t="n">
        <v>43040.516839641205</v>
      </c>
      <c r="K221" s="11216" t="n">
        <v>43040.516839641205</v>
      </c>
      <c r="L221" s="11217" t="s">
        <v>16</v>
      </c>
      <c r="M221" s="11218"/>
      <c r="N221" s="11219"/>
      <c r="O221" s="11220"/>
      <c r="P221" s="11221" t="s">
        <v>17</v>
      </c>
      <c r="Q221" s="11222">
        <f>TODAY()-j221</f>
      </c>
      <c r="R221" s="11223">
        <f>VLOOKUP(A221,'Last Week'!A4:I385,7,FALSE)</f>
      </c>
    </row>
    <row r="222" ht="25.5" customHeight="true">
      <c r="A222" s="11224" t="s">
        <v>567</v>
      </c>
      <c r="B222" s="11225" t="s">
        <v>272</v>
      </c>
      <c r="C222" s="11226"/>
      <c r="D222" s="11227" t="s">
        <v>141</v>
      </c>
      <c r="E222" s="11228" t="s">
        <v>29</v>
      </c>
      <c r="F222" s="11229"/>
      <c r="G222" s="11230" t="s">
        <v>15</v>
      </c>
      <c r="H222" s="11231" t="n">
        <v>43047.1262430787</v>
      </c>
      <c r="I222" s="11232" t="n">
        <v>43047.1262430787</v>
      </c>
      <c r="J222" s="11233" t="n">
        <v>43040.835225393515</v>
      </c>
      <c r="K222" s="11234" t="n">
        <v>43040.835225393515</v>
      </c>
      <c r="L222" s="11235" t="s">
        <v>16</v>
      </c>
      <c r="M222" s="11236"/>
      <c r="N222" s="11237"/>
      <c r="O222" s="11238"/>
      <c r="P222" s="11239" t="s">
        <v>17</v>
      </c>
      <c r="Q222" s="11240">
        <f>TODAY()-j222</f>
      </c>
      <c r="R222" s="11241">
        <f>VLOOKUP(A222,'Last Week'!A4:I385,7,FALSE)</f>
      </c>
    </row>
    <row r="223" ht="25.5" customHeight="true">
      <c r="A223" s="11242" t="s">
        <v>568</v>
      </c>
      <c r="B223" s="11243" t="s">
        <v>569</v>
      </c>
      <c r="C223" s="11244"/>
      <c r="D223" s="11245" t="s">
        <v>570</v>
      </c>
      <c r="E223" s="11246" t="s">
        <v>34</v>
      </c>
      <c r="F223" s="11247"/>
      <c r="G223" s="11248" t="s">
        <v>15</v>
      </c>
      <c r="H223" s="11249" t="n">
        <v>43044.70888726852</v>
      </c>
      <c r="I223" s="11250" t="n">
        <v>43044.70888726852</v>
      </c>
      <c r="J223" s="11251" t="n">
        <v>43041.539674074076</v>
      </c>
      <c r="K223" s="11252" t="n">
        <v>43041.539674074076</v>
      </c>
      <c r="L223" s="11253" t="s">
        <v>16</v>
      </c>
      <c r="M223" s="11254"/>
      <c r="N223" s="11255"/>
      <c r="O223" s="11256"/>
      <c r="P223" s="11257" t="s">
        <v>47</v>
      </c>
      <c r="Q223" s="11258">
        <f>TODAY()-j223</f>
      </c>
      <c r="R223" s="11259">
        <f>VLOOKUP(A223,'Last Week'!A4:I385,7,FALSE)</f>
      </c>
    </row>
    <row r="224" ht="25.5" customHeight="true">
      <c r="A224" s="11260" t="s">
        <v>571</v>
      </c>
      <c r="B224" s="11261" t="s">
        <v>572</v>
      </c>
      <c r="C224" s="11262"/>
      <c r="D224" s="11263" t="s">
        <v>573</v>
      </c>
      <c r="E224" s="11264" t="s">
        <v>29</v>
      </c>
      <c r="F224" s="11265"/>
      <c r="G224" s="11266" t="s">
        <v>15</v>
      </c>
      <c r="H224" s="11267" t="n">
        <v>43045.542211203705</v>
      </c>
      <c r="I224" s="11268" t="n">
        <v>43045.542211203705</v>
      </c>
      <c r="J224" s="11269" t="n">
        <v>43041.72076059028</v>
      </c>
      <c r="K224" s="11270" t="n">
        <v>43041.72076059028</v>
      </c>
      <c r="L224" s="11271" t="s">
        <v>16</v>
      </c>
      <c r="M224" s="11272"/>
      <c r="N224" s="11273"/>
      <c r="O224" s="11274"/>
      <c r="P224" s="11275" t="s">
        <v>47</v>
      </c>
      <c r="Q224" s="11276">
        <f>TODAY()-j224</f>
      </c>
      <c r="R224" s="11277">
        <f>VLOOKUP(A224,'Last Week'!A4:I385,7,FALSE)</f>
      </c>
    </row>
    <row r="225" ht="25.5" customHeight="true">
      <c r="A225" s="11278" t="s">
        <v>574</v>
      </c>
      <c r="B225" s="11279" t="s">
        <v>311</v>
      </c>
      <c r="C225" s="11280"/>
      <c r="D225" s="11281" t="s">
        <v>55</v>
      </c>
      <c r="E225" s="11282" t="s">
        <v>29</v>
      </c>
      <c r="F225" s="11283"/>
      <c r="G225" s="11284" t="s">
        <v>15</v>
      </c>
      <c r="H225" s="11285" t="n">
        <v>43047.12640729167</v>
      </c>
      <c r="I225" s="11286" t="n">
        <v>43047.12640729167</v>
      </c>
      <c r="J225" s="11287" t="n">
        <v>43041.793756747684</v>
      </c>
      <c r="K225" s="11288" t="n">
        <v>43041.793756747684</v>
      </c>
      <c r="L225" s="11289" t="s">
        <v>16</v>
      </c>
      <c r="M225" s="11290"/>
      <c r="N225" s="11291"/>
      <c r="O225" s="11292"/>
      <c r="P225" s="11293" t="s">
        <v>17</v>
      </c>
      <c r="Q225" s="11294">
        <f>TODAY()-j225</f>
      </c>
      <c r="R225" s="11295">
        <f>VLOOKUP(A225,'Last Week'!A4:I385,7,FALSE)</f>
      </c>
    </row>
    <row r="226" ht="25.5" customHeight="true">
      <c r="A226" s="11296" t="s">
        <v>575</v>
      </c>
      <c r="B226" s="11297" t="s">
        <v>576</v>
      </c>
      <c r="C226" s="11298"/>
      <c r="D226" s="11299" t="s">
        <v>62</v>
      </c>
      <c r="E226" s="11300" t="s">
        <v>29</v>
      </c>
      <c r="F226" s="11301"/>
      <c r="G226" s="11302" t="s">
        <v>15</v>
      </c>
      <c r="H226" s="11303" t="n">
        <v>43045.54221493055</v>
      </c>
      <c r="I226" s="11304" t="n">
        <v>43045.54221493055</v>
      </c>
      <c r="J226" s="11305" t="n">
        <v>43041.85922751157</v>
      </c>
      <c r="K226" s="11306" t="n">
        <v>43041.85922751157</v>
      </c>
      <c r="L226" s="11307" t="s">
        <v>16</v>
      </c>
      <c r="M226" s="11308"/>
      <c r="N226" s="11309"/>
      <c r="O226" s="11310"/>
      <c r="P226" s="11311" t="s">
        <v>47</v>
      </c>
      <c r="Q226" s="11312">
        <f>TODAY()-j226</f>
      </c>
      <c r="R226" s="11313">
        <f>VLOOKUP(A226,'Last Week'!A4:I385,7,FALSE)</f>
      </c>
    </row>
    <row r="227" ht="25.5" customHeight="true">
      <c r="A227" s="11314" t="s">
        <v>577</v>
      </c>
      <c r="B227" s="11315" t="s">
        <v>578</v>
      </c>
      <c r="C227" s="11316"/>
      <c r="D227" s="11317" t="s">
        <v>59</v>
      </c>
      <c r="E227" s="11318" t="s">
        <v>82</v>
      </c>
      <c r="F227" s="11319"/>
      <c r="G227" s="11320" t="s">
        <v>15</v>
      </c>
      <c r="H227" s="11321" t="n">
        <v>43047.20893840278</v>
      </c>
      <c r="I227" s="11322" t="n">
        <v>43047.20893840278</v>
      </c>
      <c r="J227" s="11323" t="n">
        <v>43045.63994710648</v>
      </c>
      <c r="K227" s="11324" t="n">
        <v>43045.63994710648</v>
      </c>
      <c r="L227" s="11325" t="s">
        <v>16</v>
      </c>
      <c r="M227" s="11326"/>
      <c r="N227" s="11327"/>
      <c r="O227" s="11328"/>
      <c r="P227" s="11329" t="s">
        <v>59</v>
      </c>
      <c r="Q227" s="11330">
        <f>TODAY()-j227</f>
      </c>
      <c r="R227" s="11331">
        <f>VLOOKUP(A227,'Last Week'!A4:I385,7,FALSE)</f>
      </c>
    </row>
    <row r="228" ht="25.5" customHeight="true">
      <c r="A228" s="11332" t="s">
        <v>579</v>
      </c>
      <c r="B228" s="11333" t="s">
        <v>580</v>
      </c>
      <c r="C228" s="11334"/>
      <c r="D228" s="11335" t="s">
        <v>581</v>
      </c>
      <c r="E228" s="11336" t="s">
        <v>29</v>
      </c>
      <c r="F228" s="11337"/>
      <c r="G228" s="11338" t="s">
        <v>15</v>
      </c>
      <c r="H228" s="11339" t="n">
        <v>43048.126660775466</v>
      </c>
      <c r="I228" s="11340" t="n">
        <v>43048.126660775466</v>
      </c>
      <c r="J228" s="11341" t="n">
        <v>43045.73530905093</v>
      </c>
      <c r="K228" s="11342" t="n">
        <v>43045.73530905093</v>
      </c>
      <c r="L228" s="11343" t="s">
        <v>16</v>
      </c>
      <c r="M228" s="11344"/>
      <c r="N228" s="11345"/>
      <c r="O228" s="11346"/>
      <c r="P228" s="11347" t="s">
        <v>17</v>
      </c>
      <c r="Q228" s="11348">
        <f>TODAY()-j228</f>
      </c>
      <c r="R228" s="11349">
        <f>VLOOKUP(A228,'Last Week'!A4:I385,7,FALSE)</f>
      </c>
    </row>
    <row r="229" ht="25.5" customHeight="true">
      <c r="A229" s="11350" t="s">
        <v>582</v>
      </c>
      <c r="B229" s="11351" t="s">
        <v>583</v>
      </c>
      <c r="C229" s="11352"/>
      <c r="D229" s="11353" t="s">
        <v>62</v>
      </c>
      <c r="E229" s="11354" t="s">
        <v>73</v>
      </c>
      <c r="F229" s="11355"/>
      <c r="G229" s="11356" t="s">
        <v>15</v>
      </c>
      <c r="H229" s="11357" t="n">
        <v>43049.12669792824</v>
      </c>
      <c r="I229" s="11358" t="n">
        <v>43049.12669792824</v>
      </c>
      <c r="J229" s="11359" t="n">
        <v>43046.650301828704</v>
      </c>
      <c r="K229" s="11360" t="n">
        <v>43046.650301828704</v>
      </c>
      <c r="L229" s="11361" t="s">
        <v>16</v>
      </c>
      <c r="M229" s="11362"/>
      <c r="N229" s="11363"/>
      <c r="O229" s="11364"/>
      <c r="P229" s="11365" t="s">
        <v>17</v>
      </c>
      <c r="Q229" s="11366">
        <f>TODAY()-j229</f>
      </c>
      <c r="R229" s="11367">
        <f>VLOOKUP(A229,'Last Week'!A4:I385,7,FALSE)</f>
      </c>
    </row>
    <row r="230" ht="25.5" customHeight="true">
      <c r="A230" s="11368" t="s">
        <v>584</v>
      </c>
      <c r="B230" s="11369" t="s">
        <v>301</v>
      </c>
      <c r="C230" s="11370"/>
      <c r="D230" s="11371" t="s">
        <v>126</v>
      </c>
      <c r="E230" s="11372" t="s">
        <v>127</v>
      </c>
      <c r="F230" s="11373"/>
      <c r="G230" s="11374" t="s">
        <v>15</v>
      </c>
      <c r="H230" s="11375" t="n">
        <v>43051.708909050925</v>
      </c>
      <c r="I230" s="11376" t="n">
        <v>43051.708909050925</v>
      </c>
      <c r="J230" s="11377" t="n">
        <v>43047.4163806713</v>
      </c>
      <c r="K230" s="11378" t="n">
        <v>43047.4163806713</v>
      </c>
      <c r="L230" s="11379" t="s">
        <v>16</v>
      </c>
      <c r="M230" s="11380"/>
      <c r="N230" s="11381"/>
      <c r="O230" s="11382"/>
      <c r="P230" s="11383" t="s">
        <v>17</v>
      </c>
      <c r="Q230" s="11384">
        <f>TODAY()-j230</f>
      </c>
      <c r="R230" s="11385">
        <f>VLOOKUP(A230,'Last Week'!A4:I385,7,FALSE)</f>
      </c>
    </row>
    <row r="231" ht="25.5" customHeight="true">
      <c r="A231" s="11386" t="s">
        <v>585</v>
      </c>
      <c r="B231" s="11387" t="s">
        <v>586</v>
      </c>
      <c r="C231" s="11388"/>
      <c r="D231" s="11389" t="s">
        <v>587</v>
      </c>
      <c r="E231" s="11390" t="s">
        <v>73</v>
      </c>
      <c r="F231" s="11391"/>
      <c r="G231" s="11392" t="s">
        <v>86</v>
      </c>
      <c r="H231" s="11393" t="n">
        <v>43054.38237341435</v>
      </c>
      <c r="I231" s="11394" t="n">
        <v>43054.38237341435</v>
      </c>
      <c r="J231" s="11395" t="n">
        <v>43047.658249699074</v>
      </c>
      <c r="K231" s="11396" t="n">
        <v>43047.658249699074</v>
      </c>
      <c r="L231" s="11397" t="s">
        <v>16</v>
      </c>
      <c r="M231" s="11398"/>
      <c r="N231" s="11399"/>
      <c r="O231" s="11400"/>
      <c r="P231" s="11401" t="s">
        <v>17</v>
      </c>
      <c r="Q231" s="11402">
        <f>TODAY()-j231</f>
      </c>
      <c r="R231" s="11403">
        <f>VLOOKUP(A231,'Last Week'!A4:I385,7,FALSE)</f>
      </c>
    </row>
    <row r="232" ht="25.5" customHeight="true">
      <c r="A232" s="11404" t="s">
        <v>588</v>
      </c>
      <c r="B232" s="11405" t="s">
        <v>589</v>
      </c>
      <c r="C232" s="11406"/>
      <c r="D232" s="11407" t="s">
        <v>141</v>
      </c>
      <c r="E232" s="11408" t="s">
        <v>29</v>
      </c>
      <c r="F232" s="11409"/>
      <c r="G232" s="11410" t="s">
        <v>15</v>
      </c>
      <c r="H232" s="11411" t="n">
        <v>43051.750569421296</v>
      </c>
      <c r="I232" s="11412" t="n">
        <v>43051.750569421296</v>
      </c>
      <c r="J232" s="11413" t="n">
        <v>43047.828174375</v>
      </c>
      <c r="K232" s="11414" t="n">
        <v>43047.828174375</v>
      </c>
      <c r="L232" s="11415" t="s">
        <v>16</v>
      </c>
      <c r="M232" s="11416"/>
      <c r="N232" s="11417"/>
      <c r="O232" s="11418"/>
      <c r="P232" s="11419" t="s">
        <v>17</v>
      </c>
      <c r="Q232" s="11420">
        <f>TODAY()-j232</f>
      </c>
      <c r="R232" s="11421">
        <f>VLOOKUP(A232,'Last Week'!A4:I385,7,FALSE)</f>
      </c>
    </row>
    <row r="233" ht="25.5" customHeight="true">
      <c r="A233" s="11422" t="s">
        <v>590</v>
      </c>
      <c r="B233" s="11423" t="s">
        <v>301</v>
      </c>
      <c r="C233" s="11424"/>
      <c r="D233" s="11425" t="s">
        <v>126</v>
      </c>
      <c r="E233" s="11426" t="s">
        <v>127</v>
      </c>
      <c r="F233" s="11427"/>
      <c r="G233" s="11428" t="s">
        <v>15</v>
      </c>
      <c r="H233" s="11429" t="n">
        <v>43056.12656188657</v>
      </c>
      <c r="I233" s="11430" t="n">
        <v>43056.12656188657</v>
      </c>
      <c r="J233" s="11431" t="n">
        <v>43053.39809193287</v>
      </c>
      <c r="K233" s="11432" t="n">
        <v>43053.39809193287</v>
      </c>
      <c r="L233" s="11433" t="s">
        <v>16</v>
      </c>
      <c r="M233" s="11434"/>
      <c r="N233" s="11435"/>
      <c r="O233" s="11436"/>
      <c r="P233" s="11437" t="s">
        <v>17</v>
      </c>
      <c r="Q233" s="11438">
        <f>TODAY()-j233</f>
      </c>
      <c r="R233" s="11439">
        <f>VLOOKUP(A233,'Last Week'!A4:I385,7,FALSE)</f>
      </c>
    </row>
    <row r="234" ht="25.5" customHeight="true">
      <c r="A234" s="11440" t="s">
        <v>591</v>
      </c>
      <c r="B234" s="11441" t="s">
        <v>592</v>
      </c>
      <c r="C234" s="11442"/>
      <c r="D234" s="11443" t="s">
        <v>593</v>
      </c>
      <c r="E234" s="11444" t="s">
        <v>127</v>
      </c>
      <c r="F234" s="11445"/>
      <c r="G234" s="11446" t="s">
        <v>15</v>
      </c>
      <c r="H234" s="11447" t="n">
        <v>43056.126574201386</v>
      </c>
      <c r="I234" s="11448" t="n">
        <v>43056.126574201386</v>
      </c>
      <c r="J234" s="11449" t="n">
        <v>43053.51921575231</v>
      </c>
      <c r="K234" s="11450" t="n">
        <v>43053.51921575231</v>
      </c>
      <c r="L234" s="11451" t="s">
        <v>16</v>
      </c>
      <c r="M234" s="11452"/>
      <c r="N234" s="11453"/>
      <c r="O234" s="11454"/>
      <c r="P234" s="11455" t="s">
        <v>17</v>
      </c>
      <c r="Q234" s="11456">
        <f>TODAY()-j234</f>
      </c>
      <c r="R234" s="11457">
        <f>VLOOKUP(A234,'Last Week'!A4:I385,7,FALSE)</f>
      </c>
    </row>
    <row r="235" ht="25.5" customHeight="true">
      <c r="A235" s="11458" t="s">
        <v>594</v>
      </c>
      <c r="B235" s="11459" t="s">
        <v>378</v>
      </c>
      <c r="C235" s="11460"/>
      <c r="D235" s="11461" t="s">
        <v>595</v>
      </c>
      <c r="E235" s="11462" t="s">
        <v>242</v>
      </c>
      <c r="F235" s="11463"/>
      <c r="G235" s="11464" t="s">
        <v>15</v>
      </c>
      <c r="H235" s="11465" t="n">
        <v>43062.12579146991</v>
      </c>
      <c r="I235" s="11466" t="n">
        <v>43062.12579146991</v>
      </c>
      <c r="J235" s="11467" t="n">
        <v>43053.69844721065</v>
      </c>
      <c r="K235" s="11468" t="n">
        <v>43053.69844721065</v>
      </c>
      <c r="L235" s="11469" t="s">
        <v>16</v>
      </c>
      <c r="M235" s="11470"/>
      <c r="N235" s="11471"/>
      <c r="O235" s="11472"/>
      <c r="P235" s="11473" t="s">
        <v>17</v>
      </c>
      <c r="Q235" s="11474">
        <f>TODAY()-j235</f>
      </c>
      <c r="R235" s="11475">
        <f>VLOOKUP(A235,'Last Week'!A4:I385,7,FALSE)</f>
      </c>
    </row>
    <row r="236" ht="25.5" customHeight="true">
      <c r="A236" s="11476" t="s">
        <v>596</v>
      </c>
      <c r="B236" s="11477" t="s">
        <v>597</v>
      </c>
      <c r="C236" s="11478"/>
      <c r="D236" s="11479" t="s">
        <v>62</v>
      </c>
      <c r="E236" s="11480" t="s">
        <v>51</v>
      </c>
      <c r="F236" s="11481"/>
      <c r="G236" s="11482" t="s">
        <v>15</v>
      </c>
      <c r="H236" s="11483" t="n">
        <v>43062.12580997685</v>
      </c>
      <c r="I236" s="11484" t="n">
        <v>43062.12580997685</v>
      </c>
      <c r="J236" s="11485" t="n">
        <v>43055.2699872338</v>
      </c>
      <c r="K236" s="11486" t="n">
        <v>43055.2699872338</v>
      </c>
      <c r="L236" s="11487" t="s">
        <v>16</v>
      </c>
      <c r="M236" s="11488"/>
      <c r="N236" s="11489"/>
      <c r="O236" s="11490"/>
      <c r="P236" s="11491" t="s">
        <v>17</v>
      </c>
      <c r="Q236" s="11492">
        <f>TODAY()-j236</f>
      </c>
      <c r="R236" s="11493">
        <f>VLOOKUP(A236,'Last Week'!A4:I385,7,FALSE)</f>
      </c>
    </row>
    <row r="237" ht="25.5" customHeight="true">
      <c r="A237" s="11494" t="s">
        <v>598</v>
      </c>
      <c r="B237" s="11495" t="s">
        <v>599</v>
      </c>
      <c r="C237" s="11496"/>
      <c r="D237" s="11497" t="s">
        <v>600</v>
      </c>
      <c r="E237" s="11498" t="s">
        <v>25</v>
      </c>
      <c r="F237" s="11499"/>
      <c r="G237" s="11500" t="s">
        <v>15</v>
      </c>
      <c r="H237" s="11501" t="n">
        <v>43062.12581658565</v>
      </c>
      <c r="I237" s="11502" t="n">
        <v>43062.12581658565</v>
      </c>
      <c r="J237" s="11503" t="n">
        <v>43055.4858016088</v>
      </c>
      <c r="K237" s="11504" t="n">
        <v>43055.4858016088</v>
      </c>
      <c r="L237" s="11505" t="s">
        <v>16</v>
      </c>
      <c r="M237" s="11506"/>
      <c r="N237" s="11507"/>
      <c r="O237" s="11508"/>
      <c r="P237" s="11509" t="s">
        <v>17</v>
      </c>
      <c r="Q237" s="11510">
        <f>TODAY()-j237</f>
      </c>
      <c r="R237" s="11511">
        <f>VLOOKUP(A237,'Last Week'!A4:I385,7,FALSE)</f>
      </c>
    </row>
    <row r="238" ht="25.5" customHeight="true">
      <c r="A238" s="11512" t="s">
        <v>601</v>
      </c>
      <c r="B238" s="11513" t="s">
        <v>602</v>
      </c>
      <c r="C238" s="11514"/>
      <c r="D238" s="11515" t="s">
        <v>141</v>
      </c>
      <c r="E238" s="11516" t="s">
        <v>29</v>
      </c>
      <c r="F238" s="11517"/>
      <c r="G238" s="11518" t="s">
        <v>15</v>
      </c>
      <c r="H238" s="11519" t="n">
        <v>43062.125830543984</v>
      </c>
      <c r="I238" s="11520" t="n">
        <v>43062.125830543984</v>
      </c>
      <c r="J238" s="11521" t="n">
        <v>43055.97874450232</v>
      </c>
      <c r="K238" s="11522" t="n">
        <v>43055.97874450232</v>
      </c>
      <c r="L238" s="11523" t="s">
        <v>16</v>
      </c>
      <c r="M238" s="11524"/>
      <c r="N238" s="11525"/>
      <c r="O238" s="11526"/>
      <c r="P238" s="11527" t="s">
        <v>17</v>
      </c>
      <c r="Q238" s="11528">
        <f>TODAY()-j238</f>
      </c>
      <c r="R238" s="11529">
        <f>VLOOKUP(A238,'Last Week'!A4:I385,7,FALSE)</f>
      </c>
    </row>
    <row r="239" ht="25.5" customHeight="true">
      <c r="A239" s="11530" t="s">
        <v>603</v>
      </c>
      <c r="B239" s="11531" t="s">
        <v>604</v>
      </c>
      <c r="C239" s="11532"/>
      <c r="D239" s="11533" t="s">
        <v>141</v>
      </c>
      <c r="E239" s="11534" t="s">
        <v>29</v>
      </c>
      <c r="F239" s="11535"/>
      <c r="G239" s="11536" t="s">
        <v>15</v>
      </c>
      <c r="H239" s="11537" t="n">
        <v>43062.12583200231</v>
      </c>
      <c r="I239" s="11538" t="n">
        <v>43062.12583200231</v>
      </c>
      <c r="J239" s="11539" t="n">
        <v>43055.98019712963</v>
      </c>
      <c r="K239" s="11540" t="n">
        <v>43055.98019712963</v>
      </c>
      <c r="L239" s="11541" t="s">
        <v>16</v>
      </c>
      <c r="M239" s="11542"/>
      <c r="N239" s="11543"/>
      <c r="O239" s="11544"/>
      <c r="P239" s="11545" t="s">
        <v>17</v>
      </c>
      <c r="Q239" s="11546">
        <f>TODAY()-j239</f>
      </c>
      <c r="R239" s="11547">
        <f>VLOOKUP(A239,'Last Week'!A4:I385,7,FALSE)</f>
      </c>
    </row>
    <row r="240" ht="25.5" customHeight="true">
      <c r="A240" s="11548" t="s">
        <v>605</v>
      </c>
      <c r="B240" s="11549" t="s">
        <v>562</v>
      </c>
      <c r="C240" s="11550"/>
      <c r="D240" s="11551" t="s">
        <v>606</v>
      </c>
      <c r="E240" s="11552" t="s">
        <v>109</v>
      </c>
      <c r="F240" s="11553"/>
      <c r="G240" s="11554" t="s">
        <v>15</v>
      </c>
      <c r="H240" s="11555" t="n">
        <v>43063.68058234954</v>
      </c>
      <c r="I240" s="11556" t="n">
        <v>43063.68058234954</v>
      </c>
      <c r="J240" s="11557" t="n">
        <v>43056.36618596065</v>
      </c>
      <c r="K240" s="11558" t="n">
        <v>43056.36618596065</v>
      </c>
      <c r="L240" s="11559" t="s">
        <v>16</v>
      </c>
      <c r="M240" s="11560"/>
      <c r="N240" s="11561"/>
      <c r="O240" s="11562"/>
      <c r="P240" s="11563" t="s">
        <v>17</v>
      </c>
      <c r="Q240" s="11564">
        <f>TODAY()-j240</f>
      </c>
      <c r="R240" s="11565">
        <f>VLOOKUP(A240,'Last Week'!A4:I385,7,FALSE)</f>
      </c>
    </row>
    <row r="241" ht="25.5" customHeight="true">
      <c r="A241" s="11566" t="s">
        <v>607</v>
      </c>
      <c r="B241" s="11567" t="s">
        <v>608</v>
      </c>
      <c r="C241" s="11568"/>
      <c r="D241" s="11569" t="s">
        <v>609</v>
      </c>
      <c r="E241" s="11570" t="s">
        <v>25</v>
      </c>
      <c r="F241" s="11571"/>
      <c r="G241" s="11572" t="s">
        <v>15</v>
      </c>
      <c r="H241" s="11573" t="n">
        <v>43065.49309319445</v>
      </c>
      <c r="I241" s="11574" t="n">
        <v>43065.49309319445</v>
      </c>
      <c r="J241" s="11575" t="n">
        <v>43059.48150825231</v>
      </c>
      <c r="K241" s="11576" t="n">
        <v>43059.48150825231</v>
      </c>
      <c r="L241" s="11577" t="s">
        <v>16</v>
      </c>
      <c r="M241" s="11578"/>
      <c r="N241" s="11579"/>
      <c r="O241" s="11580"/>
      <c r="P241" s="11581" t="s">
        <v>17</v>
      </c>
      <c r="Q241" s="11582">
        <f>TODAY()-j241</f>
      </c>
      <c r="R241" s="11583">
        <f>VLOOKUP(A241,'Last Week'!A4:I385,7,FALSE)</f>
      </c>
    </row>
    <row r="242" ht="25.5" customHeight="true">
      <c r="A242" s="11584" t="s">
        <v>610</v>
      </c>
      <c r="B242" s="11585" t="s">
        <v>611</v>
      </c>
      <c r="C242" s="11586"/>
      <c r="D242" s="11587" t="s">
        <v>612</v>
      </c>
      <c r="E242" s="11588" t="s">
        <v>34</v>
      </c>
      <c r="F242" s="11589"/>
      <c r="G242" s="11590" t="s">
        <v>15</v>
      </c>
      <c r="H242" s="11591" t="n">
        <v>43071.12587171296</v>
      </c>
      <c r="I242" s="11592" t="n">
        <v>43071.12587171296</v>
      </c>
      <c r="J242" s="11593" t="n">
        <v>43059.7112390162</v>
      </c>
      <c r="K242" s="11594" t="n">
        <v>43059.7112390162</v>
      </c>
      <c r="L242" s="11595" t="s">
        <v>16</v>
      </c>
      <c r="M242" s="11596"/>
      <c r="N242" s="11597"/>
      <c r="O242" s="11598"/>
      <c r="P242" s="11599" t="s">
        <v>17</v>
      </c>
      <c r="Q242" s="11600">
        <f>TODAY()-j242</f>
      </c>
      <c r="R242" s="11601">
        <f>VLOOKUP(A242,'Last Week'!A4:I385,7,FALSE)</f>
      </c>
    </row>
    <row r="243" ht="25.5" customHeight="true">
      <c r="A243" s="11602" t="s">
        <v>613</v>
      </c>
      <c r="B243" s="11603" t="s">
        <v>614</v>
      </c>
      <c r="C243" s="11604"/>
      <c r="D243" s="11605" t="s">
        <v>615</v>
      </c>
      <c r="E243" s="11606" t="s">
        <v>616</v>
      </c>
      <c r="F243" s="11607"/>
      <c r="G243" s="11608" t="s">
        <v>15</v>
      </c>
      <c r="H243" s="11609" t="n">
        <v>43064.61114212963</v>
      </c>
      <c r="I243" s="11610" t="n">
        <v>43064.61114212963</v>
      </c>
      <c r="J243" s="11611" t="n">
        <v>43059.74853737269</v>
      </c>
      <c r="K243" s="11612" t="n">
        <v>43059.74853737269</v>
      </c>
      <c r="L243" s="11613" t="s">
        <v>16</v>
      </c>
      <c r="M243" s="11614"/>
      <c r="N243" s="11615"/>
      <c r="O243" s="11616"/>
      <c r="P243" s="11617" t="s">
        <v>17</v>
      </c>
      <c r="Q243" s="11618">
        <f>TODAY()-j243</f>
      </c>
      <c r="R243" s="11619">
        <f>VLOOKUP(A243,'Last Week'!A4:I385,7,FALSE)</f>
      </c>
    </row>
    <row r="244" ht="25.5" customHeight="true">
      <c r="A244" s="11620" t="s">
        <v>617</v>
      </c>
      <c r="B244" s="11621" t="s">
        <v>618</v>
      </c>
      <c r="C244" s="11622"/>
      <c r="D244" s="11623" t="s">
        <v>393</v>
      </c>
      <c r="E244" s="11624" t="s">
        <v>51</v>
      </c>
      <c r="F244" s="11625"/>
      <c r="G244" s="11626" t="s">
        <v>15</v>
      </c>
      <c r="H244" s="11627" t="n">
        <v>43064.125849131946</v>
      </c>
      <c r="I244" s="11628" t="n">
        <v>43064.125849131946</v>
      </c>
      <c r="J244" s="11629" t="n">
        <v>43061.289539652775</v>
      </c>
      <c r="K244" s="11630" t="n">
        <v>43061.289539652775</v>
      </c>
      <c r="L244" s="11631" t="s">
        <v>16</v>
      </c>
      <c r="M244" s="11632"/>
      <c r="N244" s="11633"/>
      <c r="O244" s="11634"/>
      <c r="P244" s="11635" t="s">
        <v>17</v>
      </c>
      <c r="Q244" s="11636">
        <f>TODAY()-j244</f>
      </c>
      <c r="R244" s="11637">
        <f>VLOOKUP(A244,'Last Week'!A4:I385,7,FALSE)</f>
      </c>
    </row>
    <row r="245" ht="25.5" customHeight="true">
      <c r="A245" s="11638" t="s">
        <v>619</v>
      </c>
      <c r="B245" s="11639" t="s">
        <v>620</v>
      </c>
      <c r="C245" s="11640"/>
      <c r="D245" s="11641" t="s">
        <v>621</v>
      </c>
      <c r="E245" s="11642" t="s">
        <v>230</v>
      </c>
      <c r="F245" s="11643"/>
      <c r="G245" s="11644" t="s">
        <v>15</v>
      </c>
      <c r="H245" s="11645" t="n">
        <v>43068.291991527774</v>
      </c>
      <c r="I245" s="11646" t="n">
        <v>43068.291991527774</v>
      </c>
      <c r="J245" s="11647" t="n">
        <v>43062.877252858794</v>
      </c>
      <c r="K245" s="11648" t="n">
        <v>43062.877252858794</v>
      </c>
      <c r="L245" s="11649" t="s">
        <v>16</v>
      </c>
      <c r="M245" s="11650"/>
      <c r="N245" s="11651"/>
      <c r="O245" s="11652"/>
      <c r="P245" s="11653" t="s">
        <v>17</v>
      </c>
      <c r="Q245" s="11654">
        <f>TODAY()-j245</f>
      </c>
      <c r="R245" s="11655">
        <f>VLOOKUP(A245,'Last Week'!A4:I385,7,FALSE)</f>
      </c>
    </row>
    <row r="246" ht="25.5" customHeight="true">
      <c r="A246" s="11656" t="s">
        <v>622</v>
      </c>
      <c r="B246" s="11657" t="s">
        <v>623</v>
      </c>
      <c r="C246" s="11658"/>
      <c r="D246" s="11659" t="s">
        <v>141</v>
      </c>
      <c r="E246" s="11660" t="s">
        <v>176</v>
      </c>
      <c r="F246" s="11661"/>
      <c r="G246" s="11662" t="s">
        <v>15</v>
      </c>
      <c r="H246" s="11663" t="n">
        <v>43071.12587787037</v>
      </c>
      <c r="I246" s="11664" t="n">
        <v>43071.12587787037</v>
      </c>
      <c r="J246" s="11665" t="n">
        <v>43063.83990841435</v>
      </c>
      <c r="K246" s="11666" t="n">
        <v>43063.83990841435</v>
      </c>
      <c r="L246" s="11667" t="s">
        <v>16</v>
      </c>
      <c r="M246" s="11668"/>
      <c r="N246" s="11669"/>
      <c r="O246" s="11670"/>
      <c r="P246" s="11671" t="s">
        <v>17</v>
      </c>
      <c r="Q246" s="11672">
        <f>TODAY()-j246</f>
      </c>
      <c r="R246" s="11673">
        <f>VLOOKUP(A246,'Last Week'!A4:I385,7,FALSE)</f>
      </c>
    </row>
    <row r="247" ht="25.5" customHeight="true">
      <c r="A247" s="11674" t="s">
        <v>624</v>
      </c>
      <c r="B247" s="11675" t="s">
        <v>625</v>
      </c>
      <c r="C247" s="11676"/>
      <c r="D247" s="11677" t="s">
        <v>626</v>
      </c>
      <c r="E247" s="11678" t="s">
        <v>29</v>
      </c>
      <c r="F247" s="11679"/>
      <c r="G247" s="11680" t="s">
        <v>15</v>
      </c>
      <c r="H247" s="11681" t="n">
        <v>43071.33362269676</v>
      </c>
      <c r="I247" s="11682" t="n">
        <v>43071.33362269676</v>
      </c>
      <c r="J247" s="11683" t="n">
        <v>43067.763853125</v>
      </c>
      <c r="K247" s="11684" t="n">
        <v>43067.763853125</v>
      </c>
      <c r="L247" s="11685" t="s">
        <v>16</v>
      </c>
      <c r="M247" s="11686"/>
      <c r="N247" s="11687"/>
      <c r="O247" s="11688"/>
      <c r="P247" s="11689" t="s">
        <v>17</v>
      </c>
      <c r="Q247" s="11690">
        <f>TODAY()-j247</f>
      </c>
      <c r="R247" s="11691">
        <f>VLOOKUP(A247,'Last Week'!A4:I385,7,FALSE)</f>
      </c>
    </row>
    <row r="248" ht="25.5" customHeight="true">
      <c r="A248" s="11692" t="s">
        <v>627</v>
      </c>
      <c r="B248" s="11693" t="s">
        <v>628</v>
      </c>
      <c r="C248" s="11694"/>
      <c r="D248" s="11695" t="s">
        <v>629</v>
      </c>
      <c r="E248" s="11696" t="s">
        <v>216</v>
      </c>
      <c r="F248" s="11697"/>
      <c r="G248" s="11698" t="s">
        <v>15</v>
      </c>
      <c r="H248" s="11699" t="n">
        <v>43072.72242452546</v>
      </c>
      <c r="I248" s="11700" t="n">
        <v>43072.72242452546</v>
      </c>
      <c r="J248" s="11701" t="n">
        <v>43068.60901550926</v>
      </c>
      <c r="K248" s="11702" t="n">
        <v>43068.60901550926</v>
      </c>
      <c r="L248" s="11703" t="s">
        <v>16</v>
      </c>
      <c r="M248" s="11704"/>
      <c r="N248" s="11705"/>
      <c r="O248" s="11706"/>
      <c r="P248" s="11707" t="s">
        <v>17</v>
      </c>
      <c r="Q248" s="11708">
        <f>TODAY()-j248</f>
      </c>
      <c r="R248" s="11709">
        <f>VLOOKUP(A248,'Last Week'!A4:I385,7,FALSE)</f>
      </c>
    </row>
    <row r="249" ht="25.5" customHeight="true">
      <c r="A249" s="11710" t="s">
        <v>630</v>
      </c>
      <c r="B249" s="11711" t="s">
        <v>631</v>
      </c>
      <c r="C249" s="11712"/>
      <c r="D249" s="11713" t="s">
        <v>480</v>
      </c>
      <c r="E249" s="11714" t="s">
        <v>216</v>
      </c>
      <c r="F249" s="11715"/>
      <c r="G249" s="11716" t="s">
        <v>15</v>
      </c>
      <c r="H249" s="11717" t="n">
        <v>43077.354496099535</v>
      </c>
      <c r="I249" s="11718" t="n">
        <v>43077.354496099535</v>
      </c>
      <c r="J249" s="11719" t="n">
        <v>43069.6145112963</v>
      </c>
      <c r="K249" s="11720" t="n">
        <v>43069.6145112963</v>
      </c>
      <c r="L249" s="11721" t="s">
        <v>16</v>
      </c>
      <c r="M249" s="11722"/>
      <c r="N249" s="11723"/>
      <c r="O249" s="11724"/>
      <c r="P249" s="11725" t="s">
        <v>59</v>
      </c>
      <c r="Q249" s="11726">
        <f>TODAY()-j249</f>
      </c>
      <c r="R249" s="11727">
        <f>VLOOKUP(A249,'Last Week'!A4:I385,7,FALSE)</f>
      </c>
    </row>
    <row r="250" ht="25.5" customHeight="true">
      <c r="A250" s="11728" t="s">
        <v>632</v>
      </c>
      <c r="B250" s="11729" t="s">
        <v>633</v>
      </c>
      <c r="C250" s="11730"/>
      <c r="D250" s="11731" t="s">
        <v>634</v>
      </c>
      <c r="E250" s="11732" t="s">
        <v>25</v>
      </c>
      <c r="F250" s="11733"/>
      <c r="G250" s="11734" t="s">
        <v>15</v>
      </c>
      <c r="H250" s="11735" t="n">
        <v>43077.72255320602</v>
      </c>
      <c r="I250" s="11736" t="n">
        <v>43077.72255320602</v>
      </c>
      <c r="J250" s="11737" t="n">
        <v>43073.50053324074</v>
      </c>
      <c r="K250" s="11738" t="n">
        <v>43073.50053324074</v>
      </c>
      <c r="L250" s="11739" t="s">
        <v>16</v>
      </c>
      <c r="M250" s="11740"/>
      <c r="N250" s="11741"/>
      <c r="O250" s="11742"/>
      <c r="P250" s="11743" t="s">
        <v>17</v>
      </c>
      <c r="Q250" s="11744">
        <f>TODAY()-j250</f>
      </c>
      <c r="R250" s="11745">
        <f>VLOOKUP(A250,'Last Week'!A4:I385,7,FALSE)</f>
      </c>
    </row>
    <row r="251" ht="25.5" customHeight="true">
      <c r="A251" s="11746" t="s">
        <v>635</v>
      </c>
      <c r="B251" s="11747" t="s">
        <v>578</v>
      </c>
      <c r="C251" s="11748"/>
      <c r="D251" s="11749" t="s">
        <v>55</v>
      </c>
      <c r="E251" s="11750" t="s">
        <v>73</v>
      </c>
      <c r="F251" s="11751"/>
      <c r="G251" s="11752" t="s">
        <v>15</v>
      </c>
      <c r="H251" s="11753" t="n">
        <v>43076.125618287035</v>
      </c>
      <c r="I251" s="11754" t="n">
        <v>43076.125618287035</v>
      </c>
      <c r="J251" s="11755" t="n">
        <v>43073.516155729165</v>
      </c>
      <c r="K251" s="11756" t="n">
        <v>43073.516155729165</v>
      </c>
      <c r="L251" s="11757" t="s">
        <v>16</v>
      </c>
      <c r="M251" s="11758"/>
      <c r="N251" s="11759"/>
      <c r="O251" s="11760"/>
      <c r="P251" s="11761" t="s">
        <v>59</v>
      </c>
      <c r="Q251" s="11762">
        <f>TODAY()-j251</f>
      </c>
      <c r="R251" s="11763">
        <f>VLOOKUP(A251,'Last Week'!A4:I385,7,FALSE)</f>
      </c>
    </row>
    <row r="252" ht="25.5" customHeight="true">
      <c r="A252" s="11764" t="s">
        <v>636</v>
      </c>
      <c r="B252" s="11765" t="s">
        <v>54</v>
      </c>
      <c r="C252" s="11766"/>
      <c r="D252" s="11767" t="s">
        <v>55</v>
      </c>
      <c r="E252" s="11768" t="s">
        <v>73</v>
      </c>
      <c r="F252" s="11769"/>
      <c r="G252" s="11770" t="s">
        <v>15</v>
      </c>
      <c r="H252" s="11771" t="n">
        <v>43075.381458194446</v>
      </c>
      <c r="I252" s="11772" t="n">
        <v>43075.381458194446</v>
      </c>
      <c r="J252" s="11773" t="n">
        <v>43073.517993368056</v>
      </c>
      <c r="K252" s="11774" t="n">
        <v>43073.517993368056</v>
      </c>
      <c r="L252" s="11775" t="s">
        <v>16</v>
      </c>
      <c r="M252" s="11776"/>
      <c r="N252" s="11777"/>
      <c r="O252" s="11778"/>
      <c r="P252" s="11779" t="s">
        <v>47</v>
      </c>
      <c r="Q252" s="11780">
        <f>TODAY()-j252</f>
      </c>
      <c r="R252" s="11781">
        <f>VLOOKUP(A252,'Last Week'!A4:I385,7,FALSE)</f>
      </c>
    </row>
    <row r="253" ht="25.5" customHeight="true">
      <c r="A253" s="11782" t="s">
        <v>637</v>
      </c>
      <c r="B253" s="11783" t="s">
        <v>638</v>
      </c>
      <c r="C253" s="11784"/>
      <c r="D253" s="11785" t="s">
        <v>55</v>
      </c>
      <c r="E253" s="11786" t="s">
        <v>56</v>
      </c>
      <c r="F253" s="11787"/>
      <c r="G253" s="11788" t="s">
        <v>15</v>
      </c>
      <c r="H253" s="11789" t="n">
        <v>43076.12571574074</v>
      </c>
      <c r="I253" s="11790" t="n">
        <v>43076.12571574074</v>
      </c>
      <c r="J253" s="11791" t="n">
        <v>43073.7235153588</v>
      </c>
      <c r="K253" s="11792" t="n">
        <v>43073.7235153588</v>
      </c>
      <c r="L253" s="11793" t="s">
        <v>16</v>
      </c>
      <c r="M253" s="11794"/>
      <c r="N253" s="11795"/>
      <c r="O253" s="11796"/>
      <c r="P253" s="11797" t="s">
        <v>59</v>
      </c>
      <c r="Q253" s="11798">
        <f>TODAY()-j253</f>
      </c>
      <c r="R253" s="11799">
        <f>VLOOKUP(A253,'Last Week'!A4:I385,7,FALSE)</f>
      </c>
    </row>
    <row r="254" ht="25.5" customHeight="true">
      <c r="A254" s="11800" t="s">
        <v>639</v>
      </c>
      <c r="B254" s="11801" t="s">
        <v>505</v>
      </c>
      <c r="C254" s="11802"/>
      <c r="D254" s="11803" t="s">
        <v>640</v>
      </c>
      <c r="E254" s="11804" t="s">
        <v>29</v>
      </c>
      <c r="F254" s="11805"/>
      <c r="G254" s="11806" t="s">
        <v>15</v>
      </c>
      <c r="H254" s="11807" t="n">
        <v>43076.333653981485</v>
      </c>
      <c r="I254" s="11808" t="n">
        <v>43076.333653981485</v>
      </c>
      <c r="J254" s="11809" t="n">
        <v>43073.953736979165</v>
      </c>
      <c r="K254" s="11810" t="n">
        <v>43073.953736979165</v>
      </c>
      <c r="L254" s="11811" t="s">
        <v>16</v>
      </c>
      <c r="M254" s="11812"/>
      <c r="N254" s="11813"/>
      <c r="O254" s="11814"/>
      <c r="P254" s="11815" t="s">
        <v>17</v>
      </c>
      <c r="Q254" s="11816">
        <f>TODAY()-j254</f>
      </c>
      <c r="R254" s="11817">
        <f>VLOOKUP(A254,'Last Week'!A4:I385,7,FALSE)</f>
      </c>
    </row>
    <row r="255" ht="25.5" customHeight="true">
      <c r="A255" s="11818" t="s">
        <v>641</v>
      </c>
      <c r="B255" s="11819" t="s">
        <v>272</v>
      </c>
      <c r="C255" s="11820"/>
      <c r="D255" s="11821" t="s">
        <v>141</v>
      </c>
      <c r="E255" s="11822" t="s">
        <v>73</v>
      </c>
      <c r="F255" s="11823"/>
      <c r="G255" s="11824" t="s">
        <v>15</v>
      </c>
      <c r="H255" s="11825" t="n">
        <v>43076.3336571412</v>
      </c>
      <c r="I255" s="11826" t="n">
        <v>43076.3336571412</v>
      </c>
      <c r="J255" s="11827" t="n">
        <v>43074.520351493054</v>
      </c>
      <c r="K255" s="11828" t="n">
        <v>43074.520351493054</v>
      </c>
      <c r="L255" s="11829" t="s">
        <v>16</v>
      </c>
      <c r="M255" s="11830"/>
      <c r="N255" s="11831"/>
      <c r="O255" s="11832"/>
      <c r="P255" s="11833" t="s">
        <v>17</v>
      </c>
      <c r="Q255" s="11834">
        <f>TODAY()-j255</f>
      </c>
      <c r="R255" s="11835">
        <f>VLOOKUP(A255,'Last Week'!A4:I385,7,FALSE)</f>
      </c>
    </row>
    <row r="256" ht="25.5" customHeight="true">
      <c r="A256" s="11836" t="s">
        <v>642</v>
      </c>
      <c r="B256" s="11837" t="s">
        <v>643</v>
      </c>
      <c r="C256" s="11838"/>
      <c r="D256" s="11839" t="s">
        <v>644</v>
      </c>
      <c r="E256" s="11840" t="s">
        <v>644</v>
      </c>
      <c r="F256" s="11841"/>
      <c r="G256" s="11842" t="s">
        <v>15</v>
      </c>
      <c r="H256" s="11843" t="n">
        <v>43076.33365976852</v>
      </c>
      <c r="I256" s="11844" t="n">
        <v>43076.33365976852</v>
      </c>
      <c r="J256" s="11845" t="n">
        <v>43074.52216652778</v>
      </c>
      <c r="K256" s="11846" t="n">
        <v>43074.52216652778</v>
      </c>
      <c r="L256" s="11847" t="s">
        <v>16</v>
      </c>
      <c r="M256" s="11848"/>
      <c r="N256" s="11849"/>
      <c r="O256" s="11850"/>
      <c r="P256" s="11851" t="s">
        <v>17</v>
      </c>
      <c r="Q256" s="11852">
        <f>TODAY()-j256</f>
      </c>
      <c r="R256" s="11853">
        <f>VLOOKUP(A256,'Last Week'!A4:I385,7,FALSE)</f>
      </c>
    </row>
    <row r="257" ht="25.5" customHeight="true">
      <c r="A257" s="11854" t="s">
        <v>645</v>
      </c>
      <c r="B257" s="11855" t="s">
        <v>646</v>
      </c>
      <c r="C257" s="11856"/>
      <c r="D257" s="11857" t="s">
        <v>62</v>
      </c>
      <c r="E257" s="11858" t="s">
        <v>73</v>
      </c>
      <c r="F257" s="11859"/>
      <c r="G257" s="11860" t="s">
        <v>15</v>
      </c>
      <c r="H257" s="11861" t="n">
        <v>43083.12548954861</v>
      </c>
      <c r="I257" s="11862" t="n">
        <v>43083.12548954861</v>
      </c>
      <c r="J257" s="11863" t="n">
        <v>43074.63820292824</v>
      </c>
      <c r="K257" s="11864" t="n">
        <v>43074.63820292824</v>
      </c>
      <c r="L257" s="11865" t="s">
        <v>16</v>
      </c>
      <c r="M257" s="11866"/>
      <c r="N257" s="11867"/>
      <c r="O257" s="11868"/>
      <c r="P257" s="11869" t="s">
        <v>17</v>
      </c>
      <c r="Q257" s="11870">
        <f>TODAY()-j257</f>
      </c>
      <c r="R257" s="11871">
        <f>VLOOKUP(A257,'Last Week'!A4:I385,7,FALSE)</f>
      </c>
    </row>
    <row r="258" ht="25.5" customHeight="true">
      <c r="A258" s="11872" t="s">
        <v>647</v>
      </c>
      <c r="B258" s="11873" t="s">
        <v>648</v>
      </c>
      <c r="C258" s="11874"/>
      <c r="D258" s="11875" t="s">
        <v>141</v>
      </c>
      <c r="E258" s="11876" t="s">
        <v>73</v>
      </c>
      <c r="F258" s="11877"/>
      <c r="G258" s="11878" t="s">
        <v>15</v>
      </c>
      <c r="H258" s="11879" t="n">
        <v>43079.40313375</v>
      </c>
      <c r="I258" s="11880" t="n">
        <v>43079.40313375</v>
      </c>
      <c r="J258" s="11881" t="n">
        <v>43075.436506377315</v>
      </c>
      <c r="K258" s="11882" t="n">
        <v>43075.436506377315</v>
      </c>
      <c r="L258" s="11883" t="s">
        <v>16</v>
      </c>
      <c r="M258" s="11884"/>
      <c r="N258" s="11885"/>
      <c r="O258" s="11886"/>
      <c r="P258" s="11887" t="s">
        <v>17</v>
      </c>
      <c r="Q258" s="11888">
        <f>TODAY()-j258</f>
      </c>
      <c r="R258" s="11889">
        <f>VLOOKUP(A258,'Last Week'!A4:I385,7,FALSE)</f>
      </c>
    </row>
    <row r="259" ht="25.5" customHeight="true">
      <c r="A259" s="11890" t="s">
        <v>649</v>
      </c>
      <c r="B259" s="11891" t="s">
        <v>650</v>
      </c>
      <c r="C259" s="11892"/>
      <c r="D259" s="11893" t="s">
        <v>651</v>
      </c>
      <c r="E259" s="11894" t="s">
        <v>73</v>
      </c>
      <c r="F259" s="11895"/>
      <c r="G259" s="11896" t="s">
        <v>15</v>
      </c>
      <c r="H259" s="11897" t="n">
        <v>43079.59758391204</v>
      </c>
      <c r="I259" s="11898" t="n">
        <v>43079.59758391204</v>
      </c>
      <c r="J259" s="11899" t="n">
        <v>43075.47894252315</v>
      </c>
      <c r="K259" s="11900" t="n">
        <v>43075.47894252315</v>
      </c>
      <c r="L259" s="11901" t="s">
        <v>16</v>
      </c>
      <c r="M259" s="11902"/>
      <c r="N259" s="11903"/>
      <c r="O259" s="11904"/>
      <c r="P259" s="11905" t="s">
        <v>17</v>
      </c>
      <c r="Q259" s="11906">
        <f>TODAY()-j259</f>
      </c>
      <c r="R259" s="11907">
        <f>VLOOKUP(A259,'Last Week'!A4:I385,7,FALSE)</f>
      </c>
    </row>
    <row r="260" ht="25.5" customHeight="true">
      <c r="A260" s="11908" t="s">
        <v>652</v>
      </c>
      <c r="B260" s="11909" t="s">
        <v>653</v>
      </c>
      <c r="C260" s="11910"/>
      <c r="D260" s="11911" t="s">
        <v>62</v>
      </c>
      <c r="E260" s="11912" t="s">
        <v>73</v>
      </c>
      <c r="F260" s="11913"/>
      <c r="G260" s="11914" t="s">
        <v>15</v>
      </c>
      <c r="H260" s="11915" t="n">
        <v>43078.126590416665</v>
      </c>
      <c r="I260" s="11916" t="n">
        <v>43078.126590416665</v>
      </c>
      <c r="J260" s="11917" t="n">
        <v>43075.532304340275</v>
      </c>
      <c r="K260" s="11918" t="n">
        <v>43075.532304340275</v>
      </c>
      <c r="L260" s="11919" t="s">
        <v>16</v>
      </c>
      <c r="M260" s="11920"/>
      <c r="N260" s="11921"/>
      <c r="O260" s="11922"/>
      <c r="P260" s="11923" t="s">
        <v>17</v>
      </c>
      <c r="Q260" s="11924">
        <f>TODAY()-j260</f>
      </c>
      <c r="R260" s="11925">
        <f>VLOOKUP(A260,'Last Week'!A4:I385,7,FALSE)</f>
      </c>
    </row>
    <row r="261" ht="25.5" customHeight="true">
      <c r="A261" s="11926" t="s">
        <v>654</v>
      </c>
      <c r="B261" s="11927" t="s">
        <v>157</v>
      </c>
      <c r="C261" s="11928"/>
      <c r="D261" s="11929" t="s">
        <v>141</v>
      </c>
      <c r="E261" s="11930" t="s">
        <v>73</v>
      </c>
      <c r="F261" s="11931"/>
      <c r="G261" s="11932" t="s">
        <v>15</v>
      </c>
      <c r="H261" s="11933" t="n">
        <v>43078.12659422454</v>
      </c>
      <c r="I261" s="11934" t="n">
        <v>43078.12659422454</v>
      </c>
      <c r="J261" s="11935" t="n">
        <v>43075.605840208336</v>
      </c>
      <c r="K261" s="11936" t="n">
        <v>43075.605840208336</v>
      </c>
      <c r="L261" s="11937" t="s">
        <v>16</v>
      </c>
      <c r="M261" s="11938"/>
      <c r="N261" s="11939"/>
      <c r="O261" s="11940"/>
      <c r="P261" s="11941" t="s">
        <v>17</v>
      </c>
      <c r="Q261" s="11942">
        <f>TODAY()-j261</f>
      </c>
      <c r="R261" s="11943">
        <f>VLOOKUP(A261,'Last Week'!A4:I385,7,FALSE)</f>
      </c>
    </row>
    <row r="262" ht="25.5" customHeight="true">
      <c r="A262" s="11944" t="s">
        <v>655</v>
      </c>
      <c r="B262" s="11945" t="s">
        <v>656</v>
      </c>
      <c r="C262" s="11946"/>
      <c r="D262" s="11947" t="s">
        <v>62</v>
      </c>
      <c r="E262" s="11948" t="s">
        <v>73</v>
      </c>
      <c r="F262" s="11949"/>
      <c r="G262" s="11950" t="s">
        <v>15</v>
      </c>
      <c r="H262" s="11951" t="n">
        <v>43084.125976400464</v>
      </c>
      <c r="I262" s="11952" t="n">
        <v>43084.125976400464</v>
      </c>
      <c r="J262" s="11953" t="n">
        <v>43080.51742484954</v>
      </c>
      <c r="K262" s="11954" t="n">
        <v>43080.51742484954</v>
      </c>
      <c r="L262" s="11955" t="s">
        <v>16</v>
      </c>
      <c r="M262" s="11956"/>
      <c r="N262" s="11957"/>
      <c r="O262" s="11958"/>
      <c r="P262" s="11959" t="s">
        <v>17</v>
      </c>
      <c r="Q262" s="11960">
        <f>TODAY()-j262</f>
      </c>
      <c r="R262" s="11961">
        <f>VLOOKUP(A262,'Last Week'!A4:I385,7,FALSE)</f>
      </c>
    </row>
    <row r="263" ht="25.5" customHeight="true">
      <c r="A263" s="11962" t="s">
        <v>657</v>
      </c>
      <c r="B263" s="11963" t="s">
        <v>272</v>
      </c>
      <c r="C263" s="11964"/>
      <c r="D263" s="11965" t="s">
        <v>141</v>
      </c>
      <c r="E263" s="11966" t="s">
        <v>73</v>
      </c>
      <c r="F263" s="11967"/>
      <c r="G263" s="11968" t="s">
        <v>15</v>
      </c>
      <c r="H263" s="11969" t="n">
        <v>43083.12565018518</v>
      </c>
      <c r="I263" s="11970" t="n">
        <v>43083.12565018518</v>
      </c>
      <c r="J263" s="11971" t="n">
        <v>43080.53781158565</v>
      </c>
      <c r="K263" s="11972" t="n">
        <v>43080.53781158565</v>
      </c>
      <c r="L263" s="11973" t="s">
        <v>16</v>
      </c>
      <c r="M263" s="11974"/>
      <c r="N263" s="11975"/>
      <c r="O263" s="11976"/>
      <c r="P263" s="11977" t="s">
        <v>17</v>
      </c>
      <c r="Q263" s="11978">
        <f>TODAY()-j263</f>
      </c>
      <c r="R263" s="11979">
        <f>VLOOKUP(A263,'Last Week'!A4:I385,7,FALSE)</f>
      </c>
    </row>
    <row r="264" ht="25.5" customHeight="true">
      <c r="A264" s="11980" t="s">
        <v>658</v>
      </c>
      <c r="B264" s="11981" t="s">
        <v>659</v>
      </c>
      <c r="C264" s="11982"/>
      <c r="D264" s="11983" t="s">
        <v>201</v>
      </c>
      <c r="E264" s="11984" t="s">
        <v>73</v>
      </c>
      <c r="F264" s="11985"/>
      <c r="G264" s="11986" t="s">
        <v>15</v>
      </c>
      <c r="H264" s="11987" t="n">
        <v>43084.12576488426</v>
      </c>
      <c r="I264" s="11988" t="n">
        <v>43084.12576488426</v>
      </c>
      <c r="J264" s="11989" t="n">
        <v>43081.43528265046</v>
      </c>
      <c r="K264" s="11990" t="n">
        <v>43081.43528265046</v>
      </c>
      <c r="L264" s="11991" t="s">
        <v>16</v>
      </c>
      <c r="M264" s="11992"/>
      <c r="N264" s="11993"/>
      <c r="O264" s="11994"/>
      <c r="P264" s="11995" t="s">
        <v>17</v>
      </c>
      <c r="Q264" s="11996">
        <f>TODAY()-j264</f>
      </c>
      <c r="R264" s="11997">
        <f>VLOOKUP(A264,'Last Week'!A4:I385,7,FALSE)</f>
      </c>
    </row>
    <row r="265" ht="25.5" customHeight="true">
      <c r="A265" s="11998" t="s">
        <v>660</v>
      </c>
      <c r="B265" s="11999" t="s">
        <v>661</v>
      </c>
      <c r="C265" s="12000"/>
      <c r="D265" s="12001" t="s">
        <v>62</v>
      </c>
      <c r="E265" s="12002" t="s">
        <v>73</v>
      </c>
      <c r="F265" s="12003"/>
      <c r="G265" s="12004" t="s">
        <v>15</v>
      </c>
      <c r="H265" s="12005" t="n">
        <v>43083.12587325231</v>
      </c>
      <c r="I265" s="12006" t="n">
        <v>43083.12587325231</v>
      </c>
      <c r="J265" s="12007" t="n">
        <v>43081.55227568287</v>
      </c>
      <c r="K265" s="12008" t="n">
        <v>43081.55227568287</v>
      </c>
      <c r="L265" s="12009" t="s">
        <v>16</v>
      </c>
      <c r="M265" s="12010"/>
      <c r="N265" s="12011"/>
      <c r="O265" s="12012"/>
      <c r="P265" s="12013" t="s">
        <v>17</v>
      </c>
      <c r="Q265" s="12014">
        <f>TODAY()-j265</f>
      </c>
      <c r="R265" s="12015">
        <f>VLOOKUP(A265,'Last Week'!A4:I385,7,FALSE)</f>
      </c>
    </row>
    <row r="266" ht="25.5" customHeight="true">
      <c r="A266" s="12016" t="s">
        <v>662</v>
      </c>
      <c r="B266" s="12017" t="s">
        <v>663</v>
      </c>
      <c r="C266" s="12018"/>
      <c r="D266" s="12019" t="s">
        <v>62</v>
      </c>
      <c r="E266" s="12020" t="s">
        <v>51</v>
      </c>
      <c r="F266" s="12021"/>
      <c r="G266" s="12022" t="s">
        <v>15</v>
      </c>
      <c r="H266" s="12023" t="n">
        <v>43084.12582878472</v>
      </c>
      <c r="I266" s="12024" t="n">
        <v>43084.12582878472</v>
      </c>
      <c r="J266" s="12025" t="n">
        <v>43082.31078287037</v>
      </c>
      <c r="K266" s="12026" t="n">
        <v>43082.31078287037</v>
      </c>
      <c r="L266" s="12027" t="s">
        <v>16</v>
      </c>
      <c r="M266" s="12028"/>
      <c r="N266" s="12029"/>
      <c r="O266" s="12030"/>
      <c r="P266" s="12031" t="s">
        <v>17</v>
      </c>
      <c r="Q266" s="12032">
        <f>TODAY()-j266</f>
      </c>
      <c r="R266" s="12033">
        <f>VLOOKUP(A266,'Last Week'!A4:I385,7,FALSE)</f>
      </c>
    </row>
    <row r="267" ht="25.5" customHeight="true">
      <c r="A267" s="12034" t="s">
        <v>664</v>
      </c>
      <c r="B267" s="12035" t="s">
        <v>665</v>
      </c>
      <c r="C267" s="12036"/>
      <c r="D267" s="12037" t="s">
        <v>62</v>
      </c>
      <c r="E267" s="12038" t="s">
        <v>73</v>
      </c>
      <c r="F267" s="12039"/>
      <c r="G267" s="12040" t="s">
        <v>15</v>
      </c>
      <c r="H267" s="12041" t="n">
        <v>43090.12559016204</v>
      </c>
      <c r="I267" s="12042" t="n">
        <v>43090.12559016204</v>
      </c>
      <c r="J267" s="12043" t="n">
        <v>43082.518152916666</v>
      </c>
      <c r="K267" s="12044" t="n">
        <v>43082.518152916666</v>
      </c>
      <c r="L267" s="12045" t="s">
        <v>16</v>
      </c>
      <c r="M267" s="12046"/>
      <c r="N267" s="12047"/>
      <c r="O267" s="12048"/>
      <c r="P267" s="12049" t="s">
        <v>17</v>
      </c>
      <c r="Q267" s="12050">
        <f>TODAY()-j267</f>
      </c>
      <c r="R267" s="12051">
        <f>VLOOKUP(A267,'Last Week'!A4:I385,7,FALSE)</f>
      </c>
    </row>
    <row r="268" ht="25.5" customHeight="true">
      <c r="A268" s="12052" t="s">
        <v>666</v>
      </c>
      <c r="B268" s="12053" t="s">
        <v>667</v>
      </c>
      <c r="C268" s="12054"/>
      <c r="D268" s="12055" t="s">
        <v>668</v>
      </c>
      <c r="E268" s="12056" t="s">
        <v>668</v>
      </c>
      <c r="F268" s="12057"/>
      <c r="G268" s="12058" t="s">
        <v>15</v>
      </c>
      <c r="H268" s="12059" t="n">
        <v>43090.12563805556</v>
      </c>
      <c r="I268" s="12060" t="n">
        <v>43090.12563805556</v>
      </c>
      <c r="J268" s="12061" t="n">
        <v>43082.68577089121</v>
      </c>
      <c r="K268" s="12062" t="n">
        <v>43082.68577089121</v>
      </c>
      <c r="L268" s="12063" t="s">
        <v>16</v>
      </c>
      <c r="M268" s="12064"/>
      <c r="N268" s="12065"/>
      <c r="O268" s="12066"/>
      <c r="P268" s="12067" t="s">
        <v>17</v>
      </c>
      <c r="Q268" s="12068">
        <f>TODAY()-j268</f>
      </c>
      <c r="R268" s="12069">
        <f>VLOOKUP(A268,'Last Week'!A4:I385,7,FALSE)</f>
      </c>
    </row>
    <row r="269" ht="25.5" customHeight="true">
      <c r="A269" s="12070" t="s">
        <v>669</v>
      </c>
      <c r="B269" s="12071" t="s">
        <v>659</v>
      </c>
      <c r="C269" s="12072"/>
      <c r="D269" s="12073" t="s">
        <v>670</v>
      </c>
      <c r="E269" s="12074" t="s">
        <v>51</v>
      </c>
      <c r="F269" s="12075"/>
      <c r="G269" s="12076" t="s">
        <v>15</v>
      </c>
      <c r="H269" s="12077" t="n">
        <v>43085.126826817126</v>
      </c>
      <c r="I269" s="12078" t="n">
        <v>43085.126826817126</v>
      </c>
      <c r="J269" s="12079" t="n">
        <v>43083.0990693287</v>
      </c>
      <c r="K269" s="12080" t="n">
        <v>43083.0990693287</v>
      </c>
      <c r="L269" s="12081" t="s">
        <v>16</v>
      </c>
      <c r="M269" s="12082"/>
      <c r="N269" s="12083"/>
      <c r="O269" s="12084"/>
      <c r="P269" s="12085" t="s">
        <v>17</v>
      </c>
      <c r="Q269" s="12086">
        <f>TODAY()-j269</f>
      </c>
      <c r="R269" s="12087">
        <f>VLOOKUP(A269,'Last Week'!A4:I385,7,FALSE)</f>
      </c>
    </row>
    <row r="270" ht="25.5" customHeight="true">
      <c r="A270" s="12088" t="s">
        <v>671</v>
      </c>
      <c r="B270" s="12089" t="s">
        <v>672</v>
      </c>
      <c r="C270" s="12090"/>
      <c r="D270" s="12091" t="s">
        <v>673</v>
      </c>
      <c r="E270" s="12092" t="s">
        <v>73</v>
      </c>
      <c r="F270" s="12093"/>
      <c r="G270" s="12094" t="s">
        <v>15</v>
      </c>
      <c r="H270" s="12095" t="n">
        <v>43085.250363796295</v>
      </c>
      <c r="I270" s="12096" t="n">
        <v>43085.250363796295</v>
      </c>
      <c r="J270" s="12097" t="n">
        <v>43083.462964618055</v>
      </c>
      <c r="K270" s="12098" t="n">
        <v>43083.462964618055</v>
      </c>
      <c r="L270" s="12099" t="s">
        <v>16</v>
      </c>
      <c r="M270" s="12100"/>
      <c r="N270" s="12101"/>
      <c r="O270" s="12102"/>
      <c r="P270" s="12103" t="s">
        <v>17</v>
      </c>
      <c r="Q270" s="12104">
        <f>TODAY()-j270</f>
      </c>
      <c r="R270" s="12105">
        <f>VLOOKUP(A270,'Last Week'!A4:I385,7,FALSE)</f>
      </c>
    </row>
    <row r="271" ht="25.5" customHeight="true">
      <c r="A271" s="12106" t="s">
        <v>674</v>
      </c>
      <c r="B271" s="12107" t="s">
        <v>272</v>
      </c>
      <c r="C271" s="12108"/>
      <c r="D271" s="12109" t="s">
        <v>141</v>
      </c>
      <c r="E271" s="12110" t="s">
        <v>73</v>
      </c>
      <c r="F271" s="12111"/>
      <c r="G271" s="12112" t="s">
        <v>15</v>
      </c>
      <c r="H271" s="12113" t="n">
        <v>43085.37536265046</v>
      </c>
      <c r="I271" s="12114" t="n">
        <v>43085.37536265046</v>
      </c>
      <c r="J271" s="12115" t="n">
        <v>43083.51827849537</v>
      </c>
      <c r="K271" s="12116" t="n">
        <v>43083.51827849537</v>
      </c>
      <c r="L271" s="12117" t="s">
        <v>16</v>
      </c>
      <c r="M271" s="12118"/>
      <c r="N271" s="12119"/>
      <c r="O271" s="12120"/>
      <c r="P271" s="12121" t="s">
        <v>17</v>
      </c>
      <c r="Q271" s="12122">
        <f>TODAY()-j271</f>
      </c>
      <c r="R271" s="12123">
        <f>VLOOKUP(A271,'Last Week'!A4:I385,7,FALSE)</f>
      </c>
    </row>
    <row r="272" ht="25.5" customHeight="true">
      <c r="A272" s="12124" t="s">
        <v>675</v>
      </c>
      <c r="B272" s="12125" t="s">
        <v>676</v>
      </c>
      <c r="C272" s="12126"/>
      <c r="D272" s="12127" t="s">
        <v>677</v>
      </c>
      <c r="E272" s="12128" t="s">
        <v>176</v>
      </c>
      <c r="F272" s="12129"/>
      <c r="G272" s="12130" t="s">
        <v>15</v>
      </c>
      <c r="H272" s="12131" t="n">
        <v>43098.37869225694</v>
      </c>
      <c r="I272" s="12132" t="n">
        <v>43098.37869225694</v>
      </c>
      <c r="J272" s="12133" t="n">
        <v>43083.71964256944</v>
      </c>
      <c r="K272" s="12134" t="n">
        <v>43083.71964256944</v>
      </c>
      <c r="L272" s="12135" t="s">
        <v>16</v>
      </c>
      <c r="M272" s="12136"/>
      <c r="N272" s="12137"/>
      <c r="O272" s="12138"/>
      <c r="P272" s="12139" t="s">
        <v>17</v>
      </c>
      <c r="Q272" s="12140">
        <f>TODAY()-j272</f>
      </c>
      <c r="R272" s="12141">
        <f>VLOOKUP(A272,'Last Week'!A4:I385,7,FALSE)</f>
      </c>
    </row>
    <row r="273" ht="25.5" customHeight="true">
      <c r="A273" s="12142" t="s">
        <v>678</v>
      </c>
      <c r="B273" s="12143" t="s">
        <v>215</v>
      </c>
      <c r="C273" s="12144"/>
      <c r="D273" s="12145" t="s">
        <v>165</v>
      </c>
      <c r="E273" s="12146" t="s">
        <v>216</v>
      </c>
      <c r="F273" s="12147"/>
      <c r="G273" s="12148" t="s">
        <v>15</v>
      </c>
      <c r="H273" s="12149" t="n">
        <v>43091.125738877316</v>
      </c>
      <c r="I273" s="12150" t="n">
        <v>43091.125738877316</v>
      </c>
      <c r="J273" s="12151" t="n">
        <v>43088.54733149306</v>
      </c>
      <c r="K273" s="12152" t="n">
        <v>43088.54733149306</v>
      </c>
      <c r="L273" s="12153" t="s">
        <v>16</v>
      </c>
      <c r="M273" s="12154"/>
      <c r="N273" s="12155"/>
      <c r="O273" s="12156"/>
      <c r="P273" s="12157" t="s">
        <v>17</v>
      </c>
      <c r="Q273" s="12158">
        <f>TODAY()-j273</f>
      </c>
      <c r="R273" s="12159">
        <f>VLOOKUP(A273,'Last Week'!A4:I385,7,FALSE)</f>
      </c>
    </row>
    <row r="274" ht="25.5" customHeight="true">
      <c r="A274" s="12160" t="s">
        <v>679</v>
      </c>
      <c r="B274" s="12161" t="s">
        <v>680</v>
      </c>
      <c r="C274" s="12162"/>
      <c r="D274" s="12163" t="s">
        <v>681</v>
      </c>
      <c r="E274" s="12164" t="s">
        <v>127</v>
      </c>
      <c r="F274" s="12165"/>
      <c r="G274" s="12166" t="s">
        <v>15</v>
      </c>
      <c r="H274" s="12167" t="n">
        <v>43098.37869752315</v>
      </c>
      <c r="I274" s="12168" t="n">
        <v>43098.37869752315</v>
      </c>
      <c r="J274" s="12169" t="n">
        <v>43089.50338768519</v>
      </c>
      <c r="K274" s="12170" t="n">
        <v>43089.50338768519</v>
      </c>
      <c r="L274" s="12171" t="s">
        <v>16</v>
      </c>
      <c r="M274" s="12172"/>
      <c r="N274" s="12173"/>
      <c r="O274" s="12174"/>
      <c r="P274" s="12175" t="s">
        <v>17</v>
      </c>
      <c r="Q274" s="12176">
        <f>TODAY()-j274</f>
      </c>
      <c r="R274" s="12177">
        <f>VLOOKUP(A274,'Last Week'!A4:I385,7,FALSE)</f>
      </c>
    </row>
    <row r="275" ht="25.5" customHeight="true">
      <c r="A275" s="12178" t="s">
        <v>682</v>
      </c>
      <c r="B275" s="12179" t="s">
        <v>301</v>
      </c>
      <c r="C275" s="12180"/>
      <c r="D275" s="12181" t="s">
        <v>126</v>
      </c>
      <c r="E275" s="12182" t="s">
        <v>127</v>
      </c>
      <c r="F275" s="12183"/>
      <c r="G275" s="12184" t="s">
        <v>15</v>
      </c>
      <c r="H275" s="12185" t="n">
        <v>43098.385671828706</v>
      </c>
      <c r="I275" s="12186" t="n">
        <v>43098.385671828706</v>
      </c>
      <c r="J275" s="12187" t="n">
        <v>43089.52031208333</v>
      </c>
      <c r="K275" s="12188" t="n">
        <v>43089.52031208333</v>
      </c>
      <c r="L275" s="12189" t="s">
        <v>16</v>
      </c>
      <c r="M275" s="12190"/>
      <c r="N275" s="12191"/>
      <c r="O275" s="12192"/>
      <c r="P275" s="12193" t="s">
        <v>17</v>
      </c>
      <c r="Q275" s="12194">
        <f>TODAY()-j275</f>
      </c>
      <c r="R275" s="12195">
        <f>VLOOKUP(A275,'Last Week'!A4:I385,7,FALSE)</f>
      </c>
    </row>
    <row r="276" ht="25.5" customHeight="true">
      <c r="A276" s="12196" t="s">
        <v>683</v>
      </c>
      <c r="B276" s="12197" t="s">
        <v>684</v>
      </c>
      <c r="C276" s="12198"/>
      <c r="D276" s="12199" t="s">
        <v>376</v>
      </c>
      <c r="E276" s="12200" t="s">
        <v>46</v>
      </c>
      <c r="F276" s="12201"/>
      <c r="G276" s="12202" t="s">
        <v>15</v>
      </c>
      <c r="H276" s="12203" t="n">
        <v>43105.71053373843</v>
      </c>
      <c r="I276" s="12204" t="n">
        <v>43105.71053373843</v>
      </c>
      <c r="J276" s="12205" t="n">
        <v>43089.592253599534</v>
      </c>
      <c r="K276" s="12206" t="n">
        <v>43089.592253599534</v>
      </c>
      <c r="L276" s="12207" t="s">
        <v>16</v>
      </c>
      <c r="M276" s="12208"/>
      <c r="N276" s="12209"/>
      <c r="O276" s="12210"/>
      <c r="P276" s="12211" t="s">
        <v>17</v>
      </c>
      <c r="Q276" s="12212">
        <f>TODAY()-j276</f>
      </c>
      <c r="R276" s="12213">
        <f>VLOOKUP(A276,'Last Week'!A4:I385,7,FALSE)</f>
      </c>
    </row>
    <row r="277" ht="25.5" customHeight="true">
      <c r="A277" s="12214" t="s">
        <v>685</v>
      </c>
      <c r="B277" s="12215" t="s">
        <v>686</v>
      </c>
      <c r="C277" s="12216"/>
      <c r="D277" s="12217" t="s">
        <v>393</v>
      </c>
      <c r="E277" s="12218" t="s">
        <v>616</v>
      </c>
      <c r="F277" s="12219"/>
      <c r="G277" s="12220" t="s">
        <v>15</v>
      </c>
      <c r="H277" s="12221" t="n">
        <v>43100.642903125</v>
      </c>
      <c r="I277" s="12222" t="n">
        <v>43100.642903125</v>
      </c>
      <c r="J277" s="12223" t="n">
        <v>43095.97019857639</v>
      </c>
      <c r="K277" s="12224" t="n">
        <v>43095.97019857639</v>
      </c>
      <c r="L277" s="12225" t="s">
        <v>16</v>
      </c>
      <c r="M277" s="12226"/>
      <c r="N277" s="12227"/>
      <c r="O277" s="12228"/>
      <c r="P277" s="12229" t="s">
        <v>17</v>
      </c>
      <c r="Q277" s="12230">
        <f>TODAY()-j277</f>
      </c>
      <c r="R277" s="12231">
        <f>VLOOKUP(A277,'Last Week'!A4:I385,7,FALSE)</f>
      </c>
    </row>
    <row r="278" ht="25.5" customHeight="true">
      <c r="A278" s="12232" t="s">
        <v>687</v>
      </c>
      <c r="B278" s="12233" t="s">
        <v>688</v>
      </c>
      <c r="C278" s="12234"/>
      <c r="D278" s="12235" t="s">
        <v>689</v>
      </c>
      <c r="E278" s="12236" t="s">
        <v>29</v>
      </c>
      <c r="F278" s="12237"/>
      <c r="G278" s="12238" t="s">
        <v>15</v>
      </c>
      <c r="H278" s="12239" t="n">
        <v>43099.63581518518</v>
      </c>
      <c r="I278" s="12240" t="n">
        <v>43099.63581518518</v>
      </c>
      <c r="J278" s="12241" t="n">
        <v>43095.97416875</v>
      </c>
      <c r="K278" s="12242" t="n">
        <v>43095.97416875</v>
      </c>
      <c r="L278" s="12243" t="s">
        <v>16</v>
      </c>
      <c r="M278" s="12244"/>
      <c r="N278" s="12245"/>
      <c r="O278" s="12246"/>
      <c r="P278" s="12247" t="s">
        <v>17</v>
      </c>
      <c r="Q278" s="12248">
        <f>TODAY()-j278</f>
      </c>
      <c r="R278" s="12249">
        <f>VLOOKUP(A278,'Last Week'!A4:I385,7,FALSE)</f>
      </c>
    </row>
    <row r="279" ht="25.5" customHeight="true">
      <c r="A279" s="12250" t="s">
        <v>690</v>
      </c>
      <c r="B279" s="12251" t="s">
        <v>207</v>
      </c>
      <c r="C279" s="12252"/>
      <c r="D279" s="12253" t="s">
        <v>691</v>
      </c>
      <c r="E279" s="12254" t="s">
        <v>209</v>
      </c>
      <c r="F279" s="12255"/>
      <c r="G279" s="12256" t="s">
        <v>15</v>
      </c>
      <c r="H279" s="12257" t="n">
        <v>43099.12580716435</v>
      </c>
      <c r="I279" s="12258" t="n">
        <v>43099.12580716435</v>
      </c>
      <c r="J279" s="12259" t="n">
        <v>43096.50958931713</v>
      </c>
      <c r="K279" s="12260" t="n">
        <v>43096.50958931713</v>
      </c>
      <c r="L279" s="12261" t="s">
        <v>16</v>
      </c>
      <c r="M279" s="12262"/>
      <c r="N279" s="12263"/>
      <c r="O279" s="12264"/>
      <c r="P279" s="12265" t="s">
        <v>17</v>
      </c>
      <c r="Q279" s="12266">
        <f>TODAY()-j279</f>
      </c>
      <c r="R279" s="12267">
        <f>VLOOKUP(A279,'Last Week'!A4:I385,7,FALSE)</f>
      </c>
    </row>
    <row r="280" ht="25.5" customHeight="true">
      <c r="A280" s="12268" t="s">
        <v>692</v>
      </c>
      <c r="B280" s="12269" t="s">
        <v>693</v>
      </c>
      <c r="C280" s="12270"/>
      <c r="D280" s="12271" t="s">
        <v>694</v>
      </c>
      <c r="E280" s="12272" t="s">
        <v>694</v>
      </c>
      <c r="F280" s="12273"/>
      <c r="G280" s="12274" t="s">
        <v>15</v>
      </c>
      <c r="H280" s="12275" t="n">
        <v>43121.62504409722</v>
      </c>
      <c r="I280" s="12276" t="n">
        <v>43121.62504409722</v>
      </c>
      <c r="J280" s="12277" t="n">
        <v>43096.51763320602</v>
      </c>
      <c r="K280" s="12278" t="n">
        <v>43096.51763320602</v>
      </c>
      <c r="L280" s="12279" t="s">
        <v>16</v>
      </c>
      <c r="M280" s="12280"/>
      <c r="N280" s="12281"/>
      <c r="O280" s="12282"/>
      <c r="P280" s="12283" t="s">
        <v>17</v>
      </c>
      <c r="Q280" s="12284">
        <f>TODAY()-j280</f>
      </c>
      <c r="R280" s="12285">
        <f>VLOOKUP(A280,'Last Week'!A4:I385,7,FALSE)</f>
      </c>
    </row>
    <row r="281" ht="25.5" customHeight="true">
      <c r="A281" s="12286" t="s">
        <v>695</v>
      </c>
      <c r="B281" s="12287" t="s">
        <v>696</v>
      </c>
      <c r="C281" s="12288"/>
      <c r="D281" s="12289" t="s">
        <v>697</v>
      </c>
      <c r="E281" s="12290" t="s">
        <v>616</v>
      </c>
      <c r="F281" s="12291"/>
      <c r="G281" s="12292" t="s">
        <v>15</v>
      </c>
      <c r="H281" s="12293" t="n">
        <v>43101.47635766204</v>
      </c>
      <c r="I281" s="12294" t="n">
        <v>43101.47635766204</v>
      </c>
      <c r="J281" s="12295" t="n">
        <v>43096.72415047454</v>
      </c>
      <c r="K281" s="12296" t="n">
        <v>43096.72415047454</v>
      </c>
      <c r="L281" s="12297" t="s">
        <v>16</v>
      </c>
      <c r="M281" s="12298"/>
      <c r="N281" s="12299"/>
      <c r="O281" s="12300"/>
      <c r="P281" s="12301" t="s">
        <v>17</v>
      </c>
      <c r="Q281" s="12302">
        <f>TODAY()-j281</f>
      </c>
      <c r="R281" s="12303">
        <f>VLOOKUP(A281,'Last Week'!A4:I385,7,FALSE)</f>
      </c>
    </row>
    <row r="282" ht="25.5" customHeight="true">
      <c r="A282" s="12304" t="s">
        <v>698</v>
      </c>
      <c r="B282" s="12305" t="s">
        <v>699</v>
      </c>
      <c r="C282" s="12306"/>
      <c r="D282" s="12307" t="s">
        <v>480</v>
      </c>
      <c r="E282" s="12308" t="s">
        <v>21</v>
      </c>
      <c r="F282" s="12309"/>
      <c r="G282" s="12310" t="s">
        <v>15</v>
      </c>
      <c r="H282" s="12311" t="n">
        <v>43104.12569408565</v>
      </c>
      <c r="I282" s="12312" t="n">
        <v>43104.12569408565</v>
      </c>
      <c r="J282" s="12313" t="n">
        <v>43097.54168462963</v>
      </c>
      <c r="K282" s="12314" t="n">
        <v>43097.54168462963</v>
      </c>
      <c r="L282" s="12315" t="s">
        <v>16</v>
      </c>
      <c r="M282" s="12316"/>
      <c r="N282" s="12317"/>
      <c r="O282" s="12318"/>
      <c r="P282" s="12319" t="s">
        <v>59</v>
      </c>
      <c r="Q282" s="12320">
        <f>TODAY()-j282</f>
      </c>
      <c r="R282" s="12321">
        <f>VLOOKUP(A282,'Last Week'!A4:I385,7,FALSE)</f>
      </c>
    </row>
    <row r="283" ht="25.5" customHeight="true">
      <c r="A283" s="12322" t="s">
        <v>700</v>
      </c>
      <c r="B283" s="12323" t="s">
        <v>701</v>
      </c>
      <c r="C283" s="12324"/>
      <c r="D283" s="12325" t="s">
        <v>155</v>
      </c>
      <c r="E283" s="12326" t="s">
        <v>73</v>
      </c>
      <c r="F283" s="12327"/>
      <c r="G283" s="12328" t="s">
        <v>15</v>
      </c>
      <c r="H283" s="12329" t="n">
        <v>43124.208388611114</v>
      </c>
      <c r="I283" s="12330" t="n">
        <v>43124.208388611114</v>
      </c>
      <c r="J283" s="12331" t="n">
        <v>43102.499688414355</v>
      </c>
      <c r="K283" s="12332" t="n">
        <v>43102.499688414355</v>
      </c>
      <c r="L283" s="12333" t="s">
        <v>16</v>
      </c>
      <c r="M283" s="12334"/>
      <c r="N283" s="12335"/>
      <c r="O283" s="12336"/>
      <c r="P283" s="12337" t="s">
        <v>17</v>
      </c>
      <c r="Q283" s="12338">
        <f>TODAY()-j283</f>
      </c>
      <c r="R283" s="12339">
        <f>VLOOKUP(A283,'Last Week'!A4:I385,7,FALSE)</f>
      </c>
    </row>
    <row r="284" ht="25.5" customHeight="true">
      <c r="A284" s="12340" t="s">
        <v>702</v>
      </c>
      <c r="B284" s="12341" t="s">
        <v>207</v>
      </c>
      <c r="C284" s="12342"/>
      <c r="D284" s="12343" t="s">
        <v>703</v>
      </c>
      <c r="E284" s="12344" t="s">
        <v>209</v>
      </c>
      <c r="F284" s="12345"/>
      <c r="G284" s="12346" t="s">
        <v>15</v>
      </c>
      <c r="H284" s="12347" t="n">
        <v>43105.71058488426</v>
      </c>
      <c r="I284" s="12348" t="n">
        <v>43105.71058488426</v>
      </c>
      <c r="J284" s="12349" t="n">
        <v>43102.52529023148</v>
      </c>
      <c r="K284" s="12350" t="n">
        <v>43102.52529023148</v>
      </c>
      <c r="L284" s="12351" t="s">
        <v>16</v>
      </c>
      <c r="M284" s="12352"/>
      <c r="N284" s="12353"/>
      <c r="O284" s="12354"/>
      <c r="P284" s="12355" t="s">
        <v>17</v>
      </c>
      <c r="Q284" s="12356">
        <f>TODAY()-j284</f>
      </c>
      <c r="R284" s="12357">
        <f>VLOOKUP(A284,'Last Week'!A4:I385,7,FALSE)</f>
      </c>
    </row>
    <row r="285" ht="25.5" customHeight="true">
      <c r="A285" s="12358" t="s">
        <v>704</v>
      </c>
      <c r="B285" s="12359" t="s">
        <v>313</v>
      </c>
      <c r="C285" s="12360"/>
      <c r="D285" s="12361" t="s">
        <v>55</v>
      </c>
      <c r="E285" s="12362" t="s">
        <v>73</v>
      </c>
      <c r="F285" s="12363"/>
      <c r="G285" s="12364" t="s">
        <v>15</v>
      </c>
      <c r="H285" s="12365" t="n">
        <v>43104.667099108796</v>
      </c>
      <c r="I285" s="12366" t="n">
        <v>43104.667099108796</v>
      </c>
      <c r="J285" s="12367" t="n">
        <v>43102.52683484954</v>
      </c>
      <c r="K285" s="12368" t="n">
        <v>43102.52683484954</v>
      </c>
      <c r="L285" s="12369" t="s">
        <v>16</v>
      </c>
      <c r="M285" s="12370"/>
      <c r="N285" s="12371"/>
      <c r="O285" s="12372"/>
      <c r="P285" s="12373" t="s">
        <v>59</v>
      </c>
      <c r="Q285" s="12374">
        <f>TODAY()-j285</f>
      </c>
      <c r="R285" s="12375">
        <f>VLOOKUP(A285,'Last Week'!A4:I385,7,FALSE)</f>
      </c>
    </row>
    <row r="286" ht="25.5" customHeight="true">
      <c r="A286" s="12376" t="s">
        <v>705</v>
      </c>
      <c r="B286" s="12377" t="s">
        <v>706</v>
      </c>
      <c r="C286" s="12378"/>
      <c r="D286" s="12379" t="s">
        <v>55</v>
      </c>
      <c r="E286" s="12380" t="s">
        <v>73</v>
      </c>
      <c r="F286" s="12381"/>
      <c r="G286" s="12382" t="s">
        <v>15</v>
      </c>
      <c r="H286" s="12383" t="n">
        <v>43105.12573746528</v>
      </c>
      <c r="I286" s="12384" t="n">
        <v>43105.12573746528</v>
      </c>
      <c r="J286" s="12385" t="n">
        <v>43102.60333494213</v>
      </c>
      <c r="K286" s="12386" t="n">
        <v>43102.60333494213</v>
      </c>
      <c r="L286" s="12387" t="s">
        <v>16</v>
      </c>
      <c r="M286" s="12388"/>
      <c r="N286" s="12389"/>
      <c r="O286" s="12390"/>
      <c r="P286" s="12391" t="s">
        <v>17</v>
      </c>
      <c r="Q286" s="12392">
        <f>TODAY()-j286</f>
      </c>
      <c r="R286" s="12393">
        <f>VLOOKUP(A286,'Last Week'!A4:I385,7,FALSE)</f>
      </c>
    </row>
    <row r="287" ht="25.5" customHeight="true">
      <c r="A287" s="12394" t="s">
        <v>707</v>
      </c>
      <c r="B287" s="12395" t="s">
        <v>708</v>
      </c>
      <c r="C287" s="12396"/>
      <c r="D287" s="12397" t="s">
        <v>709</v>
      </c>
      <c r="E287" s="12398" t="s">
        <v>116</v>
      </c>
      <c r="F287" s="12399"/>
      <c r="G287" s="12400" t="s">
        <v>15</v>
      </c>
      <c r="H287" s="12401" t="n">
        <v>43104.70877658565</v>
      </c>
      <c r="I287" s="12402" t="n">
        <v>43104.70877658565</v>
      </c>
      <c r="J287" s="12403" t="n">
        <v>43102.73701809028</v>
      </c>
      <c r="K287" s="12404" t="n">
        <v>43102.73701809028</v>
      </c>
      <c r="L287" s="12405" t="s">
        <v>16</v>
      </c>
      <c r="M287" s="12406"/>
      <c r="N287" s="12407"/>
      <c r="O287" s="12408"/>
      <c r="P287" s="12409" t="s">
        <v>59</v>
      </c>
      <c r="Q287" s="12410">
        <f>TODAY()-j287</f>
      </c>
      <c r="R287" s="12411">
        <f>VLOOKUP(A287,'Last Week'!A4:I385,7,FALSE)</f>
      </c>
    </row>
    <row r="288" ht="25.5" customHeight="true">
      <c r="A288" s="12412" t="s">
        <v>710</v>
      </c>
      <c r="B288" s="12413" t="s">
        <v>711</v>
      </c>
      <c r="C288" s="12414"/>
      <c r="D288" s="12415" t="s">
        <v>155</v>
      </c>
      <c r="E288" s="12416" t="s">
        <v>56</v>
      </c>
      <c r="F288" s="12417"/>
      <c r="G288" s="12418" t="s">
        <v>15</v>
      </c>
      <c r="H288" s="12419" t="n">
        <v>43124.20839118055</v>
      </c>
      <c r="I288" s="12420" t="n">
        <v>43124.20839118055</v>
      </c>
      <c r="J288" s="12421" t="n">
        <v>43102.744766828706</v>
      </c>
      <c r="K288" s="12422" t="n">
        <v>43102.744766828706</v>
      </c>
      <c r="L288" s="12423" t="s">
        <v>16</v>
      </c>
      <c r="M288" s="12424"/>
      <c r="N288" s="12425"/>
      <c r="O288" s="12426"/>
      <c r="P288" s="12427" t="s">
        <v>17</v>
      </c>
      <c r="Q288" s="12428">
        <f>TODAY()-j288</f>
      </c>
      <c r="R288" s="12429">
        <f>VLOOKUP(A288,'Last Week'!A4:I385,7,FALSE)</f>
      </c>
    </row>
    <row r="289" ht="25.5" customHeight="true">
      <c r="A289" s="12430" t="s">
        <v>712</v>
      </c>
      <c r="B289" s="12431" t="s">
        <v>713</v>
      </c>
      <c r="C289" s="12432"/>
      <c r="D289" s="12433" t="s">
        <v>714</v>
      </c>
      <c r="E289" s="12434" t="s">
        <v>216</v>
      </c>
      <c r="F289" s="12435"/>
      <c r="G289" s="12436" t="s">
        <v>15</v>
      </c>
      <c r="H289" s="12437" t="n">
        <v>43105.71082486111</v>
      </c>
      <c r="I289" s="12438" t="n">
        <v>43105.71082486111</v>
      </c>
      <c r="J289" s="12439" t="n">
        <v>43103.65549961806</v>
      </c>
      <c r="K289" s="12440" t="n">
        <v>43103.65549961806</v>
      </c>
      <c r="L289" s="12441" t="s">
        <v>16</v>
      </c>
      <c r="M289" s="12442"/>
      <c r="N289" s="12443"/>
      <c r="O289" s="12444"/>
      <c r="P289" s="12445" t="s">
        <v>17</v>
      </c>
      <c r="Q289" s="12446">
        <f>TODAY()-j289</f>
      </c>
      <c r="R289" s="12447">
        <f>VLOOKUP(A289,'Last Week'!A4:I385,7,FALSE)</f>
      </c>
    </row>
    <row r="290" ht="25.5" customHeight="true">
      <c r="A290" s="12448" t="s">
        <v>715</v>
      </c>
      <c r="B290" s="12449" t="s">
        <v>716</v>
      </c>
      <c r="C290" s="12450"/>
      <c r="D290" s="12451" t="s">
        <v>717</v>
      </c>
      <c r="E290" s="12452" t="s">
        <v>82</v>
      </c>
      <c r="F290" s="12453"/>
      <c r="G290" s="12454" t="s">
        <v>15</v>
      </c>
      <c r="H290" s="12455" t="n">
        <v>43110.12589667824</v>
      </c>
      <c r="I290" s="12456" t="n">
        <v>43110.12589667824</v>
      </c>
      <c r="J290" s="12457" t="n">
        <v>43105.53569105324</v>
      </c>
      <c r="K290" s="12458" t="n">
        <v>43105.53569105324</v>
      </c>
      <c r="L290" s="12459" t="s">
        <v>16</v>
      </c>
      <c r="M290" s="12460"/>
      <c r="N290" s="12461"/>
      <c r="O290" s="12462"/>
      <c r="P290" s="12463" t="s">
        <v>59</v>
      </c>
      <c r="Q290" s="12464">
        <f>TODAY()-j290</f>
      </c>
      <c r="R290" s="12465">
        <f>VLOOKUP(A290,'Last Week'!A4:I385,7,FALSE)</f>
      </c>
    </row>
    <row r="291" ht="25.5" customHeight="true">
      <c r="A291" s="12466" t="s">
        <v>718</v>
      </c>
      <c r="B291" s="12467" t="s">
        <v>207</v>
      </c>
      <c r="C291" s="12468"/>
      <c r="D291" s="12469" t="s">
        <v>719</v>
      </c>
      <c r="E291" s="12470" t="s">
        <v>209</v>
      </c>
      <c r="F291" s="12471"/>
      <c r="G291" s="12472" t="s">
        <v>15</v>
      </c>
      <c r="H291" s="12473" t="n">
        <v>43112.16745008102</v>
      </c>
      <c r="I291" s="12474" t="n">
        <v>43112.16745008102</v>
      </c>
      <c r="J291" s="12475" t="n">
        <v>43108.365258125</v>
      </c>
      <c r="K291" s="12476" t="n">
        <v>43108.365258125</v>
      </c>
      <c r="L291" s="12477" t="s">
        <v>16</v>
      </c>
      <c r="M291" s="12478"/>
      <c r="N291" s="12479"/>
      <c r="O291" s="12480"/>
      <c r="P291" s="12481" t="s">
        <v>17</v>
      </c>
      <c r="Q291" s="12482">
        <f>TODAY()-j291</f>
      </c>
      <c r="R291" s="12483">
        <f>VLOOKUP(A291,'Last Week'!A4:I385,7,FALSE)</f>
      </c>
    </row>
    <row r="292" ht="25.5" customHeight="true">
      <c r="A292" s="12484" t="s">
        <v>720</v>
      </c>
      <c r="B292" s="12485" t="s">
        <v>721</v>
      </c>
      <c r="C292" s="12486"/>
      <c r="D292" s="12487" t="s">
        <v>471</v>
      </c>
      <c r="E292" s="12488" t="s">
        <v>471</v>
      </c>
      <c r="F292" s="12489"/>
      <c r="G292" s="12490" t="s">
        <v>15</v>
      </c>
      <c r="H292" s="12491" t="n">
        <v>43114.39179289352</v>
      </c>
      <c r="I292" s="12492" t="n">
        <v>43114.39179289352</v>
      </c>
      <c r="J292" s="12493" t="n">
        <v>43109.59409104167</v>
      </c>
      <c r="K292" s="12494" t="n">
        <v>43109.59409104167</v>
      </c>
      <c r="L292" s="12495" t="s">
        <v>16</v>
      </c>
      <c r="M292" s="12496"/>
      <c r="N292" s="12497"/>
      <c r="O292" s="12498"/>
      <c r="P292" s="12499" t="s">
        <v>17</v>
      </c>
      <c r="Q292" s="12500">
        <f>TODAY()-j292</f>
      </c>
      <c r="R292" s="12501">
        <f>VLOOKUP(A292,'Last Week'!A4:I385,7,FALSE)</f>
      </c>
    </row>
    <row r="293" ht="25.5" customHeight="true">
      <c r="A293" s="12502" t="s">
        <v>722</v>
      </c>
      <c r="B293" s="12503" t="s">
        <v>562</v>
      </c>
      <c r="C293" s="12504"/>
      <c r="D293" s="12505" t="s">
        <v>723</v>
      </c>
      <c r="E293" s="12506" t="s">
        <v>282</v>
      </c>
      <c r="F293" s="12507"/>
      <c r="G293" s="12508" t="s">
        <v>15</v>
      </c>
      <c r="H293" s="12509" t="n">
        <v>43111.41742107639</v>
      </c>
      <c r="I293" s="12510" t="n">
        <v>43111.41742107639</v>
      </c>
      <c r="J293" s="12511" t="n">
        <v>43109.60738476852</v>
      </c>
      <c r="K293" s="12512" t="n">
        <v>43109.60738476852</v>
      </c>
      <c r="L293" s="12513" t="s">
        <v>16</v>
      </c>
      <c r="M293" s="12514"/>
      <c r="N293" s="12515"/>
      <c r="O293" s="12516"/>
      <c r="P293" s="12517" t="s">
        <v>17</v>
      </c>
      <c r="Q293" s="12518">
        <f>TODAY()-j293</f>
      </c>
      <c r="R293" s="12519">
        <f>VLOOKUP(A293,'Last Week'!A4:I385,7,FALSE)</f>
      </c>
    </row>
    <row r="294" ht="25.5" customHeight="true">
      <c r="A294" s="12520" t="s">
        <v>724</v>
      </c>
      <c r="B294" s="12521" t="s">
        <v>725</v>
      </c>
      <c r="C294" s="12522"/>
      <c r="D294" s="12523" t="s">
        <v>726</v>
      </c>
      <c r="E294" s="12524" t="s">
        <v>116</v>
      </c>
      <c r="F294" s="12525"/>
      <c r="G294" s="12526" t="s">
        <v>15</v>
      </c>
      <c r="H294" s="12527" t="n">
        <v>43113.12593408565</v>
      </c>
      <c r="I294" s="12528" t="n">
        <v>43113.12593408565</v>
      </c>
      <c r="J294" s="12529" t="n">
        <v>43110.40375730324</v>
      </c>
      <c r="K294" s="12530" t="n">
        <v>43110.40375730324</v>
      </c>
      <c r="L294" s="12531" t="s">
        <v>16</v>
      </c>
      <c r="M294" s="12532"/>
      <c r="N294" s="12533"/>
      <c r="O294" s="12534"/>
      <c r="P294" s="12535" t="s">
        <v>17</v>
      </c>
      <c r="Q294" s="12536">
        <f>TODAY()-j294</f>
      </c>
      <c r="R294" s="12537">
        <f>VLOOKUP(A294,'Last Week'!A4:I385,7,FALSE)</f>
      </c>
    </row>
    <row r="295" ht="25.5" customHeight="true">
      <c r="A295" s="12538" t="s">
        <v>727</v>
      </c>
      <c r="B295" s="12539" t="s">
        <v>728</v>
      </c>
      <c r="C295" s="12540"/>
      <c r="D295" s="12541" t="s">
        <v>729</v>
      </c>
      <c r="E295" s="12542" t="s">
        <v>14</v>
      </c>
      <c r="F295" s="12543"/>
      <c r="G295" s="12544" t="s">
        <v>15</v>
      </c>
      <c r="H295" s="12545" t="n">
        <v>43112.12600023148</v>
      </c>
      <c r="I295" s="12546" t="n">
        <v>43112.12600023148</v>
      </c>
      <c r="J295" s="12547" t="n">
        <v>43110.435782685185</v>
      </c>
      <c r="K295" s="12548" t="n">
        <v>43110.435782685185</v>
      </c>
      <c r="L295" s="12549" t="s">
        <v>16</v>
      </c>
      <c r="M295" s="12550"/>
      <c r="N295" s="12551"/>
      <c r="O295" s="12552"/>
      <c r="P295" s="12553" t="s">
        <v>17</v>
      </c>
      <c r="Q295" s="12554">
        <f>TODAY()-j295</f>
      </c>
      <c r="R295" s="12555">
        <f>VLOOKUP(A295,'Last Week'!A4:I385,7,FALSE)</f>
      </c>
    </row>
    <row r="296" ht="25.5" customHeight="true">
      <c r="A296" s="12556" t="s">
        <v>730</v>
      </c>
      <c r="B296" s="12557" t="s">
        <v>731</v>
      </c>
      <c r="C296" s="12558"/>
      <c r="D296" s="12559" t="s">
        <v>62</v>
      </c>
      <c r="E296" s="12560" t="s">
        <v>73</v>
      </c>
      <c r="F296" s="12561"/>
      <c r="G296" s="12562" t="s">
        <v>15</v>
      </c>
      <c r="H296" s="12563" t="n">
        <v>43114.51680766204</v>
      </c>
      <c r="I296" s="12564" t="n">
        <v>43114.51680766204</v>
      </c>
      <c r="J296" s="12565" t="n">
        <v>43110.60146034722</v>
      </c>
      <c r="K296" s="12566" t="n">
        <v>43110.60146034722</v>
      </c>
      <c r="L296" s="12567" t="s">
        <v>16</v>
      </c>
      <c r="M296" s="12568"/>
      <c r="N296" s="12569"/>
      <c r="O296" s="12570"/>
      <c r="P296" s="12571" t="s">
        <v>17</v>
      </c>
      <c r="Q296" s="12572">
        <f>TODAY()-j296</f>
      </c>
      <c r="R296" s="12573">
        <f>VLOOKUP(A296,'Last Week'!A4:I385,7,FALSE)</f>
      </c>
    </row>
    <row r="297" ht="25.5" customHeight="true">
      <c r="A297" s="12574" t="s">
        <v>732</v>
      </c>
      <c r="B297" s="12575" t="s">
        <v>733</v>
      </c>
      <c r="C297" s="12576"/>
      <c r="D297" s="12577" t="s">
        <v>446</v>
      </c>
      <c r="E297" s="12578" t="s">
        <v>73</v>
      </c>
      <c r="F297" s="12579"/>
      <c r="G297" s="12580" t="s">
        <v>15</v>
      </c>
      <c r="H297" s="12581" t="n">
        <v>43113.12602950232</v>
      </c>
      <c r="I297" s="12582" t="n">
        <v>43113.12602950232</v>
      </c>
      <c r="J297" s="12583" t="n">
        <v>43111.40046017361</v>
      </c>
      <c r="K297" s="12584" t="n">
        <v>43111.40046017361</v>
      </c>
      <c r="L297" s="12585" t="s">
        <v>16</v>
      </c>
      <c r="M297" s="12586"/>
      <c r="N297" s="12587"/>
      <c r="O297" s="12588"/>
      <c r="P297" s="12589" t="s">
        <v>17</v>
      </c>
      <c r="Q297" s="12590">
        <f>TODAY()-j297</f>
      </c>
      <c r="R297" s="12591">
        <f>VLOOKUP(A297,'Last Week'!A4:I385,7,FALSE)</f>
      </c>
    </row>
    <row r="298" ht="25.5" customHeight="true">
      <c r="A298" s="12592" t="s">
        <v>734</v>
      </c>
      <c r="B298" s="12593" t="s">
        <v>735</v>
      </c>
      <c r="C298" s="12594"/>
      <c r="D298" s="12595" t="s">
        <v>587</v>
      </c>
      <c r="E298" s="12596" t="s">
        <v>29</v>
      </c>
      <c r="F298" s="12597"/>
      <c r="G298" s="12598" t="s">
        <v>15</v>
      </c>
      <c r="H298" s="12599" t="n">
        <v>43119.647919097224</v>
      </c>
      <c r="I298" s="12600" t="n">
        <v>43119.647919097224</v>
      </c>
      <c r="J298" s="12601" t="n">
        <v>43112.92377523148</v>
      </c>
      <c r="K298" s="12602" t="n">
        <v>43112.92377523148</v>
      </c>
      <c r="L298" s="12603" t="s">
        <v>16</v>
      </c>
      <c r="M298" s="12604"/>
      <c r="N298" s="12605"/>
      <c r="O298" s="12606"/>
      <c r="P298" s="12607" t="s">
        <v>17</v>
      </c>
      <c r="Q298" s="12608">
        <f>TODAY()-j298</f>
      </c>
      <c r="R298" s="12609">
        <f>VLOOKUP(A298,'Last Week'!A4:I385,7,FALSE)</f>
      </c>
    </row>
    <row r="299" ht="25.5" customHeight="true">
      <c r="A299" s="12610" t="s">
        <v>736</v>
      </c>
      <c r="B299" s="12611" t="s">
        <v>737</v>
      </c>
      <c r="C299" s="12612"/>
      <c r="D299" s="12613" t="s">
        <v>155</v>
      </c>
      <c r="E299" s="12614" t="s">
        <v>51</v>
      </c>
      <c r="F299" s="12615"/>
      <c r="G299" s="12616" t="s">
        <v>15</v>
      </c>
      <c r="H299" s="12617" t="n">
        <v>43154.25012710648</v>
      </c>
      <c r="I299" s="12618" t="n">
        <v>43154.25012710648</v>
      </c>
      <c r="J299" s="12619" t="n">
        <v>43113.129370752315</v>
      </c>
      <c r="K299" s="12620" t="n">
        <v>43113.129370752315</v>
      </c>
      <c r="L299" s="12621" t="s">
        <v>16</v>
      </c>
      <c r="M299" s="12622"/>
      <c r="N299" s="12623"/>
      <c r="O299" s="12624"/>
      <c r="P299" s="12625" t="s">
        <v>17</v>
      </c>
      <c r="Q299" s="12626">
        <f>TODAY()-j299</f>
      </c>
      <c r="R299" s="12627">
        <f>VLOOKUP(A299,'Last Week'!A4:I385,7,FALSE)</f>
      </c>
    </row>
    <row r="300" ht="25.5" customHeight="true">
      <c r="A300" s="12628" t="s">
        <v>738</v>
      </c>
      <c r="B300" s="12629" t="s">
        <v>739</v>
      </c>
      <c r="C300" s="12630"/>
      <c r="D300" s="12631" t="s">
        <v>740</v>
      </c>
      <c r="E300" s="12632" t="s">
        <v>127</v>
      </c>
      <c r="F300" s="12633"/>
      <c r="G300" s="12634" t="s">
        <v>15</v>
      </c>
      <c r="H300" s="12635" t="n">
        <v>43117.66736245371</v>
      </c>
      <c r="I300" s="12636" t="n">
        <v>43117.66736245371</v>
      </c>
      <c r="J300" s="12637" t="n">
        <v>43115.48014620371</v>
      </c>
      <c r="K300" s="12638" t="n">
        <v>43115.48014620371</v>
      </c>
      <c r="L300" s="12639" t="s">
        <v>16</v>
      </c>
      <c r="M300" s="12640"/>
      <c r="N300" s="12641"/>
      <c r="O300" s="12642"/>
      <c r="P300" s="12643" t="s">
        <v>59</v>
      </c>
      <c r="Q300" s="12644">
        <f>TODAY()-j300</f>
      </c>
      <c r="R300" s="12645">
        <f>VLOOKUP(A300,'Last Week'!A4:I385,7,FALSE)</f>
      </c>
    </row>
    <row r="301" ht="25.5" customHeight="true">
      <c r="A301" s="12646" t="s">
        <v>741</v>
      </c>
      <c r="B301" s="12647" t="s">
        <v>742</v>
      </c>
      <c r="C301" s="12648"/>
      <c r="D301" s="12649" t="s">
        <v>488</v>
      </c>
      <c r="E301" s="12650" t="s">
        <v>209</v>
      </c>
      <c r="F301" s="12651"/>
      <c r="G301" s="12652" t="s">
        <v>15</v>
      </c>
      <c r="H301" s="12653" t="n">
        <v>43124.12598596065</v>
      </c>
      <c r="I301" s="12654" t="n">
        <v>43124.12598596065</v>
      </c>
      <c r="J301" s="12655" t="n">
        <v>43115.634834247685</v>
      </c>
      <c r="K301" s="12656" t="n">
        <v>43115.634834247685</v>
      </c>
      <c r="L301" s="12657" t="s">
        <v>16</v>
      </c>
      <c r="M301" s="12658"/>
      <c r="N301" s="12659"/>
      <c r="O301" s="12660"/>
      <c r="P301" s="12661" t="s">
        <v>17</v>
      </c>
      <c r="Q301" s="12662">
        <f>TODAY()-j301</f>
      </c>
      <c r="R301" s="12663">
        <f>VLOOKUP(A301,'Last Week'!A4:I385,7,FALSE)</f>
      </c>
    </row>
    <row r="302" ht="25.5" customHeight="true">
      <c r="A302" s="12664" t="s">
        <v>743</v>
      </c>
      <c r="B302" s="12665" t="s">
        <v>348</v>
      </c>
      <c r="C302" s="12666"/>
      <c r="D302" s="12667" t="s">
        <v>340</v>
      </c>
      <c r="E302" s="12668" t="s">
        <v>340</v>
      </c>
      <c r="F302" s="12669"/>
      <c r="G302" s="12670" t="s">
        <v>15</v>
      </c>
      <c r="H302" s="12671" t="n">
        <v>43119.12584108796</v>
      </c>
      <c r="I302" s="12672" t="n">
        <v>43119.12584108796</v>
      </c>
      <c r="J302" s="12673" t="n">
        <v>43115.66099878472</v>
      </c>
      <c r="K302" s="12674" t="n">
        <v>43115.66099878472</v>
      </c>
      <c r="L302" s="12675" t="s">
        <v>16</v>
      </c>
      <c r="M302" s="12676"/>
      <c r="N302" s="12677"/>
      <c r="O302" s="12678"/>
      <c r="P302" s="12679" t="s">
        <v>17</v>
      </c>
      <c r="Q302" s="12680">
        <f>TODAY()-j302</f>
      </c>
      <c r="R302" s="12681">
        <f>VLOOKUP(A302,'Last Week'!A4:I385,7,FALSE)</f>
      </c>
    </row>
    <row r="303" ht="25.5" customHeight="true">
      <c r="A303" s="12682" t="s">
        <v>744</v>
      </c>
      <c r="B303" s="12683" t="s">
        <v>745</v>
      </c>
      <c r="C303" s="12684"/>
      <c r="D303" s="12685" t="s">
        <v>141</v>
      </c>
      <c r="E303" s="12686" t="s">
        <v>73</v>
      </c>
      <c r="F303" s="12687"/>
      <c r="G303" s="12688" t="s">
        <v>15</v>
      </c>
      <c r="H303" s="12689" t="n">
        <v>43122.363283252314</v>
      </c>
      <c r="I303" s="12690" t="n">
        <v>43122.363283252314</v>
      </c>
      <c r="J303" s="12691" t="n">
        <v>43115.710060046295</v>
      </c>
      <c r="K303" s="12692" t="n">
        <v>43115.710060046295</v>
      </c>
      <c r="L303" s="12693" t="s">
        <v>16</v>
      </c>
      <c r="M303" s="12694"/>
      <c r="N303" s="12695"/>
      <c r="O303" s="12696"/>
      <c r="P303" s="12697" t="s">
        <v>17</v>
      </c>
      <c r="Q303" s="12698">
        <f>TODAY()-j303</f>
      </c>
      <c r="R303" s="12699">
        <f>VLOOKUP(A303,'Last Week'!A4:I385,7,FALSE)</f>
      </c>
    </row>
    <row r="304" ht="25.5" customHeight="true">
      <c r="A304" s="12700" t="s">
        <v>746</v>
      </c>
      <c r="B304" s="12701" t="s">
        <v>747</v>
      </c>
      <c r="C304" s="12702"/>
      <c r="D304" s="12703" t="s">
        <v>729</v>
      </c>
      <c r="E304" s="12704" t="s">
        <v>209</v>
      </c>
      <c r="F304" s="12705"/>
      <c r="G304" s="12706" t="s">
        <v>15</v>
      </c>
      <c r="H304" s="12707" t="n">
        <v>43126.33339310185</v>
      </c>
      <c r="I304" s="12708" t="n">
        <v>43126.33339310185</v>
      </c>
      <c r="J304" s="12709" t="n">
        <v>43116.413440439814</v>
      </c>
      <c r="K304" s="12710" t="n">
        <v>43116.413440439814</v>
      </c>
      <c r="L304" s="12711" t="s">
        <v>16</v>
      </c>
      <c r="M304" s="12712"/>
      <c r="N304" s="12713"/>
      <c r="O304" s="12714"/>
      <c r="P304" s="12715" t="s">
        <v>17</v>
      </c>
      <c r="Q304" s="12716">
        <f>TODAY()-j304</f>
      </c>
      <c r="R304" s="12717">
        <f>VLOOKUP(A304,'Last Week'!A4:I385,7,FALSE)</f>
      </c>
    </row>
    <row r="305" ht="25.5" customHeight="true">
      <c r="A305" s="12718" t="s">
        <v>748</v>
      </c>
      <c r="B305" s="12719" t="s">
        <v>749</v>
      </c>
      <c r="C305" s="12720"/>
      <c r="D305" s="12721" t="s">
        <v>750</v>
      </c>
      <c r="E305" s="12722" t="s">
        <v>73</v>
      </c>
      <c r="F305" s="12723"/>
      <c r="G305" s="12724" t="s">
        <v>15</v>
      </c>
      <c r="H305" s="12725" t="n">
        <v>43118.15562489584</v>
      </c>
      <c r="I305" s="12726" t="n">
        <v>43118.15562489584</v>
      </c>
      <c r="J305" s="12727" t="n">
        <v>43116.42718957176</v>
      </c>
      <c r="K305" s="12728" t="n">
        <v>43116.42718957176</v>
      </c>
      <c r="L305" s="12729" t="s">
        <v>16</v>
      </c>
      <c r="M305" s="12730"/>
      <c r="N305" s="12731"/>
      <c r="O305" s="12732"/>
      <c r="P305" s="12733" t="s">
        <v>17</v>
      </c>
      <c r="Q305" s="12734">
        <f>TODAY()-j305</f>
      </c>
      <c r="R305" s="12735">
        <f>VLOOKUP(A305,'Last Week'!A4:I385,7,FALSE)</f>
      </c>
    </row>
    <row r="306" ht="25.5" customHeight="true">
      <c r="A306" s="12736" t="s">
        <v>751</v>
      </c>
      <c r="B306" s="12737" t="s">
        <v>752</v>
      </c>
      <c r="C306" s="12738"/>
      <c r="D306" s="12739" t="s">
        <v>753</v>
      </c>
      <c r="E306" s="12740" t="s">
        <v>209</v>
      </c>
      <c r="F306" s="12741"/>
      <c r="G306" s="12742" t="s">
        <v>15</v>
      </c>
      <c r="H306" s="12743" t="n">
        <v>43119.125498761576</v>
      </c>
      <c r="I306" s="12744" t="n">
        <v>43119.125498761576</v>
      </c>
      <c r="J306" s="12745" t="n">
        <v>43116.69278626158</v>
      </c>
      <c r="K306" s="12746" t="n">
        <v>43116.69278626158</v>
      </c>
      <c r="L306" s="12747" t="s">
        <v>16</v>
      </c>
      <c r="M306" s="12748"/>
      <c r="N306" s="12749"/>
      <c r="O306" s="12750"/>
      <c r="P306" s="12751" t="s">
        <v>17</v>
      </c>
      <c r="Q306" s="12752">
        <f>TODAY()-j306</f>
      </c>
      <c r="R306" s="12753">
        <f>VLOOKUP(A306,'Last Week'!A4:I385,7,FALSE)</f>
      </c>
    </row>
    <row r="307" ht="25.5" customHeight="true">
      <c r="A307" s="12754" t="s">
        <v>754</v>
      </c>
      <c r="B307" s="12755" t="s">
        <v>755</v>
      </c>
      <c r="C307" s="12756"/>
      <c r="D307" s="12757" t="s">
        <v>756</v>
      </c>
      <c r="E307" s="12758" t="s">
        <v>756</v>
      </c>
      <c r="F307" s="12759"/>
      <c r="G307" s="12760" t="s">
        <v>15</v>
      </c>
      <c r="H307" s="12761" t="n">
        <v>43124.12598936343</v>
      </c>
      <c r="I307" s="12762" t="n">
        <v>43124.12598936343</v>
      </c>
      <c r="J307" s="12763" t="n">
        <v>43116.70451960648</v>
      </c>
      <c r="K307" s="12764" t="n">
        <v>43116.70451960648</v>
      </c>
      <c r="L307" s="12765" t="s">
        <v>16</v>
      </c>
      <c r="M307" s="12766"/>
      <c r="N307" s="12767"/>
      <c r="O307" s="12768"/>
      <c r="P307" s="12769" t="s">
        <v>17</v>
      </c>
      <c r="Q307" s="12770">
        <f>TODAY()-j307</f>
      </c>
      <c r="R307" s="12771">
        <f>VLOOKUP(A307,'Last Week'!A4:I385,7,FALSE)</f>
      </c>
    </row>
    <row r="308" ht="25.5" customHeight="true">
      <c r="A308" s="12772" t="s">
        <v>757</v>
      </c>
      <c r="B308" s="12773" t="s">
        <v>758</v>
      </c>
      <c r="C308" s="12774"/>
      <c r="D308" s="12775" t="s">
        <v>759</v>
      </c>
      <c r="E308" s="12776" t="s">
        <v>216</v>
      </c>
      <c r="F308" s="12777"/>
      <c r="G308" s="12778" t="s">
        <v>15</v>
      </c>
      <c r="H308" s="12779" t="n">
        <v>43124.12513597222</v>
      </c>
      <c r="I308" s="12780" t="n">
        <v>43124.12513597222</v>
      </c>
      <c r="J308" s="12781" t="n">
        <v>43117.35195244213</v>
      </c>
      <c r="K308" s="12782" t="n">
        <v>43117.35195244213</v>
      </c>
      <c r="L308" s="12783" t="s">
        <v>16</v>
      </c>
      <c r="M308" s="12784"/>
      <c r="N308" s="12785"/>
      <c r="O308" s="12786"/>
      <c r="P308" s="12787" t="s">
        <v>17</v>
      </c>
      <c r="Q308" s="12788">
        <f>TODAY()-j308</f>
      </c>
      <c r="R308" s="12789">
        <f>VLOOKUP(A308,'Last Week'!A4:I385,7,FALSE)</f>
      </c>
    </row>
    <row r="309" ht="25.5" customHeight="true">
      <c r="A309" s="12790" t="s">
        <v>760</v>
      </c>
      <c r="B309" s="12791" t="s">
        <v>761</v>
      </c>
      <c r="C309" s="12792"/>
      <c r="D309" s="12793" t="s">
        <v>759</v>
      </c>
      <c r="E309" s="12794" t="s">
        <v>216</v>
      </c>
      <c r="F309" s="12795"/>
      <c r="G309" s="12796" t="s">
        <v>15</v>
      </c>
      <c r="H309" s="12797" t="n">
        <v>43119.12565365741</v>
      </c>
      <c r="I309" s="12798" t="n">
        <v>43119.12565365741</v>
      </c>
      <c r="J309" s="12799" t="n">
        <v>43117.358630601855</v>
      </c>
      <c r="K309" s="12800" t="n">
        <v>43117.358630601855</v>
      </c>
      <c r="L309" s="12801" t="s">
        <v>16</v>
      </c>
      <c r="M309" s="12802"/>
      <c r="N309" s="12803"/>
      <c r="O309" s="12804"/>
      <c r="P309" s="12805" t="s">
        <v>59</v>
      </c>
      <c r="Q309" s="12806">
        <f>TODAY()-j309</f>
      </c>
      <c r="R309" s="12807">
        <f>VLOOKUP(A309,'Last Week'!A4:I385,7,FALSE)</f>
      </c>
    </row>
    <row r="310" ht="25.5" customHeight="true">
      <c r="A310" s="12808" t="s">
        <v>762</v>
      </c>
      <c r="B310" s="12809" t="s">
        <v>763</v>
      </c>
      <c r="C310" s="12810"/>
      <c r="D310" s="12811" t="s">
        <v>764</v>
      </c>
      <c r="E310" s="12812" t="s">
        <v>21</v>
      </c>
      <c r="F310" s="12813"/>
      <c r="G310" s="12814" t="s">
        <v>15</v>
      </c>
      <c r="H310" s="12815" t="n">
        <v>43119.12575728009</v>
      </c>
      <c r="I310" s="12816" t="n">
        <v>43119.12575728009</v>
      </c>
      <c r="J310" s="12817" t="n">
        <v>43117.49412715278</v>
      </c>
      <c r="K310" s="12818" t="n">
        <v>43117.49412715278</v>
      </c>
      <c r="L310" s="12819" t="s">
        <v>16</v>
      </c>
      <c r="M310" s="12820"/>
      <c r="N310" s="12821"/>
      <c r="O310" s="12822"/>
      <c r="P310" s="12823" t="s">
        <v>59</v>
      </c>
      <c r="Q310" s="12824">
        <f>TODAY()-j310</f>
      </c>
      <c r="R310" s="12825">
        <f>VLOOKUP(A310,'Last Week'!A4:I385,7,FALSE)</f>
      </c>
    </row>
    <row r="311" ht="25.5" customHeight="true">
      <c r="A311" s="12826" t="s">
        <v>765</v>
      </c>
      <c r="B311" s="12827" t="s">
        <v>766</v>
      </c>
      <c r="C311" s="12828"/>
      <c r="D311" s="12829" t="s">
        <v>85</v>
      </c>
      <c r="E311" s="12830" t="s">
        <v>184</v>
      </c>
      <c r="F311" s="12831"/>
      <c r="G311" s="12832" t="s">
        <v>15</v>
      </c>
      <c r="H311" s="12833" t="n">
        <v>43201.20891302083</v>
      </c>
      <c r="I311" s="12834" t="n">
        <v>43201.20891302083</v>
      </c>
      <c r="J311" s="12835" t="n">
        <v>43117.54474699074</v>
      </c>
      <c r="K311" s="12836" t="n">
        <v>43117.54474699074</v>
      </c>
      <c r="L311" s="12837" t="s">
        <v>16</v>
      </c>
      <c r="M311" s="12838"/>
      <c r="N311" s="12839"/>
      <c r="O311" s="12840"/>
      <c r="P311" s="12841" t="s">
        <v>17</v>
      </c>
      <c r="Q311" s="12842">
        <f>TODAY()-j311</f>
      </c>
      <c r="R311" s="12843">
        <f>VLOOKUP(A311,'Last Week'!A4:I385,7,FALSE)</f>
      </c>
    </row>
    <row r="312" ht="25.5" customHeight="true">
      <c r="A312" s="12844" t="s">
        <v>767</v>
      </c>
      <c r="B312" s="12845" t="s">
        <v>768</v>
      </c>
      <c r="C312" s="12846"/>
      <c r="D312" s="12847" t="s">
        <v>769</v>
      </c>
      <c r="E312" s="12848" t="s">
        <v>73</v>
      </c>
      <c r="F312" s="12849"/>
      <c r="G312" s="12850" t="s">
        <v>15</v>
      </c>
      <c r="H312" s="12851" t="n">
        <v>43126.12624738426</v>
      </c>
      <c r="I312" s="12852" t="n">
        <v>43126.12624738426</v>
      </c>
      <c r="J312" s="12853" t="n">
        <v>43118.5579097338</v>
      </c>
      <c r="K312" s="12854" t="n">
        <v>43118.5579097338</v>
      </c>
      <c r="L312" s="12855" t="s">
        <v>16</v>
      </c>
      <c r="M312" s="12856"/>
      <c r="N312" s="12857"/>
      <c r="O312" s="12858"/>
      <c r="P312" s="12859" t="s">
        <v>17</v>
      </c>
      <c r="Q312" s="12860">
        <f>TODAY()-j312</f>
      </c>
      <c r="R312" s="12861">
        <f>VLOOKUP(A312,'Last Week'!A4:I385,7,FALSE)</f>
      </c>
    </row>
    <row r="313" ht="25.5" customHeight="true">
      <c r="A313" s="12862" t="s">
        <v>770</v>
      </c>
      <c r="B313" s="12863" t="s">
        <v>562</v>
      </c>
      <c r="C313" s="12864"/>
      <c r="D313" s="12865" t="s">
        <v>557</v>
      </c>
      <c r="E313" s="12866" t="s">
        <v>25</v>
      </c>
      <c r="F313" s="12867"/>
      <c r="G313" s="12868" t="s">
        <v>15</v>
      </c>
      <c r="H313" s="12869" t="n">
        <v>43122.33338769676</v>
      </c>
      <c r="I313" s="12870" t="n">
        <v>43122.33338769676</v>
      </c>
      <c r="J313" s="12871" t="n">
        <v>43118.61746599537</v>
      </c>
      <c r="K313" s="12872" t="n">
        <v>43118.61746599537</v>
      </c>
      <c r="L313" s="12873" t="s">
        <v>16</v>
      </c>
      <c r="M313" s="12874"/>
      <c r="N313" s="12875"/>
      <c r="O313" s="12876"/>
      <c r="P313" s="12877" t="s">
        <v>17</v>
      </c>
      <c r="Q313" s="12878">
        <f>TODAY()-j313</f>
      </c>
      <c r="R313" s="12879">
        <f>VLOOKUP(A313,'Last Week'!A4:I385,7,FALSE)</f>
      </c>
    </row>
    <row r="314" ht="25.5" customHeight="true">
      <c r="A314" s="12880" t="s">
        <v>771</v>
      </c>
      <c r="B314" s="12881" t="s">
        <v>772</v>
      </c>
      <c r="C314" s="12882"/>
      <c r="D314" s="12883" t="s">
        <v>729</v>
      </c>
      <c r="E314" s="12884" t="s">
        <v>184</v>
      </c>
      <c r="F314" s="12885"/>
      <c r="G314" s="12886" t="s">
        <v>15</v>
      </c>
      <c r="H314" s="12887" t="n">
        <v>43126.333401435186</v>
      </c>
      <c r="I314" s="12888" t="n">
        <v>43126.333401435186</v>
      </c>
      <c r="J314" s="12889" t="n">
        <v>43118.65898949074</v>
      </c>
      <c r="K314" s="12890" t="n">
        <v>43118.65898949074</v>
      </c>
      <c r="L314" s="12891" t="s">
        <v>16</v>
      </c>
      <c r="M314" s="12892"/>
      <c r="N314" s="12893"/>
      <c r="O314" s="12894"/>
      <c r="P314" s="12895" t="s">
        <v>17</v>
      </c>
      <c r="Q314" s="12896">
        <f>TODAY()-j314</f>
      </c>
      <c r="R314" s="12897">
        <f>VLOOKUP(A314,'Last Week'!A4:I385,7,FALSE)</f>
      </c>
    </row>
    <row r="315" ht="25.5" customHeight="true">
      <c r="A315" s="12898" t="s">
        <v>773</v>
      </c>
      <c r="B315" s="12899" t="s">
        <v>774</v>
      </c>
      <c r="C315" s="12900"/>
      <c r="D315" s="12901" t="s">
        <v>62</v>
      </c>
      <c r="E315" s="12902" t="s">
        <v>73</v>
      </c>
      <c r="F315" s="12903"/>
      <c r="G315" s="12904" t="s">
        <v>15</v>
      </c>
      <c r="H315" s="12905" t="n">
        <v>43124.12545432871</v>
      </c>
      <c r="I315" s="12906" t="n">
        <v>43124.12545432871</v>
      </c>
      <c r="J315" s="12907" t="n">
        <v>43119.5141446875</v>
      </c>
      <c r="K315" s="12908" t="n">
        <v>43119.5141446875</v>
      </c>
      <c r="L315" s="12909" t="s">
        <v>16</v>
      </c>
      <c r="M315" s="12910"/>
      <c r="N315" s="12911"/>
      <c r="O315" s="12912"/>
      <c r="P315" s="12913" t="s">
        <v>59</v>
      </c>
      <c r="Q315" s="12914">
        <f>TODAY()-j315</f>
      </c>
      <c r="R315" s="12915">
        <f>VLOOKUP(A315,'Last Week'!A4:I385,7,FALSE)</f>
      </c>
    </row>
    <row r="316" ht="25.5" customHeight="true">
      <c r="A316" s="12916" t="s">
        <v>775</v>
      </c>
      <c r="B316" s="12917" t="s">
        <v>586</v>
      </c>
      <c r="C316" s="12918"/>
      <c r="D316" s="12919" t="s">
        <v>587</v>
      </c>
      <c r="E316" s="12920" t="s">
        <v>116</v>
      </c>
      <c r="F316" s="12921"/>
      <c r="G316" s="12922" t="s">
        <v>15</v>
      </c>
      <c r="H316" s="12923" t="n">
        <v>43130.513306064815</v>
      </c>
      <c r="I316" s="12924" t="n">
        <v>43130.513306064815</v>
      </c>
      <c r="J316" s="12925" t="n">
        <v>43119.67252545139</v>
      </c>
      <c r="K316" s="12926" t="n">
        <v>43119.67252545139</v>
      </c>
      <c r="L316" s="12927" t="s">
        <v>16</v>
      </c>
      <c r="M316" s="12928"/>
      <c r="N316" s="12929"/>
      <c r="O316" s="12930"/>
      <c r="P316" s="12931" t="s">
        <v>17</v>
      </c>
      <c r="Q316" s="12932">
        <f>TODAY()-j316</f>
      </c>
      <c r="R316" s="12933">
        <f>VLOOKUP(A316,'Last Week'!A4:I385,7,FALSE)</f>
      </c>
    </row>
    <row r="317" ht="25.5" customHeight="true">
      <c r="A317" s="12934" t="s">
        <v>776</v>
      </c>
      <c r="B317" s="12935" t="s">
        <v>777</v>
      </c>
      <c r="C317" s="12936"/>
      <c r="D317" s="12937" t="s">
        <v>62</v>
      </c>
      <c r="E317" s="12938" t="s">
        <v>51</v>
      </c>
      <c r="F317" s="12939"/>
      <c r="G317" s="12940" t="s">
        <v>15</v>
      </c>
      <c r="H317" s="12941" t="n">
        <v>43124.12567431713</v>
      </c>
      <c r="I317" s="12942" t="n">
        <v>43124.12567431713</v>
      </c>
      <c r="J317" s="12943" t="n">
        <v>43120.09734758102</v>
      </c>
      <c r="K317" s="12944" t="n">
        <v>43120.09734758102</v>
      </c>
      <c r="L317" s="12945" t="s">
        <v>16</v>
      </c>
      <c r="M317" s="12946"/>
      <c r="N317" s="12947"/>
      <c r="O317" s="12948"/>
      <c r="P317" s="12949" t="s">
        <v>59</v>
      </c>
      <c r="Q317" s="12950">
        <f>TODAY()-j317</f>
      </c>
      <c r="R317" s="12951">
        <f>VLOOKUP(A317,'Last Week'!A4:I385,7,FALSE)</f>
      </c>
    </row>
    <row r="318" ht="25.5" customHeight="true">
      <c r="A318" s="12952" t="s">
        <v>778</v>
      </c>
      <c r="B318" s="12953" t="s">
        <v>779</v>
      </c>
      <c r="C318" s="12954"/>
      <c r="D318" s="12955" t="s">
        <v>593</v>
      </c>
      <c r="E318" s="12956" t="s">
        <v>402</v>
      </c>
      <c r="F318" s="12957"/>
      <c r="G318" s="12958" t="s">
        <v>15</v>
      </c>
      <c r="H318" s="12959" t="n">
        <v>43124.12579820602</v>
      </c>
      <c r="I318" s="12960" t="n">
        <v>43124.12579820602</v>
      </c>
      <c r="J318" s="12961" t="n">
        <v>43122.421396342594</v>
      </c>
      <c r="K318" s="12962" t="n">
        <v>43122.421396342594</v>
      </c>
      <c r="L318" s="12963" t="s">
        <v>16</v>
      </c>
      <c r="M318" s="12964"/>
      <c r="N318" s="12965"/>
      <c r="O318" s="12966"/>
      <c r="P318" s="12967" t="s">
        <v>17</v>
      </c>
      <c r="Q318" s="12968">
        <f>TODAY()-j318</f>
      </c>
      <c r="R318" s="12969">
        <f>VLOOKUP(A318,'Last Week'!A4:I385,7,FALSE)</f>
      </c>
    </row>
    <row r="319" ht="25.5" customHeight="true">
      <c r="A319" s="12970" t="s">
        <v>780</v>
      </c>
      <c r="B319" s="12971" t="s">
        <v>562</v>
      </c>
      <c r="C319" s="12972"/>
      <c r="D319" s="12973" t="s">
        <v>781</v>
      </c>
      <c r="E319" s="12974" t="s">
        <v>82</v>
      </c>
      <c r="F319" s="12975"/>
      <c r="G319" s="12976" t="s">
        <v>15</v>
      </c>
      <c r="H319" s="12977" t="n">
        <v>43124.12584122685</v>
      </c>
      <c r="I319" s="12978" t="n">
        <v>43124.12584122685</v>
      </c>
      <c r="J319" s="12979" t="n">
        <v>43122.4544512963</v>
      </c>
      <c r="K319" s="12980" t="n">
        <v>43122.4544512963</v>
      </c>
      <c r="L319" s="12981" t="s">
        <v>16</v>
      </c>
      <c r="M319" s="12982"/>
      <c r="N319" s="12983"/>
      <c r="O319" s="12984"/>
      <c r="P319" s="12985" t="s">
        <v>17</v>
      </c>
      <c r="Q319" s="12986">
        <f>TODAY()-j319</f>
      </c>
      <c r="R319" s="12987">
        <f>VLOOKUP(A319,'Last Week'!A4:I385,7,FALSE)</f>
      </c>
    </row>
    <row r="320" ht="25.5" customHeight="true">
      <c r="A320" s="12988" t="s">
        <v>782</v>
      </c>
      <c r="B320" s="12989" t="s">
        <v>783</v>
      </c>
      <c r="C320" s="12990"/>
      <c r="D320" s="12991" t="s">
        <v>62</v>
      </c>
      <c r="E320" s="12992" t="s">
        <v>73</v>
      </c>
      <c r="F320" s="12993"/>
      <c r="G320" s="12994" t="s">
        <v>15</v>
      </c>
      <c r="H320" s="12995" t="n">
        <v>43126.12624431713</v>
      </c>
      <c r="I320" s="12996" t="n">
        <v>43126.12624431713</v>
      </c>
      <c r="J320" s="12997" t="n">
        <v>43122.61598028935</v>
      </c>
      <c r="K320" s="12998" t="n">
        <v>43122.61598028935</v>
      </c>
      <c r="L320" s="12999" t="s">
        <v>16</v>
      </c>
      <c r="M320" s="13000"/>
      <c r="N320" s="13001"/>
      <c r="O320" s="13002"/>
      <c r="P320" s="13003" t="s">
        <v>17</v>
      </c>
      <c r="Q320" s="13004">
        <f>TODAY()-j320</f>
      </c>
      <c r="R320" s="13005">
        <f>VLOOKUP(A320,'Last Week'!A4:I385,7,FALSE)</f>
      </c>
    </row>
    <row r="321" ht="25.5" customHeight="true">
      <c r="A321" s="13006" t="s">
        <v>784</v>
      </c>
      <c r="B321" s="13007" t="s">
        <v>785</v>
      </c>
      <c r="C321" s="13008"/>
      <c r="D321" s="13009" t="s">
        <v>786</v>
      </c>
      <c r="E321" s="13010" t="s">
        <v>786</v>
      </c>
      <c r="F321" s="13011"/>
      <c r="G321" s="13012" t="s">
        <v>961</v>
      </c>
      <c r="H321" s="13013" t="n">
        <v>43166.517029525465</v>
      </c>
      <c r="I321" s="13014" t="n">
        <v>43166.517029525465</v>
      </c>
      <c r="J321" s="13015" t="n">
        <v>43122.63159494213</v>
      </c>
      <c r="K321" s="13016" t="n">
        <v>43122.63159494213</v>
      </c>
      <c r="L321" s="13017" t="s">
        <v>16</v>
      </c>
      <c r="M321" s="13018"/>
      <c r="N321" s="13019"/>
      <c r="O321" s="13020"/>
      <c r="P321" s="13021" t="s">
        <v>17</v>
      </c>
      <c r="Q321" s="13022">
        <f>TODAY()-j321</f>
      </c>
      <c r="R321" s="13023">
        <f>VLOOKUP(A321,'Last Week'!A4:I385,7,FALSE)</f>
      </c>
    </row>
    <row r="322" ht="25.5" customHeight="true">
      <c r="A322" s="13024" t="s">
        <v>787</v>
      </c>
      <c r="B322" s="13025" t="s">
        <v>788</v>
      </c>
      <c r="C322" s="13026"/>
      <c r="D322" s="13027" t="s">
        <v>62</v>
      </c>
      <c r="E322" s="13028" t="s">
        <v>51</v>
      </c>
      <c r="F322" s="13029"/>
      <c r="G322" s="13030" t="s">
        <v>15</v>
      </c>
      <c r="H322" s="13031" t="n">
        <v>43125.12576101852</v>
      </c>
      <c r="I322" s="13032" t="n">
        <v>43125.12576101852</v>
      </c>
      <c r="J322" s="13033" t="n">
        <v>43123.07936921297</v>
      </c>
      <c r="K322" s="13034" t="n">
        <v>43123.07936921297</v>
      </c>
      <c r="L322" s="13035" t="s">
        <v>16</v>
      </c>
      <c r="M322" s="13036"/>
      <c r="N322" s="13037"/>
      <c r="O322" s="13038"/>
      <c r="P322" s="13039" t="s">
        <v>59</v>
      </c>
      <c r="Q322" s="13040">
        <f>TODAY()-j322</f>
      </c>
      <c r="R322" s="13041">
        <f>VLOOKUP(A322,'Last Week'!A4:I385,7,FALSE)</f>
      </c>
    </row>
    <row r="323" ht="25.5" customHeight="true">
      <c r="A323" s="13042" t="s">
        <v>789</v>
      </c>
      <c r="B323" s="13043" t="s">
        <v>157</v>
      </c>
      <c r="C323" s="13044"/>
      <c r="D323" s="13045" t="s">
        <v>141</v>
      </c>
      <c r="E323" s="13046" t="s">
        <v>73</v>
      </c>
      <c r="F323" s="13047"/>
      <c r="G323" s="13048" t="s">
        <v>15</v>
      </c>
      <c r="H323" s="13049" t="n">
        <v>43125.20842653935</v>
      </c>
      <c r="I323" s="13050" t="n">
        <v>43125.20842653935</v>
      </c>
      <c r="J323" s="13051" t="n">
        <v>43123.62277502315</v>
      </c>
      <c r="K323" s="13052" t="n">
        <v>43123.62277502315</v>
      </c>
      <c r="L323" s="13053" t="s">
        <v>16</v>
      </c>
      <c r="M323" s="13054"/>
      <c r="N323" s="13055"/>
      <c r="O323" s="13056"/>
      <c r="P323" s="13057" t="s">
        <v>59</v>
      </c>
      <c r="Q323" s="13058">
        <f>TODAY()-j323</f>
      </c>
      <c r="R323" s="13059">
        <f>VLOOKUP(A323,'Last Week'!A4:I385,7,FALSE)</f>
      </c>
    </row>
    <row r="324" ht="25.5" customHeight="true">
      <c r="A324" s="13060" t="s">
        <v>790</v>
      </c>
      <c r="B324" s="13061" t="s">
        <v>791</v>
      </c>
      <c r="C324" s="13062"/>
      <c r="D324" s="13063" t="s">
        <v>62</v>
      </c>
      <c r="E324" s="13064" t="s">
        <v>51</v>
      </c>
      <c r="F324" s="13065"/>
      <c r="G324" s="13066" t="s">
        <v>15</v>
      </c>
      <c r="H324" s="13067" t="n">
        <v>43126.12576055556</v>
      </c>
      <c r="I324" s="13068" t="n">
        <v>43126.12576055556</v>
      </c>
      <c r="J324" s="13069" t="n">
        <v>43124.2729052662</v>
      </c>
      <c r="K324" s="13070" t="n">
        <v>43124.2729052662</v>
      </c>
      <c r="L324" s="13071" t="s">
        <v>16</v>
      </c>
      <c r="M324" s="13072"/>
      <c r="N324" s="13073"/>
      <c r="O324" s="13074"/>
      <c r="P324" s="13075" t="s">
        <v>59</v>
      </c>
      <c r="Q324" s="13076">
        <f>TODAY()-j324</f>
      </c>
      <c r="R324" s="13077">
        <f>VLOOKUP(A324,'Last Week'!A4:I385,7,FALSE)</f>
      </c>
    </row>
    <row r="325" ht="25.5" customHeight="true">
      <c r="A325" s="13078" t="s">
        <v>792</v>
      </c>
      <c r="B325" s="13079" t="s">
        <v>793</v>
      </c>
      <c r="C325" s="13080"/>
      <c r="D325" s="13081" t="s">
        <v>62</v>
      </c>
      <c r="E325" s="13082" t="s">
        <v>73</v>
      </c>
      <c r="F325" s="13083"/>
      <c r="G325" s="13084" t="s">
        <v>15</v>
      </c>
      <c r="H325" s="13085" t="n">
        <v>43129.00006633102</v>
      </c>
      <c r="I325" s="13086" t="n">
        <v>43129.00006633102</v>
      </c>
      <c r="J325" s="13087" t="n">
        <v>43126.47090547454</v>
      </c>
      <c r="K325" s="13088" t="n">
        <v>43126.47090547454</v>
      </c>
      <c r="L325" s="13089" t="s">
        <v>16</v>
      </c>
      <c r="M325" s="13090"/>
      <c r="N325" s="13091"/>
      <c r="O325" s="13092"/>
      <c r="P325" s="13093" t="s">
        <v>59</v>
      </c>
      <c r="Q325" s="13094">
        <f>TODAY()-j325</f>
      </c>
      <c r="R325" s="13095">
        <f>VLOOKUP(A325,'Last Week'!A4:I385,7,FALSE)</f>
      </c>
    </row>
    <row r="326" ht="25.5" customHeight="true">
      <c r="A326" s="13096" t="s">
        <v>794</v>
      </c>
      <c r="B326" s="13097" t="s">
        <v>795</v>
      </c>
      <c r="C326" s="13098"/>
      <c r="D326" s="13099" t="s">
        <v>62</v>
      </c>
      <c r="E326" s="13100" t="s">
        <v>209</v>
      </c>
      <c r="F326" s="13101"/>
      <c r="G326" s="13102" t="s">
        <v>15</v>
      </c>
      <c r="H326" s="13103" t="n">
        <v>43132.38114309028</v>
      </c>
      <c r="I326" s="13104" t="n">
        <v>43132.38114309028</v>
      </c>
      <c r="J326" s="13105" t="n">
        <v>43126.605977997686</v>
      </c>
      <c r="K326" s="13106" t="n">
        <v>43126.605977997686</v>
      </c>
      <c r="L326" s="13107" t="s">
        <v>16</v>
      </c>
      <c r="M326" s="13108"/>
      <c r="N326" s="13109"/>
      <c r="O326" s="13110"/>
      <c r="P326" s="13111" t="s">
        <v>59</v>
      </c>
      <c r="Q326" s="13112">
        <f>TODAY()-j326</f>
      </c>
      <c r="R326" s="13113">
        <f>VLOOKUP(A326,'Last Week'!A4:I385,7,FALSE)</f>
      </c>
    </row>
    <row r="327" ht="25.5" customHeight="true">
      <c r="A327" s="13114" t="s">
        <v>796</v>
      </c>
      <c r="B327" s="13115" t="s">
        <v>797</v>
      </c>
      <c r="C327" s="13116"/>
      <c r="D327" s="13117" t="s">
        <v>62</v>
      </c>
      <c r="E327" s="13118" t="s">
        <v>73</v>
      </c>
      <c r="F327" s="13119"/>
      <c r="G327" s="13120" t="s">
        <v>15</v>
      </c>
      <c r="H327" s="13121" t="n">
        <v>43131.12576740741</v>
      </c>
      <c r="I327" s="13122" t="n">
        <v>43131.12576740741</v>
      </c>
      <c r="J327" s="13123" t="n">
        <v>43126.710989548614</v>
      </c>
      <c r="K327" s="13124" t="n">
        <v>43126.710989548614</v>
      </c>
      <c r="L327" s="13125" t="s">
        <v>16</v>
      </c>
      <c r="M327" s="13126"/>
      <c r="N327" s="13127"/>
      <c r="O327" s="13128"/>
      <c r="P327" s="13129" t="s">
        <v>59</v>
      </c>
      <c r="Q327" s="13130">
        <f>TODAY()-j327</f>
      </c>
      <c r="R327" s="13131">
        <f>VLOOKUP(A327,'Last Week'!A4:I385,7,FALSE)</f>
      </c>
    </row>
    <row r="328" ht="25.5" customHeight="true">
      <c r="A328" s="13132" t="s">
        <v>798</v>
      </c>
      <c r="B328" s="13133" t="s">
        <v>799</v>
      </c>
      <c r="C328" s="13134"/>
      <c r="D328" s="13135" t="s">
        <v>800</v>
      </c>
      <c r="E328" s="13136" t="s">
        <v>800</v>
      </c>
      <c r="F328" s="13137"/>
      <c r="G328" s="13138" t="s">
        <v>15</v>
      </c>
      <c r="H328" s="13139" t="n">
        <v>43132.125732002314</v>
      </c>
      <c r="I328" s="13140" t="n">
        <v>43132.125732002314</v>
      </c>
      <c r="J328" s="13141" t="n">
        <v>43129.698186284724</v>
      </c>
      <c r="K328" s="13142" t="n">
        <v>43129.698186284724</v>
      </c>
      <c r="L328" s="13143" t="s">
        <v>16</v>
      </c>
      <c r="M328" s="13144"/>
      <c r="N328" s="13145"/>
      <c r="O328" s="13146"/>
      <c r="P328" s="13147" t="s">
        <v>59</v>
      </c>
      <c r="Q328" s="13148">
        <f>TODAY()-j328</f>
      </c>
      <c r="R328" s="13149">
        <f>VLOOKUP(A328,'Last Week'!A4:I385,7,FALSE)</f>
      </c>
    </row>
    <row r="329" ht="25.5" customHeight="true">
      <c r="A329" s="13150" t="s">
        <v>801</v>
      </c>
      <c r="B329" s="13151" t="s">
        <v>802</v>
      </c>
      <c r="C329" s="13152"/>
      <c r="D329" s="13153" t="s">
        <v>62</v>
      </c>
      <c r="E329" s="13154" t="s">
        <v>73</v>
      </c>
      <c r="F329" s="13155"/>
      <c r="G329" s="13156" t="s">
        <v>15</v>
      </c>
      <c r="H329" s="13157" t="n">
        <v>43132.41675736111</v>
      </c>
      <c r="I329" s="13158" t="n">
        <v>43132.41675736111</v>
      </c>
      <c r="J329" s="13159" t="n">
        <v>43130.62077695602</v>
      </c>
      <c r="K329" s="13160" t="n">
        <v>43130.62077695602</v>
      </c>
      <c r="L329" s="13161" t="s">
        <v>16</v>
      </c>
      <c r="M329" s="13162"/>
      <c r="N329" s="13163"/>
      <c r="O329" s="13164"/>
      <c r="P329" s="13165" t="s">
        <v>17</v>
      </c>
      <c r="Q329" s="13166">
        <f>TODAY()-j329</f>
      </c>
      <c r="R329" s="13167">
        <f>VLOOKUP(A329,'Last Week'!A4:I385,7,FALSE)</f>
      </c>
    </row>
    <row r="330" ht="25.5" customHeight="true">
      <c r="A330" s="13168" t="s">
        <v>803</v>
      </c>
      <c r="B330" s="13169" t="s">
        <v>804</v>
      </c>
      <c r="C330" s="13170"/>
      <c r="D330" s="13171" t="s">
        <v>805</v>
      </c>
      <c r="E330" s="13172" t="s">
        <v>34</v>
      </c>
      <c r="F330" s="13173"/>
      <c r="G330" s="13174" t="s">
        <v>15</v>
      </c>
      <c r="H330" s="13175" t="n">
        <v>43132.41676395833</v>
      </c>
      <c r="I330" s="13176" t="n">
        <v>43132.41676395833</v>
      </c>
      <c r="J330" s="13177" t="n">
        <v>43130.69436912037</v>
      </c>
      <c r="K330" s="13178" t="n">
        <v>43130.69436912037</v>
      </c>
      <c r="L330" s="13179" t="s">
        <v>16</v>
      </c>
      <c r="M330" s="13180"/>
      <c r="N330" s="13181"/>
      <c r="O330" s="13182"/>
      <c r="P330" s="13183" t="s">
        <v>17</v>
      </c>
      <c r="Q330" s="13184">
        <f>TODAY()-j330</f>
      </c>
      <c r="R330" s="13185">
        <f>VLOOKUP(A330,'Last Week'!A4:I385,7,FALSE)</f>
      </c>
    </row>
    <row r="331" ht="25.5" customHeight="true">
      <c r="A331" s="13186" t="s">
        <v>806</v>
      </c>
      <c r="B331" s="13187" t="s">
        <v>807</v>
      </c>
      <c r="C331" s="13188"/>
      <c r="D331" s="13189" t="s">
        <v>808</v>
      </c>
      <c r="E331" s="13190" t="s">
        <v>46</v>
      </c>
      <c r="F331" s="13191"/>
      <c r="G331" s="13192" t="s">
        <v>15</v>
      </c>
      <c r="H331" s="13193" t="n">
        <v>43138.125257025466</v>
      </c>
      <c r="I331" s="13194" t="n">
        <v>43138.125257025466</v>
      </c>
      <c r="J331" s="13195" t="n">
        <v>43130.74431497685</v>
      </c>
      <c r="K331" s="13196" t="n">
        <v>43130.74431497685</v>
      </c>
      <c r="L331" s="13197" t="s">
        <v>16</v>
      </c>
      <c r="M331" s="13198"/>
      <c r="N331" s="13199"/>
      <c r="O331" s="13200"/>
      <c r="P331" s="13201" t="s">
        <v>17</v>
      </c>
      <c r="Q331" s="13202">
        <f>TODAY()-j331</f>
      </c>
      <c r="R331" s="13203">
        <f>VLOOKUP(A331,'Last Week'!A4:I385,7,FALSE)</f>
      </c>
    </row>
    <row r="332" ht="25.5" customHeight="true">
      <c r="A332" s="13204" t="s">
        <v>809</v>
      </c>
      <c r="B332" s="13205" t="s">
        <v>810</v>
      </c>
      <c r="C332" s="13206"/>
      <c r="D332" s="13207" t="s">
        <v>811</v>
      </c>
      <c r="E332" s="13208" t="s">
        <v>812</v>
      </c>
      <c r="F332" s="13209"/>
      <c r="G332" s="13210" t="s">
        <v>15</v>
      </c>
      <c r="H332" s="13211" t="n">
        <v>43138.12540405092</v>
      </c>
      <c r="I332" s="13212" t="n">
        <v>43138.12540405092</v>
      </c>
      <c r="J332" s="13213" t="n">
        <v>43132.55306763889</v>
      </c>
      <c r="K332" s="13214" t="n">
        <v>43132.55306763889</v>
      </c>
      <c r="L332" s="13215" t="s">
        <v>16</v>
      </c>
      <c r="M332" s="13216"/>
      <c r="N332" s="13217"/>
      <c r="O332" s="13218"/>
      <c r="P332" s="13219" t="s">
        <v>17</v>
      </c>
      <c r="Q332" s="13220">
        <f>TODAY()-j332</f>
      </c>
      <c r="R332" s="13221">
        <f>VLOOKUP(A332,'Last Week'!A4:I385,7,FALSE)</f>
      </c>
    </row>
    <row r="333" ht="25.5" customHeight="true">
      <c r="A333" s="13222" t="s">
        <v>813</v>
      </c>
      <c r="B333" s="13223" t="s">
        <v>814</v>
      </c>
      <c r="C333" s="13224"/>
      <c r="D333" s="13225" t="s">
        <v>62</v>
      </c>
      <c r="E333" s="13226" t="s">
        <v>73</v>
      </c>
      <c r="F333" s="13227"/>
      <c r="G333" s="13228" t="s">
        <v>15</v>
      </c>
      <c r="H333" s="13229" t="n">
        <v>43138.125456354166</v>
      </c>
      <c r="I333" s="13230" t="n">
        <v>43138.125456354166</v>
      </c>
      <c r="J333" s="13231" t="n">
        <v>43133.623386782405</v>
      </c>
      <c r="K333" s="13232" t="n">
        <v>43133.623386782405</v>
      </c>
      <c r="L333" s="13233" t="s">
        <v>16</v>
      </c>
      <c r="M333" s="13234"/>
      <c r="N333" s="13235"/>
      <c r="O333" s="13236"/>
      <c r="P333" s="13237" t="s">
        <v>17</v>
      </c>
      <c r="Q333" s="13238">
        <f>TODAY()-j333</f>
      </c>
      <c r="R333" s="13239">
        <f>VLOOKUP(A333,'Last Week'!A4:I385,7,FALSE)</f>
      </c>
    </row>
    <row r="334" ht="25.5" customHeight="true">
      <c r="A334" s="13240" t="s">
        <v>815</v>
      </c>
      <c r="B334" s="13241" t="s">
        <v>313</v>
      </c>
      <c r="C334" s="13242"/>
      <c r="D334" s="13243" t="s">
        <v>55</v>
      </c>
      <c r="E334" s="13244" t="s">
        <v>29</v>
      </c>
      <c r="F334" s="13245"/>
      <c r="G334" s="13246" t="s">
        <v>15</v>
      </c>
      <c r="H334" s="13247" t="n">
        <v>43136.79176630787</v>
      </c>
      <c r="I334" s="13248" t="n">
        <v>43136.79176630787</v>
      </c>
      <c r="J334" s="13249" t="n">
        <v>43133.9341687037</v>
      </c>
      <c r="K334" s="13250" t="n">
        <v>43133.9341687037</v>
      </c>
      <c r="L334" s="13251" t="s">
        <v>16</v>
      </c>
      <c r="M334" s="13252"/>
      <c r="N334" s="13253"/>
      <c r="O334" s="13254"/>
      <c r="P334" s="13255" t="s">
        <v>59</v>
      </c>
      <c r="Q334" s="13256">
        <f>TODAY()-j334</f>
      </c>
      <c r="R334" s="13257">
        <f>VLOOKUP(A334,'Last Week'!A4:I385,7,FALSE)</f>
      </c>
    </row>
    <row r="335" ht="25.5" customHeight="true">
      <c r="A335" s="13258" t="s">
        <v>816</v>
      </c>
      <c r="B335" s="13259" t="s">
        <v>311</v>
      </c>
      <c r="C335" s="13260"/>
      <c r="D335" s="13261" t="s">
        <v>55</v>
      </c>
      <c r="E335" s="13262" t="s">
        <v>29</v>
      </c>
      <c r="F335" s="13263"/>
      <c r="G335" s="13264" t="s">
        <v>15</v>
      </c>
      <c r="H335" s="13265" t="n">
        <v>43140.12532615741</v>
      </c>
      <c r="I335" s="13266" t="n">
        <v>43140.12532615741</v>
      </c>
      <c r="J335" s="13267" t="n">
        <v>43133.935624247686</v>
      </c>
      <c r="K335" s="13268" t="n">
        <v>43133.935624247686</v>
      </c>
      <c r="L335" s="13269" t="s">
        <v>16</v>
      </c>
      <c r="M335" s="13270"/>
      <c r="N335" s="13271"/>
      <c r="O335" s="13272"/>
      <c r="P335" s="13273" t="s">
        <v>17</v>
      </c>
      <c r="Q335" s="13274">
        <f>TODAY()-j335</f>
      </c>
      <c r="R335" s="13275">
        <f>VLOOKUP(A335,'Last Week'!A4:I385,7,FALSE)</f>
      </c>
    </row>
    <row r="336" ht="25.5" customHeight="true">
      <c r="A336" s="13276" t="s">
        <v>817</v>
      </c>
      <c r="B336" s="13277" t="s">
        <v>818</v>
      </c>
      <c r="C336" s="13278"/>
      <c r="D336" s="13279" t="s">
        <v>819</v>
      </c>
      <c r="E336" s="13280" t="s">
        <v>38</v>
      </c>
      <c r="F336" s="13281"/>
      <c r="G336" s="13282" t="s">
        <v>15</v>
      </c>
      <c r="H336" s="13283" t="n">
        <v>43140.13129884259</v>
      </c>
      <c r="I336" s="13284" t="n">
        <v>43140.13129884259</v>
      </c>
      <c r="J336" s="13285" t="n">
        <v>43136.601278055554</v>
      </c>
      <c r="K336" s="13286" t="n">
        <v>43136.601278055554</v>
      </c>
      <c r="L336" s="13287" t="s">
        <v>16</v>
      </c>
      <c r="M336" s="13288"/>
      <c r="N336" s="13289"/>
      <c r="O336" s="13290"/>
      <c r="P336" s="13291" t="s">
        <v>17</v>
      </c>
      <c r="Q336" s="13292">
        <f>TODAY()-j336</f>
      </c>
      <c r="R336" s="13293">
        <f>VLOOKUP(A336,'Last Week'!A4:I385,7,FALSE)</f>
      </c>
    </row>
    <row r="337" ht="25.5" customHeight="true">
      <c r="A337" s="13294" t="s">
        <v>820</v>
      </c>
      <c r="B337" s="13295" t="s">
        <v>821</v>
      </c>
      <c r="C337" s="13296"/>
      <c r="D337" s="13297" t="s">
        <v>488</v>
      </c>
      <c r="E337" s="13298" t="s">
        <v>82</v>
      </c>
      <c r="F337" s="13299"/>
      <c r="G337" s="13300" t="s">
        <v>15</v>
      </c>
      <c r="H337" s="13301" t="n">
        <v>43140.13130269676</v>
      </c>
      <c r="I337" s="13302" t="n">
        <v>43140.13130269676</v>
      </c>
      <c r="J337" s="13303" t="n">
        <v>43136.65374594907</v>
      </c>
      <c r="K337" s="13304" t="n">
        <v>43136.65374594907</v>
      </c>
      <c r="L337" s="13305" t="s">
        <v>16</v>
      </c>
      <c r="M337" s="13306"/>
      <c r="N337" s="13307"/>
      <c r="O337" s="13308"/>
      <c r="P337" s="13309" t="s">
        <v>17</v>
      </c>
      <c r="Q337" s="13310">
        <f>TODAY()-j337</f>
      </c>
      <c r="R337" s="13311">
        <f>VLOOKUP(A337,'Last Week'!A4:I385,7,FALSE)</f>
      </c>
    </row>
    <row r="338" ht="25.5" customHeight="true">
      <c r="A338" s="13312" t="s">
        <v>822</v>
      </c>
      <c r="B338" s="13313" t="s">
        <v>164</v>
      </c>
      <c r="C338" s="13314"/>
      <c r="D338" s="13315" t="s">
        <v>165</v>
      </c>
      <c r="E338" s="13316" t="s">
        <v>216</v>
      </c>
      <c r="F338" s="13317"/>
      <c r="G338" s="13318" t="s">
        <v>15</v>
      </c>
      <c r="H338" s="13319" t="n">
        <v>43140.125505868054</v>
      </c>
      <c r="I338" s="13320" t="n">
        <v>43140.125505868054</v>
      </c>
      <c r="J338" s="13321" t="n">
        <v>43137.379953599535</v>
      </c>
      <c r="K338" s="13322" t="n">
        <v>43137.379953599535</v>
      </c>
      <c r="L338" s="13323" t="s">
        <v>16</v>
      </c>
      <c r="M338" s="13324"/>
      <c r="N338" s="13325"/>
      <c r="O338" s="13326"/>
      <c r="P338" s="13327" t="s">
        <v>17</v>
      </c>
      <c r="Q338" s="13328">
        <f>TODAY()-j338</f>
      </c>
      <c r="R338" s="13329">
        <f>VLOOKUP(A338,'Last Week'!A4:I385,7,FALSE)</f>
      </c>
    </row>
    <row r="339" ht="25.5" customHeight="true">
      <c r="A339" s="13330" t="s">
        <v>823</v>
      </c>
      <c r="B339" s="13331" t="s">
        <v>824</v>
      </c>
      <c r="C339" s="13332"/>
      <c r="D339" s="13333" t="s">
        <v>825</v>
      </c>
      <c r="E339" s="13334" t="s">
        <v>825</v>
      </c>
      <c r="F339" s="13335"/>
      <c r="G339" s="13336" t="s">
        <v>15</v>
      </c>
      <c r="H339" s="13337" t="n">
        <v>43147.16677488426</v>
      </c>
      <c r="I339" s="13338" t="n">
        <v>43147.16677488426</v>
      </c>
      <c r="J339" s="13339" t="n">
        <v>43139.742532303244</v>
      </c>
      <c r="K339" s="13340" t="n">
        <v>43139.742532303244</v>
      </c>
      <c r="L339" s="13341" t="s">
        <v>16</v>
      </c>
      <c r="M339" s="13342"/>
      <c r="N339" s="13343"/>
      <c r="O339" s="13344"/>
      <c r="P339" s="13345" t="s">
        <v>17</v>
      </c>
      <c r="Q339" s="13346">
        <f>TODAY()-j339</f>
      </c>
      <c r="R339" s="13347">
        <f>VLOOKUP(A339,'Last Week'!A4:I385,7,FALSE)</f>
      </c>
    </row>
    <row r="340" ht="25.5" customHeight="true">
      <c r="A340" s="13348" t="s">
        <v>826</v>
      </c>
      <c r="B340" s="13349" t="s">
        <v>827</v>
      </c>
      <c r="C340" s="13350"/>
      <c r="D340" s="13351" t="s">
        <v>155</v>
      </c>
      <c r="E340" s="13352" t="s">
        <v>73</v>
      </c>
      <c r="F340" s="13353"/>
      <c r="G340" s="13354" t="s">
        <v>15</v>
      </c>
      <c r="H340" s="13355" t="n">
        <v>43167.125484351855</v>
      </c>
      <c r="I340" s="13356" t="n">
        <v>43167.125484351855</v>
      </c>
      <c r="J340" s="13357" t="n">
        <v>43145.601988599534</v>
      </c>
      <c r="K340" s="13358" t="n">
        <v>43145.601988599534</v>
      </c>
      <c r="L340" s="13359" t="s">
        <v>16</v>
      </c>
      <c r="M340" s="13360"/>
      <c r="N340" s="13361"/>
      <c r="O340" s="13362"/>
      <c r="P340" s="13363" t="s">
        <v>17</v>
      </c>
      <c r="Q340" s="13364">
        <f>TODAY()-j340</f>
      </c>
      <c r="R340" s="13365">
        <f>VLOOKUP(A340,'Last Week'!A4:I385,7,FALSE)</f>
      </c>
    </row>
    <row r="341" ht="25.5" customHeight="true">
      <c r="A341" s="13366" t="s">
        <v>828</v>
      </c>
      <c r="B341" s="13367" t="s">
        <v>829</v>
      </c>
      <c r="C341" s="13368"/>
      <c r="D341" s="13369" t="s">
        <v>830</v>
      </c>
      <c r="E341" s="13370" t="s">
        <v>242</v>
      </c>
      <c r="F341" s="13371"/>
      <c r="G341" s="13372" t="s">
        <v>15</v>
      </c>
      <c r="H341" s="13373" t="n">
        <v>43152.13170607639</v>
      </c>
      <c r="I341" s="13374" t="n">
        <v>43152.13170607639</v>
      </c>
      <c r="J341" s="13375" t="n">
        <v>43147.703983576386</v>
      </c>
      <c r="K341" s="13376" t="n">
        <v>43147.703983576386</v>
      </c>
      <c r="L341" s="13377" t="s">
        <v>16</v>
      </c>
      <c r="M341" s="13378"/>
      <c r="N341" s="13379"/>
      <c r="O341" s="13380"/>
      <c r="P341" s="13381" t="s">
        <v>17</v>
      </c>
      <c r="Q341" s="13382">
        <f>TODAY()-j341</f>
      </c>
      <c r="R341" s="13383">
        <f>VLOOKUP(A341,'Last Week'!A4:I385,7,FALSE)</f>
      </c>
    </row>
    <row r="342" ht="25.5" customHeight="true">
      <c r="A342" s="13384" t="s">
        <v>831</v>
      </c>
      <c r="B342" s="13385" t="s">
        <v>832</v>
      </c>
      <c r="C342" s="13386"/>
      <c r="D342" s="13387" t="s">
        <v>833</v>
      </c>
      <c r="E342" s="13388" t="s">
        <v>116</v>
      </c>
      <c r="F342" s="13389"/>
      <c r="G342" s="13390" t="s">
        <v>15</v>
      </c>
      <c r="H342" s="13391" t="n">
        <v>43154.166400775466</v>
      </c>
      <c r="I342" s="13392" t="n">
        <v>43154.166400775466</v>
      </c>
      <c r="J342" s="13393" t="n">
        <v>43151.54643390046</v>
      </c>
      <c r="K342" s="13394" t="n">
        <v>43151.54643390046</v>
      </c>
      <c r="L342" s="13395" t="s">
        <v>16</v>
      </c>
      <c r="M342" s="13396"/>
      <c r="N342" s="13397"/>
      <c r="O342" s="13398"/>
      <c r="P342" s="13399" t="s">
        <v>17</v>
      </c>
      <c r="Q342" s="13400">
        <f>TODAY()-j342</f>
      </c>
      <c r="R342" s="13401">
        <f>VLOOKUP(A342,'Last Week'!A4:I385,7,FALSE)</f>
      </c>
    </row>
    <row r="343" ht="25.5" customHeight="true">
      <c r="A343" s="13402" t="s">
        <v>834</v>
      </c>
      <c r="B343" s="13403" t="s">
        <v>835</v>
      </c>
      <c r="C343" s="13404"/>
      <c r="D343" s="13405" t="s">
        <v>155</v>
      </c>
      <c r="E343" s="13406" t="s">
        <v>73</v>
      </c>
      <c r="F343" s="13407"/>
      <c r="G343" s="13408" t="s">
        <v>15</v>
      </c>
      <c r="H343" s="13409" t="n">
        <v>43167.125556377316</v>
      </c>
      <c r="I343" s="13410" t="n">
        <v>43167.125556377316</v>
      </c>
      <c r="J343" s="13411" t="n">
        <v>43152.54016416667</v>
      </c>
      <c r="K343" s="13412" t="n">
        <v>43152.54016416667</v>
      </c>
      <c r="L343" s="13413" t="s">
        <v>16</v>
      </c>
      <c r="M343" s="13414"/>
      <c r="N343" s="13415"/>
      <c r="O343" s="13416"/>
      <c r="P343" s="13417" t="s">
        <v>17</v>
      </c>
      <c r="Q343" s="13418">
        <f>TODAY()-j343</f>
      </c>
      <c r="R343" s="13419">
        <f>VLOOKUP(A343,'Last Week'!A4:I385,7,FALSE)</f>
      </c>
    </row>
    <row r="344" ht="25.5" customHeight="true">
      <c r="A344" s="13420" t="s">
        <v>836</v>
      </c>
      <c r="B344" s="13421" t="s">
        <v>837</v>
      </c>
      <c r="C344" s="13422"/>
      <c r="D344" s="13423" t="s">
        <v>165</v>
      </c>
      <c r="E344" s="13424" t="s">
        <v>216</v>
      </c>
      <c r="F344" s="13425"/>
      <c r="G344" s="13426" t="s">
        <v>15</v>
      </c>
      <c r="H344" s="13427" t="n">
        <v>43161.166874027775</v>
      </c>
      <c r="I344" s="13428" t="n">
        <v>43161.166874027775</v>
      </c>
      <c r="J344" s="13429" t="n">
        <v>43154.365415810185</v>
      </c>
      <c r="K344" s="13430" t="n">
        <v>43154.365415810185</v>
      </c>
      <c r="L344" s="13431" t="s">
        <v>16</v>
      </c>
      <c r="M344" s="13432"/>
      <c r="N344" s="13433"/>
      <c r="O344" s="13434"/>
      <c r="P344" s="13435" t="s">
        <v>17</v>
      </c>
      <c r="Q344" s="13436">
        <f>TODAY()-j344</f>
      </c>
      <c r="R344" s="13437">
        <f>VLOOKUP(A344,'Last Week'!A4:I385,7,FALSE)</f>
      </c>
    </row>
    <row r="345" ht="25.5" customHeight="true">
      <c r="A345" s="13438" t="s">
        <v>838</v>
      </c>
      <c r="B345" s="13439" t="s">
        <v>839</v>
      </c>
      <c r="C345" s="13440"/>
      <c r="D345" s="13441" t="s">
        <v>480</v>
      </c>
      <c r="E345" s="13442" t="s">
        <v>480</v>
      </c>
      <c r="F345" s="13443"/>
      <c r="G345" s="13444" t="s">
        <v>15</v>
      </c>
      <c r="H345" s="13445" t="n">
        <v>43162.12550539352</v>
      </c>
      <c r="I345" s="13446" t="n">
        <v>43162.12550539352</v>
      </c>
      <c r="J345" s="13447" t="n">
        <v>43157.473755266205</v>
      </c>
      <c r="K345" s="13448" t="n">
        <v>43157.473755266205</v>
      </c>
      <c r="L345" s="13449" t="s">
        <v>16</v>
      </c>
      <c r="M345" s="13450"/>
      <c r="N345" s="13451"/>
      <c r="O345" s="13452"/>
      <c r="P345" s="13453" t="s">
        <v>17</v>
      </c>
      <c r="Q345" s="13454">
        <f>TODAY()-j345</f>
      </c>
      <c r="R345" s="13455">
        <f>VLOOKUP(A345,'Last Week'!A4:I385,7,FALSE)</f>
      </c>
    </row>
    <row r="346" ht="25.5" customHeight="true">
      <c r="A346" s="13456" t="s">
        <v>840</v>
      </c>
      <c r="B346" s="13457" t="s">
        <v>841</v>
      </c>
      <c r="C346" s="13458"/>
      <c r="D346" s="13459" t="s">
        <v>842</v>
      </c>
      <c r="E346" s="13460" t="s">
        <v>842</v>
      </c>
      <c r="F346" s="13461"/>
      <c r="G346" s="13462" t="s">
        <v>15</v>
      </c>
      <c r="H346" s="13463" t="n">
        <v>43161.1668780787</v>
      </c>
      <c r="I346" s="13464" t="n">
        <v>43161.1668780787</v>
      </c>
      <c r="J346" s="13465" t="n">
        <v>43158.420868402776</v>
      </c>
      <c r="K346" s="13466" t="n">
        <v>43158.420868402776</v>
      </c>
      <c r="L346" s="13467" t="s">
        <v>16</v>
      </c>
      <c r="M346" s="13468"/>
      <c r="N346" s="13469"/>
      <c r="O346" s="13470"/>
      <c r="P346" s="13471" t="s">
        <v>17</v>
      </c>
      <c r="Q346" s="13472">
        <f>TODAY()-j346</f>
      </c>
      <c r="R346" s="13473">
        <f>VLOOKUP(A346,'Last Week'!A4:I385,7,FALSE)</f>
      </c>
    </row>
    <row r="347" ht="25.5" customHeight="true">
      <c r="A347" s="13474" t="s">
        <v>843</v>
      </c>
      <c r="B347" s="13475" t="s">
        <v>844</v>
      </c>
      <c r="C347" s="13476"/>
      <c r="D347" s="13477" t="s">
        <v>55</v>
      </c>
      <c r="E347" s="13478" t="s">
        <v>73</v>
      </c>
      <c r="F347" s="13479"/>
      <c r="G347" s="13480" t="s">
        <v>15</v>
      </c>
      <c r="H347" s="13481" t="n">
        <v>43167.167091863426</v>
      </c>
      <c r="I347" s="13482" t="n">
        <v>43167.167091863426</v>
      </c>
      <c r="J347" s="13483" t="n">
        <v>43164.47035065972</v>
      </c>
      <c r="K347" s="13484" t="n">
        <v>43164.47035065972</v>
      </c>
      <c r="L347" s="13485" t="s">
        <v>16</v>
      </c>
      <c r="M347" s="13486"/>
      <c r="N347" s="13487"/>
      <c r="O347" s="13488"/>
      <c r="P347" s="13489" t="s">
        <v>17</v>
      </c>
      <c r="Q347" s="13490">
        <f>TODAY()-j347</f>
      </c>
      <c r="R347" s="13491">
        <f>VLOOKUP(A347,'Last Week'!A4:I385,7,FALSE)</f>
      </c>
    </row>
    <row r="348" ht="25.5" customHeight="true">
      <c r="A348" s="13492" t="s">
        <v>845</v>
      </c>
      <c r="B348" s="13493" t="s">
        <v>846</v>
      </c>
      <c r="C348" s="13494"/>
      <c r="D348" s="13495" t="s">
        <v>55</v>
      </c>
      <c r="E348" s="13496" t="s">
        <v>73</v>
      </c>
      <c r="F348" s="13497"/>
      <c r="G348" s="13498" t="s">
        <v>15</v>
      </c>
      <c r="H348" s="13499" t="n">
        <v>43167.12575983796</v>
      </c>
      <c r="I348" s="13500" t="n">
        <v>43167.12575983796</v>
      </c>
      <c r="J348" s="13501" t="n">
        <v>43164.47171375</v>
      </c>
      <c r="K348" s="13502" t="n">
        <v>43164.47171375</v>
      </c>
      <c r="L348" s="13503" t="s">
        <v>16</v>
      </c>
      <c r="M348" s="13504"/>
      <c r="N348" s="13505"/>
      <c r="O348" s="13506"/>
      <c r="P348" s="13507" t="s">
        <v>59</v>
      </c>
      <c r="Q348" s="13508">
        <f>TODAY()-j348</f>
      </c>
      <c r="R348" s="13509">
        <f>VLOOKUP(A348,'Last Week'!A4:I385,7,FALSE)</f>
      </c>
    </row>
    <row r="349" ht="25.5" customHeight="true">
      <c r="A349" s="13510" t="s">
        <v>847</v>
      </c>
      <c r="B349" s="13511" t="s">
        <v>848</v>
      </c>
      <c r="C349" s="13512"/>
      <c r="D349" s="13513" t="s">
        <v>165</v>
      </c>
      <c r="E349" s="13514" t="s">
        <v>127</v>
      </c>
      <c r="F349" s="13515"/>
      <c r="G349" s="13516" t="s">
        <v>849</v>
      </c>
      <c r="H349" s="13517" t="n">
        <v>43165.48835811343</v>
      </c>
      <c r="I349" s="13518" t="n">
        <v>43165.48835811343</v>
      </c>
      <c r="J349" s="13519" t="n">
        <v>43165.487114097225</v>
      </c>
      <c r="K349" s="13520" t="n">
        <v>43165.487114097225</v>
      </c>
      <c r="L349" s="13521" t="s">
        <v>16</v>
      </c>
      <c r="M349" s="13522"/>
      <c r="N349" s="13523"/>
      <c r="O349" s="13524"/>
      <c r="P349" s="13525"/>
      <c r="Q349" s="13526">
        <f>TODAY()-j349</f>
      </c>
      <c r="R349" s="13527">
        <f>VLOOKUP(A349,'Last Week'!A4:I385,7,FALSE)</f>
      </c>
    </row>
    <row r="350" ht="25.5" customHeight="true">
      <c r="A350" s="13528" t="s">
        <v>850</v>
      </c>
      <c r="B350" s="13529" t="s">
        <v>348</v>
      </c>
      <c r="C350" s="13530"/>
      <c r="D350" s="13531" t="s">
        <v>800</v>
      </c>
      <c r="E350" s="13532" t="s">
        <v>800</v>
      </c>
      <c r="F350" s="13533"/>
      <c r="G350" s="13534" t="s">
        <v>15</v>
      </c>
      <c r="H350" s="13535" t="n">
        <v>43204.08401005787</v>
      </c>
      <c r="I350" s="13536" t="n">
        <v>43204.08401005787</v>
      </c>
      <c r="J350" s="13537" t="n">
        <v>43167.59056040509</v>
      </c>
      <c r="K350" s="13538" t="n">
        <v>43167.59056040509</v>
      </c>
      <c r="L350" s="13539" t="s">
        <v>16</v>
      </c>
      <c r="M350" s="13540"/>
      <c r="N350" s="13541"/>
      <c r="O350" s="13542"/>
      <c r="P350" s="13543" t="s">
        <v>17</v>
      </c>
      <c r="Q350" s="13544">
        <f>TODAY()-j350</f>
      </c>
      <c r="R350" s="13545">
        <f>VLOOKUP(A350,'Last Week'!A4:I385,7,FALSE)</f>
      </c>
    </row>
    <row r="351" ht="25.5" customHeight="true">
      <c r="A351" s="13546" t="s">
        <v>851</v>
      </c>
      <c r="B351" s="13547" t="s">
        <v>852</v>
      </c>
      <c r="C351" s="13548"/>
      <c r="D351" s="13549" t="s">
        <v>155</v>
      </c>
      <c r="E351" s="13550" t="s">
        <v>56</v>
      </c>
      <c r="F351" s="13551"/>
      <c r="G351" s="13552" t="s">
        <v>15</v>
      </c>
      <c r="H351" s="13553" t="n">
        <v>43229.12516628472</v>
      </c>
      <c r="I351" s="13554" t="n">
        <v>43229.12516628472</v>
      </c>
      <c r="J351" s="13555" t="n">
        <v>43167.7147624537</v>
      </c>
      <c r="K351" s="13556" t="n">
        <v>43167.7147624537</v>
      </c>
      <c r="L351" s="13557" t="s">
        <v>16</v>
      </c>
      <c r="M351" s="13558"/>
      <c r="N351" s="13559"/>
      <c r="O351" s="13560"/>
      <c r="P351" s="13561" t="s">
        <v>17</v>
      </c>
      <c r="Q351" s="13562">
        <f>TODAY()-j351</f>
      </c>
      <c r="R351" s="13563">
        <f>VLOOKUP(A351,'Last Week'!A4:I385,7,FALSE)</f>
      </c>
    </row>
    <row r="352" ht="25.5" customHeight="true">
      <c r="A352" s="13564" t="s">
        <v>853</v>
      </c>
      <c r="B352" s="13565" t="s">
        <v>854</v>
      </c>
      <c r="C352" s="13566"/>
      <c r="D352" s="13567" t="s">
        <v>855</v>
      </c>
      <c r="E352" s="13568" t="s">
        <v>29</v>
      </c>
      <c r="F352" s="13569"/>
      <c r="G352" s="13570" t="s">
        <v>15</v>
      </c>
      <c r="H352" s="13571" t="n">
        <v>43175.084737199075</v>
      </c>
      <c r="I352" s="13572" t="n">
        <v>43175.084737199075</v>
      </c>
      <c r="J352" s="13573" t="n">
        <v>43167.87227303241</v>
      </c>
      <c r="K352" s="13574" t="n">
        <v>43167.87227303241</v>
      </c>
      <c r="L352" s="13575" t="s">
        <v>16</v>
      </c>
      <c r="M352" s="13576"/>
      <c r="N352" s="13577"/>
      <c r="O352" s="13578"/>
      <c r="P352" s="13579" t="s">
        <v>59</v>
      </c>
      <c r="Q352" s="13580">
        <f>TODAY()-j352</f>
      </c>
      <c r="R352" s="13581">
        <f>VLOOKUP(A352,'Last Week'!A4:I385,7,FALSE)</f>
      </c>
    </row>
    <row r="353" ht="25.5" customHeight="true">
      <c r="A353" s="13582" t="s">
        <v>856</v>
      </c>
      <c r="B353" s="13583" t="s">
        <v>857</v>
      </c>
      <c r="C353" s="13584"/>
      <c r="D353" s="13585" t="s">
        <v>858</v>
      </c>
      <c r="E353" s="13586" t="s">
        <v>29</v>
      </c>
      <c r="F353" s="13587"/>
      <c r="G353" s="13588" t="s">
        <v>15</v>
      </c>
      <c r="H353" s="13589" t="n">
        <v>43204.08527613426</v>
      </c>
      <c r="I353" s="13590" t="n">
        <v>43204.08527613426</v>
      </c>
      <c r="J353" s="13591" t="n">
        <v>43171.85727945602</v>
      </c>
      <c r="K353" s="13592" t="n">
        <v>43171.85727945602</v>
      </c>
      <c r="L353" s="13593" t="s">
        <v>16</v>
      </c>
      <c r="M353" s="13594"/>
      <c r="N353" s="13595"/>
      <c r="O353" s="13596"/>
      <c r="P353" s="13597" t="s">
        <v>17</v>
      </c>
      <c r="Q353" s="13598">
        <f>TODAY()-j353</f>
      </c>
      <c r="R353" s="13599">
        <f>VLOOKUP(A353,'Last Week'!A4:I385,7,FALSE)</f>
      </c>
    </row>
    <row r="354" ht="25.5" customHeight="true">
      <c r="A354" s="13600" t="s">
        <v>859</v>
      </c>
      <c r="B354" s="13601" t="s">
        <v>860</v>
      </c>
      <c r="C354" s="13602"/>
      <c r="D354" s="13603" t="s">
        <v>480</v>
      </c>
      <c r="E354" s="13604" t="s">
        <v>14</v>
      </c>
      <c r="F354" s="13605"/>
      <c r="G354" s="13606" t="s">
        <v>15</v>
      </c>
      <c r="H354" s="13607" t="n">
        <v>43203.748125555554</v>
      </c>
      <c r="I354" s="13608" t="n">
        <v>43203.748125555554</v>
      </c>
      <c r="J354" s="13609" t="n">
        <v>43174.47967045139</v>
      </c>
      <c r="K354" s="13610" t="n">
        <v>43174.47967045139</v>
      </c>
      <c r="L354" s="13611" t="s">
        <v>16</v>
      </c>
      <c r="M354" s="13612"/>
      <c r="N354" s="13613"/>
      <c r="O354" s="13614"/>
      <c r="P354" s="13615" t="s">
        <v>59</v>
      </c>
      <c r="Q354" s="13616">
        <f>TODAY()-j354</f>
      </c>
      <c r="R354" s="13617">
        <f>VLOOKUP(A354,'Last Week'!A4:I385,7,FALSE)</f>
      </c>
    </row>
    <row r="355" ht="25.5" customHeight="true">
      <c r="A355" s="13618" t="s">
        <v>861</v>
      </c>
      <c r="B355" s="13619" t="s">
        <v>862</v>
      </c>
      <c r="C355" s="13620"/>
      <c r="D355" s="13621" t="s">
        <v>863</v>
      </c>
      <c r="E355" s="13622" t="s">
        <v>278</v>
      </c>
      <c r="F355" s="13623"/>
      <c r="G355" s="13624" t="s">
        <v>15</v>
      </c>
      <c r="H355" s="13625" t="n">
        <v>43184.91711569444</v>
      </c>
      <c r="I355" s="13626" t="n">
        <v>43184.91711569444</v>
      </c>
      <c r="J355" s="13627" t="n">
        <v>43178.40127884259</v>
      </c>
      <c r="K355" s="13628" t="n">
        <v>43178.40127884259</v>
      </c>
      <c r="L355" s="13629" t="s">
        <v>16</v>
      </c>
      <c r="M355" s="13630"/>
      <c r="N355" s="13631"/>
      <c r="O355" s="13632"/>
      <c r="P355" s="13633" t="s">
        <v>17</v>
      </c>
      <c r="Q355" s="13634">
        <f>TODAY()-j355</f>
      </c>
      <c r="R355" s="13635">
        <f>VLOOKUP(A355,'Last Week'!A4:I385,7,FALSE)</f>
      </c>
    </row>
    <row r="356" ht="25.5" customHeight="true">
      <c r="A356" s="13636" t="s">
        <v>864</v>
      </c>
      <c r="B356" s="13637" t="s">
        <v>865</v>
      </c>
      <c r="C356" s="13638"/>
      <c r="D356" s="13639" t="s">
        <v>155</v>
      </c>
      <c r="E356" s="13640" t="s">
        <v>56</v>
      </c>
      <c r="F356" s="13641"/>
      <c r="G356" s="13642" t="s">
        <v>15</v>
      </c>
      <c r="H356" s="13643" t="n">
        <v>43204.08527863426</v>
      </c>
      <c r="I356" s="13644" t="n">
        <v>43204.08527863426</v>
      </c>
      <c r="J356" s="13645" t="n">
        <v>43178.54911266204</v>
      </c>
      <c r="K356" s="13646" t="n">
        <v>43178.54911266204</v>
      </c>
      <c r="L356" s="13647" t="s">
        <v>16</v>
      </c>
      <c r="M356" s="13648"/>
      <c r="N356" s="13649"/>
      <c r="O356" s="13650"/>
      <c r="P356" s="13651" t="s">
        <v>17</v>
      </c>
      <c r="Q356" s="13652">
        <f>TODAY()-j356</f>
      </c>
      <c r="R356" s="13653">
        <f>VLOOKUP(A356,'Last Week'!A4:I385,7,FALSE)</f>
      </c>
    </row>
    <row r="357" ht="25.5" customHeight="true">
      <c r="A357" s="13654" t="s">
        <v>866</v>
      </c>
      <c r="B357" s="13655" t="s">
        <v>867</v>
      </c>
      <c r="C357" s="13656"/>
      <c r="D357" s="13657" t="s">
        <v>557</v>
      </c>
      <c r="E357" s="13658" t="s">
        <v>184</v>
      </c>
      <c r="F357" s="13659"/>
      <c r="G357" s="13660" t="s">
        <v>15</v>
      </c>
      <c r="H357" s="13661" t="n">
        <v>43209.08559400463</v>
      </c>
      <c r="I357" s="13662" t="n">
        <v>43209.08559400463</v>
      </c>
      <c r="J357" s="13663" t="n">
        <v>43179.39831230324</v>
      </c>
      <c r="K357" s="13664" t="n">
        <v>43179.39831230324</v>
      </c>
      <c r="L357" s="13665" t="s">
        <v>16</v>
      </c>
      <c r="M357" s="13666"/>
      <c r="N357" s="13667"/>
      <c r="O357" s="13668"/>
      <c r="P357" s="13669" t="s">
        <v>59</v>
      </c>
      <c r="Q357" s="13670">
        <f>TODAY()-j357</f>
      </c>
      <c r="R357" s="13671">
        <f>VLOOKUP(A357,'Last Week'!A4:I385,7,FALSE)</f>
      </c>
    </row>
    <row r="358" ht="25.5" customHeight="true">
      <c r="A358" s="13672" t="s">
        <v>868</v>
      </c>
      <c r="B358" s="13673" t="s">
        <v>869</v>
      </c>
      <c r="C358" s="13674"/>
      <c r="D358" s="13675" t="s">
        <v>870</v>
      </c>
      <c r="E358" s="13676" t="s">
        <v>29</v>
      </c>
      <c r="F358" s="13677"/>
      <c r="G358" s="13678" t="s">
        <v>15</v>
      </c>
      <c r="H358" s="13679" t="n">
        <v>43196.08391019676</v>
      </c>
      <c r="I358" s="13680" t="n">
        <v>43196.08391019676</v>
      </c>
      <c r="J358" s="13681" t="n">
        <v>43180.851804722224</v>
      </c>
      <c r="K358" s="13682" t="n">
        <v>43180.851804722224</v>
      </c>
      <c r="L358" s="13683" t="s">
        <v>16</v>
      </c>
      <c r="M358" s="13684"/>
      <c r="N358" s="13685"/>
      <c r="O358" s="13686"/>
      <c r="P358" s="13687" t="s">
        <v>59</v>
      </c>
      <c r="Q358" s="13688">
        <f>TODAY()-j358</f>
      </c>
      <c r="R358" s="13689">
        <f>VLOOKUP(A358,'Last Week'!A4:I385,7,FALSE)</f>
      </c>
    </row>
    <row r="359" ht="25.5" customHeight="true">
      <c r="A359" s="13690" t="s">
        <v>871</v>
      </c>
      <c r="B359" s="13691" t="s">
        <v>872</v>
      </c>
      <c r="C359" s="13692"/>
      <c r="D359" s="13693" t="s">
        <v>155</v>
      </c>
      <c r="E359" s="13694" t="s">
        <v>73</v>
      </c>
      <c r="F359" s="13695"/>
      <c r="G359" s="13696" t="s">
        <v>15</v>
      </c>
      <c r="H359" s="13697" t="n">
        <v>43204.08527991898</v>
      </c>
      <c r="I359" s="13698" t="n">
        <v>43204.08527991898</v>
      </c>
      <c r="J359" s="13699" t="n">
        <v>43182.40842334491</v>
      </c>
      <c r="K359" s="13700" t="n">
        <v>43182.40842334491</v>
      </c>
      <c r="L359" s="13701" t="s">
        <v>16</v>
      </c>
      <c r="M359" s="13702"/>
      <c r="N359" s="13703"/>
      <c r="O359" s="13704"/>
      <c r="P359" s="13705" t="s">
        <v>17</v>
      </c>
      <c r="Q359" s="13706">
        <f>TODAY()-j359</f>
      </c>
      <c r="R359" s="13707">
        <f>VLOOKUP(A359,'Last Week'!A4:I385,7,FALSE)</f>
      </c>
    </row>
    <row r="360" ht="25.5" customHeight="true">
      <c r="A360" s="13708" t="s">
        <v>873</v>
      </c>
      <c r="B360" s="13709" t="s">
        <v>874</v>
      </c>
      <c r="C360" s="13710"/>
      <c r="D360" s="13711" t="s">
        <v>557</v>
      </c>
      <c r="E360" s="13712" t="s">
        <v>56</v>
      </c>
      <c r="F360" s="13713"/>
      <c r="G360" s="13714" t="s">
        <v>15</v>
      </c>
      <c r="H360" s="13715" t="n">
        <v>43187.084811493056</v>
      </c>
      <c r="I360" s="13716" t="n">
        <v>43187.084811493056</v>
      </c>
      <c r="J360" s="13717" t="n">
        <v>43182.69220820602</v>
      </c>
      <c r="K360" s="13718" t="n">
        <v>43182.69220820602</v>
      </c>
      <c r="L360" s="13719" t="s">
        <v>16</v>
      </c>
      <c r="M360" s="13720"/>
      <c r="N360" s="13721"/>
      <c r="O360" s="13722"/>
      <c r="P360" s="13723" t="s">
        <v>17</v>
      </c>
      <c r="Q360" s="13724">
        <f>TODAY()-j360</f>
      </c>
      <c r="R360" s="13725">
        <f>VLOOKUP(A360,'Last Week'!A4:I385,7,FALSE)</f>
      </c>
    </row>
    <row r="361" ht="25.5" customHeight="true">
      <c r="A361" s="13726" t="s">
        <v>875</v>
      </c>
      <c r="B361" s="13727" t="s">
        <v>874</v>
      </c>
      <c r="C361" s="13728"/>
      <c r="D361" s="13729" t="s">
        <v>557</v>
      </c>
      <c r="E361" s="13730" t="s">
        <v>56</v>
      </c>
      <c r="F361" s="13731"/>
      <c r="G361" s="13732" t="s">
        <v>15</v>
      </c>
      <c r="H361" s="13733" t="n">
        <v>43187.08481310185</v>
      </c>
      <c r="I361" s="13734" t="n">
        <v>43187.08481310185</v>
      </c>
      <c r="J361" s="13735" t="n">
        <v>43182.693912650466</v>
      </c>
      <c r="K361" s="13736" t="n">
        <v>43182.693912650466</v>
      </c>
      <c r="L361" s="13737" t="s">
        <v>16</v>
      </c>
      <c r="M361" s="13738"/>
      <c r="N361" s="13739"/>
      <c r="O361" s="13740"/>
      <c r="P361" s="13741" t="s">
        <v>17</v>
      </c>
      <c r="Q361" s="13742">
        <f>TODAY()-j361</f>
      </c>
      <c r="R361" s="13743">
        <f>VLOOKUP(A361,'Last Week'!A4:I385,7,FALSE)</f>
      </c>
    </row>
    <row r="362" ht="25.5" customHeight="true">
      <c r="A362" s="13744" t="s">
        <v>876</v>
      </c>
      <c r="B362" s="13745" t="s">
        <v>874</v>
      </c>
      <c r="C362" s="13746"/>
      <c r="D362" s="13747" t="s">
        <v>557</v>
      </c>
      <c r="E362" s="13748" t="s">
        <v>56</v>
      </c>
      <c r="F362" s="13749"/>
      <c r="G362" s="13750" t="s">
        <v>15</v>
      </c>
      <c r="H362" s="13751" t="n">
        <v>43187.08481474537</v>
      </c>
      <c r="I362" s="13752" t="n">
        <v>43187.08481474537</v>
      </c>
      <c r="J362" s="13753" t="n">
        <v>43182.694882511576</v>
      </c>
      <c r="K362" s="13754" t="n">
        <v>43182.694882511576</v>
      </c>
      <c r="L362" s="13755" t="s">
        <v>16</v>
      </c>
      <c r="M362" s="13756"/>
      <c r="N362" s="13757"/>
      <c r="O362" s="13758"/>
      <c r="P362" s="13759" t="s">
        <v>17</v>
      </c>
      <c r="Q362" s="13760">
        <f>TODAY()-j362</f>
      </c>
      <c r="R362" s="13761">
        <f>VLOOKUP(A362,'Last Week'!A4:I385,7,FALSE)</f>
      </c>
    </row>
    <row r="363" ht="25.5" customHeight="true">
      <c r="A363" s="13762" t="s">
        <v>877</v>
      </c>
      <c r="B363" s="13763" t="s">
        <v>313</v>
      </c>
      <c r="C363" s="13764"/>
      <c r="D363" s="13765" t="s">
        <v>55</v>
      </c>
      <c r="E363" s="13766" t="s">
        <v>73</v>
      </c>
      <c r="F363" s="13767"/>
      <c r="G363" s="13768" t="s">
        <v>15</v>
      </c>
      <c r="H363" s="13769" t="n">
        <v>43209.62572230324</v>
      </c>
      <c r="I363" s="13770" t="n">
        <v>43209.62572230324</v>
      </c>
      <c r="J363" s="13771" t="n">
        <v>43193.463435798614</v>
      </c>
      <c r="K363" s="13772" t="n">
        <v>43193.463435798614</v>
      </c>
      <c r="L363" s="13773" t="s">
        <v>16</v>
      </c>
      <c r="M363" s="13774"/>
      <c r="N363" s="13775"/>
      <c r="O363" s="13776"/>
      <c r="P363" s="13777" t="s">
        <v>59</v>
      </c>
      <c r="Q363" s="13778">
        <f>TODAY()-j363</f>
      </c>
      <c r="R363" s="13779">
        <f>VLOOKUP(A363,'Last Week'!A4:I385,7,FALSE)</f>
      </c>
    </row>
    <row r="364" ht="25.5" customHeight="true">
      <c r="A364" s="13780" t="s">
        <v>878</v>
      </c>
      <c r="B364" s="13781" t="s">
        <v>879</v>
      </c>
      <c r="C364" s="13782"/>
      <c r="D364" s="13783" t="s">
        <v>729</v>
      </c>
      <c r="E364" s="13784" t="s">
        <v>729</v>
      </c>
      <c r="F364" s="13785"/>
      <c r="G364" s="13786" t="s">
        <v>15</v>
      </c>
      <c r="H364" s="13787" t="n">
        <v>43195.68535128472</v>
      </c>
      <c r="I364" s="13788" t="n">
        <v>43195.68535128472</v>
      </c>
      <c r="J364" s="13789" t="n">
        <v>43193.50073204861</v>
      </c>
      <c r="K364" s="13790" t="n">
        <v>43193.50073204861</v>
      </c>
      <c r="L364" s="13791" t="s">
        <v>16</v>
      </c>
      <c r="M364" s="13792"/>
      <c r="N364" s="13793"/>
      <c r="O364" s="13794"/>
      <c r="P364" s="13795" t="s">
        <v>59</v>
      </c>
      <c r="Q364" s="13796">
        <f>TODAY()-j364</f>
      </c>
      <c r="R364" s="13797">
        <f>VLOOKUP(A364,'Last Week'!A4:I385,7,FALSE)</f>
      </c>
    </row>
    <row r="365" ht="25.5" customHeight="true">
      <c r="A365" s="13798" t="s">
        <v>880</v>
      </c>
      <c r="B365" s="13799" t="s">
        <v>881</v>
      </c>
      <c r="C365" s="13800"/>
      <c r="D365" s="13801" t="s">
        <v>184</v>
      </c>
      <c r="E365" s="13802" t="s">
        <v>184</v>
      </c>
      <c r="F365" s="13803"/>
      <c r="G365" s="13804" t="s">
        <v>15</v>
      </c>
      <c r="H365" s="13805" t="n">
        <v>43196.08411895833</v>
      </c>
      <c r="I365" s="13806" t="n">
        <v>43196.08411895833</v>
      </c>
      <c r="J365" s="13807" t="n">
        <v>43193.547248125</v>
      </c>
      <c r="K365" s="13808" t="n">
        <v>43193.547248125</v>
      </c>
      <c r="L365" s="13809" t="s">
        <v>16</v>
      </c>
      <c r="M365" s="13810"/>
      <c r="N365" s="13811"/>
      <c r="O365" s="13812"/>
      <c r="P365" s="13813" t="s">
        <v>59</v>
      </c>
      <c r="Q365" s="13814">
        <f>TODAY()-j365</f>
      </c>
      <c r="R365" s="13815">
        <f>VLOOKUP(A365,'Last Week'!A4:I385,7,FALSE)</f>
      </c>
    </row>
    <row r="366" ht="25.5" customHeight="true">
      <c r="A366" s="13816" t="s">
        <v>882</v>
      </c>
      <c r="B366" s="13817" t="s">
        <v>883</v>
      </c>
      <c r="C366" s="13818"/>
      <c r="D366" s="13819" t="s">
        <v>855</v>
      </c>
      <c r="E366" s="13820" t="s">
        <v>29</v>
      </c>
      <c r="F366" s="13821"/>
      <c r="G366" s="13822" t="s">
        <v>15</v>
      </c>
      <c r="H366" s="13823" t="n">
        <v>43196.084207037035</v>
      </c>
      <c r="I366" s="13824" t="n">
        <v>43196.084207037035</v>
      </c>
      <c r="J366" s="13825" t="n">
        <v>43193.942847638886</v>
      </c>
      <c r="K366" s="13826" t="n">
        <v>43193.942847638886</v>
      </c>
      <c r="L366" s="13827" t="s">
        <v>16</v>
      </c>
      <c r="M366" s="13828"/>
      <c r="N366" s="13829"/>
      <c r="O366" s="13830"/>
      <c r="P366" s="13831" t="s">
        <v>59</v>
      </c>
      <c r="Q366" s="13832">
        <f>TODAY()-j366</f>
      </c>
      <c r="R366" s="13833">
        <f>VLOOKUP(A366,'Last Week'!A4:I385,7,FALSE)</f>
      </c>
    </row>
    <row r="367" ht="25.5" customHeight="true">
      <c r="A367" s="13834" t="s">
        <v>884</v>
      </c>
      <c r="B367" s="13835" t="s">
        <v>885</v>
      </c>
      <c r="C367" s="13836"/>
      <c r="D367" s="13837" t="s">
        <v>495</v>
      </c>
      <c r="E367" s="13838" t="s">
        <v>495</v>
      </c>
      <c r="F367" s="13839"/>
      <c r="G367" s="13840" t="s">
        <v>15</v>
      </c>
      <c r="H367" s="13841" t="n">
        <v>43202.08550645833</v>
      </c>
      <c r="I367" s="13842" t="n">
        <v>43202.08550645833</v>
      </c>
      <c r="J367" s="13843" t="n">
        <v>43196.79270892361</v>
      </c>
      <c r="K367" s="13844" t="n">
        <v>43196.79270892361</v>
      </c>
      <c r="L367" s="13845" t="s">
        <v>16</v>
      </c>
      <c r="M367" s="13846"/>
      <c r="N367" s="13847"/>
      <c r="O367" s="13848"/>
      <c r="P367" s="13849" t="s">
        <v>59</v>
      </c>
      <c r="Q367" s="13850">
        <f>TODAY()-j367</f>
      </c>
      <c r="R367" s="13851">
        <f>VLOOKUP(A367,'Last Week'!A4:I385,7,FALSE)</f>
      </c>
    </row>
    <row r="368" ht="25.5" customHeight="true">
      <c r="A368" s="13852" t="s">
        <v>886</v>
      </c>
      <c r="B368" s="13853" t="s">
        <v>887</v>
      </c>
      <c r="C368" s="13854"/>
      <c r="D368" s="13855" t="s">
        <v>141</v>
      </c>
      <c r="E368" s="13856" t="s">
        <v>56</v>
      </c>
      <c r="F368" s="13857"/>
      <c r="G368" s="13858" t="s">
        <v>15</v>
      </c>
      <c r="H368" s="13859" t="n">
        <v>43209.084831782406</v>
      </c>
      <c r="I368" s="13860" t="n">
        <v>43209.084831782406</v>
      </c>
      <c r="J368" s="13861" t="n">
        <v>43201.553883657405</v>
      </c>
      <c r="K368" s="13862" t="n">
        <v>43201.553883657405</v>
      </c>
      <c r="L368" s="13863" t="s">
        <v>16</v>
      </c>
      <c r="M368" s="13864"/>
      <c r="N368" s="13865"/>
      <c r="O368" s="13866"/>
      <c r="P368" s="13867" t="s">
        <v>59</v>
      </c>
      <c r="Q368" s="13868">
        <f>TODAY()-j368</f>
      </c>
      <c r="R368" s="13869">
        <f>VLOOKUP(A368,'Last Week'!A4:I385,7,FALSE)</f>
      </c>
    </row>
    <row r="369" ht="25.5" customHeight="true">
      <c r="A369" s="13870" t="s">
        <v>888</v>
      </c>
      <c r="B369" s="13871" t="s">
        <v>889</v>
      </c>
      <c r="C369" s="13872"/>
      <c r="D369" s="13873" t="s">
        <v>376</v>
      </c>
      <c r="E369" s="13874" t="s">
        <v>209</v>
      </c>
      <c r="F369" s="13875"/>
      <c r="G369" s="13876" t="s">
        <v>972</v>
      </c>
      <c r="H369" s="13877" t="n">
        <v>43251.456585162035</v>
      </c>
      <c r="I369" s="13878" t="n">
        <v>43251.456585162035</v>
      </c>
      <c r="J369" s="13879" t="n">
        <v>43203.498519085646</v>
      </c>
      <c r="K369" s="13880" t="n">
        <v>43203.498519085646</v>
      </c>
      <c r="L369" s="13881" t="s">
        <v>16</v>
      </c>
      <c r="M369" s="13882"/>
      <c r="N369" s="13883"/>
      <c r="O369" s="13884"/>
      <c r="P369" s="13885" t="s">
        <v>17</v>
      </c>
      <c r="Q369" s="13886">
        <f>TODAY()-j369</f>
      </c>
      <c r="R369" s="13887">
        <f>VLOOKUP(A369,'Last Week'!A4:I385,7,FALSE)</f>
      </c>
    </row>
    <row r="370" ht="25.5" customHeight="true">
      <c r="A370" s="13888" t="s">
        <v>890</v>
      </c>
      <c r="B370" s="13889" t="s">
        <v>891</v>
      </c>
      <c r="C370" s="13890"/>
      <c r="D370" s="13891" t="s">
        <v>892</v>
      </c>
      <c r="E370" s="13892" t="s">
        <v>73</v>
      </c>
      <c r="F370" s="13893"/>
      <c r="G370" s="13894" t="s">
        <v>849</v>
      </c>
      <c r="H370" s="13895" t="n">
        <v>43207.735590625</v>
      </c>
      <c r="I370" s="13896" t="n">
        <v>43207.735590625</v>
      </c>
      <c r="J370" s="13897" t="n">
        <v>43207.73377292824</v>
      </c>
      <c r="K370" s="13898" t="n">
        <v>43207.73377292824</v>
      </c>
      <c r="L370" s="13899" t="s">
        <v>16</v>
      </c>
      <c r="M370" s="13900"/>
      <c r="N370" s="13901"/>
      <c r="O370" s="13902"/>
      <c r="P370" s="13903"/>
      <c r="Q370" s="13904">
        <f>TODAY()-j370</f>
      </c>
      <c r="R370" s="13905">
        <f>VLOOKUP(A370,'Last Week'!A4:I385,7,FALSE)</f>
      </c>
    </row>
    <row r="371" ht="38.25" customHeight="true">
      <c r="A371" s="13906" t="s">
        <v>893</v>
      </c>
      <c r="B371" s="13907" t="s">
        <v>894</v>
      </c>
      <c r="C371" s="13908"/>
      <c r="D371" s="13909" t="s">
        <v>895</v>
      </c>
      <c r="E371" s="13910" t="s">
        <v>116</v>
      </c>
      <c r="F371" s="13911"/>
      <c r="G371" s="13912" t="s">
        <v>15</v>
      </c>
      <c r="H371" s="13913" t="n">
        <v>43233.12524700232</v>
      </c>
      <c r="I371" s="13914" t="n">
        <v>43233.12524700232</v>
      </c>
      <c r="J371" s="13915" t="n">
        <v>43208.613928125</v>
      </c>
      <c r="K371" s="13916" t="n">
        <v>43208.613928125</v>
      </c>
      <c r="L371" s="13917" t="s">
        <v>16</v>
      </c>
      <c r="M371" s="13918"/>
      <c r="N371" s="13919"/>
      <c r="O371" s="13920"/>
      <c r="P371" s="13921" t="s">
        <v>17</v>
      </c>
      <c r="Q371" s="13922">
        <f>TODAY()-j371</f>
      </c>
      <c r="R371" s="13923">
        <f>VLOOKUP(A371,'Last Week'!A4:I385,7,FALSE)</f>
      </c>
    </row>
    <row r="372" ht="25.5" customHeight="true">
      <c r="A372" s="13924" t="s">
        <v>896</v>
      </c>
      <c r="B372" s="13925" t="s">
        <v>897</v>
      </c>
      <c r="C372" s="13926"/>
      <c r="D372" s="13927" t="s">
        <v>155</v>
      </c>
      <c r="E372" s="13928" t="s">
        <v>73</v>
      </c>
      <c r="F372" s="13929"/>
      <c r="G372" s="13930" t="s">
        <v>15</v>
      </c>
      <c r="H372" s="13931" t="n">
        <v>43216.08411171296</v>
      </c>
      <c r="I372" s="13932" t="n">
        <v>43216.08411171296</v>
      </c>
      <c r="J372" s="13933" t="n">
        <v>43208.66566798611</v>
      </c>
      <c r="K372" s="13934" t="n">
        <v>43208.66566798611</v>
      </c>
      <c r="L372" s="13935" t="s">
        <v>16</v>
      </c>
      <c r="M372" s="13936"/>
      <c r="N372" s="13937"/>
      <c r="O372" s="13938"/>
      <c r="P372" s="13939" t="s">
        <v>47</v>
      </c>
      <c r="Q372" s="13940">
        <f>TODAY()-j372</f>
      </c>
      <c r="R372" s="13941">
        <f>VLOOKUP(A372,'Last Week'!A4:I385,7,FALSE)</f>
      </c>
    </row>
    <row r="373" ht="25.5" customHeight="true">
      <c r="A373" s="13942" t="s">
        <v>898</v>
      </c>
      <c r="B373" s="13943" t="s">
        <v>899</v>
      </c>
      <c r="C373" s="13944"/>
      <c r="D373" s="13945" t="s">
        <v>241</v>
      </c>
      <c r="E373" s="13946" t="s">
        <v>29</v>
      </c>
      <c r="F373" s="13947"/>
      <c r="G373" s="13948" t="s">
        <v>15</v>
      </c>
      <c r="H373" s="13949" t="n">
        <v>43217.08389725695</v>
      </c>
      <c r="I373" s="13950" t="n">
        <v>43217.08389725695</v>
      </c>
      <c r="J373" s="13951" t="n">
        <v>43208.768982106485</v>
      </c>
      <c r="K373" s="13952" t="n">
        <v>43208.768982106485</v>
      </c>
      <c r="L373" s="13953" t="s">
        <v>16</v>
      </c>
      <c r="M373" s="13954"/>
      <c r="N373" s="13955"/>
      <c r="O373" s="13956"/>
      <c r="P373" s="13957" t="s">
        <v>59</v>
      </c>
      <c r="Q373" s="13958">
        <f>TODAY()-j373</f>
      </c>
      <c r="R373" s="13959">
        <f>VLOOKUP(A373,'Last Week'!A4:I385,7,FALSE)</f>
      </c>
    </row>
    <row r="374" ht="25.5" customHeight="true">
      <c r="A374" s="13960" t="s">
        <v>900</v>
      </c>
      <c r="B374" s="13961" t="s">
        <v>901</v>
      </c>
      <c r="C374" s="13962"/>
      <c r="D374" s="13963" t="s">
        <v>557</v>
      </c>
      <c r="E374" s="13964" t="s">
        <v>29</v>
      </c>
      <c r="F374" s="13965"/>
      <c r="G374" s="13966" t="s">
        <v>15</v>
      </c>
      <c r="H374" s="13967" t="n">
        <v>43216.08470940972</v>
      </c>
      <c r="I374" s="13968" t="n">
        <v>43216.08470940972</v>
      </c>
      <c r="J374" s="13969" t="n">
        <v>43213.7007715162</v>
      </c>
      <c r="K374" s="13970" t="n">
        <v>43213.7007715162</v>
      </c>
      <c r="L374" s="13971" t="s">
        <v>16</v>
      </c>
      <c r="M374" s="13972"/>
      <c r="N374" s="13973"/>
      <c r="O374" s="13974"/>
      <c r="P374" s="13975" t="s">
        <v>59</v>
      </c>
      <c r="Q374" s="13976">
        <f>TODAY()-j374</f>
      </c>
      <c r="R374" s="13977">
        <f>VLOOKUP(A374,'Last Week'!A4:I385,7,FALSE)</f>
      </c>
    </row>
    <row r="375" ht="25.5" customHeight="true">
      <c r="A375" s="13978" t="s">
        <v>902</v>
      </c>
      <c r="B375" s="13979" t="s">
        <v>903</v>
      </c>
      <c r="C375" s="13980"/>
      <c r="D375" s="13981" t="s">
        <v>557</v>
      </c>
      <c r="E375" s="13982" t="s">
        <v>29</v>
      </c>
      <c r="F375" s="13983"/>
      <c r="G375" s="13984" t="s">
        <v>15</v>
      </c>
      <c r="H375" s="13985" t="n">
        <v>43216.08472384259</v>
      </c>
      <c r="I375" s="13986" t="n">
        <v>43216.08472384259</v>
      </c>
      <c r="J375" s="13987" t="n">
        <v>43213.70275891203</v>
      </c>
      <c r="K375" s="13988" t="n">
        <v>43213.70275891203</v>
      </c>
      <c r="L375" s="13989" t="s">
        <v>16</v>
      </c>
      <c r="M375" s="13990"/>
      <c r="N375" s="13991"/>
      <c r="O375" s="13992"/>
      <c r="P375" s="13993" t="s">
        <v>59</v>
      </c>
      <c r="Q375" s="13994">
        <f>TODAY()-j375</f>
      </c>
      <c r="R375" s="13995">
        <f>VLOOKUP(A375,'Last Week'!A4:I385,7,FALSE)</f>
      </c>
    </row>
    <row r="376" ht="25.5" customHeight="true">
      <c r="A376" s="13996" t="s">
        <v>904</v>
      </c>
      <c r="B376" s="13997" t="s">
        <v>905</v>
      </c>
      <c r="C376" s="13998"/>
      <c r="D376" s="13999" t="s">
        <v>906</v>
      </c>
      <c r="E376" s="14000" t="s">
        <v>907</v>
      </c>
      <c r="F376" s="14001"/>
      <c r="G376" s="14002" t="s">
        <v>15</v>
      </c>
      <c r="H376" s="14003" t="n">
        <v>43226.000160219905</v>
      </c>
      <c r="I376" s="14004" t="n">
        <v>43226.000160219905</v>
      </c>
      <c r="J376" s="14005" t="n">
        <v>43216.71739005787</v>
      </c>
      <c r="K376" s="14006" t="n">
        <v>43216.71739005787</v>
      </c>
      <c r="L376" s="14007" t="s">
        <v>16</v>
      </c>
      <c r="M376" s="14008"/>
      <c r="N376" s="14009"/>
      <c r="O376" s="14010"/>
      <c r="P376" s="14011" t="s">
        <v>59</v>
      </c>
      <c r="Q376" s="14012">
        <f>TODAY()-j376</f>
      </c>
      <c r="R376" s="14013">
        <f>VLOOKUP(A376,'Last Week'!A4:I385,7,FALSE)</f>
      </c>
    </row>
    <row r="377" ht="25.5" customHeight="true">
      <c r="A377" s="14014" t="s">
        <v>908</v>
      </c>
      <c r="B377" s="14015" t="s">
        <v>909</v>
      </c>
      <c r="C377" s="14016"/>
      <c r="D377" s="14017" t="s">
        <v>910</v>
      </c>
      <c r="E377" s="14018" t="s">
        <v>29</v>
      </c>
      <c r="F377" s="14019"/>
      <c r="G377" s="14020" t="s">
        <v>15</v>
      </c>
      <c r="H377" s="14021" t="n">
        <v>43229.29184118056</v>
      </c>
      <c r="I377" s="14022" t="n">
        <v>43229.29184118056</v>
      </c>
      <c r="J377" s="14023" t="n">
        <v>43217.69612918981</v>
      </c>
      <c r="K377" s="14024" t="n">
        <v>43217.69612918981</v>
      </c>
      <c r="L377" s="14025" t="s">
        <v>16</v>
      </c>
      <c r="M377" s="14026"/>
      <c r="N377" s="14027"/>
      <c r="O377" s="14028"/>
      <c r="P377" s="14029" t="s">
        <v>17</v>
      </c>
      <c r="Q377" s="14030">
        <f>TODAY()-j377</f>
      </c>
      <c r="R377" s="14031">
        <f>VLOOKUP(A377,'Last Week'!A4:I385,7,FALSE)</f>
      </c>
    </row>
    <row r="378" ht="25.5" customHeight="true">
      <c r="A378" s="14032" t="s">
        <v>911</v>
      </c>
      <c r="B378" s="14033" t="s">
        <v>58</v>
      </c>
      <c r="C378" s="14034"/>
      <c r="D378" s="14035" t="s">
        <v>55</v>
      </c>
      <c r="E378" s="14036" t="s">
        <v>73</v>
      </c>
      <c r="F378" s="14037"/>
      <c r="G378" s="14038" t="s">
        <v>15</v>
      </c>
      <c r="H378" s="14039" t="n">
        <v>43226.00016846065</v>
      </c>
      <c r="I378" s="14040" t="n">
        <v>43226.00016846065</v>
      </c>
      <c r="J378" s="14041" t="n">
        <v>43223.42791612269</v>
      </c>
      <c r="K378" s="14042" t="n">
        <v>43223.42791612269</v>
      </c>
      <c r="L378" s="14043" t="s">
        <v>16</v>
      </c>
      <c r="M378" s="14044"/>
      <c r="N378" s="14045"/>
      <c r="O378" s="14046"/>
      <c r="P378" s="14047" t="s">
        <v>59</v>
      </c>
      <c r="Q378" s="14048">
        <f>TODAY()-j378</f>
      </c>
      <c r="R378" s="14049">
        <f>VLOOKUP(A378,'Last Week'!A4:I385,7,FALSE)</f>
      </c>
    </row>
    <row r="379" ht="25.5" customHeight="true">
      <c r="A379" s="14050" t="s">
        <v>912</v>
      </c>
      <c r="B379" s="14051" t="s">
        <v>913</v>
      </c>
      <c r="C379" s="14052"/>
      <c r="D379" s="14053" t="s">
        <v>914</v>
      </c>
      <c r="E379" s="14054" t="s">
        <v>116</v>
      </c>
      <c r="F379" s="14055"/>
      <c r="G379" s="14056" t="s">
        <v>15</v>
      </c>
      <c r="H379" s="14057" t="n">
        <v>43229.08495351852</v>
      </c>
      <c r="I379" s="14058" t="n">
        <v>43229.08495351852</v>
      </c>
      <c r="J379" s="14059" t="n">
        <v>43224.42067846065</v>
      </c>
      <c r="K379" s="14060" t="n">
        <v>43224.42067846065</v>
      </c>
      <c r="L379" s="14061" t="s">
        <v>16</v>
      </c>
      <c r="M379" s="14062"/>
      <c r="N379" s="14063"/>
      <c r="O379" s="14064"/>
      <c r="P379" s="14065" t="s">
        <v>59</v>
      </c>
      <c r="Q379" s="14066">
        <f>TODAY()-j379</f>
      </c>
      <c r="R379" s="14067">
        <f>VLOOKUP(A379,'Last Week'!A4:I385,7,FALSE)</f>
      </c>
    </row>
    <row r="380" ht="25.5" customHeight="true">
      <c r="A380" s="14068" t="s">
        <v>915</v>
      </c>
      <c r="B380" s="14069" t="s">
        <v>916</v>
      </c>
      <c r="C380" s="14070"/>
      <c r="D380" s="14071" t="s">
        <v>729</v>
      </c>
      <c r="E380" s="14072" t="s">
        <v>402</v>
      </c>
      <c r="F380" s="14073"/>
      <c r="G380" s="14074" t="s">
        <v>15</v>
      </c>
      <c r="H380" s="14075" t="n">
        <v>43229.125176863425</v>
      </c>
      <c r="I380" s="14076" t="n">
        <v>43229.125176863425</v>
      </c>
      <c r="J380" s="14077" t="n">
        <v>43224.53675892361</v>
      </c>
      <c r="K380" s="14078" t="n">
        <v>43224.53675892361</v>
      </c>
      <c r="L380" s="14079" t="s">
        <v>16</v>
      </c>
      <c r="M380" s="14080"/>
      <c r="N380" s="14081"/>
      <c r="O380" s="14082"/>
      <c r="P380" s="14083" t="s">
        <v>17</v>
      </c>
      <c r="Q380" s="14084">
        <f>TODAY()-j380</f>
      </c>
      <c r="R380" s="14085">
        <f>VLOOKUP(A380,'Last Week'!A4:I385,7,FALSE)</f>
      </c>
    </row>
    <row r="381" ht="25.5" customHeight="true">
      <c r="A381" s="14086" t="s">
        <v>917</v>
      </c>
      <c r="B381" s="14087" t="s">
        <v>918</v>
      </c>
      <c r="C381" s="14088"/>
      <c r="D381" s="14089" t="s">
        <v>919</v>
      </c>
      <c r="E381" s="14090" t="s">
        <v>29</v>
      </c>
      <c r="F381" s="14091"/>
      <c r="G381" s="14092" t="s">
        <v>15</v>
      </c>
      <c r="H381" s="14093" t="n">
        <v>43245.08413480324</v>
      </c>
      <c r="I381" s="14094" t="n">
        <v>43245.08413480324</v>
      </c>
      <c r="J381" s="14095" t="n">
        <v>43229.75589144676</v>
      </c>
      <c r="K381" s="14096" t="n">
        <v>43229.75589144676</v>
      </c>
      <c r="L381" s="14097" t="s">
        <v>16</v>
      </c>
      <c r="M381" s="14098"/>
      <c r="N381" s="14099"/>
      <c r="O381" s="14100"/>
      <c r="P381" s="14101" t="s">
        <v>17</v>
      </c>
      <c r="Q381" s="14102">
        <f>TODAY()-j381</f>
      </c>
      <c r="R381" s="14103">
        <f>VLOOKUP(A381,'Last Week'!A4:I385,7,FALSE)</f>
      </c>
    </row>
    <row r="382" ht="25.5" customHeight="true">
      <c r="A382" s="14104" t="s">
        <v>920</v>
      </c>
      <c r="B382" s="14105" t="s">
        <v>921</v>
      </c>
      <c r="C382" s="14106"/>
      <c r="D382" s="14107" t="s">
        <v>729</v>
      </c>
      <c r="E382" s="14108" t="s">
        <v>278</v>
      </c>
      <c r="F382" s="14109"/>
      <c r="G382" s="14110" t="s">
        <v>15</v>
      </c>
      <c r="H382" s="14111" t="n">
        <v>43232.0850143287</v>
      </c>
      <c r="I382" s="14112" t="n">
        <v>43232.0850143287</v>
      </c>
      <c r="J382" s="14113" t="n">
        <v>43230.42220454861</v>
      </c>
      <c r="K382" s="14114" t="n">
        <v>43230.42220454861</v>
      </c>
      <c r="L382" s="14115" t="s">
        <v>16</v>
      </c>
      <c r="M382" s="14116"/>
      <c r="N382" s="14117"/>
      <c r="O382" s="14118"/>
      <c r="P382" s="14119" t="s">
        <v>59</v>
      </c>
      <c r="Q382" s="14120">
        <f>TODAY()-j382</f>
      </c>
      <c r="R382" s="14121">
        <f>VLOOKUP(A382,'Last Week'!A4:I385,7,FALSE)</f>
      </c>
    </row>
    <row r="383" ht="25.5" customHeight="true">
      <c r="A383" s="14122" t="s">
        <v>922</v>
      </c>
      <c r="B383" s="14123" t="s">
        <v>923</v>
      </c>
      <c r="C383" s="14124"/>
      <c r="D383" s="14125" t="s">
        <v>924</v>
      </c>
      <c r="E383" s="14126" t="s">
        <v>73</v>
      </c>
      <c r="F383" s="14127"/>
      <c r="G383" s="14128" t="s">
        <v>849</v>
      </c>
      <c r="H383" s="14129" t="n">
        <v>43230.520194791665</v>
      </c>
      <c r="I383" s="14130" t="n">
        <v>43230.520194791665</v>
      </c>
      <c r="J383" s="14131" t="n">
        <v>43230.519215231485</v>
      </c>
      <c r="K383" s="14132" t="n">
        <v>43230.519215231485</v>
      </c>
      <c r="L383" s="14133" t="s">
        <v>16</v>
      </c>
      <c r="M383" s="14134"/>
      <c r="N383" s="14135"/>
      <c r="O383" s="14136"/>
      <c r="P383" s="14137"/>
      <c r="Q383" s="14138">
        <f>TODAY()-j383</f>
      </c>
      <c r="R383" s="14139">
        <f>VLOOKUP(A383,'Last Week'!A4:I385,7,FALSE)</f>
      </c>
    </row>
    <row r="384" ht="25.5" customHeight="true">
      <c r="A384" s="14140" t="s">
        <v>925</v>
      </c>
      <c r="B384" s="14141" t="s">
        <v>926</v>
      </c>
      <c r="C384" s="14142"/>
      <c r="D384" s="14143" t="s">
        <v>927</v>
      </c>
      <c r="E384" s="14144" t="s">
        <v>812</v>
      </c>
      <c r="F384" s="14145"/>
      <c r="G384" s="14146" t="s">
        <v>15</v>
      </c>
      <c r="H384" s="14147" t="n">
        <v>43240.95887782407</v>
      </c>
      <c r="I384" s="14148" t="n">
        <v>43240.95887782407</v>
      </c>
      <c r="J384" s="14149" t="n">
        <v>43230.57128334491</v>
      </c>
      <c r="K384" s="14150" t="n">
        <v>43230.57128334491</v>
      </c>
      <c r="L384" s="14151" t="s">
        <v>16</v>
      </c>
      <c r="M384" s="14152"/>
      <c r="N384" s="14153"/>
      <c r="O384" s="14154"/>
      <c r="P384" s="14155" t="s">
        <v>17</v>
      </c>
      <c r="Q384" s="14156">
        <f>TODAY()-j384</f>
      </c>
      <c r="R384" s="14157">
        <f>VLOOKUP(A384,'Last Week'!A4:I385,7,FALSE)</f>
      </c>
    </row>
    <row r="385" ht="25.5" customHeight="true">
      <c r="A385" s="14158" t="s">
        <v>928</v>
      </c>
      <c r="B385" s="14159" t="s">
        <v>929</v>
      </c>
      <c r="C385" s="14160"/>
      <c r="D385" s="14161" t="s">
        <v>155</v>
      </c>
      <c r="E385" s="14162" t="s">
        <v>73</v>
      </c>
      <c r="F385" s="14163"/>
      <c r="G385" s="14164" t="s">
        <v>15</v>
      </c>
      <c r="H385" s="14165" t="n">
        <v>43252.0835796875</v>
      </c>
      <c r="I385" s="14166" t="n">
        <v>43252.0835796875</v>
      </c>
      <c r="J385" s="14167" t="n">
        <v>43234.71718127315</v>
      </c>
      <c r="K385" s="14168" t="n">
        <v>43234.71718127315</v>
      </c>
      <c r="L385" s="14169" t="s">
        <v>16</v>
      </c>
      <c r="M385" s="14170"/>
      <c r="N385" s="14171"/>
      <c r="O385" s="14172"/>
      <c r="P385" s="14173" t="s">
        <v>17</v>
      </c>
      <c r="Q385" s="14174">
        <f>TODAY()-j385</f>
      </c>
      <c r="R385" s="14175">
        <f>VLOOKUP(A385,'Last Week'!A4:I385,7,FALSE)</f>
      </c>
    </row>
    <row r="386" ht="25.5" customHeight="true">
      <c r="A386" s="14176" t="s">
        <v>930</v>
      </c>
      <c r="B386" s="14177" t="s">
        <v>931</v>
      </c>
      <c r="C386" s="14178"/>
      <c r="D386" s="14179" t="s">
        <v>932</v>
      </c>
      <c r="E386" s="14180" t="s">
        <v>242</v>
      </c>
      <c r="F386" s="14181"/>
      <c r="G386" s="14182" t="s">
        <v>972</v>
      </c>
      <c r="H386" s="14183" t="n">
        <v>43251.510607094904</v>
      </c>
      <c r="I386" s="14184" t="n">
        <v>43251.510607094904</v>
      </c>
      <c r="J386" s="14185" t="n">
        <v>43235.71916995371</v>
      </c>
      <c r="K386" s="14186" t="n">
        <v>43235.71916995371</v>
      </c>
      <c r="L386" s="14187" t="s">
        <v>16</v>
      </c>
      <c r="M386" s="14188"/>
      <c r="N386" s="14189"/>
      <c r="O386" s="14190"/>
      <c r="P386" s="14191" t="s">
        <v>17</v>
      </c>
      <c r="Q386" s="14192">
        <f>TODAY()-j386</f>
      </c>
      <c r="R386" s="14193">
        <f>VLOOKUP(A386,'Last Week'!A4:I385,7,FALSE)</f>
      </c>
    </row>
    <row r="387" ht="25.5" customHeight="true">
      <c r="A387" s="14194" t="s">
        <v>933</v>
      </c>
      <c r="B387" s="14195" t="s">
        <v>934</v>
      </c>
      <c r="C387" s="14196"/>
      <c r="D387" s="14197" t="s">
        <v>935</v>
      </c>
      <c r="E387" s="14198" t="s">
        <v>402</v>
      </c>
      <c r="F387" s="14199"/>
      <c r="G387" s="14200" t="s">
        <v>15</v>
      </c>
      <c r="H387" s="14201" t="n">
        <v>43244.375089699075</v>
      </c>
      <c r="I387" s="14202" t="n">
        <v>43244.375089699075</v>
      </c>
      <c r="J387" s="14203" t="n">
        <v>43236.535553738424</v>
      </c>
      <c r="K387" s="14204" t="n">
        <v>43236.535553738424</v>
      </c>
      <c r="L387" s="14205" t="s">
        <v>16</v>
      </c>
      <c r="M387" s="14206"/>
      <c r="N387" s="14207"/>
      <c r="O387" s="14208"/>
      <c r="P387" s="14209" t="s">
        <v>17</v>
      </c>
      <c r="Q387" s="14210">
        <f>TODAY()-j387</f>
      </c>
      <c r="R387" s="14211">
        <f>VLOOKUP(A387,'Last Week'!A4:I385,7,FALSE)</f>
      </c>
    </row>
    <row r="388" ht="25.5" customHeight="true">
      <c r="A388" s="14212" t="s">
        <v>936</v>
      </c>
      <c r="B388" s="14213" t="s">
        <v>937</v>
      </c>
      <c r="C388" s="14214"/>
      <c r="D388" s="14215" t="s">
        <v>938</v>
      </c>
      <c r="E388" s="14216" t="s">
        <v>38</v>
      </c>
      <c r="F388" s="14217"/>
      <c r="G388" s="14218" t="s">
        <v>15</v>
      </c>
      <c r="H388" s="14219" t="n">
        <v>43240.875550289355</v>
      </c>
      <c r="I388" s="14220" t="n">
        <v>43240.875550289355</v>
      </c>
      <c r="J388" s="14221" t="n">
        <v>43236.60421494213</v>
      </c>
      <c r="K388" s="14222" t="n">
        <v>43236.60421494213</v>
      </c>
      <c r="L388" s="14223" t="s">
        <v>16</v>
      </c>
      <c r="M388" s="14224"/>
      <c r="N388" s="14225"/>
      <c r="O388" s="14226"/>
      <c r="P388" s="14227" t="s">
        <v>17</v>
      </c>
      <c r="Q388" s="14228">
        <f>TODAY()-j388</f>
      </c>
      <c r="R388" s="14229">
        <f>VLOOKUP(A388,'Last Week'!A4:I385,7,FALSE)</f>
      </c>
    </row>
    <row r="389" ht="25.5" customHeight="true">
      <c r="A389" s="14230" t="s">
        <v>939</v>
      </c>
      <c r="B389" s="14231" t="s">
        <v>940</v>
      </c>
      <c r="C389" s="14232"/>
      <c r="D389" s="14233" t="s">
        <v>93</v>
      </c>
      <c r="E389" s="14234" t="s">
        <v>29</v>
      </c>
      <c r="F389" s="14235"/>
      <c r="G389" s="14236" t="s">
        <v>15</v>
      </c>
      <c r="H389" s="14237" t="n">
        <v>43252.083676145834</v>
      </c>
      <c r="I389" s="14238" t="n">
        <v>43252.083676145834</v>
      </c>
      <c r="J389" s="14239" t="n">
        <v>43236.83122457176</v>
      </c>
      <c r="K389" s="14240" t="n">
        <v>43236.83122457176</v>
      </c>
      <c r="L389" s="14241" t="s">
        <v>16</v>
      </c>
      <c r="M389" s="14242"/>
      <c r="N389" s="14243"/>
      <c r="O389" s="14244"/>
      <c r="P389" s="14245" t="s">
        <v>17</v>
      </c>
      <c r="Q389" s="14246">
        <f>TODAY()-j389</f>
      </c>
      <c r="R389" s="14247">
        <f>VLOOKUP(A389,'Last Week'!A4:I385,7,FALSE)</f>
      </c>
    </row>
    <row r="390" ht="25.5" customHeight="true">
      <c r="A390" s="14248" t="s">
        <v>941</v>
      </c>
      <c r="B390" s="14249" t="s">
        <v>942</v>
      </c>
      <c r="C390" s="14250"/>
      <c r="D390" s="14251" t="s">
        <v>131</v>
      </c>
      <c r="E390" s="14252" t="s">
        <v>242</v>
      </c>
      <c r="F390" s="14253"/>
      <c r="G390" s="14254" t="s">
        <v>15</v>
      </c>
      <c r="H390" s="14255" t="n">
        <v>43251.08350273148</v>
      </c>
      <c r="I390" s="14256" t="n">
        <v>43251.08350273148</v>
      </c>
      <c r="J390" s="14257" t="n">
        <v>43237.41209883102</v>
      </c>
      <c r="K390" s="14258" t="n">
        <v>43237.41209883102</v>
      </c>
      <c r="L390" s="14259" t="s">
        <v>16</v>
      </c>
      <c r="M390" s="14260"/>
      <c r="N390" s="14261"/>
      <c r="O390" s="14262"/>
      <c r="P390" s="14263" t="s">
        <v>17</v>
      </c>
      <c r="Q390" s="14264">
        <f>TODAY()-j390</f>
      </c>
      <c r="R390" s="14265">
        <f>VLOOKUP(A390,'Last Week'!A4:I385,7,FALSE)</f>
      </c>
    </row>
    <row r="391" ht="25.5" customHeight="true">
      <c r="A391" s="14266" t="s">
        <v>973</v>
      </c>
      <c r="B391" s="14267" t="s">
        <v>974</v>
      </c>
      <c r="C391" s="14268"/>
      <c r="D391" s="14269" t="s">
        <v>541</v>
      </c>
      <c r="E391" s="14270" t="s">
        <v>242</v>
      </c>
      <c r="F391" s="14271"/>
      <c r="G391" s="14272" t="s">
        <v>849</v>
      </c>
      <c r="H391" s="14273" t="n">
        <v>43238.45362163195</v>
      </c>
      <c r="I391" s="14274" t="n">
        <v>43238.45362163195</v>
      </c>
      <c r="J391" s="14275" t="n">
        <v>43238.451551736114</v>
      </c>
      <c r="K391" s="14276" t="n">
        <v>43238.451551736114</v>
      </c>
      <c r="L391" s="14277" t="s">
        <v>16</v>
      </c>
      <c r="M391" s="14278"/>
      <c r="N391" s="14279"/>
      <c r="O391" s="14280"/>
      <c r="P391" s="14281"/>
      <c r="Q391" s="14282">
        <f>TODAY()-j391</f>
      </c>
      <c r="R391" s="14283">
        <f>VLOOKUP(A391,'Last Week'!A4:I385,7,FALSE)</f>
      </c>
    </row>
    <row r="392" ht="25.5" customHeight="true">
      <c r="A392" s="14284" t="s">
        <v>943</v>
      </c>
      <c r="B392" s="14285" t="s">
        <v>944</v>
      </c>
      <c r="C392" s="14286"/>
      <c r="D392" s="14287" t="s">
        <v>557</v>
      </c>
      <c r="E392" s="14288" t="s">
        <v>56</v>
      </c>
      <c r="F392" s="14289"/>
      <c r="G392" s="14290" t="s">
        <v>15</v>
      </c>
      <c r="H392" s="14291" t="n">
        <v>43245.08434858796</v>
      </c>
      <c r="I392" s="14292" t="n">
        <v>43245.08434858796</v>
      </c>
      <c r="J392" s="14293" t="n">
        <v>43243.41923127315</v>
      </c>
      <c r="K392" s="14294" t="n">
        <v>43243.41923127315</v>
      </c>
      <c r="L392" s="14295" t="s">
        <v>16</v>
      </c>
      <c r="M392" s="14296"/>
      <c r="N392" s="14297"/>
      <c r="O392" s="14298"/>
      <c r="P392" s="14299" t="s">
        <v>17</v>
      </c>
      <c r="Q392" s="14300">
        <f>TODAY()-j392</f>
      </c>
      <c r="R392" s="14301">
        <f>VLOOKUP(A392,'Last Week'!A4:I385,7,FALSE)</f>
      </c>
    </row>
    <row r="393" ht="25.5" customHeight="true">
      <c r="A393" s="14302" t="s">
        <v>945</v>
      </c>
      <c r="B393" s="14303" t="s">
        <v>946</v>
      </c>
      <c r="C393" s="14304"/>
      <c r="D393" s="14305" t="s">
        <v>187</v>
      </c>
      <c r="E393" s="14306" t="s">
        <v>241</v>
      </c>
      <c r="F393" s="14307"/>
      <c r="G393" s="14308" t="s">
        <v>961</v>
      </c>
      <c r="H393" s="14309" t="n">
        <v>43251.425167141206</v>
      </c>
      <c r="I393" s="14310" t="n">
        <v>43251.425167141206</v>
      </c>
      <c r="J393" s="14311" t="n">
        <v>43243.65898496528</v>
      </c>
      <c r="K393" s="14312" t="n">
        <v>43243.65898496528</v>
      </c>
      <c r="L393" s="14313" t="s">
        <v>16</v>
      </c>
      <c r="M393" s="14314"/>
      <c r="N393" s="14315"/>
      <c r="O393" s="14316"/>
      <c r="P393" s="14317" t="s">
        <v>17</v>
      </c>
      <c r="Q393" s="14318">
        <f>TODAY()-j393</f>
      </c>
      <c r="R393" s="14319">
        <f>VLOOKUP(A393,'Last Week'!A4:I385,7,FALSE)</f>
      </c>
    </row>
    <row r="394" ht="25.5" customHeight="true">
      <c r="A394" s="14320" t="s">
        <v>947</v>
      </c>
      <c r="B394" s="14321" t="s">
        <v>948</v>
      </c>
      <c r="C394" s="14322"/>
      <c r="D394" s="14323" t="s">
        <v>557</v>
      </c>
      <c r="E394" s="14324" t="s">
        <v>46</v>
      </c>
      <c r="F394" s="14325"/>
      <c r="G394" s="14326" t="s">
        <v>961</v>
      </c>
      <c r="H394" s="14327" t="n">
        <v>43251.41029366898</v>
      </c>
      <c r="I394" s="14328" t="n">
        <v>43251.41029366898</v>
      </c>
      <c r="J394" s="14329" t="n">
        <v>43250.45021300926</v>
      </c>
      <c r="K394" s="14330" t="n">
        <v>43250.45021300926</v>
      </c>
      <c r="L394" s="14331" t="s">
        <v>16</v>
      </c>
      <c r="M394" s="14332"/>
      <c r="N394" s="14333"/>
      <c r="O394" s="14334"/>
      <c r="P394" s="14335" t="s">
        <v>17</v>
      </c>
      <c r="Q394" s="14336">
        <f>TODAY()-j394</f>
      </c>
      <c r="R394" s="14337">
        <f>VLOOKUP(A394,'Last Week'!A4:I385,7,FALSE)</f>
      </c>
    </row>
    <row r="395" ht="25.5" customHeight="true">
      <c r="A395" s="14338" t="s">
        <v>949</v>
      </c>
      <c r="B395" s="14339" t="s">
        <v>950</v>
      </c>
      <c r="C395" s="14340"/>
      <c r="D395" s="14341" t="s">
        <v>951</v>
      </c>
      <c r="E395" s="14342" t="s">
        <v>242</v>
      </c>
      <c r="F395" s="14343"/>
      <c r="G395" s="14344" t="s">
        <v>972</v>
      </c>
      <c r="H395" s="14345" t="n">
        <v>43252.339944189815</v>
      </c>
      <c r="I395" s="14346" t="n">
        <v>43252.339944189815</v>
      </c>
      <c r="J395" s="14347" t="n">
        <v>43251.60731763889</v>
      </c>
      <c r="K395" s="14348" t="n">
        <v>43251.60731763889</v>
      </c>
      <c r="L395" s="14349" t="s">
        <v>16</v>
      </c>
      <c r="M395" s="14350"/>
      <c r="N395" s="14351"/>
      <c r="O395" s="14352"/>
      <c r="P395" s="14353" t="s">
        <v>17</v>
      </c>
      <c r="Q395" s="14354">
        <f>TODAY()-j395</f>
      </c>
      <c r="R395" s="14355">
        <f>VLOOKUP(A395,'Last Week'!A4:I385,7,FALSE)</f>
      </c>
    </row>
    <row r="396">
      <c r="A396" s="14356" t="s">
        <v>965</v>
      </c>
      <c r="B396" s="14357"/>
      <c r="C396" s="14358" t="n">
        <v>392.0</v>
      </c>
      <c r="D396" s="14359"/>
      <c r="E396" s="14360"/>
      <c r="F396" s="14361"/>
      <c r="G396" s="14362"/>
      <c r="H396" s="14363"/>
      <c r="I396" s="14364"/>
      <c r="J396" s="14365"/>
      <c r="K396" s="14366"/>
      <c r="L396" s="14367"/>
      <c r="M396" s="14368"/>
      <c r="N396" s="14369"/>
      <c r="O396" s="14370"/>
      <c r="P396" s="14371"/>
    </row>
    <row r="397">
      <c r="A397" s="14372"/>
      <c r="B397" s="14373"/>
      <c r="C397" s="14374"/>
      <c r="D397" s="14375"/>
      <c r="E397" s="14376"/>
      <c r="F397" s="14377"/>
      <c r="G397" s="14378"/>
      <c r="H397" s="14379"/>
      <c r="I397" s="14380"/>
      <c r="J397" s="14381"/>
      <c r="K397" s="14382"/>
      <c r="L397" s="14383"/>
      <c r="M397" s="14384"/>
      <c r="N397" s="14385"/>
      <c r="O397" s="14386"/>
      <c r="P397" s="14387"/>
    </row>
    <row r="398">
      <c r="A398" s="14388" t="s">
        <v>966</v>
      </c>
      <c r="B398" s="14389"/>
      <c r="C398" s="14390" t="s">
        <v>967</v>
      </c>
      <c r="D398" s="14391"/>
      <c r="E398" s="14392"/>
      <c r="F398" s="14393"/>
      <c r="G398" s="14394"/>
      <c r="H398" s="14395"/>
      <c r="I398" s="14396"/>
      <c r="J398" s="14397"/>
      <c r="K398" s="14398"/>
      <c r="L398" s="14399"/>
      <c r="M398" s="14400"/>
      <c r="N398" s="14401"/>
      <c r="O398" s="14402"/>
      <c r="P398" s="14403"/>
    </row>
    <row r="399">
      <c r="A399" s="14404" t="s">
        <v>968</v>
      </c>
      <c r="B399" s="14405"/>
      <c r="C399" s="14406" t="s">
        <v>975</v>
      </c>
      <c r="D399" s="14407"/>
      <c r="E399" s="14408"/>
      <c r="F399" s="14409"/>
      <c r="G399" s="14410"/>
      <c r="H399" s="14411"/>
      <c r="I399" s="14412"/>
      <c r="J399" s="14413"/>
      <c r="K399" s="14414"/>
      <c r="L399" s="14415"/>
      <c r="M399" s="14416"/>
      <c r="N399" s="14417"/>
      <c r="O399" s="14418"/>
      <c r="P399" s="14419"/>
      <c r="R399" s="14420"/>
    </row>
    <row r="400">
      <c r="A400" s="14421" t="s">
        <v>976</v>
      </c>
      <c r="B400" s="14422"/>
      <c r="C400" s="14423"/>
      <c r="D400" s="14424"/>
      <c r="E400" s="14425"/>
      <c r="F400" s="14426" t="s">
        <v>970</v>
      </c>
      <c r="G400" s="14427"/>
      <c r="H400" s="14428"/>
      <c r="I400" s="14429"/>
      <c r="J400" s="14430"/>
      <c r="K400" s="14431"/>
      <c r="L400" s="14432"/>
      <c r="M400" s="14433" t="s">
        <v>971</v>
      </c>
      <c r="N400" s="14434" t="s">
        <v>970</v>
      </c>
    </row>
  </sheetData>
  <mergeCells>
    <mergeCell ref="A1:E1"/>
    <mergeCell ref="F1:N1"/>
    <mergeCell ref="A2:P2"/>
    <mergeCell ref="B3:C3"/>
    <mergeCell ref="E3:F3"/>
    <mergeCell ref="H3:I3"/>
    <mergeCell ref="J3:K3"/>
    <mergeCell ref="L3:O3"/>
    <mergeCell ref="B4:C4"/>
    <mergeCell ref="E4:F4"/>
    <mergeCell ref="L4:O4"/>
    <mergeCell ref="B5:C5"/>
    <mergeCell ref="E5:F5"/>
    <mergeCell ref="L5:O5"/>
    <mergeCell ref="B6:C6"/>
    <mergeCell ref="E6:F6"/>
    <mergeCell ref="L6:O6"/>
    <mergeCell ref="B7:C7"/>
    <mergeCell ref="E7:F7"/>
    <mergeCell ref="L7:O7"/>
    <mergeCell ref="B8:C8"/>
    <mergeCell ref="E8:F8"/>
    <mergeCell ref="L8:O8"/>
    <mergeCell ref="B9:C9"/>
    <mergeCell ref="E9:F9"/>
    <mergeCell ref="L9:O9"/>
    <mergeCell ref="B10:C10"/>
    <mergeCell ref="E10:F10"/>
    <mergeCell ref="L10:O10"/>
    <mergeCell ref="B11:C11"/>
    <mergeCell ref="E11:F11"/>
    <mergeCell ref="L11:O11"/>
    <mergeCell ref="B12:C12"/>
    <mergeCell ref="E12:F12"/>
    <mergeCell ref="L12:O12"/>
    <mergeCell ref="B13:C13"/>
    <mergeCell ref="E13:F13"/>
    <mergeCell ref="L13:O13"/>
    <mergeCell ref="B14:C14"/>
    <mergeCell ref="E14:F14"/>
    <mergeCell ref="L14:O14"/>
    <mergeCell ref="B15:C15"/>
    <mergeCell ref="E15:F15"/>
    <mergeCell ref="L15:O15"/>
    <mergeCell ref="B16:C16"/>
    <mergeCell ref="E16:F16"/>
    <mergeCell ref="L16:O16"/>
    <mergeCell ref="B17:C17"/>
    <mergeCell ref="E17:F17"/>
    <mergeCell ref="L17:O17"/>
    <mergeCell ref="B18:C18"/>
    <mergeCell ref="E18:F18"/>
    <mergeCell ref="L18:O18"/>
    <mergeCell ref="B19:C19"/>
    <mergeCell ref="E19:F19"/>
    <mergeCell ref="L19:O19"/>
    <mergeCell ref="B20:C20"/>
    <mergeCell ref="E20:F20"/>
    <mergeCell ref="L20:O20"/>
    <mergeCell ref="B21:C21"/>
    <mergeCell ref="E21:F21"/>
    <mergeCell ref="L21:O21"/>
    <mergeCell ref="B22:C22"/>
    <mergeCell ref="E22:F22"/>
    <mergeCell ref="L22:O22"/>
    <mergeCell ref="B23:C23"/>
    <mergeCell ref="E23:F23"/>
    <mergeCell ref="L23:O23"/>
    <mergeCell ref="B24:C24"/>
    <mergeCell ref="E24:F24"/>
    <mergeCell ref="L24:O24"/>
    <mergeCell ref="B25:C25"/>
    <mergeCell ref="E25:F25"/>
    <mergeCell ref="L25:O25"/>
    <mergeCell ref="B26:C26"/>
    <mergeCell ref="E26:F26"/>
    <mergeCell ref="L26:O26"/>
    <mergeCell ref="B27:C27"/>
    <mergeCell ref="E27:F27"/>
    <mergeCell ref="L27:O27"/>
    <mergeCell ref="B28:C28"/>
    <mergeCell ref="E28:F28"/>
    <mergeCell ref="L28:O28"/>
    <mergeCell ref="B29:C29"/>
    <mergeCell ref="E29:F29"/>
    <mergeCell ref="L29:O29"/>
    <mergeCell ref="B30:C30"/>
    <mergeCell ref="E30:F30"/>
    <mergeCell ref="L30:O30"/>
    <mergeCell ref="B31:C31"/>
    <mergeCell ref="E31:F31"/>
    <mergeCell ref="L31:O31"/>
    <mergeCell ref="B32:C32"/>
    <mergeCell ref="E32:F32"/>
    <mergeCell ref="L32:O32"/>
    <mergeCell ref="B33:C33"/>
    <mergeCell ref="E33:F33"/>
    <mergeCell ref="L33:O33"/>
    <mergeCell ref="B34:C34"/>
    <mergeCell ref="E34:F34"/>
    <mergeCell ref="L34:O34"/>
    <mergeCell ref="B35:C35"/>
    <mergeCell ref="E35:F35"/>
    <mergeCell ref="L35:O35"/>
    <mergeCell ref="B36:C36"/>
    <mergeCell ref="E36:F36"/>
    <mergeCell ref="L36:O36"/>
    <mergeCell ref="B37:C37"/>
    <mergeCell ref="E37:F37"/>
    <mergeCell ref="L37:O37"/>
    <mergeCell ref="B38:C38"/>
    <mergeCell ref="E38:F38"/>
    <mergeCell ref="L38:O38"/>
    <mergeCell ref="B39:C39"/>
    <mergeCell ref="E39:F39"/>
    <mergeCell ref="L39:O39"/>
    <mergeCell ref="B40:C40"/>
    <mergeCell ref="E40:F40"/>
    <mergeCell ref="L40:O40"/>
    <mergeCell ref="B41:C41"/>
    <mergeCell ref="E41:F41"/>
    <mergeCell ref="L41:O41"/>
    <mergeCell ref="B42:C42"/>
    <mergeCell ref="E42:F42"/>
    <mergeCell ref="L42:O42"/>
    <mergeCell ref="B43:C43"/>
    <mergeCell ref="E43:F43"/>
    <mergeCell ref="L43:O43"/>
    <mergeCell ref="B44:C44"/>
    <mergeCell ref="E44:F44"/>
    <mergeCell ref="L44:O44"/>
    <mergeCell ref="B45:C45"/>
    <mergeCell ref="E45:F45"/>
    <mergeCell ref="L45:O45"/>
    <mergeCell ref="B46:C46"/>
    <mergeCell ref="E46:F46"/>
    <mergeCell ref="L46:O46"/>
    <mergeCell ref="B47:C47"/>
    <mergeCell ref="E47:F47"/>
    <mergeCell ref="L47:O47"/>
    <mergeCell ref="B48:C48"/>
    <mergeCell ref="E48:F48"/>
    <mergeCell ref="L48:O48"/>
    <mergeCell ref="B49:C49"/>
    <mergeCell ref="E49:F49"/>
    <mergeCell ref="L49:O49"/>
    <mergeCell ref="B50:C50"/>
    <mergeCell ref="E50:F50"/>
    <mergeCell ref="L50:O50"/>
    <mergeCell ref="B51:C51"/>
    <mergeCell ref="E51:F51"/>
    <mergeCell ref="L51:O51"/>
    <mergeCell ref="B52:C52"/>
    <mergeCell ref="E52:F52"/>
    <mergeCell ref="L52:O52"/>
    <mergeCell ref="B53:C53"/>
    <mergeCell ref="E53:F53"/>
    <mergeCell ref="L53:O53"/>
    <mergeCell ref="B54:C54"/>
    <mergeCell ref="E54:F54"/>
    <mergeCell ref="L54:O54"/>
    <mergeCell ref="B55:C55"/>
    <mergeCell ref="E55:F55"/>
    <mergeCell ref="L55:O55"/>
    <mergeCell ref="B56:C56"/>
    <mergeCell ref="E56:F56"/>
    <mergeCell ref="L56:O56"/>
    <mergeCell ref="B57:C57"/>
    <mergeCell ref="E57:F57"/>
    <mergeCell ref="L57:O57"/>
    <mergeCell ref="B58:C58"/>
    <mergeCell ref="E58:F58"/>
    <mergeCell ref="L58:O58"/>
    <mergeCell ref="B59:C59"/>
    <mergeCell ref="E59:F59"/>
    <mergeCell ref="L59:O59"/>
    <mergeCell ref="B60:C60"/>
    <mergeCell ref="E60:F60"/>
    <mergeCell ref="L60:O60"/>
    <mergeCell ref="B61:C61"/>
    <mergeCell ref="E61:F61"/>
    <mergeCell ref="L61:O61"/>
    <mergeCell ref="B62:C62"/>
    <mergeCell ref="E62:F62"/>
    <mergeCell ref="L62:O62"/>
    <mergeCell ref="B63:C63"/>
    <mergeCell ref="E63:F63"/>
    <mergeCell ref="L63:O63"/>
    <mergeCell ref="B64:C64"/>
    <mergeCell ref="E64:F64"/>
    <mergeCell ref="L64:O64"/>
    <mergeCell ref="B65:C65"/>
    <mergeCell ref="E65:F65"/>
    <mergeCell ref="L65:O65"/>
    <mergeCell ref="B66:C66"/>
    <mergeCell ref="E66:F66"/>
    <mergeCell ref="L66:O66"/>
    <mergeCell ref="B67:C67"/>
    <mergeCell ref="E67:F67"/>
    <mergeCell ref="L67:O67"/>
    <mergeCell ref="B68:C68"/>
    <mergeCell ref="E68:F68"/>
    <mergeCell ref="L68:O68"/>
    <mergeCell ref="B69:C69"/>
    <mergeCell ref="E69:F69"/>
    <mergeCell ref="L69:O69"/>
    <mergeCell ref="B70:C70"/>
    <mergeCell ref="E70:F70"/>
    <mergeCell ref="L70:O70"/>
    <mergeCell ref="B71:C71"/>
    <mergeCell ref="E71:F71"/>
    <mergeCell ref="L71:O71"/>
    <mergeCell ref="B72:C72"/>
    <mergeCell ref="E72:F72"/>
    <mergeCell ref="L72:O72"/>
    <mergeCell ref="B73:C73"/>
    <mergeCell ref="E73:F73"/>
    <mergeCell ref="L73:O73"/>
    <mergeCell ref="B74:C74"/>
    <mergeCell ref="E74:F74"/>
    <mergeCell ref="L74:O74"/>
    <mergeCell ref="B75:C75"/>
    <mergeCell ref="E75:F75"/>
    <mergeCell ref="L75:O75"/>
    <mergeCell ref="B76:C76"/>
    <mergeCell ref="E76:F76"/>
    <mergeCell ref="L76:O76"/>
    <mergeCell ref="B77:C77"/>
    <mergeCell ref="E77:F77"/>
    <mergeCell ref="L77:O77"/>
    <mergeCell ref="B78:C78"/>
    <mergeCell ref="E78:F78"/>
    <mergeCell ref="L78:O78"/>
    <mergeCell ref="B79:C79"/>
    <mergeCell ref="E79:F79"/>
    <mergeCell ref="L79:O79"/>
    <mergeCell ref="B80:C80"/>
    <mergeCell ref="E80:F80"/>
    <mergeCell ref="L80:O80"/>
    <mergeCell ref="B81:C81"/>
    <mergeCell ref="E81:F81"/>
    <mergeCell ref="L81:O81"/>
    <mergeCell ref="B82:C82"/>
    <mergeCell ref="E82:F82"/>
    <mergeCell ref="L82:O82"/>
    <mergeCell ref="B83:C83"/>
    <mergeCell ref="E83:F83"/>
    <mergeCell ref="L83:O83"/>
    <mergeCell ref="B84:C84"/>
    <mergeCell ref="E84:F84"/>
    <mergeCell ref="L84:O84"/>
    <mergeCell ref="B85:C85"/>
    <mergeCell ref="E85:F85"/>
    <mergeCell ref="L85:O85"/>
    <mergeCell ref="B86:C86"/>
    <mergeCell ref="E86:F86"/>
    <mergeCell ref="L86:O86"/>
    <mergeCell ref="B87:C87"/>
    <mergeCell ref="E87:F87"/>
    <mergeCell ref="L87:O87"/>
    <mergeCell ref="B88:C88"/>
    <mergeCell ref="E88:F88"/>
    <mergeCell ref="L88:O88"/>
    <mergeCell ref="B89:C89"/>
    <mergeCell ref="E89:F89"/>
    <mergeCell ref="L89:O89"/>
    <mergeCell ref="B90:C90"/>
    <mergeCell ref="E90:F90"/>
    <mergeCell ref="L90:O90"/>
    <mergeCell ref="B91:C91"/>
    <mergeCell ref="E91:F91"/>
    <mergeCell ref="L91:O91"/>
    <mergeCell ref="B92:C92"/>
    <mergeCell ref="E92:F92"/>
    <mergeCell ref="L92:O92"/>
    <mergeCell ref="B93:C93"/>
    <mergeCell ref="E93:F93"/>
    <mergeCell ref="L93:O93"/>
    <mergeCell ref="B94:C94"/>
    <mergeCell ref="E94:F94"/>
    <mergeCell ref="L94:O94"/>
    <mergeCell ref="B95:C95"/>
    <mergeCell ref="E95:F95"/>
    <mergeCell ref="L95:O95"/>
    <mergeCell ref="B96:C96"/>
    <mergeCell ref="E96:F96"/>
    <mergeCell ref="L96:O96"/>
    <mergeCell ref="B97:C97"/>
    <mergeCell ref="E97:F97"/>
    <mergeCell ref="L97:O97"/>
    <mergeCell ref="B98:C98"/>
    <mergeCell ref="E98:F98"/>
    <mergeCell ref="L98:O98"/>
    <mergeCell ref="B99:C99"/>
    <mergeCell ref="E99:F99"/>
    <mergeCell ref="L99:O99"/>
    <mergeCell ref="B100:C100"/>
    <mergeCell ref="E100:F100"/>
    <mergeCell ref="L100:O100"/>
    <mergeCell ref="B101:C101"/>
    <mergeCell ref="E101:F101"/>
    <mergeCell ref="L101:O101"/>
    <mergeCell ref="B102:C102"/>
    <mergeCell ref="E102:F102"/>
    <mergeCell ref="L102:O102"/>
    <mergeCell ref="B103:C103"/>
    <mergeCell ref="E103:F103"/>
    <mergeCell ref="L103:O103"/>
    <mergeCell ref="B104:C104"/>
    <mergeCell ref="E104:F104"/>
    <mergeCell ref="L104:O104"/>
    <mergeCell ref="B105:C105"/>
    <mergeCell ref="E105:F105"/>
    <mergeCell ref="L105:O105"/>
    <mergeCell ref="B106:C106"/>
    <mergeCell ref="E106:F106"/>
    <mergeCell ref="L106:O106"/>
    <mergeCell ref="B107:C107"/>
    <mergeCell ref="E107:F107"/>
    <mergeCell ref="L107:O107"/>
    <mergeCell ref="B108:C108"/>
    <mergeCell ref="E108:F108"/>
    <mergeCell ref="L108:O108"/>
    <mergeCell ref="B109:C109"/>
    <mergeCell ref="E109:F109"/>
    <mergeCell ref="L109:O109"/>
    <mergeCell ref="B110:C110"/>
    <mergeCell ref="E110:F110"/>
    <mergeCell ref="L110:O110"/>
    <mergeCell ref="B111:C111"/>
    <mergeCell ref="E111:F111"/>
    <mergeCell ref="L111:O111"/>
    <mergeCell ref="B112:C112"/>
    <mergeCell ref="E112:F112"/>
    <mergeCell ref="L112:O112"/>
    <mergeCell ref="B113:C113"/>
    <mergeCell ref="E113:F113"/>
    <mergeCell ref="L113:O113"/>
    <mergeCell ref="B114:C114"/>
    <mergeCell ref="E114:F114"/>
    <mergeCell ref="L114:O114"/>
    <mergeCell ref="B115:C115"/>
    <mergeCell ref="E115:F115"/>
    <mergeCell ref="L115:O115"/>
    <mergeCell ref="B116:C116"/>
    <mergeCell ref="E116:F116"/>
    <mergeCell ref="L116:O116"/>
    <mergeCell ref="B117:C117"/>
    <mergeCell ref="E117:F117"/>
    <mergeCell ref="L117:O117"/>
    <mergeCell ref="B118:C118"/>
    <mergeCell ref="E118:F118"/>
    <mergeCell ref="L118:O118"/>
    <mergeCell ref="B119:C119"/>
    <mergeCell ref="E119:F119"/>
    <mergeCell ref="L119:O119"/>
    <mergeCell ref="B120:C120"/>
    <mergeCell ref="E120:F120"/>
    <mergeCell ref="L120:O120"/>
    <mergeCell ref="B121:C121"/>
    <mergeCell ref="E121:F121"/>
    <mergeCell ref="L121:O121"/>
    <mergeCell ref="B122:C122"/>
    <mergeCell ref="E122:F122"/>
    <mergeCell ref="L122:O122"/>
    <mergeCell ref="B123:C123"/>
    <mergeCell ref="E123:F123"/>
    <mergeCell ref="L123:O123"/>
    <mergeCell ref="B124:C124"/>
    <mergeCell ref="E124:F124"/>
    <mergeCell ref="L124:O124"/>
    <mergeCell ref="B125:C125"/>
    <mergeCell ref="E125:F125"/>
    <mergeCell ref="L125:O125"/>
    <mergeCell ref="B126:C126"/>
    <mergeCell ref="E126:F126"/>
    <mergeCell ref="L126:O126"/>
    <mergeCell ref="B127:C127"/>
    <mergeCell ref="E127:F127"/>
    <mergeCell ref="L127:O127"/>
    <mergeCell ref="B128:C128"/>
    <mergeCell ref="E128:F128"/>
    <mergeCell ref="L128:O128"/>
    <mergeCell ref="B129:C129"/>
    <mergeCell ref="E129:F129"/>
    <mergeCell ref="L129:O129"/>
    <mergeCell ref="B130:C130"/>
    <mergeCell ref="E130:F130"/>
    <mergeCell ref="L130:O130"/>
    <mergeCell ref="B131:C131"/>
    <mergeCell ref="E131:F131"/>
    <mergeCell ref="L131:O131"/>
    <mergeCell ref="B132:C132"/>
    <mergeCell ref="E132:F132"/>
    <mergeCell ref="L132:O132"/>
    <mergeCell ref="B133:C133"/>
    <mergeCell ref="E133:F133"/>
    <mergeCell ref="L133:O133"/>
    <mergeCell ref="B134:C134"/>
    <mergeCell ref="E134:F134"/>
    <mergeCell ref="L134:O134"/>
    <mergeCell ref="B135:C135"/>
    <mergeCell ref="E135:F135"/>
    <mergeCell ref="L135:O135"/>
    <mergeCell ref="B136:C136"/>
    <mergeCell ref="E136:F136"/>
    <mergeCell ref="L136:O136"/>
    <mergeCell ref="B137:C137"/>
    <mergeCell ref="E137:F137"/>
    <mergeCell ref="L137:O137"/>
    <mergeCell ref="B138:C138"/>
    <mergeCell ref="E138:F138"/>
    <mergeCell ref="L138:O138"/>
    <mergeCell ref="B139:C139"/>
    <mergeCell ref="E139:F139"/>
    <mergeCell ref="L139:O139"/>
    <mergeCell ref="B140:C140"/>
    <mergeCell ref="E140:F140"/>
    <mergeCell ref="L140:O140"/>
    <mergeCell ref="B141:C141"/>
    <mergeCell ref="E141:F141"/>
    <mergeCell ref="L141:O141"/>
    <mergeCell ref="B142:C142"/>
    <mergeCell ref="E142:F142"/>
    <mergeCell ref="L142:O142"/>
    <mergeCell ref="B143:C143"/>
    <mergeCell ref="E143:F143"/>
    <mergeCell ref="L143:O143"/>
    <mergeCell ref="B144:C144"/>
    <mergeCell ref="E144:F144"/>
    <mergeCell ref="L144:O144"/>
    <mergeCell ref="B145:C145"/>
    <mergeCell ref="E145:F145"/>
    <mergeCell ref="L145:O145"/>
    <mergeCell ref="B146:C146"/>
    <mergeCell ref="E146:F146"/>
    <mergeCell ref="L146:O146"/>
    <mergeCell ref="B147:C147"/>
    <mergeCell ref="E147:F147"/>
    <mergeCell ref="L147:O147"/>
    <mergeCell ref="B148:C148"/>
    <mergeCell ref="E148:F148"/>
    <mergeCell ref="L148:O148"/>
    <mergeCell ref="B149:C149"/>
    <mergeCell ref="E149:F149"/>
    <mergeCell ref="L149:O149"/>
    <mergeCell ref="B150:C150"/>
    <mergeCell ref="E150:F150"/>
    <mergeCell ref="L150:O150"/>
    <mergeCell ref="B151:C151"/>
    <mergeCell ref="E151:F151"/>
    <mergeCell ref="L151:O151"/>
    <mergeCell ref="B152:C152"/>
    <mergeCell ref="E152:F152"/>
    <mergeCell ref="L152:O152"/>
    <mergeCell ref="B153:C153"/>
    <mergeCell ref="E153:F153"/>
    <mergeCell ref="L153:O153"/>
    <mergeCell ref="B154:C154"/>
    <mergeCell ref="E154:F154"/>
    <mergeCell ref="L154:O154"/>
    <mergeCell ref="B155:C155"/>
    <mergeCell ref="E155:F155"/>
    <mergeCell ref="L155:O155"/>
    <mergeCell ref="B156:C156"/>
    <mergeCell ref="E156:F156"/>
    <mergeCell ref="L156:O156"/>
    <mergeCell ref="B157:C157"/>
    <mergeCell ref="E157:F157"/>
    <mergeCell ref="L157:O157"/>
    <mergeCell ref="B158:C158"/>
    <mergeCell ref="E158:F158"/>
    <mergeCell ref="L158:O158"/>
    <mergeCell ref="B159:C159"/>
    <mergeCell ref="E159:F159"/>
    <mergeCell ref="L159:O159"/>
    <mergeCell ref="B160:C160"/>
    <mergeCell ref="E160:F160"/>
    <mergeCell ref="L160:O160"/>
    <mergeCell ref="B161:C161"/>
    <mergeCell ref="E161:F161"/>
    <mergeCell ref="L161:O161"/>
    <mergeCell ref="B162:C162"/>
    <mergeCell ref="E162:F162"/>
    <mergeCell ref="L162:O162"/>
    <mergeCell ref="B163:C163"/>
    <mergeCell ref="E163:F163"/>
    <mergeCell ref="L163:O163"/>
    <mergeCell ref="B164:C164"/>
    <mergeCell ref="E164:F164"/>
    <mergeCell ref="L164:O164"/>
    <mergeCell ref="B165:C165"/>
    <mergeCell ref="E165:F165"/>
    <mergeCell ref="L165:O165"/>
    <mergeCell ref="B166:C166"/>
    <mergeCell ref="E166:F166"/>
    <mergeCell ref="L166:O166"/>
    <mergeCell ref="B167:C167"/>
    <mergeCell ref="E167:F167"/>
    <mergeCell ref="L167:O167"/>
    <mergeCell ref="B168:C168"/>
    <mergeCell ref="E168:F168"/>
    <mergeCell ref="L168:O168"/>
    <mergeCell ref="B169:C169"/>
    <mergeCell ref="E169:F169"/>
    <mergeCell ref="L169:O169"/>
    <mergeCell ref="B170:C170"/>
    <mergeCell ref="E170:F170"/>
    <mergeCell ref="L170:O170"/>
    <mergeCell ref="B171:C171"/>
    <mergeCell ref="E171:F171"/>
    <mergeCell ref="L171:O171"/>
    <mergeCell ref="B172:C172"/>
    <mergeCell ref="E172:F172"/>
    <mergeCell ref="L172:O172"/>
    <mergeCell ref="B173:C173"/>
    <mergeCell ref="E173:F173"/>
    <mergeCell ref="L173:O173"/>
    <mergeCell ref="B174:C174"/>
    <mergeCell ref="E174:F174"/>
    <mergeCell ref="L174:O174"/>
    <mergeCell ref="B175:C175"/>
    <mergeCell ref="E175:F175"/>
    <mergeCell ref="L175:O175"/>
    <mergeCell ref="B176:C176"/>
    <mergeCell ref="E176:F176"/>
    <mergeCell ref="L176:O176"/>
    <mergeCell ref="B177:C177"/>
    <mergeCell ref="E177:F177"/>
    <mergeCell ref="L177:O177"/>
    <mergeCell ref="B178:C178"/>
    <mergeCell ref="E178:F178"/>
    <mergeCell ref="L178:O178"/>
    <mergeCell ref="B179:C179"/>
    <mergeCell ref="E179:F179"/>
    <mergeCell ref="L179:O179"/>
    <mergeCell ref="B180:C180"/>
    <mergeCell ref="E180:F180"/>
    <mergeCell ref="L180:O180"/>
    <mergeCell ref="B181:C181"/>
    <mergeCell ref="E181:F181"/>
    <mergeCell ref="L181:O181"/>
    <mergeCell ref="B182:C182"/>
    <mergeCell ref="E182:F182"/>
    <mergeCell ref="L182:O182"/>
    <mergeCell ref="B183:C183"/>
    <mergeCell ref="E183:F183"/>
    <mergeCell ref="L183:O183"/>
    <mergeCell ref="B184:C184"/>
    <mergeCell ref="E184:F184"/>
    <mergeCell ref="L184:O184"/>
    <mergeCell ref="B185:C185"/>
    <mergeCell ref="E185:F185"/>
    <mergeCell ref="L185:O185"/>
    <mergeCell ref="B186:C186"/>
    <mergeCell ref="E186:F186"/>
    <mergeCell ref="L186:O186"/>
    <mergeCell ref="B187:C187"/>
    <mergeCell ref="E187:F187"/>
    <mergeCell ref="L187:O187"/>
    <mergeCell ref="B188:C188"/>
    <mergeCell ref="E188:F188"/>
    <mergeCell ref="L188:O188"/>
    <mergeCell ref="B189:C189"/>
    <mergeCell ref="E189:F189"/>
    <mergeCell ref="L189:O189"/>
    <mergeCell ref="B190:C190"/>
    <mergeCell ref="E190:F190"/>
    <mergeCell ref="L190:O190"/>
    <mergeCell ref="B191:C191"/>
    <mergeCell ref="E191:F191"/>
    <mergeCell ref="L191:O191"/>
    <mergeCell ref="B192:C192"/>
    <mergeCell ref="E192:F192"/>
    <mergeCell ref="L192:O192"/>
    <mergeCell ref="B193:C193"/>
    <mergeCell ref="E193:F193"/>
    <mergeCell ref="L193:O193"/>
    <mergeCell ref="B194:C194"/>
    <mergeCell ref="E194:F194"/>
    <mergeCell ref="L194:O194"/>
    <mergeCell ref="B195:C195"/>
    <mergeCell ref="E195:F195"/>
    <mergeCell ref="L195:O195"/>
    <mergeCell ref="B196:C196"/>
    <mergeCell ref="E196:F196"/>
    <mergeCell ref="L196:O196"/>
    <mergeCell ref="B197:C197"/>
    <mergeCell ref="E197:F197"/>
    <mergeCell ref="L197:O197"/>
    <mergeCell ref="B198:C198"/>
    <mergeCell ref="E198:F198"/>
    <mergeCell ref="L198:O198"/>
    <mergeCell ref="B199:C199"/>
    <mergeCell ref="E199:F199"/>
    <mergeCell ref="L199:O199"/>
    <mergeCell ref="B200:C200"/>
    <mergeCell ref="E200:F200"/>
    <mergeCell ref="L200:O200"/>
    <mergeCell ref="B201:C201"/>
    <mergeCell ref="E201:F201"/>
    <mergeCell ref="L201:O201"/>
    <mergeCell ref="B202:C202"/>
    <mergeCell ref="E202:F202"/>
    <mergeCell ref="L202:O202"/>
    <mergeCell ref="B203:C203"/>
    <mergeCell ref="E203:F203"/>
    <mergeCell ref="L203:O203"/>
    <mergeCell ref="B204:C204"/>
    <mergeCell ref="E204:F204"/>
    <mergeCell ref="L204:O204"/>
    <mergeCell ref="B205:C205"/>
    <mergeCell ref="E205:F205"/>
    <mergeCell ref="L205:O205"/>
    <mergeCell ref="B206:C206"/>
    <mergeCell ref="E206:F206"/>
    <mergeCell ref="L206:O206"/>
    <mergeCell ref="B207:C207"/>
    <mergeCell ref="E207:F207"/>
    <mergeCell ref="L207:O207"/>
    <mergeCell ref="B208:C208"/>
    <mergeCell ref="E208:F208"/>
    <mergeCell ref="L208:O208"/>
    <mergeCell ref="B209:C209"/>
    <mergeCell ref="E209:F209"/>
    <mergeCell ref="L209:O209"/>
    <mergeCell ref="B210:C210"/>
    <mergeCell ref="E210:F210"/>
    <mergeCell ref="L210:O210"/>
    <mergeCell ref="B211:C211"/>
    <mergeCell ref="E211:F211"/>
    <mergeCell ref="L211:O211"/>
    <mergeCell ref="B212:C212"/>
    <mergeCell ref="E212:F212"/>
    <mergeCell ref="L212:O212"/>
    <mergeCell ref="B213:C213"/>
    <mergeCell ref="E213:F213"/>
    <mergeCell ref="L213:O213"/>
    <mergeCell ref="B214:C214"/>
    <mergeCell ref="E214:F214"/>
    <mergeCell ref="L214:O214"/>
    <mergeCell ref="B215:C215"/>
    <mergeCell ref="E215:F215"/>
    <mergeCell ref="L215:O215"/>
    <mergeCell ref="B216:C216"/>
    <mergeCell ref="E216:F216"/>
    <mergeCell ref="L216:O216"/>
    <mergeCell ref="B217:C217"/>
    <mergeCell ref="E217:F217"/>
    <mergeCell ref="L217:O217"/>
    <mergeCell ref="B218:C218"/>
    <mergeCell ref="E218:F218"/>
    <mergeCell ref="L218:O218"/>
    <mergeCell ref="B219:C219"/>
    <mergeCell ref="E219:F219"/>
    <mergeCell ref="L219:O219"/>
    <mergeCell ref="B220:C220"/>
    <mergeCell ref="E220:F220"/>
    <mergeCell ref="L220:O220"/>
    <mergeCell ref="B221:C221"/>
    <mergeCell ref="E221:F221"/>
    <mergeCell ref="L221:O221"/>
    <mergeCell ref="B222:C222"/>
    <mergeCell ref="E222:F222"/>
    <mergeCell ref="L222:O222"/>
    <mergeCell ref="B223:C223"/>
    <mergeCell ref="E223:F223"/>
    <mergeCell ref="L223:O223"/>
    <mergeCell ref="B224:C224"/>
    <mergeCell ref="E224:F224"/>
    <mergeCell ref="L224:O224"/>
    <mergeCell ref="B225:C225"/>
    <mergeCell ref="E225:F225"/>
    <mergeCell ref="L225:O225"/>
    <mergeCell ref="B226:C226"/>
    <mergeCell ref="E226:F226"/>
    <mergeCell ref="L226:O226"/>
    <mergeCell ref="B227:C227"/>
    <mergeCell ref="E227:F227"/>
    <mergeCell ref="L227:O227"/>
    <mergeCell ref="B228:C228"/>
    <mergeCell ref="E228:F228"/>
    <mergeCell ref="L228:O228"/>
    <mergeCell ref="B229:C229"/>
    <mergeCell ref="E229:F229"/>
    <mergeCell ref="L229:O229"/>
    <mergeCell ref="B230:C230"/>
    <mergeCell ref="E230:F230"/>
    <mergeCell ref="L230:O230"/>
    <mergeCell ref="B231:C231"/>
    <mergeCell ref="E231:F231"/>
    <mergeCell ref="L231:O231"/>
    <mergeCell ref="B232:C232"/>
    <mergeCell ref="E232:F232"/>
    <mergeCell ref="L232:O232"/>
    <mergeCell ref="B233:C233"/>
    <mergeCell ref="E233:F233"/>
    <mergeCell ref="L233:O233"/>
    <mergeCell ref="B234:C234"/>
    <mergeCell ref="E234:F234"/>
    <mergeCell ref="L234:O234"/>
    <mergeCell ref="B235:C235"/>
    <mergeCell ref="E235:F235"/>
    <mergeCell ref="L235:O235"/>
    <mergeCell ref="B236:C236"/>
    <mergeCell ref="E236:F236"/>
    <mergeCell ref="L236:O236"/>
    <mergeCell ref="B237:C237"/>
    <mergeCell ref="E237:F237"/>
    <mergeCell ref="L237:O237"/>
    <mergeCell ref="B238:C238"/>
    <mergeCell ref="E238:F238"/>
    <mergeCell ref="L238:O238"/>
    <mergeCell ref="B239:C239"/>
    <mergeCell ref="E239:F239"/>
    <mergeCell ref="L239:O239"/>
    <mergeCell ref="B240:C240"/>
    <mergeCell ref="E240:F240"/>
    <mergeCell ref="L240:O240"/>
    <mergeCell ref="B241:C241"/>
    <mergeCell ref="E241:F241"/>
    <mergeCell ref="L241:O241"/>
    <mergeCell ref="B242:C242"/>
    <mergeCell ref="E242:F242"/>
    <mergeCell ref="L242:O242"/>
    <mergeCell ref="B243:C243"/>
    <mergeCell ref="E243:F243"/>
    <mergeCell ref="L243:O243"/>
    <mergeCell ref="B244:C244"/>
    <mergeCell ref="E244:F244"/>
    <mergeCell ref="L244:O244"/>
    <mergeCell ref="B245:C245"/>
    <mergeCell ref="E245:F245"/>
    <mergeCell ref="L245:O245"/>
    <mergeCell ref="B246:C246"/>
    <mergeCell ref="E246:F246"/>
    <mergeCell ref="L246:O246"/>
    <mergeCell ref="B247:C247"/>
    <mergeCell ref="E247:F247"/>
    <mergeCell ref="L247:O247"/>
    <mergeCell ref="B248:C248"/>
    <mergeCell ref="E248:F248"/>
    <mergeCell ref="L248:O248"/>
    <mergeCell ref="B249:C249"/>
    <mergeCell ref="E249:F249"/>
    <mergeCell ref="L249:O249"/>
    <mergeCell ref="B250:C250"/>
    <mergeCell ref="E250:F250"/>
    <mergeCell ref="L250:O250"/>
    <mergeCell ref="B251:C251"/>
    <mergeCell ref="E251:F251"/>
    <mergeCell ref="L251:O251"/>
    <mergeCell ref="B252:C252"/>
    <mergeCell ref="E252:F252"/>
    <mergeCell ref="L252:O252"/>
    <mergeCell ref="B253:C253"/>
    <mergeCell ref="E253:F253"/>
    <mergeCell ref="L253:O253"/>
    <mergeCell ref="B254:C254"/>
    <mergeCell ref="E254:F254"/>
    <mergeCell ref="L254:O254"/>
    <mergeCell ref="B255:C255"/>
    <mergeCell ref="E255:F255"/>
    <mergeCell ref="L255:O255"/>
    <mergeCell ref="B256:C256"/>
    <mergeCell ref="E256:F256"/>
    <mergeCell ref="L256:O256"/>
    <mergeCell ref="B257:C257"/>
    <mergeCell ref="E257:F257"/>
    <mergeCell ref="L257:O257"/>
    <mergeCell ref="B258:C258"/>
    <mergeCell ref="E258:F258"/>
    <mergeCell ref="L258:O258"/>
    <mergeCell ref="B259:C259"/>
    <mergeCell ref="E259:F259"/>
    <mergeCell ref="L259:O259"/>
    <mergeCell ref="B260:C260"/>
    <mergeCell ref="E260:F260"/>
    <mergeCell ref="L260:O260"/>
    <mergeCell ref="B261:C261"/>
    <mergeCell ref="E261:F261"/>
    <mergeCell ref="L261:O261"/>
    <mergeCell ref="B262:C262"/>
    <mergeCell ref="E262:F262"/>
    <mergeCell ref="L262:O262"/>
    <mergeCell ref="B263:C263"/>
    <mergeCell ref="E263:F263"/>
    <mergeCell ref="L263:O263"/>
    <mergeCell ref="B264:C264"/>
    <mergeCell ref="E264:F264"/>
    <mergeCell ref="L264:O264"/>
    <mergeCell ref="B265:C265"/>
    <mergeCell ref="E265:F265"/>
    <mergeCell ref="L265:O265"/>
    <mergeCell ref="B266:C266"/>
    <mergeCell ref="E266:F266"/>
    <mergeCell ref="L266:O266"/>
    <mergeCell ref="B267:C267"/>
    <mergeCell ref="E267:F267"/>
    <mergeCell ref="L267:O267"/>
    <mergeCell ref="B268:C268"/>
    <mergeCell ref="E268:F268"/>
    <mergeCell ref="L268:O268"/>
    <mergeCell ref="B269:C269"/>
    <mergeCell ref="E269:F269"/>
    <mergeCell ref="L269:O269"/>
    <mergeCell ref="B270:C270"/>
    <mergeCell ref="E270:F270"/>
    <mergeCell ref="L270:O270"/>
    <mergeCell ref="B271:C271"/>
    <mergeCell ref="E271:F271"/>
    <mergeCell ref="L271:O271"/>
    <mergeCell ref="B272:C272"/>
    <mergeCell ref="E272:F272"/>
    <mergeCell ref="L272:O272"/>
    <mergeCell ref="B273:C273"/>
    <mergeCell ref="E273:F273"/>
    <mergeCell ref="L273:O273"/>
    <mergeCell ref="B274:C274"/>
    <mergeCell ref="E274:F274"/>
    <mergeCell ref="L274:O274"/>
    <mergeCell ref="B275:C275"/>
    <mergeCell ref="E275:F275"/>
    <mergeCell ref="L275:O275"/>
    <mergeCell ref="B276:C276"/>
    <mergeCell ref="E276:F276"/>
    <mergeCell ref="L276:O276"/>
    <mergeCell ref="B277:C277"/>
    <mergeCell ref="E277:F277"/>
    <mergeCell ref="L277:O277"/>
    <mergeCell ref="B278:C278"/>
    <mergeCell ref="E278:F278"/>
    <mergeCell ref="L278:O278"/>
    <mergeCell ref="B279:C279"/>
    <mergeCell ref="E279:F279"/>
    <mergeCell ref="L279:O279"/>
    <mergeCell ref="B280:C280"/>
    <mergeCell ref="E280:F280"/>
    <mergeCell ref="L280:O280"/>
    <mergeCell ref="B281:C281"/>
    <mergeCell ref="E281:F281"/>
    <mergeCell ref="L281:O281"/>
    <mergeCell ref="B282:C282"/>
    <mergeCell ref="E282:F282"/>
    <mergeCell ref="L282:O282"/>
    <mergeCell ref="B283:C283"/>
    <mergeCell ref="E283:F283"/>
    <mergeCell ref="L283:O283"/>
    <mergeCell ref="B284:C284"/>
    <mergeCell ref="E284:F284"/>
    <mergeCell ref="L284:O284"/>
    <mergeCell ref="B285:C285"/>
    <mergeCell ref="E285:F285"/>
    <mergeCell ref="L285:O285"/>
    <mergeCell ref="B286:C286"/>
    <mergeCell ref="E286:F286"/>
    <mergeCell ref="L286:O286"/>
    <mergeCell ref="B287:C287"/>
    <mergeCell ref="E287:F287"/>
    <mergeCell ref="L287:O287"/>
    <mergeCell ref="B288:C288"/>
    <mergeCell ref="E288:F288"/>
    <mergeCell ref="L288:O288"/>
    <mergeCell ref="B289:C289"/>
    <mergeCell ref="E289:F289"/>
    <mergeCell ref="L289:O289"/>
    <mergeCell ref="B290:C290"/>
    <mergeCell ref="E290:F290"/>
    <mergeCell ref="L290:O290"/>
    <mergeCell ref="B291:C291"/>
    <mergeCell ref="E291:F291"/>
    <mergeCell ref="L291:O291"/>
    <mergeCell ref="B292:C292"/>
    <mergeCell ref="E292:F292"/>
    <mergeCell ref="L292:O292"/>
    <mergeCell ref="B293:C293"/>
    <mergeCell ref="E293:F293"/>
    <mergeCell ref="L293:O293"/>
    <mergeCell ref="B294:C294"/>
    <mergeCell ref="E294:F294"/>
    <mergeCell ref="L294:O294"/>
    <mergeCell ref="B295:C295"/>
    <mergeCell ref="E295:F295"/>
    <mergeCell ref="L295:O295"/>
    <mergeCell ref="B296:C296"/>
    <mergeCell ref="E296:F296"/>
    <mergeCell ref="L296:O296"/>
    <mergeCell ref="B297:C297"/>
    <mergeCell ref="E297:F297"/>
    <mergeCell ref="L297:O297"/>
    <mergeCell ref="B298:C298"/>
    <mergeCell ref="E298:F298"/>
    <mergeCell ref="L298:O298"/>
    <mergeCell ref="B299:C299"/>
    <mergeCell ref="E299:F299"/>
    <mergeCell ref="L299:O299"/>
    <mergeCell ref="B300:C300"/>
    <mergeCell ref="E300:F300"/>
    <mergeCell ref="L300:O300"/>
    <mergeCell ref="B301:C301"/>
    <mergeCell ref="E301:F301"/>
    <mergeCell ref="L301:O301"/>
    <mergeCell ref="B302:C302"/>
    <mergeCell ref="E302:F302"/>
    <mergeCell ref="L302:O302"/>
    <mergeCell ref="B303:C303"/>
    <mergeCell ref="E303:F303"/>
    <mergeCell ref="L303:O303"/>
    <mergeCell ref="B304:C304"/>
    <mergeCell ref="E304:F304"/>
    <mergeCell ref="L304:O304"/>
    <mergeCell ref="B305:C305"/>
    <mergeCell ref="E305:F305"/>
    <mergeCell ref="L305:O305"/>
    <mergeCell ref="B306:C306"/>
    <mergeCell ref="E306:F306"/>
    <mergeCell ref="L306:O306"/>
    <mergeCell ref="B307:C307"/>
    <mergeCell ref="E307:F307"/>
    <mergeCell ref="L307:O307"/>
    <mergeCell ref="B308:C308"/>
    <mergeCell ref="E308:F308"/>
    <mergeCell ref="L308:O308"/>
    <mergeCell ref="B309:C309"/>
    <mergeCell ref="E309:F309"/>
    <mergeCell ref="L309:O309"/>
    <mergeCell ref="B310:C310"/>
    <mergeCell ref="E310:F310"/>
    <mergeCell ref="L310:O310"/>
    <mergeCell ref="B311:C311"/>
    <mergeCell ref="E311:F311"/>
    <mergeCell ref="L311:O311"/>
    <mergeCell ref="B312:C312"/>
    <mergeCell ref="E312:F312"/>
    <mergeCell ref="L312:O312"/>
    <mergeCell ref="B313:C313"/>
    <mergeCell ref="E313:F313"/>
    <mergeCell ref="L313:O313"/>
    <mergeCell ref="B314:C314"/>
    <mergeCell ref="E314:F314"/>
    <mergeCell ref="L314:O314"/>
    <mergeCell ref="B315:C315"/>
    <mergeCell ref="E315:F315"/>
    <mergeCell ref="L315:O315"/>
    <mergeCell ref="B316:C316"/>
    <mergeCell ref="E316:F316"/>
    <mergeCell ref="L316:O316"/>
    <mergeCell ref="B317:C317"/>
    <mergeCell ref="E317:F317"/>
    <mergeCell ref="L317:O317"/>
    <mergeCell ref="B318:C318"/>
    <mergeCell ref="E318:F318"/>
    <mergeCell ref="L318:O318"/>
    <mergeCell ref="B319:C319"/>
    <mergeCell ref="E319:F319"/>
    <mergeCell ref="L319:O319"/>
    <mergeCell ref="B320:C320"/>
    <mergeCell ref="E320:F320"/>
    <mergeCell ref="L320:O320"/>
    <mergeCell ref="B321:C321"/>
    <mergeCell ref="E321:F321"/>
    <mergeCell ref="L321:O321"/>
    <mergeCell ref="B322:C322"/>
    <mergeCell ref="E322:F322"/>
    <mergeCell ref="L322:O322"/>
    <mergeCell ref="B323:C323"/>
    <mergeCell ref="E323:F323"/>
    <mergeCell ref="L323:O323"/>
    <mergeCell ref="B324:C324"/>
    <mergeCell ref="E324:F324"/>
    <mergeCell ref="L324:O324"/>
    <mergeCell ref="B325:C325"/>
    <mergeCell ref="E325:F325"/>
    <mergeCell ref="L325:O325"/>
    <mergeCell ref="B326:C326"/>
    <mergeCell ref="E326:F326"/>
    <mergeCell ref="L326:O326"/>
    <mergeCell ref="B327:C327"/>
    <mergeCell ref="E327:F327"/>
    <mergeCell ref="L327:O327"/>
    <mergeCell ref="B328:C328"/>
    <mergeCell ref="E328:F328"/>
    <mergeCell ref="L328:O328"/>
    <mergeCell ref="B329:C329"/>
    <mergeCell ref="E329:F329"/>
    <mergeCell ref="L329:O329"/>
    <mergeCell ref="B330:C330"/>
    <mergeCell ref="E330:F330"/>
    <mergeCell ref="L330:O330"/>
    <mergeCell ref="B331:C331"/>
    <mergeCell ref="E331:F331"/>
    <mergeCell ref="L331:O331"/>
    <mergeCell ref="B332:C332"/>
    <mergeCell ref="E332:F332"/>
    <mergeCell ref="L332:O332"/>
    <mergeCell ref="B333:C333"/>
    <mergeCell ref="E333:F333"/>
    <mergeCell ref="L333:O333"/>
    <mergeCell ref="B334:C334"/>
    <mergeCell ref="E334:F334"/>
    <mergeCell ref="L334:O334"/>
    <mergeCell ref="B335:C335"/>
    <mergeCell ref="E335:F335"/>
    <mergeCell ref="L335:O335"/>
    <mergeCell ref="B336:C336"/>
    <mergeCell ref="E336:F336"/>
    <mergeCell ref="L336:O336"/>
    <mergeCell ref="B337:C337"/>
    <mergeCell ref="E337:F337"/>
    <mergeCell ref="L337:O337"/>
    <mergeCell ref="B338:C338"/>
    <mergeCell ref="E338:F338"/>
    <mergeCell ref="L338:O338"/>
    <mergeCell ref="B339:C339"/>
    <mergeCell ref="E339:F339"/>
    <mergeCell ref="L339:O339"/>
    <mergeCell ref="B340:C340"/>
    <mergeCell ref="E340:F340"/>
    <mergeCell ref="L340:O340"/>
    <mergeCell ref="B341:C341"/>
    <mergeCell ref="E341:F341"/>
    <mergeCell ref="L341:O341"/>
    <mergeCell ref="B342:C342"/>
    <mergeCell ref="E342:F342"/>
    <mergeCell ref="L342:O342"/>
    <mergeCell ref="B343:C343"/>
    <mergeCell ref="E343:F343"/>
    <mergeCell ref="L343:O343"/>
    <mergeCell ref="B344:C344"/>
    <mergeCell ref="E344:F344"/>
    <mergeCell ref="L344:O344"/>
    <mergeCell ref="B345:C345"/>
    <mergeCell ref="E345:F345"/>
    <mergeCell ref="L345:O345"/>
    <mergeCell ref="B346:C346"/>
    <mergeCell ref="E346:F346"/>
    <mergeCell ref="L346:O346"/>
    <mergeCell ref="B347:C347"/>
    <mergeCell ref="E347:F347"/>
    <mergeCell ref="L347:O347"/>
    <mergeCell ref="B348:C348"/>
    <mergeCell ref="E348:F348"/>
    <mergeCell ref="L348:O348"/>
    <mergeCell ref="B349:C349"/>
    <mergeCell ref="E349:F349"/>
    <mergeCell ref="L349:O349"/>
    <mergeCell ref="B350:C350"/>
    <mergeCell ref="E350:F350"/>
    <mergeCell ref="L350:O350"/>
    <mergeCell ref="B351:C351"/>
    <mergeCell ref="E351:F351"/>
    <mergeCell ref="L351:O351"/>
    <mergeCell ref="B352:C352"/>
    <mergeCell ref="E352:F352"/>
    <mergeCell ref="L352:O352"/>
    <mergeCell ref="B353:C353"/>
    <mergeCell ref="E353:F353"/>
    <mergeCell ref="L353:O353"/>
    <mergeCell ref="B354:C354"/>
    <mergeCell ref="E354:F354"/>
    <mergeCell ref="L354:O354"/>
    <mergeCell ref="B355:C355"/>
    <mergeCell ref="E355:F355"/>
    <mergeCell ref="L355:O355"/>
    <mergeCell ref="B356:C356"/>
    <mergeCell ref="E356:F356"/>
    <mergeCell ref="L356:O356"/>
    <mergeCell ref="B357:C357"/>
    <mergeCell ref="E357:F357"/>
    <mergeCell ref="L357:O357"/>
    <mergeCell ref="B358:C358"/>
    <mergeCell ref="E358:F358"/>
    <mergeCell ref="L358:O358"/>
    <mergeCell ref="B359:C359"/>
    <mergeCell ref="E359:F359"/>
    <mergeCell ref="L359:O359"/>
    <mergeCell ref="B360:C360"/>
    <mergeCell ref="E360:F360"/>
    <mergeCell ref="L360:O360"/>
    <mergeCell ref="B361:C361"/>
    <mergeCell ref="E361:F361"/>
    <mergeCell ref="L361:O361"/>
    <mergeCell ref="B362:C362"/>
    <mergeCell ref="E362:F362"/>
    <mergeCell ref="L362:O362"/>
    <mergeCell ref="B363:C363"/>
    <mergeCell ref="E363:F363"/>
    <mergeCell ref="L363:O363"/>
    <mergeCell ref="B364:C364"/>
    <mergeCell ref="E364:F364"/>
    <mergeCell ref="L364:O364"/>
    <mergeCell ref="B365:C365"/>
    <mergeCell ref="E365:F365"/>
    <mergeCell ref="L365:O365"/>
    <mergeCell ref="B366:C366"/>
    <mergeCell ref="E366:F366"/>
    <mergeCell ref="L366:O366"/>
    <mergeCell ref="B367:C367"/>
    <mergeCell ref="E367:F367"/>
    <mergeCell ref="L367:O367"/>
    <mergeCell ref="B368:C368"/>
    <mergeCell ref="E368:F368"/>
    <mergeCell ref="L368:O368"/>
    <mergeCell ref="B369:C369"/>
    <mergeCell ref="E369:F369"/>
    <mergeCell ref="L369:O369"/>
    <mergeCell ref="B370:C370"/>
    <mergeCell ref="E370:F370"/>
    <mergeCell ref="L370:O370"/>
    <mergeCell ref="B371:C371"/>
    <mergeCell ref="E371:F371"/>
    <mergeCell ref="L371:O371"/>
    <mergeCell ref="B372:C372"/>
    <mergeCell ref="E372:F372"/>
    <mergeCell ref="L372:O372"/>
    <mergeCell ref="B373:C373"/>
    <mergeCell ref="E373:F373"/>
    <mergeCell ref="L373:O373"/>
    <mergeCell ref="B374:C374"/>
    <mergeCell ref="E374:F374"/>
    <mergeCell ref="L374:O374"/>
    <mergeCell ref="B375:C375"/>
    <mergeCell ref="E375:F375"/>
    <mergeCell ref="L375:O375"/>
    <mergeCell ref="B376:C376"/>
    <mergeCell ref="E376:F376"/>
    <mergeCell ref="L376:O376"/>
    <mergeCell ref="B377:C377"/>
    <mergeCell ref="E377:F377"/>
    <mergeCell ref="L377:O377"/>
    <mergeCell ref="B378:C378"/>
    <mergeCell ref="E378:F378"/>
    <mergeCell ref="L378:O378"/>
    <mergeCell ref="B379:C379"/>
    <mergeCell ref="E379:F379"/>
    <mergeCell ref="L379:O379"/>
    <mergeCell ref="B380:C380"/>
    <mergeCell ref="E380:F380"/>
    <mergeCell ref="L380:O380"/>
    <mergeCell ref="B381:C381"/>
    <mergeCell ref="E381:F381"/>
    <mergeCell ref="L381:O381"/>
    <mergeCell ref="B382:C382"/>
    <mergeCell ref="E382:F382"/>
    <mergeCell ref="L382:O382"/>
    <mergeCell ref="B383:C383"/>
    <mergeCell ref="E383:F383"/>
    <mergeCell ref="L383:O383"/>
    <mergeCell ref="B384:C384"/>
    <mergeCell ref="E384:F384"/>
    <mergeCell ref="L384:O384"/>
    <mergeCell ref="B385:C385"/>
    <mergeCell ref="E385:F385"/>
    <mergeCell ref="L385:O385"/>
    <mergeCell ref="B386:C386"/>
    <mergeCell ref="E386:F386"/>
    <mergeCell ref="L386:O386"/>
    <mergeCell ref="B387:C387"/>
    <mergeCell ref="E387:F387"/>
    <mergeCell ref="L387:O387"/>
    <mergeCell ref="B388:C388"/>
    <mergeCell ref="E388:F388"/>
    <mergeCell ref="L388:O388"/>
    <mergeCell ref="B389:C389"/>
    <mergeCell ref="E389:F389"/>
    <mergeCell ref="L389:O389"/>
    <mergeCell ref="B390:C390"/>
    <mergeCell ref="E390:F390"/>
    <mergeCell ref="L390:O390"/>
    <mergeCell ref="B391:C391"/>
    <mergeCell ref="E391:F391"/>
    <mergeCell ref="L391:O391"/>
    <mergeCell ref="B392:C392"/>
    <mergeCell ref="E392:F392"/>
    <mergeCell ref="L392:O392"/>
    <mergeCell ref="B393:C393"/>
    <mergeCell ref="E393:F393"/>
    <mergeCell ref="L393:O393"/>
    <mergeCell ref="B394:C394"/>
    <mergeCell ref="E394:F394"/>
    <mergeCell ref="L394:O394"/>
    <mergeCell ref="B395:C395"/>
    <mergeCell ref="E395:F395"/>
    <mergeCell ref="L395:O395"/>
    <mergeCell ref="A396:B396"/>
    <mergeCell ref="C396:N396"/>
    <mergeCell ref="O396:P396"/>
    <mergeCell ref="A397:P397"/>
    <mergeCell ref="A398:B398"/>
    <mergeCell ref="C398:N398"/>
    <mergeCell ref="O398:P398"/>
    <mergeCell ref="A399:B399"/>
    <mergeCell ref="C399:N399"/>
    <mergeCell ref="O399:P399"/>
    <mergeCell ref="A400:E400"/>
    <mergeCell ref="F400:L400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2018-06-24T19:57:13Z</dcterms:created>
  <dc:creator>Apache POI</dc:creator>
</cp:coreProperties>
</file>